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705" yWindow="150" windowWidth="9480" windowHeight="7440" tabRatio="949" activeTab="15"/>
  </bookViews>
  <sheets>
    <sheet name="1401" sheetId="175" r:id="rId1"/>
    <sheet name="94" sheetId="99" state="hidden" r:id="rId2"/>
    <sheet name="95" sheetId="124" state="hidden" r:id="rId3"/>
    <sheet name="97" sheetId="158" state="hidden" r:id="rId4"/>
    <sheet name="98" sheetId="151" state="hidden" r:id="rId5"/>
    <sheet name="96" sheetId="154" state="hidden" r:id="rId6"/>
    <sheet name="سود و زیان" sheetId="160" r:id="rId7"/>
    <sheet name="وضعیت مالی" sheetId="161" r:id="rId8"/>
    <sheet name="صورت تغیرات در حقوق مالکانه" sheetId="164" r:id="rId9"/>
    <sheet name="صورت جریان نقدی" sheetId="162" r:id="rId10"/>
    <sheet name="1" sheetId="195" r:id="rId11"/>
    <sheet name="2" sheetId="67" state="hidden" r:id="rId12"/>
    <sheet name="3" sheetId="83" state="hidden" r:id="rId13"/>
    <sheet name="4" sheetId="82" state="hidden" r:id="rId14"/>
    <sheet name="10" sheetId="57" r:id="rId15"/>
    <sheet name="11" sheetId="58" r:id="rId16"/>
    <sheet name="12-13" sheetId="59" r:id="rId17"/>
    <sheet name="14" sheetId="44" r:id="rId18"/>
    <sheet name="14 قبلي" sheetId="167" state="hidden" r:id="rId19"/>
    <sheet name="15" sheetId="48" r:id="rId20"/>
    <sheet name="16" sheetId="49" r:id="rId21"/>
    <sheet name="17" sheetId="50" r:id="rId22"/>
    <sheet name="18" sheetId="106" r:id="rId23"/>
    <sheet name="19" sheetId="43" r:id="rId24"/>
    <sheet name="20" sheetId="79" r:id="rId25"/>
    <sheet name="21" sheetId="81" r:id="rId26"/>
    <sheet name="12" sheetId="125" state="hidden" r:id="rId27"/>
    <sheet name="22" sheetId="166" r:id="rId28"/>
    <sheet name="23-24" sheetId="51" r:id="rId29"/>
    <sheet name="25" sheetId="54" r:id="rId30"/>
    <sheet name="26" sheetId="129" r:id="rId31"/>
    <sheet name="27" sheetId="174" r:id="rId32"/>
    <sheet name="28" sheetId="181" r:id="rId33"/>
    <sheet name="29" sheetId="149" r:id="rId34"/>
    <sheet name="30" sheetId="150" r:id="rId35"/>
    <sheet name="31" sheetId="178" r:id="rId36"/>
    <sheet name="32" sheetId="187" r:id="rId37"/>
    <sheet name="33" sheetId="190" r:id="rId38"/>
    <sheet name="34" sheetId="191" r:id="rId39"/>
    <sheet name="35" sheetId="192" r:id="rId40"/>
    <sheet name="36" sheetId="193" r:id="rId41"/>
    <sheet name="37" sheetId="194" r:id="rId42"/>
    <sheet name="38-39" sheetId="65" r:id="rId43"/>
    <sheet name="نسبتها" sheetId="91" state="hidden" r:id="rId44"/>
    <sheet name="40" sheetId="182" r:id="rId45"/>
    <sheet name="مفروضات" sheetId="1" r:id="rId46"/>
    <sheet name="602086" sheetId="3" state="hidden" r:id="rId47"/>
    <sheet name="602085" sheetId="2" state="hidden" r:id="rId48"/>
    <sheet name="Sheet2" sheetId="163" state="hidden" r:id="rId49"/>
    <sheet name="Sheet2 (2)" sheetId="177" state="hidden" r:id="rId50"/>
    <sheet name="Sheet1" sheetId="179" state="hidden" r:id="rId51"/>
    <sheet name="Sheet2 (3)" sheetId="180" state="hidden" r:id="rId52"/>
    <sheet name="Sheet3" sheetId="196" r:id="rId53"/>
  </sheets>
  <externalReferences>
    <externalReference r:id="rId54"/>
  </externalReferences>
  <definedNames>
    <definedName name="_xlnm._FilterDatabase" localSheetId="0" hidden="1">'1401'!$A$2:$AA$591</definedName>
    <definedName name="_xlnm._FilterDatabase" localSheetId="28" hidden="1">'23-24'!$A$8:$P$29</definedName>
    <definedName name="_xlnm._FilterDatabase" localSheetId="32" hidden="1">'28'!$C$8:$Q$29</definedName>
    <definedName name="_xlnm._FilterDatabase" localSheetId="33" hidden="1">'29'!$D$21:$M$32</definedName>
    <definedName name="_xlnm._FilterDatabase" localSheetId="47" hidden="1">'602085'!$A$1:$W$242</definedName>
    <definedName name="_xlnm._FilterDatabase" localSheetId="46" hidden="1">'602086'!$A$3:$X$246</definedName>
    <definedName name="_xlnm._FilterDatabase" localSheetId="1" hidden="1">'94'!$A$1:$V$478</definedName>
    <definedName name="_xlnm._FilterDatabase" localSheetId="2" hidden="1">'95'!$A$2:$X$534</definedName>
    <definedName name="_xlnm._FilterDatabase" localSheetId="5" hidden="1">'96'!$A$2:$X$543</definedName>
    <definedName name="_xlnm._FilterDatabase" localSheetId="3" hidden="1">'97'!$A$1:$Z$558</definedName>
    <definedName name="_xlnm._FilterDatabase" localSheetId="4" hidden="1">'98'!$A$1:$Z$559</definedName>
    <definedName name="_xlnm.Print_Area" localSheetId="14">'10'!$A$1:$R$58</definedName>
    <definedName name="_xlnm.Print_Area" localSheetId="15">'11'!$A$1:$Z$33</definedName>
    <definedName name="_xlnm.Print_Area" localSheetId="26">'12'!$A$1:$N$13</definedName>
    <definedName name="_xlnm.Print_Area" localSheetId="16">'12-13'!$A$1:$K$108</definedName>
    <definedName name="_xlnm.Print_Area" localSheetId="17">'14'!$A$1:$X$37</definedName>
    <definedName name="_xlnm.Print_Area" localSheetId="18">'14 قبلي'!$A$1:$AF$27</definedName>
    <definedName name="_xlnm.Print_Area" localSheetId="0">'1401'!$A$143:$T$576</definedName>
    <definedName name="_xlnm.Print_Area" localSheetId="19">'15'!$B$1:$S$48</definedName>
    <definedName name="_xlnm.Print_Area" localSheetId="20">'16'!$B$1:$U$36</definedName>
    <definedName name="_xlnm.Print_Area" localSheetId="21">'17'!$A$1:$N$52</definedName>
    <definedName name="_xlnm.Print_Area" localSheetId="22">'18'!$B$1:$O$37</definedName>
    <definedName name="_xlnm.Print_Area" localSheetId="23">'19'!$A$1:$L$67</definedName>
    <definedName name="_xlnm.Print_Area" localSheetId="11">'2'!$A$1:$P$31</definedName>
    <definedName name="_xlnm.Print_Area" localSheetId="24">'20'!$A$1:$S$61</definedName>
    <definedName name="_xlnm.Print_Area" localSheetId="25">'21'!$A$1:$J$34</definedName>
    <definedName name="_xlnm.Print_Area" localSheetId="27">'22'!$A$1:$L$42</definedName>
    <definedName name="_xlnm.Print_Area" localSheetId="28">'23-24'!$A$1:$P$146</definedName>
    <definedName name="_xlnm.Print_Area" localSheetId="29">'25'!$A$1:$S$43</definedName>
    <definedName name="_xlnm.Print_Area" localSheetId="30">'26'!$A$2:$Z$44</definedName>
    <definedName name="_xlnm.Print_Area" localSheetId="31">'27'!$A$1:$M$42</definedName>
    <definedName name="_xlnm.Print_Area" localSheetId="32">'28'!$A$1:$Q$32</definedName>
    <definedName name="_xlnm.Print_Area" localSheetId="33">'29'!$A$1:$N$44</definedName>
    <definedName name="_xlnm.Print_Area" localSheetId="12">'3'!$A$1:$I$35</definedName>
    <definedName name="_xlnm.Print_Area" localSheetId="34">'30'!$A$1:$N$43</definedName>
    <definedName name="_xlnm.Print_Area" localSheetId="35">'31'!$A$1:$I$24</definedName>
    <definedName name="_xlnm.Print_Area" localSheetId="42">'38-39'!$C$2:$N$65</definedName>
    <definedName name="_xlnm.Print_Area" localSheetId="13">'4'!$A$1:$J$33</definedName>
    <definedName name="_xlnm.Print_Area" localSheetId="44">'40'!$A$1:$J$21</definedName>
    <definedName name="_xlnm.Print_Area" localSheetId="1">'94'!$C$467:$P$478</definedName>
    <definedName name="_xlnm.Print_Area" localSheetId="2">'95'!$B$1:$R$553</definedName>
    <definedName name="_xlnm.Print_Area" localSheetId="3">'97'!$D:$V</definedName>
    <definedName name="_xlnm.Print_Area" localSheetId="4">'98'!$A$1:$V$560</definedName>
    <definedName name="_xlnm.Print_Area" localSheetId="50">Sheet1!$A$1:$K$31</definedName>
    <definedName name="_xlnm.Print_Area" localSheetId="48">Sheet2!$A$1:$V$42</definedName>
    <definedName name="_xlnm.Print_Area" localSheetId="6">'سود و زیان'!$A$1:$I$32</definedName>
    <definedName name="_xlnm.Print_Area" localSheetId="8">'صورت تغیرات در حقوق مالکانه'!$A$1:$L$26</definedName>
    <definedName name="_xlnm.Print_Area" localSheetId="9">'صورت جریان نقدی'!$A$1:$J$35</definedName>
    <definedName name="_xlnm.Print_Area" localSheetId="43">نسبتها!$S$2:$W$4</definedName>
    <definedName name="_xlnm.Print_Area" localSheetId="7">'وضعیت مالی'!$A$1:$K$43</definedName>
    <definedName name="_xlnm.Print_Titles" localSheetId="0">'1401'!$2:$3</definedName>
    <definedName name="_xlnm.Print_Titles" localSheetId="1">'94'!$1:$2</definedName>
    <definedName name="_xlnm.Print_Titles" localSheetId="2">'95'!$1:$2</definedName>
    <definedName name="_xlnm.Print_Titles" localSheetId="5">'96'!$1:$2</definedName>
    <definedName name="_xlnm.Print_Titles" localSheetId="3">'97'!$1:$2</definedName>
    <definedName name="_xlnm.Print_Titles" localSheetId="4">'98'!$1:$2</definedName>
  </definedNames>
  <calcPr calcId="145621"/>
  <fileRecoveryPr autoRecover="0"/>
</workbook>
</file>

<file path=xl/calcChain.xml><?xml version="1.0" encoding="utf-8"?>
<calcChain xmlns="http://schemas.openxmlformats.org/spreadsheetml/2006/main">
  <c r="R15" i="58" l="1"/>
  <c r="H41" i="58"/>
  <c r="F28" i="58"/>
  <c r="F30" i="58"/>
  <c r="P18" i="51" l="1"/>
  <c r="P47" i="51"/>
  <c r="N129" i="51"/>
  <c r="N124" i="51"/>
  <c r="N125" i="51"/>
  <c r="G41" i="57" l="1"/>
  <c r="G40" i="57"/>
  <c r="L17" i="150"/>
  <c r="K17" i="150"/>
  <c r="Q44" i="48"/>
  <c r="Q45" i="48"/>
  <c r="M46" i="48"/>
  <c r="Q10" i="44"/>
  <c r="J106" i="59"/>
  <c r="H106" i="59"/>
  <c r="J65" i="51" l="1"/>
  <c r="J66" i="51"/>
  <c r="J67" i="51"/>
  <c r="J68" i="51"/>
  <c r="J69" i="51"/>
  <c r="J70" i="51"/>
  <c r="J64" i="51"/>
  <c r="I65" i="51"/>
  <c r="I64" i="51"/>
  <c r="P26" i="181" l="1"/>
  <c r="P24" i="181"/>
  <c r="P23" i="181"/>
  <c r="I32" i="79" l="1"/>
  <c r="G32" i="79"/>
  <c r="K32" i="79" s="1"/>
  <c r="P97" i="51" l="1"/>
  <c r="M30" i="51" l="1"/>
  <c r="J18" i="51" l="1"/>
  <c r="W205" i="175"/>
  <c r="T205" i="175"/>
  <c r="V205" i="175" s="1"/>
  <c r="Z205" i="175" l="1"/>
  <c r="AA205" i="175" s="1"/>
  <c r="L13" i="43"/>
  <c r="L34" i="43"/>
  <c r="L11" i="43" s="1"/>
  <c r="L48" i="43" l="1"/>
  <c r="L12" i="43" s="1"/>
  <c r="O26" i="54"/>
  <c r="P29" i="51"/>
  <c r="L13" i="51" l="1"/>
  <c r="P59" i="51"/>
  <c r="P13" i="51" s="1"/>
  <c r="J59" i="51"/>
  <c r="N18" i="50"/>
  <c r="N126" i="51" l="1"/>
  <c r="J76" i="59"/>
  <c r="H76" i="59" l="1"/>
  <c r="L16" i="164" l="1"/>
  <c r="I16" i="164"/>
  <c r="H29" i="58" l="1"/>
  <c r="D28" i="58"/>
  <c r="H28" i="58"/>
  <c r="H30" i="58"/>
  <c r="A2" i="79" l="1"/>
  <c r="A3" i="79"/>
  <c r="A1" i="79"/>
  <c r="M40" i="79" l="1"/>
  <c r="O40" i="79"/>
  <c r="K33" i="79"/>
  <c r="K34" i="79"/>
  <c r="K35" i="79"/>
  <c r="K36" i="79"/>
  <c r="K37" i="79"/>
  <c r="K38" i="79"/>
  <c r="K39" i="79"/>
  <c r="G40" i="79"/>
  <c r="I40" i="79"/>
  <c r="E40" i="79"/>
  <c r="Q37" i="79" l="1"/>
  <c r="S37" i="79" s="1"/>
  <c r="Q38" i="79"/>
  <c r="S38" i="79" s="1"/>
  <c r="Q33" i="79"/>
  <c r="S33" i="79" s="1"/>
  <c r="Q34" i="79"/>
  <c r="S34" i="79" s="1"/>
  <c r="Q35" i="79"/>
  <c r="S35" i="79" s="1"/>
  <c r="Q32" i="79"/>
  <c r="S32" i="79" s="1"/>
  <c r="Q36" i="79"/>
  <c r="S36" i="79" s="1"/>
  <c r="K40" i="79"/>
  <c r="S40" i="79" l="1"/>
  <c r="Q40" i="79"/>
  <c r="S58" i="79"/>
  <c r="S29" i="79"/>
  <c r="S20" i="79" l="1"/>
  <c r="L24" i="43" s="1"/>
  <c r="V13" i="129"/>
  <c r="V11" i="129"/>
  <c r="T11" i="129"/>
  <c r="T13" i="129" s="1"/>
  <c r="H56" i="65" l="1"/>
  <c r="N417" i="175" l="1"/>
  <c r="I10" i="161" l="1"/>
  <c r="L11" i="48"/>
  <c r="Q31" i="44" l="1"/>
  <c r="M42" i="54" l="1"/>
  <c r="M41" i="54"/>
  <c r="N26" i="50"/>
  <c r="L26" i="50"/>
  <c r="K39" i="48" l="1"/>
  <c r="H55" i="65"/>
  <c r="H58" i="65" s="1"/>
  <c r="H53" i="65"/>
  <c r="G55" i="65"/>
  <c r="I56" i="65"/>
  <c r="J56" i="65" s="1"/>
  <c r="G58" i="65"/>
  <c r="L52" i="65"/>
  <c r="L53" i="65" l="1"/>
  <c r="J13" i="149"/>
  <c r="H13" i="149"/>
  <c r="J9" i="149"/>
  <c r="J10" i="149" s="1"/>
  <c r="J11" i="149" s="1"/>
  <c r="H9" i="149"/>
  <c r="H10" i="149" s="1"/>
  <c r="H7" i="149"/>
  <c r="H8" i="149" s="1"/>
  <c r="H11" i="149" s="1"/>
  <c r="J8" i="149"/>
  <c r="J11" i="50"/>
  <c r="H9" i="50" l="1"/>
  <c r="H19" i="50" s="1"/>
  <c r="J9" i="50"/>
  <c r="J19" i="50" s="1"/>
  <c r="L13" i="50"/>
  <c r="L14" i="50"/>
  <c r="L15" i="50"/>
  <c r="L16" i="50"/>
  <c r="L17" i="50"/>
  <c r="L18" i="50"/>
  <c r="L12" i="50"/>
  <c r="L11" i="50"/>
  <c r="L9" i="50" l="1"/>
  <c r="U17" i="49" l="1"/>
  <c r="U27" i="49" l="1"/>
  <c r="U26" i="49"/>
  <c r="U25" i="49"/>
  <c r="U24" i="49"/>
  <c r="U21" i="49"/>
  <c r="U20" i="49"/>
  <c r="U19" i="49"/>
  <c r="U16" i="49"/>
  <c r="U13" i="49"/>
  <c r="Q13" i="49"/>
  <c r="U11" i="49"/>
  <c r="I26" i="49"/>
  <c r="I17" i="49"/>
  <c r="I27" i="49" s="1"/>
  <c r="I13" i="49"/>
  <c r="U22" i="49" l="1"/>
  <c r="U23" i="49"/>
  <c r="U12" i="49"/>
  <c r="Q26" i="49"/>
  <c r="Q27" i="49" s="1"/>
  <c r="O26" i="49"/>
  <c r="O17" i="49"/>
  <c r="O13" i="49"/>
  <c r="M26" i="49"/>
  <c r="M17" i="49"/>
  <c r="M13" i="49"/>
  <c r="K26" i="49"/>
  <c r="K17" i="49"/>
  <c r="K13" i="49"/>
  <c r="G26" i="49"/>
  <c r="G17" i="49"/>
  <c r="G13" i="49"/>
  <c r="O27" i="49" l="1"/>
  <c r="M27" i="49"/>
  <c r="K27" i="49"/>
  <c r="G27" i="49"/>
  <c r="Q43" i="48"/>
  <c r="Q46" i="48" s="1"/>
  <c r="M31" i="51" l="1"/>
  <c r="L31" i="51"/>
  <c r="S15" i="44" l="1"/>
  <c r="N409" i="175"/>
  <c r="E18" i="192" l="1"/>
  <c r="H28" i="150" l="1"/>
  <c r="H16" i="182" l="1"/>
  <c r="H15" i="182"/>
  <c r="F8" i="182"/>
  <c r="N28" i="181" l="1"/>
  <c r="H21" i="162" l="1"/>
  <c r="H15" i="162" l="1"/>
  <c r="G26" i="161" l="1"/>
  <c r="L13" i="164"/>
  <c r="L12" i="164"/>
  <c r="K24" i="57"/>
  <c r="K28" i="57"/>
  <c r="K27" i="57"/>
  <c r="K25" i="57"/>
  <c r="L39" i="175" l="1"/>
  <c r="L529" i="175"/>
  <c r="L46" i="48" l="1"/>
  <c r="R45" i="48"/>
  <c r="L42" i="175" l="1"/>
  <c r="H11" i="162" l="1"/>
  <c r="X39" i="129"/>
  <c r="N30" i="57" l="1"/>
  <c r="K29" i="57" l="1"/>
  <c r="G30" i="57"/>
  <c r="L528" i="175"/>
  <c r="K29" i="175" l="1"/>
  <c r="K67" i="175"/>
  <c r="H29" i="81" l="1"/>
  <c r="T4" i="175" l="1"/>
  <c r="T11" i="175"/>
  <c r="V11" i="175" s="1"/>
  <c r="K69" i="175"/>
  <c r="Z11" i="175" l="1"/>
  <c r="AA11" i="175" s="1"/>
  <c r="K40" i="175"/>
  <c r="K439" i="175"/>
  <c r="K550" i="175" l="1"/>
  <c r="K548" i="175"/>
  <c r="K316" i="175"/>
  <c r="K314" i="175"/>
  <c r="K10" i="175"/>
  <c r="K425" i="175"/>
  <c r="K434" i="175"/>
  <c r="K62" i="175"/>
  <c r="K43" i="175" l="1"/>
  <c r="K533" i="175"/>
  <c r="K64" i="175"/>
  <c r="E16" i="192" l="1"/>
  <c r="P27" i="58"/>
  <c r="T27" i="58" s="1"/>
  <c r="K16" i="57"/>
  <c r="K522" i="175"/>
  <c r="B30" i="162" l="1"/>
  <c r="K49" i="175"/>
  <c r="K38" i="175"/>
  <c r="K443" i="175"/>
  <c r="K569" i="175"/>
  <c r="K441" i="175"/>
  <c r="K473" i="175" l="1"/>
  <c r="T93" i="175" l="1"/>
  <c r="Z93" i="175" s="1"/>
  <c r="AA93" i="175" s="1"/>
  <c r="V93" i="175" l="1"/>
  <c r="E16" i="194" l="1"/>
  <c r="E20" i="194"/>
  <c r="E19" i="194"/>
  <c r="E18" i="194"/>
  <c r="E15" i="194"/>
  <c r="K20" i="57" l="1"/>
  <c r="N40" i="50" l="1"/>
  <c r="H17" i="182" l="1"/>
  <c r="G16" i="182"/>
  <c r="G17" i="182"/>
  <c r="G18" i="182"/>
  <c r="F16" i="182"/>
  <c r="F17" i="182"/>
  <c r="F18" i="182"/>
  <c r="G15" i="182"/>
  <c r="E13" i="192" l="1"/>
  <c r="D22" i="190" l="1"/>
  <c r="D11" i="190"/>
  <c r="D19" i="178"/>
  <c r="G9" i="182" l="1"/>
  <c r="D16" i="182" s="1"/>
  <c r="N8" i="106" l="1"/>
  <c r="N7" i="106"/>
  <c r="P36" i="48" l="1"/>
  <c r="T5" i="175" l="1"/>
  <c r="C10" i="193" l="1"/>
  <c r="C21" i="192"/>
  <c r="C20" i="192"/>
  <c r="C19" i="192"/>
  <c r="C18" i="192"/>
  <c r="C15" i="191" l="1"/>
  <c r="E22" i="190"/>
  <c r="C22" i="190"/>
  <c r="C12" i="190"/>
  <c r="C11" i="190"/>
  <c r="C10" i="190"/>
  <c r="D9" i="190"/>
  <c r="E9" i="190"/>
  <c r="C9" i="190"/>
  <c r="C19" i="196" l="1"/>
  <c r="C24" i="196" l="1"/>
  <c r="B24" i="196"/>
  <c r="D24" i="196" s="1"/>
  <c r="G24" i="196" s="1"/>
  <c r="C23" i="196"/>
  <c r="B23" i="196"/>
  <c r="C22" i="196"/>
  <c r="B22" i="196"/>
  <c r="C18" i="196"/>
  <c r="C17" i="196"/>
  <c r="C16" i="196"/>
  <c r="C14" i="196"/>
  <c r="C12" i="196"/>
  <c r="C11" i="196"/>
  <c r="C10" i="196"/>
  <c r="C8" i="196"/>
  <c r="C7" i="196"/>
  <c r="E30" i="196"/>
  <c r="G29" i="196"/>
  <c r="I29" i="196" s="1"/>
  <c r="G28" i="196"/>
  <c r="K28" i="196" s="1"/>
  <c r="K30" i="196" s="1"/>
  <c r="G27" i="196"/>
  <c r="G26" i="196"/>
  <c r="G25" i="196"/>
  <c r="I25" i="196" s="1"/>
  <c r="C21" i="196"/>
  <c r="B21" i="196"/>
  <c r="D21" i="196" s="1"/>
  <c r="G21" i="196" s="1"/>
  <c r="I21" i="196" s="1"/>
  <c r="C20" i="196"/>
  <c r="B20" i="196"/>
  <c r="J15" i="196"/>
  <c r="J14" i="196"/>
  <c r="F30" i="196"/>
  <c r="D22" i="196" l="1"/>
  <c r="G22" i="196" s="1"/>
  <c r="D23" i="196"/>
  <c r="G23" i="196" s="1"/>
  <c r="D20" i="196"/>
  <c r="G20" i="196" s="1"/>
  <c r="I20" i="196" s="1"/>
  <c r="V26" i="129"/>
  <c r="T100" i="175" l="1"/>
  <c r="Z100" i="175" s="1"/>
  <c r="AA100" i="175" s="1"/>
  <c r="T101" i="175"/>
  <c r="Z101" i="175" s="1"/>
  <c r="AA101" i="175" s="1"/>
  <c r="T104" i="175"/>
  <c r="V104" i="175" s="1"/>
  <c r="W540" i="175"/>
  <c r="T540" i="175"/>
  <c r="V540" i="175" s="1"/>
  <c r="T493" i="175"/>
  <c r="V493" i="175" s="1"/>
  <c r="V100" i="175" l="1"/>
  <c r="V101" i="175"/>
  <c r="Z104" i="175"/>
  <c r="AA104" i="175" s="1"/>
  <c r="Z540" i="175"/>
  <c r="AA540" i="175" s="1"/>
  <c r="Z493" i="175"/>
  <c r="AA493" i="175" s="1"/>
  <c r="T255" i="175"/>
  <c r="Z255" i="175" s="1"/>
  <c r="AA255" i="175" s="1"/>
  <c r="T43" i="175"/>
  <c r="Z43" i="175" s="1"/>
  <c r="AA43" i="175" s="1"/>
  <c r="T27" i="175"/>
  <c r="Z27" i="175" s="1"/>
  <c r="AA27" i="175" s="1"/>
  <c r="V255" i="175" l="1"/>
  <c r="V43" i="175"/>
  <c r="V27" i="175"/>
  <c r="D24" i="194"/>
  <c r="D23" i="194"/>
  <c r="E23" i="194"/>
  <c r="E24" i="194" s="1"/>
  <c r="C23" i="194"/>
  <c r="C24" i="194" s="1"/>
  <c r="D13" i="194"/>
  <c r="C13" i="194"/>
  <c r="D17" i="193"/>
  <c r="E17" i="193"/>
  <c r="C17" i="193"/>
  <c r="C13" i="193"/>
  <c r="C12" i="193"/>
  <c r="C11" i="193"/>
  <c r="D13" i="192"/>
  <c r="C13" i="192"/>
  <c r="D17" i="190"/>
  <c r="D15" i="191" s="1"/>
  <c r="E17" i="190"/>
  <c r="E15" i="191" s="1"/>
  <c r="E19" i="192" s="1"/>
  <c r="C17" i="190"/>
  <c r="J25" i="81"/>
  <c r="L43" i="50"/>
  <c r="D18" i="192" l="1"/>
  <c r="D19" i="192" s="1"/>
  <c r="D20" i="192" s="1"/>
  <c r="R16" i="57"/>
  <c r="L60" i="43" l="1"/>
  <c r="W31" i="44" l="1"/>
  <c r="K15" i="57" l="1"/>
  <c r="W140" i="175" l="1"/>
  <c r="T576" i="175"/>
  <c r="V576" i="175" s="1"/>
  <c r="N122" i="51" l="1"/>
  <c r="N123" i="51"/>
  <c r="N128" i="51"/>
  <c r="N121" i="51"/>
  <c r="H129" i="51"/>
  <c r="J129" i="51"/>
  <c r="M129" i="51"/>
  <c r="J110" i="51"/>
  <c r="J112" i="51" s="1"/>
  <c r="M110" i="51"/>
  <c r="M112" i="51" s="1"/>
  <c r="N108" i="51"/>
  <c r="N109" i="51"/>
  <c r="P110" i="51"/>
  <c r="N107" i="51" s="1"/>
  <c r="N110" i="51" l="1"/>
  <c r="P112" i="51"/>
  <c r="E19" i="178" l="1"/>
  <c r="C19" i="178"/>
  <c r="F24" i="194" l="1"/>
  <c r="G24" i="194" s="1"/>
  <c r="F23" i="194"/>
  <c r="G23" i="194" s="1"/>
  <c r="F22" i="194"/>
  <c r="G22" i="194" s="1"/>
  <c r="F21" i="194"/>
  <c r="F20" i="194"/>
  <c r="G20" i="194" s="1"/>
  <c r="F19" i="194"/>
  <c r="G19" i="194" s="1"/>
  <c r="F18" i="194"/>
  <c r="G18" i="194" s="1"/>
  <c r="F17" i="194"/>
  <c r="G17" i="194" s="1"/>
  <c r="F16" i="194"/>
  <c r="G16" i="194" s="1"/>
  <c r="F15" i="194"/>
  <c r="G15" i="194" s="1"/>
  <c r="F14" i="194"/>
  <c r="F12" i="194"/>
  <c r="G12" i="194" s="1"/>
  <c r="F10" i="194"/>
  <c r="G10" i="194" s="1"/>
  <c r="F9" i="194"/>
  <c r="F17" i="193"/>
  <c r="F16" i="193"/>
  <c r="F15" i="193"/>
  <c r="F14" i="193"/>
  <c r="F9" i="193"/>
  <c r="F22" i="192"/>
  <c r="F19" i="192"/>
  <c r="G19" i="192" s="1"/>
  <c r="F18" i="192"/>
  <c r="G18" i="192" s="1"/>
  <c r="F17" i="192"/>
  <c r="G17" i="192" s="1"/>
  <c r="F16" i="192"/>
  <c r="G16" i="192" s="1"/>
  <c r="F15" i="192"/>
  <c r="G15" i="192" s="1"/>
  <c r="F14" i="192"/>
  <c r="G14" i="192" s="1"/>
  <c r="F13" i="192"/>
  <c r="G13" i="192" s="1"/>
  <c r="F12" i="192"/>
  <c r="G12" i="192" s="1"/>
  <c r="F11" i="192"/>
  <c r="G11" i="192" s="1"/>
  <c r="F10" i="192"/>
  <c r="G10" i="192" s="1"/>
  <c r="F9" i="192"/>
  <c r="G9" i="192" s="1"/>
  <c r="F22" i="191"/>
  <c r="G22" i="191" s="1"/>
  <c r="F21" i="191"/>
  <c r="G21" i="191" s="1"/>
  <c r="F20" i="191"/>
  <c r="G20" i="191" s="1"/>
  <c r="F19" i="191"/>
  <c r="G19" i="191" s="1"/>
  <c r="F18" i="191"/>
  <c r="G18" i="191" s="1"/>
  <c r="F17" i="191"/>
  <c r="G17" i="191" s="1"/>
  <c r="F16" i="191"/>
  <c r="G16" i="191" s="1"/>
  <c r="F15" i="191"/>
  <c r="G15" i="191" s="1"/>
  <c r="F14" i="191"/>
  <c r="G14" i="191" s="1"/>
  <c r="F13" i="191"/>
  <c r="F12" i="191"/>
  <c r="G12" i="191" s="1"/>
  <c r="F11" i="191"/>
  <c r="G11" i="191" s="1"/>
  <c r="F10" i="191"/>
  <c r="G10" i="191" s="1"/>
  <c r="F9" i="191"/>
  <c r="G9" i="191" s="1"/>
  <c r="F22" i="190"/>
  <c r="G22" i="190" s="1"/>
  <c r="F21" i="190"/>
  <c r="G21" i="190" s="1"/>
  <c r="F20" i="190"/>
  <c r="G20" i="190" s="1"/>
  <c r="F19" i="190"/>
  <c r="G19" i="190" s="1"/>
  <c r="F18" i="190"/>
  <c r="G18" i="190" s="1"/>
  <c r="F17" i="190"/>
  <c r="G17" i="190" s="1"/>
  <c r="F16" i="190"/>
  <c r="F15" i="190"/>
  <c r="F14" i="190"/>
  <c r="F13" i="190"/>
  <c r="F9" i="190"/>
  <c r="G9" i="190" s="1"/>
  <c r="F22" i="187"/>
  <c r="G22" i="187" s="1"/>
  <c r="F21" i="187"/>
  <c r="G21" i="187" s="1"/>
  <c r="F20" i="187"/>
  <c r="G20" i="187" s="1"/>
  <c r="F19" i="187"/>
  <c r="G19" i="187" s="1"/>
  <c r="F18" i="187"/>
  <c r="G18" i="187" s="1"/>
  <c r="F17" i="187"/>
  <c r="G17" i="187" s="1"/>
  <c r="F16" i="187"/>
  <c r="G16" i="187" s="1"/>
  <c r="F15" i="187"/>
  <c r="G15" i="187" s="1"/>
  <c r="F14" i="187"/>
  <c r="G14" i="187" s="1"/>
  <c r="F13" i="187"/>
  <c r="G13" i="187" s="1"/>
  <c r="F11" i="187"/>
  <c r="G11" i="187" s="1"/>
  <c r="F10" i="187"/>
  <c r="F9" i="187"/>
  <c r="G9" i="187" s="1"/>
  <c r="F22" i="178"/>
  <c r="G22" i="178" s="1"/>
  <c r="F21" i="178"/>
  <c r="G21" i="178" s="1"/>
  <c r="F20" i="178"/>
  <c r="G20" i="178" s="1"/>
  <c r="F19" i="178"/>
  <c r="G19" i="178" s="1"/>
  <c r="F18" i="178"/>
  <c r="G18" i="178" s="1"/>
  <c r="F17" i="178"/>
  <c r="G17" i="178" s="1"/>
  <c r="F16" i="178"/>
  <c r="G16" i="178" s="1"/>
  <c r="F15" i="178"/>
  <c r="G15" i="178" s="1"/>
  <c r="E14" i="178"/>
  <c r="E12" i="187" s="1"/>
  <c r="E10" i="190" s="1"/>
  <c r="E11" i="190" s="1"/>
  <c r="E20" i="192" s="1"/>
  <c r="F20" i="192" s="1"/>
  <c r="G20" i="192" s="1"/>
  <c r="D14" i="178"/>
  <c r="D12" i="187" s="1"/>
  <c r="D10" i="190" s="1"/>
  <c r="C14" i="178"/>
  <c r="C12" i="187" s="1"/>
  <c r="D12" i="178"/>
  <c r="D13" i="178" s="1"/>
  <c r="C12" i="178"/>
  <c r="C13" i="178" s="1"/>
  <c r="F11" i="178"/>
  <c r="G11" i="178" s="1"/>
  <c r="F10" i="190" l="1"/>
  <c r="D21" i="192"/>
  <c r="D12" i="190"/>
  <c r="F12" i="187"/>
  <c r="G12" i="187" s="1"/>
  <c r="F14" i="178"/>
  <c r="G14" i="178" s="1"/>
  <c r="A57" i="59"/>
  <c r="G10" i="190" l="1"/>
  <c r="F11" i="190"/>
  <c r="G11" i="190" s="1"/>
  <c r="D10" i="193"/>
  <c r="O24" i="54"/>
  <c r="D12" i="193" l="1"/>
  <c r="D13" i="193"/>
  <c r="D11" i="193"/>
  <c r="M14" i="54"/>
  <c r="O14" i="54"/>
  <c r="J19" i="59" l="1"/>
  <c r="L7" i="164" l="1"/>
  <c r="O31" i="51" l="1"/>
  <c r="N88" i="51" l="1"/>
  <c r="V40" i="129" l="1"/>
  <c r="T40" i="129"/>
  <c r="Q14" i="44" l="1"/>
  <c r="O28" i="44" l="1"/>
  <c r="O27" i="44"/>
  <c r="O26" i="44"/>
  <c r="E11" i="194" s="1"/>
  <c r="O10" i="44"/>
  <c r="W10" i="44" s="1"/>
  <c r="O11" i="44"/>
  <c r="W11" i="44" s="1"/>
  <c r="O12" i="44"/>
  <c r="W12" i="44" s="1"/>
  <c r="O13" i="44"/>
  <c r="W13" i="44" s="1"/>
  <c r="O9" i="44"/>
  <c r="M14" i="44"/>
  <c r="K14" i="44"/>
  <c r="K19" i="44" s="1"/>
  <c r="I14" i="44"/>
  <c r="G14" i="44"/>
  <c r="M25" i="44"/>
  <c r="M29" i="44" s="1"/>
  <c r="K25" i="44"/>
  <c r="K29" i="44" s="1"/>
  <c r="I25" i="44"/>
  <c r="I29" i="44" s="1"/>
  <c r="G25" i="44"/>
  <c r="G29" i="44" s="1"/>
  <c r="O22" i="44"/>
  <c r="W22" i="44" s="1"/>
  <c r="O23" i="44"/>
  <c r="W23" i="44" s="1"/>
  <c r="O24" i="44"/>
  <c r="W24" i="44" s="1"/>
  <c r="O21" i="44"/>
  <c r="E13" i="194" l="1"/>
  <c r="F13" i="194" s="1"/>
  <c r="G13" i="194" s="1"/>
  <c r="F11" i="194"/>
  <c r="G11" i="194" s="1"/>
  <c r="O25" i="44"/>
  <c r="O29" i="44" s="1"/>
  <c r="W21" i="44"/>
  <c r="W25" i="44" s="1"/>
  <c r="O14" i="44"/>
  <c r="W9" i="44"/>
  <c r="W14" i="44" s="1"/>
  <c r="H27" i="58"/>
  <c r="H18" i="182" l="1"/>
  <c r="F10" i="182"/>
  <c r="E10" i="182"/>
  <c r="H9" i="182"/>
  <c r="I9" i="182" s="1"/>
  <c r="A3" i="182"/>
  <c r="C35" i="65"/>
  <c r="C4" i="65"/>
  <c r="P18" i="58" l="1"/>
  <c r="V18" i="58"/>
  <c r="Y18" i="58"/>
  <c r="L16" i="166" l="1"/>
  <c r="K16" i="166"/>
  <c r="J16" i="166" l="1"/>
  <c r="L19" i="164" l="1"/>
  <c r="O35" i="54" l="1"/>
  <c r="M32" i="54" s="1"/>
  <c r="A3" i="51" l="1"/>
  <c r="R30" i="57" l="1"/>
  <c r="N45" i="50" l="1"/>
  <c r="J55" i="43"/>
  <c r="N143" i="51" l="1"/>
  <c r="N24" i="51" s="1"/>
  <c r="P143" i="51"/>
  <c r="J33" i="149" l="1"/>
  <c r="V27" i="129"/>
  <c r="V34" i="44" l="1"/>
  <c r="X34" i="44"/>
  <c r="Y34" i="44"/>
  <c r="F34" i="44"/>
  <c r="H34" i="44"/>
  <c r="L34" i="44"/>
  <c r="N34" i="44"/>
  <c r="P34" i="44"/>
  <c r="R34" i="44"/>
  <c r="T21" i="58" l="1"/>
  <c r="L33" i="149" l="1"/>
  <c r="K579" i="175" l="1"/>
  <c r="T140" i="175" l="1"/>
  <c r="V140" i="175" s="1"/>
  <c r="W74" i="175"/>
  <c r="T74" i="175"/>
  <c r="Z74" i="175" s="1"/>
  <c r="AA74" i="175" s="1"/>
  <c r="T229" i="175"/>
  <c r="V74" i="175" l="1"/>
  <c r="J21" i="43" s="1"/>
  <c r="I28" i="161" l="1"/>
  <c r="K28" i="161"/>
  <c r="L36" i="48" l="1"/>
  <c r="K19" i="57" l="1"/>
  <c r="K11" i="57"/>
  <c r="K12" i="57"/>
  <c r="K13" i="57"/>
  <c r="K14" i="57"/>
  <c r="K10" i="57"/>
  <c r="G14" i="160" l="1"/>
  <c r="I18" i="182"/>
  <c r="T371" i="175"/>
  <c r="W232" i="175" l="1"/>
  <c r="W235" i="175"/>
  <c r="W236" i="175"/>
  <c r="W237" i="175"/>
  <c r="W238" i="175"/>
  <c r="W240" i="175"/>
  <c r="W245" i="175"/>
  <c r="W247" i="175"/>
  <c r="W252" i="175"/>
  <c r="W241" i="175"/>
  <c r="W254" i="175"/>
  <c r="W258" i="175"/>
  <c r="W260" i="175"/>
  <c r="W242" i="175"/>
  <c r="W243" i="175"/>
  <c r="W244" i="175"/>
  <c r="W261" i="175"/>
  <c r="W445" i="175"/>
  <c r="W30" i="175"/>
  <c r="W246" i="175"/>
  <c r="W248" i="175"/>
  <c r="W249" i="175"/>
  <c r="W250" i="175"/>
  <c r="W251" i="175"/>
  <c r="W253" i="175"/>
  <c r="W256" i="175"/>
  <c r="W257" i="175"/>
  <c r="W259" i="175"/>
  <c r="W263" i="175"/>
  <c r="W262" i="175"/>
  <c r="W264" i="175"/>
  <c r="W266" i="175"/>
  <c r="W265" i="175"/>
  <c r="W267" i="175"/>
  <c r="W268" i="175"/>
  <c r="W270" i="175"/>
  <c r="W269" i="175"/>
  <c r="W271" i="175"/>
  <c r="W272" i="175"/>
  <c r="W273" i="175"/>
  <c r="W285" i="175"/>
  <c r="W274" i="175"/>
  <c r="W286" i="175"/>
  <c r="W296" i="175"/>
  <c r="W275" i="175"/>
  <c r="W302" i="175"/>
  <c r="W308" i="175"/>
  <c r="W309" i="175"/>
  <c r="W357" i="175"/>
  <c r="W276" i="175"/>
  <c r="W360" i="175"/>
  <c r="W53" i="175"/>
  <c r="W411" i="175"/>
  <c r="W412" i="175"/>
  <c r="W420" i="175"/>
  <c r="W423" i="175"/>
  <c r="W427" i="175"/>
  <c r="W429" i="175"/>
  <c r="W228" i="175"/>
  <c r="W277" i="175"/>
  <c r="W278" i="175"/>
  <c r="W430" i="175"/>
  <c r="W279" i="175"/>
  <c r="W539" i="175"/>
  <c r="W280" i="175"/>
  <c r="W281" i="175"/>
  <c r="W431" i="175"/>
  <c r="W282" i="175"/>
  <c r="W432" i="175"/>
  <c r="W437" i="175"/>
  <c r="W438" i="175"/>
  <c r="W446" i="175"/>
  <c r="W448" i="175"/>
  <c r="W283" i="175"/>
  <c r="W440" i="175"/>
  <c r="W447" i="175"/>
  <c r="W132" i="175"/>
  <c r="W459" i="175"/>
  <c r="W91" i="175"/>
  <c r="W284" i="175"/>
  <c r="W287" i="175"/>
  <c r="W288" i="175"/>
  <c r="W460" i="175"/>
  <c r="W289" i="175"/>
  <c r="W290" i="175"/>
  <c r="W449" i="175"/>
  <c r="W291" i="175"/>
  <c r="W292" i="175"/>
  <c r="W293" i="175"/>
  <c r="W294" i="175"/>
  <c r="W295" i="175"/>
  <c r="W462" i="175"/>
  <c r="W467" i="175"/>
  <c r="W297" i="175"/>
  <c r="W298" i="175"/>
  <c r="W162" i="175"/>
  <c r="W165" i="175"/>
  <c r="W469" i="175"/>
  <c r="W299" i="175"/>
  <c r="W470" i="175"/>
  <c r="W471" i="175"/>
  <c r="W472" i="175"/>
  <c r="W300" i="175"/>
  <c r="W473" i="175"/>
  <c r="W301" i="175"/>
  <c r="W303" i="175"/>
  <c r="W474" i="175"/>
  <c r="W478" i="175"/>
  <c r="W304" i="175"/>
  <c r="W305" i="175"/>
  <c r="W498" i="175"/>
  <c r="W531" i="175"/>
  <c r="W234" i="175"/>
  <c r="W64" i="175"/>
  <c r="W230" i="175"/>
  <c r="W83" i="175"/>
  <c r="W233" i="175"/>
  <c r="W451" i="175"/>
  <c r="W306" i="175"/>
  <c r="W139" i="175"/>
  <c r="W155" i="175"/>
  <c r="W37" i="175"/>
  <c r="W66" i="175"/>
  <c r="W67" i="175"/>
  <c r="W68" i="175"/>
  <c r="W24" i="175"/>
  <c r="W25" i="175"/>
  <c r="W26" i="175"/>
  <c r="W166" i="175"/>
  <c r="W40" i="175"/>
  <c r="W42" i="175"/>
  <c r="W112" i="175"/>
  <c r="W116" i="175"/>
  <c r="W167" i="175"/>
  <c r="W34" i="175"/>
  <c r="W87" i="175"/>
  <c r="W452" i="175"/>
  <c r="W118" i="175"/>
  <c r="W168" i="175"/>
  <c r="W131" i="175"/>
  <c r="W169" i="175"/>
  <c r="W149" i="175"/>
  <c r="W127" i="175"/>
  <c r="W71" i="175"/>
  <c r="W96" i="175"/>
  <c r="W130" i="175"/>
  <c r="W453" i="175"/>
  <c r="W33" i="175"/>
  <c r="W157" i="175"/>
  <c r="W158" i="175"/>
  <c r="W170" i="175"/>
  <c r="W58" i="175"/>
  <c r="W171" i="175"/>
  <c r="W90" i="175"/>
  <c r="W133" i="175"/>
  <c r="W454" i="175"/>
  <c r="W129" i="175"/>
  <c r="W455" i="175"/>
  <c r="W154" i="175"/>
  <c r="W456" i="175"/>
  <c r="W173" i="175"/>
  <c r="W175" i="175"/>
  <c r="W150" i="175"/>
  <c r="W457" i="175"/>
  <c r="W177" i="175"/>
  <c r="W178" i="175"/>
  <c r="W36" i="175"/>
  <c r="W114" i="175"/>
  <c r="W35" i="175"/>
  <c r="W32" i="175"/>
  <c r="W179" i="175"/>
  <c r="W113" i="175"/>
  <c r="W181" i="175"/>
  <c r="W458" i="175"/>
  <c r="W464" i="175"/>
  <c r="W79" i="175"/>
  <c r="W182" i="175"/>
  <c r="W572" i="175"/>
  <c r="W60" i="175"/>
  <c r="W441" i="175"/>
  <c r="W48" i="175"/>
  <c r="W439" i="175"/>
  <c r="W47" i="175"/>
  <c r="W569" i="175"/>
  <c r="W59" i="175"/>
  <c r="W19" i="175"/>
  <c r="W21" i="175"/>
  <c r="W38" i="175"/>
  <c r="W39" i="175"/>
  <c r="W443" i="175"/>
  <c r="W51" i="175"/>
  <c r="W49" i="175"/>
  <c r="W56" i="175"/>
  <c r="W465" i="175"/>
  <c r="W184" i="175"/>
  <c r="W123" i="175"/>
  <c r="W145" i="175"/>
  <c r="W187" i="175"/>
  <c r="W188" i="175"/>
  <c r="W466" i="175"/>
  <c r="W468" i="175"/>
  <c r="W475" i="175"/>
  <c r="W189" i="175"/>
  <c r="W476" i="175"/>
  <c r="W192" i="175"/>
  <c r="W193" i="175"/>
  <c r="W477" i="175"/>
  <c r="W120" i="175"/>
  <c r="W195" i="175"/>
  <c r="W136" i="175"/>
  <c r="W197" i="175"/>
  <c r="W199" i="175"/>
  <c r="W201" i="175"/>
  <c r="W479" i="175"/>
  <c r="W480" i="175"/>
  <c r="W202" i="175"/>
  <c r="W124" i="175"/>
  <c r="W481" i="175"/>
  <c r="W482" i="175"/>
  <c r="W483" i="175"/>
  <c r="W484" i="175"/>
  <c r="W159" i="175"/>
  <c r="W31" i="175"/>
  <c r="W485" i="175"/>
  <c r="W486" i="175"/>
  <c r="W487" i="175"/>
  <c r="W488" i="175"/>
  <c r="W128" i="175"/>
  <c r="W95" i="175"/>
  <c r="W203" i="175"/>
  <c r="W489" i="175"/>
  <c r="W490" i="175"/>
  <c r="W491" i="175"/>
  <c r="W492" i="175"/>
  <c r="W208" i="175"/>
  <c r="W494" i="175"/>
  <c r="W108" i="175"/>
  <c r="W495" i="175"/>
  <c r="W496" i="175"/>
  <c r="W210" i="175"/>
  <c r="W497" i="175"/>
  <c r="W212" i="175"/>
  <c r="W213" i="175"/>
  <c r="W55" i="175"/>
  <c r="W499" i="175"/>
  <c r="W500" i="175"/>
  <c r="W501" i="175"/>
  <c r="W541" i="175"/>
  <c r="W214" i="175"/>
  <c r="W215" i="175"/>
  <c r="W502" i="175"/>
  <c r="W216" i="175"/>
  <c r="W503" i="175"/>
  <c r="W220" i="175"/>
  <c r="W88" i="175"/>
  <c r="W97" i="175"/>
  <c r="W504" i="175"/>
  <c r="W505" i="175"/>
  <c r="W506" i="175"/>
  <c r="W98" i="175"/>
  <c r="W99" i="175"/>
  <c r="W102" i="175"/>
  <c r="W103" i="175"/>
  <c r="W105" i="175"/>
  <c r="W106" i="175"/>
  <c r="W107" i="175"/>
  <c r="W536" i="175"/>
  <c r="W538" i="175"/>
  <c r="W78" i="175"/>
  <c r="W510" i="175"/>
  <c r="W526" i="175"/>
  <c r="W532" i="175"/>
  <c r="W537" i="175"/>
  <c r="W552" i="175"/>
  <c r="W553" i="175"/>
  <c r="W554" i="175"/>
  <c r="W555" i="175"/>
  <c r="W161" i="175"/>
  <c r="W110" i="175"/>
  <c r="W111" i="175"/>
  <c r="W174" i="175"/>
  <c r="W115" i="175"/>
  <c r="W119" i="175"/>
  <c r="W222" i="175"/>
  <c r="W121" i="175"/>
  <c r="W85" i="175"/>
  <c r="W568" i="175"/>
  <c r="W122" i="175"/>
  <c r="W125" i="175"/>
  <c r="W156" i="175"/>
  <c r="W81" i="175"/>
  <c r="W62" i="175"/>
  <c r="W86" i="175"/>
  <c r="W77" i="175"/>
  <c r="W57" i="175"/>
  <c r="W54" i="175"/>
  <c r="W126" i="175"/>
  <c r="W73" i="175"/>
  <c r="W317" i="175"/>
  <c r="W134" i="175"/>
  <c r="W319" i="175"/>
  <c r="W320" i="175"/>
  <c r="W321" i="175"/>
  <c r="W322" i="175"/>
  <c r="W323" i="175"/>
  <c r="W324" i="175"/>
  <c r="W325" i="175"/>
  <c r="W326" i="175"/>
  <c r="W327" i="175"/>
  <c r="W135" i="175"/>
  <c r="W329" i="175"/>
  <c r="W330" i="175"/>
  <c r="W331" i="175"/>
  <c r="W332" i="175"/>
  <c r="W333" i="175"/>
  <c r="W334" i="175"/>
  <c r="W335" i="175"/>
  <c r="W80" i="175"/>
  <c r="W337" i="175"/>
  <c r="W338" i="175"/>
  <c r="W339" i="175"/>
  <c r="W340" i="175"/>
  <c r="W138" i="175"/>
  <c r="W342" i="175"/>
  <c r="W343" i="175"/>
  <c r="W344" i="175"/>
  <c r="W345" i="175"/>
  <c r="W346" i="175"/>
  <c r="W347" i="175"/>
  <c r="W348" i="175"/>
  <c r="W349" i="175"/>
  <c r="W350" i="175"/>
  <c r="W351" i="175"/>
  <c r="W352" i="175"/>
  <c r="W353" i="175"/>
  <c r="W354" i="175"/>
  <c r="W355" i="175"/>
  <c r="W356" i="175"/>
  <c r="W6" i="175"/>
  <c r="W358" i="175"/>
  <c r="W359" i="175"/>
  <c r="W223" i="175"/>
  <c r="W361" i="175"/>
  <c r="W362" i="175"/>
  <c r="W363" i="175"/>
  <c r="W364" i="175"/>
  <c r="W365" i="175"/>
  <c r="W366" i="175"/>
  <c r="W367" i="175"/>
  <c r="W368" i="175"/>
  <c r="W369" i="175"/>
  <c r="W370" i="175"/>
  <c r="W371" i="175"/>
  <c r="W372" i="175"/>
  <c r="W373" i="175"/>
  <c r="W374" i="175"/>
  <c r="W375" i="175"/>
  <c r="W376" i="175"/>
  <c r="W377" i="175"/>
  <c r="W378" i="175"/>
  <c r="W379" i="175"/>
  <c r="W380" i="175"/>
  <c r="W381" i="175"/>
  <c r="W382" i="175"/>
  <c r="W383" i="175"/>
  <c r="W384" i="175"/>
  <c r="W385" i="175"/>
  <c r="W386" i="175"/>
  <c r="W387" i="175"/>
  <c r="W388" i="175"/>
  <c r="W389" i="175"/>
  <c r="W390" i="175"/>
  <c r="W391" i="175"/>
  <c r="W392" i="175"/>
  <c r="W393" i="175"/>
  <c r="W394" i="175"/>
  <c r="W395" i="175"/>
  <c r="W396" i="175"/>
  <c r="W397" i="175"/>
  <c r="W398" i="175"/>
  <c r="W399" i="175"/>
  <c r="W400" i="175"/>
  <c r="W401" i="175"/>
  <c r="W402" i="175"/>
  <c r="W403" i="175"/>
  <c r="W404" i="175"/>
  <c r="W405" i="175"/>
  <c r="W406" i="175"/>
  <c r="W407" i="175"/>
  <c r="W408" i="175"/>
  <c r="W409" i="175"/>
  <c r="W410" i="175"/>
  <c r="W52" i="175"/>
  <c r="W63" i="175"/>
  <c r="W75" i="175"/>
  <c r="W414" i="175"/>
  <c r="W415" i="175"/>
  <c r="W45" i="175"/>
  <c r="W417" i="175"/>
  <c r="W418" i="175"/>
  <c r="W419" i="175"/>
  <c r="W82" i="175"/>
  <c r="W421" i="175"/>
  <c r="W422" i="175"/>
  <c r="W117" i="175"/>
  <c r="W424" i="175"/>
  <c r="W425" i="175"/>
  <c r="W426" i="175"/>
  <c r="W70" i="175"/>
  <c r="W428" i="175"/>
  <c r="W89" i="175"/>
  <c r="W137" i="175"/>
  <c r="W61" i="175"/>
  <c r="W65" i="175"/>
  <c r="W433" i="175"/>
  <c r="W434" i="175"/>
  <c r="W435" i="175"/>
  <c r="W436" i="175"/>
  <c r="W152" i="175"/>
  <c r="W185" i="175"/>
  <c r="W225" i="175"/>
  <c r="W186" i="175"/>
  <c r="W190" i="175"/>
  <c r="W191" i="175"/>
  <c r="W444" i="175"/>
  <c r="W194" i="175"/>
  <c r="W196" i="175"/>
  <c r="W226" i="175"/>
  <c r="W4" i="175"/>
  <c r="W84" i="175"/>
  <c r="W94" i="175"/>
  <c r="W72" i="175"/>
  <c r="W142" i="175"/>
  <c r="W206" i="175"/>
  <c r="W5" i="175"/>
  <c r="W7" i="175"/>
  <c r="W8" i="175"/>
  <c r="W9" i="175"/>
  <c r="W10" i="175"/>
  <c r="W229" i="175"/>
  <c r="W461" i="175"/>
  <c r="W227" i="175"/>
  <c r="W463" i="175"/>
  <c r="W442" i="175"/>
  <c r="W50" i="175"/>
  <c r="W143" i="175"/>
  <c r="W17" i="175"/>
  <c r="W450" i="175"/>
  <c r="W22" i="175"/>
  <c r="W23" i="175"/>
  <c r="W28" i="175"/>
  <c r="W41" i="175"/>
  <c r="W44" i="175"/>
  <c r="W46" i="175"/>
  <c r="W12" i="175"/>
  <c r="W13" i="175"/>
  <c r="W14" i="175"/>
  <c r="W18" i="175"/>
  <c r="W15" i="175"/>
  <c r="W16" i="175"/>
  <c r="W20" i="175"/>
  <c r="W207" i="175"/>
  <c r="W209" i="175"/>
  <c r="W198" i="175"/>
  <c r="W200" i="175"/>
  <c r="W313" i="175"/>
  <c r="W314" i="175"/>
  <c r="W315" i="175"/>
  <c r="W307" i="175"/>
  <c r="W310" i="175"/>
  <c r="W311" i="175"/>
  <c r="W312" i="175"/>
  <c r="W316" i="175"/>
  <c r="W318" i="175"/>
  <c r="W328" i="175"/>
  <c r="W92" i="175"/>
  <c r="W76" i="175"/>
  <c r="W180" i="175"/>
  <c r="W336" i="175"/>
  <c r="W341" i="175"/>
  <c r="W217" i="175"/>
  <c r="W218" i="175"/>
  <c r="W413" i="175"/>
  <c r="W416" i="175"/>
  <c r="W183" i="175"/>
  <c r="W507" i="175"/>
  <c r="W508" i="175"/>
  <c r="W509" i="175"/>
  <c r="W144" i="175"/>
  <c r="W511" i="175"/>
  <c r="W512" i="175"/>
  <c r="W513" i="175"/>
  <c r="W514" i="175"/>
  <c r="W515" i="175"/>
  <c r="W516" i="175"/>
  <c r="W517" i="175"/>
  <c r="W518" i="175"/>
  <c r="W519" i="175"/>
  <c r="W520" i="175"/>
  <c r="W521" i="175"/>
  <c r="W522" i="175"/>
  <c r="W523" i="175"/>
  <c r="W524" i="175"/>
  <c r="W525" i="175"/>
  <c r="W29" i="175"/>
  <c r="W527" i="175"/>
  <c r="W528" i="175"/>
  <c r="W529" i="175"/>
  <c r="W530" i="175"/>
  <c r="W69" i="175"/>
  <c r="W211" i="175"/>
  <c r="W533" i="175"/>
  <c r="W534" i="175"/>
  <c r="W535" i="175"/>
  <c r="W109" i="175"/>
  <c r="W176" i="175"/>
  <c r="W160" i="175"/>
  <c r="W141" i="175"/>
  <c r="W148" i="175"/>
  <c r="W542" i="175"/>
  <c r="W543" i="175"/>
  <c r="W544" i="175"/>
  <c r="W545" i="175"/>
  <c r="W546" i="175"/>
  <c r="W547" i="175"/>
  <c r="W548" i="175"/>
  <c r="W549" i="175"/>
  <c r="W550" i="175"/>
  <c r="W551" i="175"/>
  <c r="W146" i="175"/>
  <c r="W147" i="175"/>
  <c r="W151" i="175"/>
  <c r="W153" i="175"/>
  <c r="W556" i="175"/>
  <c r="W557" i="175"/>
  <c r="W558" i="175"/>
  <c r="W559" i="175"/>
  <c r="W560" i="175"/>
  <c r="W561" i="175"/>
  <c r="W562" i="175"/>
  <c r="W563" i="175"/>
  <c r="W564" i="175"/>
  <c r="W565" i="175"/>
  <c r="W566" i="175"/>
  <c r="W567" i="175"/>
  <c r="W163" i="175"/>
  <c r="W164" i="175"/>
  <c r="W570" i="175"/>
  <c r="W571" i="175"/>
  <c r="W172" i="175"/>
  <c r="W573" i="175"/>
  <c r="W574" i="175"/>
  <c r="W575" i="175"/>
  <c r="W576" i="175"/>
  <c r="W578" i="175"/>
  <c r="W219" i="175"/>
  <c r="W239" i="175"/>
  <c r="W221" i="175"/>
  <c r="W224" i="175"/>
  <c r="W231" i="175"/>
  <c r="T181" i="175" l="1"/>
  <c r="T68" i="175"/>
  <c r="V68" i="175" s="1"/>
  <c r="T363" i="175"/>
  <c r="V363" i="175" s="1"/>
  <c r="Z181" i="175" l="1"/>
  <c r="AA181" i="175" s="1"/>
  <c r="V181" i="175"/>
  <c r="Z363" i="175"/>
  <c r="AA363" i="175" s="1"/>
  <c r="T483" i="175"/>
  <c r="V483" i="175" s="1"/>
  <c r="Z68" i="175"/>
  <c r="AA68" i="175" s="1"/>
  <c r="T467" i="175"/>
  <c r="T273" i="175"/>
  <c r="V273" i="175" s="1"/>
  <c r="T459" i="175"/>
  <c r="V459" i="175" s="1"/>
  <c r="Z467" i="175" l="1"/>
  <c r="AA467" i="175" s="1"/>
  <c r="V467" i="175"/>
  <c r="Z273" i="175"/>
  <c r="AA273" i="175" s="1"/>
  <c r="Z371" i="175" l="1"/>
  <c r="AA371" i="175" s="1"/>
  <c r="V371" i="175"/>
  <c r="Q11" i="48"/>
  <c r="Q12" i="48"/>
  <c r="Q13" i="48"/>
  <c r="Q14" i="48"/>
  <c r="Q15" i="48"/>
  <c r="Q16" i="48"/>
  <c r="Q17" i="48"/>
  <c r="A83" i="51" l="1"/>
  <c r="P42" i="51" l="1"/>
  <c r="P12" i="51" s="1"/>
  <c r="P16" i="51" s="1"/>
  <c r="M37" i="174" l="1"/>
  <c r="M39" i="174" s="1"/>
  <c r="B22" i="181" l="1"/>
  <c r="R4" i="181"/>
  <c r="A3" i="181"/>
  <c r="Q20" i="174" l="1"/>
  <c r="A2" i="43" l="1"/>
  <c r="A2" i="51" l="1"/>
  <c r="C19" i="180" l="1"/>
  <c r="F13" i="180"/>
  <c r="F14" i="180" s="1"/>
  <c r="E6" i="180"/>
  <c r="B6" i="180"/>
  <c r="B13" i="180" s="1"/>
  <c r="B15" i="180" s="1"/>
  <c r="C21" i="180" s="1"/>
  <c r="D34" i="179"/>
  <c r="D35" i="179" s="1"/>
  <c r="C34" i="179"/>
  <c r="C35" i="179" s="1"/>
  <c r="B34" i="179"/>
  <c r="F30" i="179"/>
  <c r="G29" i="179"/>
  <c r="I29" i="179" s="1"/>
  <c r="G28" i="179"/>
  <c r="K28" i="179" s="1"/>
  <c r="K30" i="179" s="1"/>
  <c r="G27" i="179"/>
  <c r="G26" i="179"/>
  <c r="G25" i="179"/>
  <c r="I25" i="179" s="1"/>
  <c r="D25" i="179"/>
  <c r="G24" i="179"/>
  <c r="D24" i="179"/>
  <c r="G23" i="179"/>
  <c r="D23" i="179"/>
  <c r="G22" i="179"/>
  <c r="D22" i="179"/>
  <c r="E21" i="179"/>
  <c r="E30" i="179" s="1"/>
  <c r="D21" i="179"/>
  <c r="G21" i="179" s="1"/>
  <c r="I21" i="179" s="1"/>
  <c r="D20" i="179"/>
  <c r="G20" i="179" s="1"/>
  <c r="I20" i="179" s="1"/>
  <c r="C19" i="179"/>
  <c r="B19" i="179"/>
  <c r="D19" i="179" s="1"/>
  <c r="G19" i="179" s="1"/>
  <c r="I19" i="179" s="1"/>
  <c r="C18" i="179"/>
  <c r="B18" i="179"/>
  <c r="D18" i="179" s="1"/>
  <c r="G18" i="179" s="1"/>
  <c r="D17" i="179"/>
  <c r="G17" i="179" s="1"/>
  <c r="G16" i="179"/>
  <c r="I16" i="179" s="1"/>
  <c r="D16" i="179"/>
  <c r="J15" i="179"/>
  <c r="J14" i="179"/>
  <c r="D14" i="179"/>
  <c r="F13" i="179"/>
  <c r="D12" i="179"/>
  <c r="G12" i="179" s="1"/>
  <c r="J12" i="179" s="1"/>
  <c r="J30" i="179" s="1"/>
  <c r="G11" i="179"/>
  <c r="I11" i="179" s="1"/>
  <c r="D11" i="179"/>
  <c r="G10" i="179"/>
  <c r="D10" i="179"/>
  <c r="D9" i="179"/>
  <c r="G9" i="179" s="1"/>
  <c r="I9" i="179" s="1"/>
  <c r="G8" i="179"/>
  <c r="I8" i="179" s="1"/>
  <c r="D8" i="179"/>
  <c r="D7" i="179"/>
  <c r="G7" i="179" s="1"/>
  <c r="G30" i="179" l="1"/>
  <c r="I7" i="179"/>
  <c r="I17" i="179"/>
  <c r="D30" i="179"/>
  <c r="I30" i="179" l="1"/>
  <c r="I31" i="179" s="1"/>
  <c r="C19" i="177" l="1"/>
  <c r="B13" i="177"/>
  <c r="B15" i="177" s="1"/>
  <c r="B6" i="177"/>
  <c r="C21" i="177" l="1"/>
  <c r="T25" i="129" l="1"/>
  <c r="I15" i="164" l="1"/>
  <c r="L15" i="164" l="1"/>
  <c r="J26" i="150"/>
  <c r="J40" i="161" l="1"/>
  <c r="N12" i="106"/>
  <c r="H16" i="162" s="1"/>
  <c r="N11" i="106"/>
  <c r="O16" i="44" l="1"/>
  <c r="W16" i="44" s="1"/>
  <c r="O17" i="44"/>
  <c r="O18" i="44"/>
  <c r="W18" i="44" s="1"/>
  <c r="O15" i="44"/>
  <c r="N32" i="50" l="1"/>
  <c r="T146" i="175"/>
  <c r="V146" i="175" s="1"/>
  <c r="T147" i="175"/>
  <c r="V147" i="175" s="1"/>
  <c r="T151" i="175"/>
  <c r="V151" i="175" s="1"/>
  <c r="T153" i="175"/>
  <c r="V153" i="175" s="1"/>
  <c r="T556" i="175"/>
  <c r="V556" i="175" s="1"/>
  <c r="T557" i="175"/>
  <c r="V557" i="175" s="1"/>
  <c r="T558" i="175"/>
  <c r="V558" i="175" s="1"/>
  <c r="T559" i="175"/>
  <c r="V559" i="175" s="1"/>
  <c r="T560" i="175"/>
  <c r="V560" i="175" s="1"/>
  <c r="T561" i="175"/>
  <c r="V561" i="175" s="1"/>
  <c r="T562" i="175"/>
  <c r="V562" i="175" s="1"/>
  <c r="T563" i="175"/>
  <c r="V563" i="175" s="1"/>
  <c r="T564" i="175"/>
  <c r="V564" i="175" s="1"/>
  <c r="T565" i="175"/>
  <c r="V565" i="175" s="1"/>
  <c r="T566" i="175"/>
  <c r="V566" i="175" s="1"/>
  <c r="T567" i="175"/>
  <c r="V567" i="175" s="1"/>
  <c r="T163" i="175"/>
  <c r="V163" i="175" s="1"/>
  <c r="T164" i="175"/>
  <c r="V164" i="175" s="1"/>
  <c r="T570" i="175"/>
  <c r="V570" i="175" s="1"/>
  <c r="T571" i="175"/>
  <c r="V571" i="175" s="1"/>
  <c r="T172" i="175"/>
  <c r="V172" i="175" s="1"/>
  <c r="T573" i="175"/>
  <c r="V573" i="175" s="1"/>
  <c r="T574" i="175"/>
  <c r="V574" i="175" s="1"/>
  <c r="T575" i="175"/>
  <c r="V575" i="175" s="1"/>
  <c r="T577" i="175"/>
  <c r="T578" i="175"/>
  <c r="V578" i="175" s="1"/>
  <c r="T546" i="175"/>
  <c r="V546" i="175" s="1"/>
  <c r="T547" i="175"/>
  <c r="V547" i="175" s="1"/>
  <c r="T548" i="175"/>
  <c r="V548" i="175" s="1"/>
  <c r="T549" i="175"/>
  <c r="V549" i="175" s="1"/>
  <c r="T550" i="175"/>
  <c r="V550" i="175" s="1"/>
  <c r="T551" i="175"/>
  <c r="V551" i="175" s="1"/>
  <c r="F38" i="44" l="1"/>
  <c r="H38" i="44"/>
  <c r="N38" i="44"/>
  <c r="P38" i="44"/>
  <c r="R38" i="44"/>
  <c r="V38" i="44"/>
  <c r="G48" i="65"/>
  <c r="A2" i="81" l="1"/>
  <c r="P46" i="48" l="1"/>
  <c r="O46" i="48"/>
  <c r="N46" i="48"/>
  <c r="R44" i="48"/>
  <c r="R46" i="48" s="1"/>
  <c r="Q35" i="48"/>
  <c r="Q34" i="48"/>
  <c r="Q33" i="48"/>
  <c r="Q32" i="48"/>
  <c r="Q31" i="48"/>
  <c r="Q30" i="48"/>
  <c r="Q27" i="48"/>
  <c r="Q26" i="48"/>
  <c r="Q25" i="48"/>
  <c r="Q24" i="48"/>
  <c r="Q22" i="48"/>
  <c r="Q20" i="48"/>
  <c r="Q23" i="48"/>
  <c r="M28" i="48" l="1"/>
  <c r="Q21" i="48"/>
  <c r="G17" i="57" l="1"/>
  <c r="G8" i="182" s="1"/>
  <c r="D15" i="182" l="1"/>
  <c r="I15" i="182" s="1"/>
  <c r="G10" i="182"/>
  <c r="H8" i="182"/>
  <c r="I8" i="182" s="1"/>
  <c r="K33" i="174"/>
  <c r="T20" i="58"/>
  <c r="H19" i="182" l="1"/>
  <c r="T219" i="175"/>
  <c r="V219" i="175" s="1"/>
  <c r="T239" i="175"/>
  <c r="V239" i="175" s="1"/>
  <c r="T221" i="175"/>
  <c r="V221" i="175" s="1"/>
  <c r="T224" i="175"/>
  <c r="V224" i="175" s="1"/>
  <c r="T231" i="175"/>
  <c r="V231" i="175" s="1"/>
  <c r="T232" i="175"/>
  <c r="V232" i="175" s="1"/>
  <c r="T235" i="175"/>
  <c r="V235" i="175" s="1"/>
  <c r="T236" i="175"/>
  <c r="V236" i="175" s="1"/>
  <c r="T237" i="175"/>
  <c r="V237" i="175" s="1"/>
  <c r="T238" i="175"/>
  <c r="V238" i="175" s="1"/>
  <c r="T240" i="175"/>
  <c r="V240" i="175" s="1"/>
  <c r="T245" i="175"/>
  <c r="V245" i="175" s="1"/>
  <c r="T247" i="175"/>
  <c r="V247" i="175" s="1"/>
  <c r="T252" i="175"/>
  <c r="V252" i="175" s="1"/>
  <c r="T241" i="175"/>
  <c r="V241" i="175" s="1"/>
  <c r="T254" i="175"/>
  <c r="V254" i="175" s="1"/>
  <c r="T258" i="175"/>
  <c r="V258" i="175" s="1"/>
  <c r="T260" i="175"/>
  <c r="V260" i="175" s="1"/>
  <c r="T242" i="175"/>
  <c r="V242" i="175" s="1"/>
  <c r="T243" i="175"/>
  <c r="V243" i="175" s="1"/>
  <c r="T244" i="175"/>
  <c r="V244" i="175" s="1"/>
  <c r="T261" i="175"/>
  <c r="V261" i="175" s="1"/>
  <c r="T445" i="175"/>
  <c r="V445" i="175" s="1"/>
  <c r="T30" i="175"/>
  <c r="V30" i="175" s="1"/>
  <c r="T246" i="175"/>
  <c r="V246" i="175" s="1"/>
  <c r="T248" i="175"/>
  <c r="V248" i="175" s="1"/>
  <c r="T249" i="175"/>
  <c r="V249" i="175" s="1"/>
  <c r="T250" i="175"/>
  <c r="V250" i="175" s="1"/>
  <c r="T251" i="175"/>
  <c r="V251" i="175" s="1"/>
  <c r="T253" i="175"/>
  <c r="V253" i="175" s="1"/>
  <c r="T256" i="175"/>
  <c r="V256" i="175" s="1"/>
  <c r="T257" i="175"/>
  <c r="V257" i="175" s="1"/>
  <c r="T259" i="175"/>
  <c r="V259" i="175" s="1"/>
  <c r="T263" i="175"/>
  <c r="V263" i="175" s="1"/>
  <c r="T262" i="175"/>
  <c r="V262" i="175" s="1"/>
  <c r="T264" i="175"/>
  <c r="V264" i="175" s="1"/>
  <c r="T266" i="175"/>
  <c r="V266" i="175" s="1"/>
  <c r="T265" i="175"/>
  <c r="V265" i="175" s="1"/>
  <c r="T267" i="175"/>
  <c r="V267" i="175" s="1"/>
  <c r="T268" i="175"/>
  <c r="V268" i="175" s="1"/>
  <c r="T270" i="175"/>
  <c r="V270" i="175" s="1"/>
  <c r="T269" i="175"/>
  <c r="V269" i="175" s="1"/>
  <c r="T271" i="175"/>
  <c r="V271" i="175" s="1"/>
  <c r="T272" i="175"/>
  <c r="V272" i="175" s="1"/>
  <c r="T285" i="175"/>
  <c r="V285" i="175" s="1"/>
  <c r="T274" i="175"/>
  <c r="V274" i="175" s="1"/>
  <c r="T286" i="175"/>
  <c r="V286" i="175" s="1"/>
  <c r="T296" i="175"/>
  <c r="V296" i="175" s="1"/>
  <c r="T275" i="175"/>
  <c r="V275" i="175" s="1"/>
  <c r="T302" i="175"/>
  <c r="V302" i="175" s="1"/>
  <c r="T308" i="175"/>
  <c r="V308" i="175" s="1"/>
  <c r="T309" i="175"/>
  <c r="V309" i="175" s="1"/>
  <c r="T357" i="175"/>
  <c r="V357" i="175" s="1"/>
  <c r="T276" i="175"/>
  <c r="V276" i="175" s="1"/>
  <c r="T360" i="175"/>
  <c r="V360" i="175" s="1"/>
  <c r="T53" i="175"/>
  <c r="V53" i="175" s="1"/>
  <c r="Q56" i="79" s="1"/>
  <c r="T411" i="175"/>
  <c r="V411" i="175" s="1"/>
  <c r="T412" i="175"/>
  <c r="V412" i="175" s="1"/>
  <c r="T420" i="175"/>
  <c r="V420" i="175" s="1"/>
  <c r="T423" i="175"/>
  <c r="V423" i="175" s="1"/>
  <c r="J17" i="43" s="1"/>
  <c r="T427" i="175"/>
  <c r="V427" i="175" s="1"/>
  <c r="T429" i="175"/>
  <c r="V429" i="175" s="1"/>
  <c r="T228" i="175"/>
  <c r="V228" i="175" s="1"/>
  <c r="T277" i="175"/>
  <c r="V277" i="175" s="1"/>
  <c r="T278" i="175"/>
  <c r="V278" i="175" s="1"/>
  <c r="T430" i="175"/>
  <c r="V430" i="175" s="1"/>
  <c r="T279" i="175"/>
  <c r="V279" i="175" s="1"/>
  <c r="T539" i="175"/>
  <c r="V539" i="175" s="1"/>
  <c r="J22" i="43" s="1"/>
  <c r="T280" i="175"/>
  <c r="V280" i="175" s="1"/>
  <c r="T281" i="175"/>
  <c r="V281" i="175" s="1"/>
  <c r="T431" i="175"/>
  <c r="V431" i="175" s="1"/>
  <c r="T282" i="175"/>
  <c r="V282" i="175" s="1"/>
  <c r="T432" i="175"/>
  <c r="V432" i="175" s="1"/>
  <c r="T437" i="175"/>
  <c r="V437" i="175" s="1"/>
  <c r="T438" i="175"/>
  <c r="V438" i="175" s="1"/>
  <c r="T446" i="175"/>
  <c r="V446" i="175" s="1"/>
  <c r="T448" i="175"/>
  <c r="V448" i="175" s="1"/>
  <c r="T283" i="175"/>
  <c r="V283" i="175" s="1"/>
  <c r="T440" i="175"/>
  <c r="V440" i="175" s="1"/>
  <c r="T447" i="175"/>
  <c r="V447" i="175" s="1"/>
  <c r="T132" i="175"/>
  <c r="V132" i="175" s="1"/>
  <c r="T91" i="175"/>
  <c r="V91" i="175" s="1"/>
  <c r="T284" i="175"/>
  <c r="V284" i="175" s="1"/>
  <c r="T287" i="175"/>
  <c r="V287" i="175" s="1"/>
  <c r="T288" i="175"/>
  <c r="V288" i="175" s="1"/>
  <c r="T460" i="175"/>
  <c r="V460" i="175" s="1"/>
  <c r="J16" i="43" s="1"/>
  <c r="T289" i="175"/>
  <c r="V289" i="175" s="1"/>
  <c r="T290" i="175"/>
  <c r="V290" i="175" s="1"/>
  <c r="T449" i="175"/>
  <c r="V449" i="175" s="1"/>
  <c r="T291" i="175"/>
  <c r="V291" i="175" s="1"/>
  <c r="T292" i="175"/>
  <c r="V292" i="175" s="1"/>
  <c r="T293" i="175"/>
  <c r="V293" i="175" s="1"/>
  <c r="T294" i="175"/>
  <c r="V294" i="175" s="1"/>
  <c r="T295" i="175"/>
  <c r="V295" i="175" s="1"/>
  <c r="T462" i="175"/>
  <c r="V462" i="175" s="1"/>
  <c r="T297" i="175"/>
  <c r="V297" i="175" s="1"/>
  <c r="T298" i="175"/>
  <c r="V298" i="175" s="1"/>
  <c r="T162" i="175"/>
  <c r="V162" i="175" s="1"/>
  <c r="T165" i="175"/>
  <c r="V165" i="175" s="1"/>
  <c r="T469" i="175"/>
  <c r="V469" i="175" s="1"/>
  <c r="T299" i="175"/>
  <c r="V299" i="175" s="1"/>
  <c r="T470" i="175"/>
  <c r="V470" i="175" s="1"/>
  <c r="T471" i="175"/>
  <c r="V471" i="175" s="1"/>
  <c r="T472" i="175"/>
  <c r="V472" i="175" s="1"/>
  <c r="T300" i="175"/>
  <c r="V300" i="175" s="1"/>
  <c r="T473" i="175"/>
  <c r="V473" i="175" s="1"/>
  <c r="T301" i="175"/>
  <c r="V301" i="175" s="1"/>
  <c r="T303" i="175"/>
  <c r="V303" i="175" s="1"/>
  <c r="T474" i="175"/>
  <c r="V474" i="175" s="1"/>
  <c r="T478" i="175"/>
  <c r="V478" i="175" s="1"/>
  <c r="T304" i="175"/>
  <c r="V304" i="175" s="1"/>
  <c r="T305" i="175"/>
  <c r="V305" i="175" s="1"/>
  <c r="T498" i="175"/>
  <c r="V498" i="175" s="1"/>
  <c r="T531" i="175"/>
  <c r="V531" i="175" s="1"/>
  <c r="T234" i="175"/>
  <c r="V234" i="175" s="1"/>
  <c r="Q17" i="79" s="1"/>
  <c r="T64" i="175"/>
  <c r="V64" i="175" s="1"/>
  <c r="T230" i="175"/>
  <c r="V230" i="175" s="1"/>
  <c r="J41" i="43" s="1"/>
  <c r="T83" i="175"/>
  <c r="V83" i="175" s="1"/>
  <c r="T233" i="175"/>
  <c r="V233" i="175" s="1"/>
  <c r="T451" i="175"/>
  <c r="V451" i="175" s="1"/>
  <c r="T306" i="175"/>
  <c r="V306" i="175" s="1"/>
  <c r="T139" i="175"/>
  <c r="V139" i="175" s="1"/>
  <c r="T155" i="175"/>
  <c r="V155" i="175" s="1"/>
  <c r="T37" i="175"/>
  <c r="V37" i="175" s="1"/>
  <c r="N51" i="51" s="1"/>
  <c r="T66" i="175"/>
  <c r="V66" i="175" s="1"/>
  <c r="T67" i="175"/>
  <c r="V67" i="175" s="1"/>
  <c r="T24" i="175"/>
  <c r="V24" i="175" s="1"/>
  <c r="T25" i="175"/>
  <c r="V25" i="175" s="1"/>
  <c r="T26" i="175"/>
  <c r="V26" i="175" s="1"/>
  <c r="T166" i="175"/>
  <c r="V166" i="175" s="1"/>
  <c r="T40" i="175"/>
  <c r="V40" i="175" s="1"/>
  <c r="T42" i="175"/>
  <c r="V42" i="175" s="1"/>
  <c r="T112" i="175"/>
  <c r="V112" i="175" s="1"/>
  <c r="T116" i="175"/>
  <c r="V116" i="175" s="1"/>
  <c r="T167" i="175"/>
  <c r="V167" i="175" s="1"/>
  <c r="T34" i="175"/>
  <c r="V34" i="175" s="1"/>
  <c r="T87" i="175"/>
  <c r="V87" i="175" s="1"/>
  <c r="T452" i="175"/>
  <c r="V452" i="175" s="1"/>
  <c r="T118" i="175"/>
  <c r="V118" i="175" s="1"/>
  <c r="T168" i="175"/>
  <c r="V168" i="175" s="1"/>
  <c r="T131" i="175"/>
  <c r="V131" i="175" s="1"/>
  <c r="T169" i="175"/>
  <c r="V169" i="175" s="1"/>
  <c r="T149" i="175"/>
  <c r="V149" i="175" s="1"/>
  <c r="T127" i="175"/>
  <c r="V127" i="175" s="1"/>
  <c r="T71" i="175"/>
  <c r="V71" i="175" s="1"/>
  <c r="J42" i="43" s="1"/>
  <c r="T96" i="175"/>
  <c r="V96" i="175" s="1"/>
  <c r="T130" i="175"/>
  <c r="V130" i="175" s="1"/>
  <c r="T453" i="175"/>
  <c r="V453" i="175" s="1"/>
  <c r="T33" i="175"/>
  <c r="V33" i="175" s="1"/>
  <c r="T157" i="175"/>
  <c r="V157" i="175" s="1"/>
  <c r="T158" i="175"/>
  <c r="V158" i="175" s="1"/>
  <c r="T170" i="175"/>
  <c r="V170" i="175" s="1"/>
  <c r="T58" i="175"/>
  <c r="V58" i="175" s="1"/>
  <c r="J43" i="43" s="1"/>
  <c r="T171" i="175"/>
  <c r="V171" i="175" s="1"/>
  <c r="T90" i="175"/>
  <c r="V90" i="175" s="1"/>
  <c r="T133" i="175"/>
  <c r="V133" i="175" s="1"/>
  <c r="T454" i="175"/>
  <c r="V454" i="175" s="1"/>
  <c r="T129" i="175"/>
  <c r="V129" i="175" s="1"/>
  <c r="T455" i="175"/>
  <c r="V455" i="175" s="1"/>
  <c r="T154" i="175"/>
  <c r="V154" i="175" s="1"/>
  <c r="T456" i="175"/>
  <c r="V456" i="175" s="1"/>
  <c r="T173" i="175"/>
  <c r="V173" i="175" s="1"/>
  <c r="T175" i="175"/>
  <c r="V175" i="175" s="1"/>
  <c r="T150" i="175"/>
  <c r="V150" i="175" s="1"/>
  <c r="T457" i="175"/>
  <c r="V457" i="175" s="1"/>
  <c r="T177" i="175"/>
  <c r="V177" i="175" s="1"/>
  <c r="T178" i="175"/>
  <c r="V178" i="175" s="1"/>
  <c r="T36" i="175"/>
  <c r="V36" i="175" s="1"/>
  <c r="N52" i="51" s="1"/>
  <c r="T114" i="175"/>
  <c r="V114" i="175" s="1"/>
  <c r="T35" i="175"/>
  <c r="V35" i="175" s="1"/>
  <c r="N47" i="51" s="1"/>
  <c r="T32" i="175"/>
  <c r="V32" i="175" s="1"/>
  <c r="N57" i="51" s="1"/>
  <c r="T179" i="175"/>
  <c r="V179" i="175" s="1"/>
  <c r="T113" i="175"/>
  <c r="V113" i="175" s="1"/>
  <c r="T458" i="175"/>
  <c r="V458" i="175" s="1"/>
  <c r="T464" i="175"/>
  <c r="V464" i="175" s="1"/>
  <c r="T79" i="175"/>
  <c r="V79" i="175" s="1"/>
  <c r="Q18" i="79" s="1"/>
  <c r="T182" i="175"/>
  <c r="V182" i="175" s="1"/>
  <c r="T572" i="175"/>
  <c r="V572" i="175" s="1"/>
  <c r="T60" i="175"/>
  <c r="V60" i="175" s="1"/>
  <c r="T441" i="175"/>
  <c r="V441" i="175" s="1"/>
  <c r="T48" i="175"/>
  <c r="V48" i="175" s="1"/>
  <c r="T439" i="175"/>
  <c r="V439" i="175" s="1"/>
  <c r="T47" i="175"/>
  <c r="V47" i="175" s="1"/>
  <c r="T569" i="175"/>
  <c r="V569" i="175" s="1"/>
  <c r="T59" i="175"/>
  <c r="V59" i="175" s="1"/>
  <c r="T19" i="175"/>
  <c r="V19" i="175" s="1"/>
  <c r="T21" i="175"/>
  <c r="V21" i="175" s="1"/>
  <c r="T38" i="175"/>
  <c r="V38" i="175" s="1"/>
  <c r="T39" i="175"/>
  <c r="V39" i="175" s="1"/>
  <c r="T443" i="175"/>
  <c r="V443" i="175" s="1"/>
  <c r="T51" i="175"/>
  <c r="V51" i="175" s="1"/>
  <c r="T49" i="175"/>
  <c r="V49" i="175" s="1"/>
  <c r="N48" i="51" s="1"/>
  <c r="T56" i="175"/>
  <c r="V56" i="175" s="1"/>
  <c r="J46" i="43" s="1"/>
  <c r="T465" i="175"/>
  <c r="V465" i="175" s="1"/>
  <c r="T184" i="175"/>
  <c r="V184" i="175" s="1"/>
  <c r="T123" i="175"/>
  <c r="V123" i="175" s="1"/>
  <c r="T145" i="175"/>
  <c r="V145" i="175" s="1"/>
  <c r="T187" i="175"/>
  <c r="V187" i="175" s="1"/>
  <c r="T188" i="175"/>
  <c r="V188" i="175" s="1"/>
  <c r="T466" i="175"/>
  <c r="V466" i="175" s="1"/>
  <c r="T468" i="175"/>
  <c r="V468" i="175" s="1"/>
  <c r="T475" i="175"/>
  <c r="V475" i="175" s="1"/>
  <c r="T189" i="175"/>
  <c r="V189" i="175" s="1"/>
  <c r="T476" i="175"/>
  <c r="V476" i="175" s="1"/>
  <c r="T192" i="175"/>
  <c r="V192" i="175" s="1"/>
  <c r="T193" i="175"/>
  <c r="V193" i="175" s="1"/>
  <c r="T477" i="175"/>
  <c r="V477" i="175" s="1"/>
  <c r="T120" i="175"/>
  <c r="V120" i="175" s="1"/>
  <c r="T195" i="175"/>
  <c r="V195" i="175" s="1"/>
  <c r="T136" i="175"/>
  <c r="V136" i="175" s="1"/>
  <c r="T197" i="175"/>
  <c r="V197" i="175" s="1"/>
  <c r="T199" i="175"/>
  <c r="V199" i="175" s="1"/>
  <c r="T201" i="175"/>
  <c r="V201" i="175" s="1"/>
  <c r="T479" i="175"/>
  <c r="V479" i="175" s="1"/>
  <c r="T480" i="175"/>
  <c r="V480" i="175" s="1"/>
  <c r="T202" i="175"/>
  <c r="V202" i="175" s="1"/>
  <c r="T124" i="175"/>
  <c r="V124" i="175" s="1"/>
  <c r="T481" i="175"/>
  <c r="V481" i="175" s="1"/>
  <c r="T482" i="175"/>
  <c r="V482" i="175" s="1"/>
  <c r="T484" i="175"/>
  <c r="V484" i="175" s="1"/>
  <c r="T159" i="175"/>
  <c r="V159" i="175" s="1"/>
  <c r="T31" i="175"/>
  <c r="V31" i="175" s="1"/>
  <c r="N58" i="51" s="1"/>
  <c r="T485" i="175"/>
  <c r="V485" i="175" s="1"/>
  <c r="T486" i="175"/>
  <c r="V486" i="175" s="1"/>
  <c r="T487" i="175"/>
  <c r="V487" i="175" s="1"/>
  <c r="T488" i="175"/>
  <c r="V488" i="175" s="1"/>
  <c r="T128" i="175"/>
  <c r="V128" i="175" s="1"/>
  <c r="T95" i="175"/>
  <c r="V95" i="175" s="1"/>
  <c r="T203" i="175"/>
  <c r="V203" i="175" s="1"/>
  <c r="T489" i="175"/>
  <c r="V489" i="175" s="1"/>
  <c r="T490" i="175"/>
  <c r="V490" i="175" s="1"/>
  <c r="T491" i="175"/>
  <c r="V491" i="175" s="1"/>
  <c r="T492" i="175"/>
  <c r="V492" i="175" s="1"/>
  <c r="T208" i="175"/>
  <c r="V208" i="175" s="1"/>
  <c r="T494" i="175"/>
  <c r="V494" i="175" s="1"/>
  <c r="T108" i="175"/>
  <c r="V108" i="175" s="1"/>
  <c r="T495" i="175"/>
  <c r="V495" i="175" s="1"/>
  <c r="T496" i="175"/>
  <c r="V496" i="175" s="1"/>
  <c r="T210" i="175"/>
  <c r="V210" i="175" s="1"/>
  <c r="T497" i="175"/>
  <c r="V497" i="175" s="1"/>
  <c r="T212" i="175"/>
  <c r="V212" i="175" s="1"/>
  <c r="T213" i="175"/>
  <c r="V213" i="175" s="1"/>
  <c r="T55" i="175"/>
  <c r="V55" i="175" s="1"/>
  <c r="J45" i="43" s="1"/>
  <c r="T499" i="175"/>
  <c r="V499" i="175" s="1"/>
  <c r="T500" i="175"/>
  <c r="V500" i="175" s="1"/>
  <c r="T501" i="175"/>
  <c r="V501" i="175" s="1"/>
  <c r="T541" i="175"/>
  <c r="V541" i="175" s="1"/>
  <c r="T214" i="175"/>
  <c r="V214" i="175" s="1"/>
  <c r="T215" i="175"/>
  <c r="V215" i="175" s="1"/>
  <c r="T502" i="175"/>
  <c r="V502" i="175" s="1"/>
  <c r="T216" i="175"/>
  <c r="V216" i="175" s="1"/>
  <c r="T503" i="175"/>
  <c r="V503" i="175" s="1"/>
  <c r="T220" i="175"/>
  <c r="V220" i="175" s="1"/>
  <c r="T88" i="175"/>
  <c r="V88" i="175" s="1"/>
  <c r="T97" i="175"/>
  <c r="V97" i="175" s="1"/>
  <c r="T504" i="175"/>
  <c r="V504" i="175" s="1"/>
  <c r="T505" i="175"/>
  <c r="V505" i="175" s="1"/>
  <c r="T506" i="175"/>
  <c r="V506" i="175" s="1"/>
  <c r="T98" i="175"/>
  <c r="V98" i="175" s="1"/>
  <c r="T99" i="175"/>
  <c r="V99" i="175" s="1"/>
  <c r="T102" i="175"/>
  <c r="T103" i="175"/>
  <c r="V103" i="175" s="1"/>
  <c r="T105" i="175"/>
  <c r="V105" i="175" s="1"/>
  <c r="T106" i="175"/>
  <c r="V106" i="175" s="1"/>
  <c r="T107" i="175"/>
  <c r="V107" i="175" s="1"/>
  <c r="T536" i="175"/>
  <c r="V536" i="175" s="1"/>
  <c r="T538" i="175"/>
  <c r="V538" i="175" s="1"/>
  <c r="T78" i="175"/>
  <c r="V78" i="175" s="1"/>
  <c r="T510" i="175"/>
  <c r="V510" i="175" s="1"/>
  <c r="T526" i="175"/>
  <c r="V526" i="175" s="1"/>
  <c r="T532" i="175"/>
  <c r="V532" i="175" s="1"/>
  <c r="T537" i="175"/>
  <c r="V537" i="175" s="1"/>
  <c r="T552" i="175"/>
  <c r="V552" i="175" s="1"/>
  <c r="T553" i="175"/>
  <c r="V553" i="175" s="1"/>
  <c r="T554" i="175"/>
  <c r="V554" i="175" s="1"/>
  <c r="T555" i="175"/>
  <c r="V555" i="175" s="1"/>
  <c r="T161" i="175"/>
  <c r="V161" i="175" s="1"/>
  <c r="T110" i="175"/>
  <c r="V110" i="175" s="1"/>
  <c r="T111" i="175"/>
  <c r="V111" i="175" s="1"/>
  <c r="T174" i="175"/>
  <c r="V174" i="175" s="1"/>
  <c r="T115" i="175"/>
  <c r="V115" i="175" s="1"/>
  <c r="T119" i="175"/>
  <c r="V119" i="175" s="1"/>
  <c r="T222" i="175"/>
  <c r="V222" i="175" s="1"/>
  <c r="T121" i="175"/>
  <c r="V121" i="175" s="1"/>
  <c r="T85" i="175"/>
  <c r="V85" i="175" s="1"/>
  <c r="T568" i="175"/>
  <c r="V568" i="175" s="1"/>
  <c r="T122" i="175"/>
  <c r="V122" i="175" s="1"/>
  <c r="T125" i="175"/>
  <c r="V125" i="175" s="1"/>
  <c r="T156" i="175"/>
  <c r="V156" i="175" s="1"/>
  <c r="T81" i="175"/>
  <c r="V81" i="175" s="1"/>
  <c r="T62" i="175"/>
  <c r="V62" i="175" s="1"/>
  <c r="T86" i="175"/>
  <c r="V86" i="175" s="1"/>
  <c r="T77" i="175"/>
  <c r="V77" i="175" s="1"/>
  <c r="T57" i="175"/>
  <c r="V57" i="175" s="1"/>
  <c r="T54" i="175"/>
  <c r="V54" i="175" s="1"/>
  <c r="T126" i="175"/>
  <c r="V126" i="175" s="1"/>
  <c r="T73" i="175"/>
  <c r="V73" i="175" s="1"/>
  <c r="T317" i="175"/>
  <c r="V317" i="175" s="1"/>
  <c r="T134" i="175"/>
  <c r="V134" i="175" s="1"/>
  <c r="T319" i="175"/>
  <c r="V319" i="175" s="1"/>
  <c r="T320" i="175"/>
  <c r="V320" i="175" s="1"/>
  <c r="T321" i="175"/>
  <c r="V321" i="175" s="1"/>
  <c r="T322" i="175"/>
  <c r="V322" i="175" s="1"/>
  <c r="T323" i="175"/>
  <c r="V323" i="175" s="1"/>
  <c r="T324" i="175"/>
  <c r="V324" i="175" s="1"/>
  <c r="T325" i="175"/>
  <c r="V325" i="175" s="1"/>
  <c r="T326" i="175"/>
  <c r="V326" i="175" s="1"/>
  <c r="T327" i="175"/>
  <c r="V327" i="175" s="1"/>
  <c r="T135" i="175"/>
  <c r="V135" i="175" s="1"/>
  <c r="T329" i="175"/>
  <c r="V329" i="175" s="1"/>
  <c r="T330" i="175"/>
  <c r="V330" i="175" s="1"/>
  <c r="T331" i="175"/>
  <c r="V331" i="175" s="1"/>
  <c r="T332" i="175"/>
  <c r="V332" i="175" s="1"/>
  <c r="T333" i="175"/>
  <c r="V333" i="175" s="1"/>
  <c r="T334" i="175"/>
  <c r="V334" i="175" s="1"/>
  <c r="T335" i="175"/>
  <c r="V335" i="175" s="1"/>
  <c r="T80" i="175"/>
  <c r="V80" i="175" s="1"/>
  <c r="T337" i="175"/>
  <c r="V337" i="175" s="1"/>
  <c r="T338" i="175"/>
  <c r="V338" i="175" s="1"/>
  <c r="T339" i="175"/>
  <c r="V339" i="175" s="1"/>
  <c r="T340" i="175"/>
  <c r="V340" i="175" s="1"/>
  <c r="T138" i="175"/>
  <c r="V138" i="175" s="1"/>
  <c r="T342" i="175"/>
  <c r="V342" i="175" s="1"/>
  <c r="T343" i="175"/>
  <c r="V343" i="175" s="1"/>
  <c r="T344" i="175"/>
  <c r="V344" i="175" s="1"/>
  <c r="T345" i="175"/>
  <c r="V345" i="175" s="1"/>
  <c r="T346" i="175"/>
  <c r="V346" i="175" s="1"/>
  <c r="T347" i="175"/>
  <c r="V347" i="175" s="1"/>
  <c r="T348" i="175"/>
  <c r="V348" i="175" s="1"/>
  <c r="T349" i="175"/>
  <c r="V349" i="175" s="1"/>
  <c r="T350" i="175"/>
  <c r="V350" i="175" s="1"/>
  <c r="T351" i="175"/>
  <c r="V351" i="175" s="1"/>
  <c r="T352" i="175"/>
  <c r="V352" i="175" s="1"/>
  <c r="T353" i="175"/>
  <c r="V353" i="175" s="1"/>
  <c r="T354" i="175"/>
  <c r="V354" i="175" s="1"/>
  <c r="T355" i="175"/>
  <c r="V355" i="175" s="1"/>
  <c r="T356" i="175"/>
  <c r="V356" i="175" s="1"/>
  <c r="T6" i="175"/>
  <c r="V6" i="175" s="1"/>
  <c r="T358" i="175"/>
  <c r="V358" i="175" s="1"/>
  <c r="T359" i="175"/>
  <c r="V359" i="175" s="1"/>
  <c r="T223" i="175"/>
  <c r="V223" i="175" s="1"/>
  <c r="T361" i="175"/>
  <c r="V361" i="175" s="1"/>
  <c r="T362" i="175"/>
  <c r="V362" i="175" s="1"/>
  <c r="T364" i="175"/>
  <c r="V364" i="175" s="1"/>
  <c r="T365" i="175"/>
  <c r="V365" i="175" s="1"/>
  <c r="T366" i="175"/>
  <c r="V366" i="175" s="1"/>
  <c r="T367" i="175"/>
  <c r="V367" i="175" s="1"/>
  <c r="T368" i="175"/>
  <c r="V368" i="175" s="1"/>
  <c r="T369" i="175"/>
  <c r="V369" i="175" s="1"/>
  <c r="T370" i="175"/>
  <c r="V370" i="175" s="1"/>
  <c r="T372" i="175"/>
  <c r="V372" i="175" s="1"/>
  <c r="T373" i="175"/>
  <c r="V373" i="175" s="1"/>
  <c r="T374" i="175"/>
  <c r="V374" i="175" s="1"/>
  <c r="T375" i="175"/>
  <c r="V375" i="175" s="1"/>
  <c r="T376" i="175"/>
  <c r="V376" i="175" s="1"/>
  <c r="T377" i="175"/>
  <c r="V377" i="175" s="1"/>
  <c r="T378" i="175"/>
  <c r="V378" i="175" s="1"/>
  <c r="T379" i="175"/>
  <c r="V379" i="175" s="1"/>
  <c r="T380" i="175"/>
  <c r="V380" i="175" s="1"/>
  <c r="T381" i="175"/>
  <c r="V381" i="175" s="1"/>
  <c r="T382" i="175"/>
  <c r="V382" i="175" s="1"/>
  <c r="T383" i="175"/>
  <c r="V383" i="175" s="1"/>
  <c r="T384" i="175"/>
  <c r="V384" i="175" s="1"/>
  <c r="T385" i="175"/>
  <c r="V385" i="175" s="1"/>
  <c r="T386" i="175"/>
  <c r="V386" i="175" s="1"/>
  <c r="T387" i="175"/>
  <c r="V387" i="175" s="1"/>
  <c r="T388" i="175"/>
  <c r="V388" i="175" s="1"/>
  <c r="T389" i="175"/>
  <c r="V389" i="175" s="1"/>
  <c r="T390" i="175"/>
  <c r="V390" i="175" s="1"/>
  <c r="T391" i="175"/>
  <c r="V391" i="175" s="1"/>
  <c r="T392" i="175"/>
  <c r="V392" i="175" s="1"/>
  <c r="T393" i="175"/>
  <c r="V393" i="175" s="1"/>
  <c r="T394" i="175"/>
  <c r="V394" i="175" s="1"/>
  <c r="T395" i="175"/>
  <c r="V395" i="175" s="1"/>
  <c r="T396" i="175"/>
  <c r="V396" i="175" s="1"/>
  <c r="T397" i="175"/>
  <c r="V397" i="175" s="1"/>
  <c r="T398" i="175"/>
  <c r="V398" i="175" s="1"/>
  <c r="T399" i="175"/>
  <c r="V399" i="175" s="1"/>
  <c r="T400" i="175"/>
  <c r="V400" i="175" s="1"/>
  <c r="T401" i="175"/>
  <c r="V401" i="175" s="1"/>
  <c r="T402" i="175"/>
  <c r="V402" i="175" s="1"/>
  <c r="T403" i="175"/>
  <c r="V403" i="175" s="1"/>
  <c r="T404" i="175"/>
  <c r="V404" i="175" s="1"/>
  <c r="T405" i="175"/>
  <c r="V405" i="175" s="1"/>
  <c r="T406" i="175"/>
  <c r="V406" i="175" s="1"/>
  <c r="T407" i="175"/>
  <c r="V407" i="175" s="1"/>
  <c r="T408" i="175"/>
  <c r="V408" i="175" s="1"/>
  <c r="T409" i="175"/>
  <c r="V409" i="175" s="1"/>
  <c r="T410" i="175"/>
  <c r="V410" i="175" s="1"/>
  <c r="T52" i="175"/>
  <c r="V52" i="175" s="1"/>
  <c r="Q57" i="79" s="1"/>
  <c r="T63" i="175"/>
  <c r="V63" i="175" s="1"/>
  <c r="T75" i="175"/>
  <c r="V75" i="175" s="1"/>
  <c r="T414" i="175"/>
  <c r="V414" i="175" s="1"/>
  <c r="T415" i="175"/>
  <c r="V415" i="175" s="1"/>
  <c r="T45" i="175"/>
  <c r="V45" i="175" s="1"/>
  <c r="T417" i="175"/>
  <c r="V417" i="175" s="1"/>
  <c r="J10" i="166" s="1"/>
  <c r="T418" i="175"/>
  <c r="V418" i="175" s="1"/>
  <c r="T419" i="175"/>
  <c r="V419" i="175" s="1"/>
  <c r="T82" i="175"/>
  <c r="V82" i="175" s="1"/>
  <c r="T421" i="175"/>
  <c r="V421" i="175" s="1"/>
  <c r="T422" i="175"/>
  <c r="V422" i="175" s="1"/>
  <c r="H18" i="81" s="1"/>
  <c r="T117" i="175"/>
  <c r="V117" i="175" s="1"/>
  <c r="T424" i="175"/>
  <c r="V424" i="175" s="1"/>
  <c r="T425" i="175"/>
  <c r="V425" i="175" s="1"/>
  <c r="T426" i="175"/>
  <c r="V426" i="175" s="1"/>
  <c r="T70" i="175"/>
  <c r="V70" i="175" s="1"/>
  <c r="T428" i="175"/>
  <c r="V428" i="175" s="1"/>
  <c r="T89" i="175"/>
  <c r="V89" i="175" s="1"/>
  <c r="T137" i="175"/>
  <c r="V137" i="175" s="1"/>
  <c r="T61" i="175"/>
  <c r="V61" i="175" s="1"/>
  <c r="Q16" i="79" s="1"/>
  <c r="T65" i="175"/>
  <c r="V65" i="175" s="1"/>
  <c r="T433" i="175"/>
  <c r="V433" i="175" s="1"/>
  <c r="T434" i="175"/>
  <c r="V434" i="175" s="1"/>
  <c r="T435" i="175"/>
  <c r="V435" i="175" s="1"/>
  <c r="T436" i="175"/>
  <c r="V436" i="175" s="1"/>
  <c r="T152" i="175"/>
  <c r="V152" i="175" s="1"/>
  <c r="T185" i="175"/>
  <c r="V185" i="175" s="1"/>
  <c r="T225" i="175"/>
  <c r="V225" i="175" s="1"/>
  <c r="T186" i="175"/>
  <c r="V186" i="175" s="1"/>
  <c r="T190" i="175"/>
  <c r="V190" i="175" s="1"/>
  <c r="T191" i="175"/>
  <c r="V191" i="175" s="1"/>
  <c r="T444" i="175"/>
  <c r="V444" i="175" s="1"/>
  <c r="T194" i="175"/>
  <c r="V194" i="175" s="1"/>
  <c r="T196" i="175"/>
  <c r="V196" i="175" s="1"/>
  <c r="T226" i="175"/>
  <c r="V226" i="175" s="1"/>
  <c r="V4" i="175"/>
  <c r="T84" i="175"/>
  <c r="V84" i="175" s="1"/>
  <c r="T94" i="175"/>
  <c r="V94" i="175" s="1"/>
  <c r="T72" i="175"/>
  <c r="V72" i="175" s="1"/>
  <c r="T142" i="175"/>
  <c r="V142" i="175" s="1"/>
  <c r="T206" i="175"/>
  <c r="V206" i="175" s="1"/>
  <c r="T10" i="175"/>
  <c r="V10" i="175" s="1"/>
  <c r="V229" i="175"/>
  <c r="T461" i="175"/>
  <c r="V461" i="175" s="1"/>
  <c r="T227" i="175"/>
  <c r="V227" i="175" s="1"/>
  <c r="T463" i="175"/>
  <c r="V463" i="175" s="1"/>
  <c r="T442" i="175"/>
  <c r="V442" i="175" s="1"/>
  <c r="N111" i="51" s="1"/>
  <c r="N112" i="51" s="1"/>
  <c r="T50" i="175"/>
  <c r="V50" i="175" s="1"/>
  <c r="N22" i="51" s="1"/>
  <c r="T143" i="175"/>
  <c r="V143" i="175" s="1"/>
  <c r="T17" i="175"/>
  <c r="V17" i="175" s="1"/>
  <c r="T450" i="175"/>
  <c r="V450" i="175" s="1"/>
  <c r="T22" i="175"/>
  <c r="V22" i="175" s="1"/>
  <c r="T23" i="175"/>
  <c r="V23" i="175" s="1"/>
  <c r="T28" i="175"/>
  <c r="V28" i="175" s="1"/>
  <c r="T41" i="175"/>
  <c r="V41" i="175" s="1"/>
  <c r="T44" i="175"/>
  <c r="V44" i="175" s="1"/>
  <c r="T46" i="175"/>
  <c r="V46" i="175" s="1"/>
  <c r="T12" i="175"/>
  <c r="V12" i="175" s="1"/>
  <c r="T13" i="175"/>
  <c r="V13" i="175" s="1"/>
  <c r="T14" i="175"/>
  <c r="V14" i="175" s="1"/>
  <c r="T18" i="175"/>
  <c r="V18" i="175" s="1"/>
  <c r="T15" i="175"/>
  <c r="V15" i="175" s="1"/>
  <c r="T16" i="175"/>
  <c r="V16" i="175" s="1"/>
  <c r="T20" i="175"/>
  <c r="V20" i="175" s="1"/>
  <c r="T207" i="175"/>
  <c r="V207" i="175" s="1"/>
  <c r="T209" i="175"/>
  <c r="V209" i="175" s="1"/>
  <c r="T198" i="175"/>
  <c r="V198" i="175" s="1"/>
  <c r="T200" i="175"/>
  <c r="V200" i="175" s="1"/>
  <c r="T313" i="175"/>
  <c r="V313" i="175" s="1"/>
  <c r="T314" i="175"/>
  <c r="V314" i="175" s="1"/>
  <c r="T315" i="175"/>
  <c r="V315" i="175" s="1"/>
  <c r="T307" i="175"/>
  <c r="V307" i="175" s="1"/>
  <c r="T310" i="175"/>
  <c r="V310" i="175" s="1"/>
  <c r="T311" i="175"/>
  <c r="V311" i="175" s="1"/>
  <c r="T312" i="175"/>
  <c r="V312" i="175" s="1"/>
  <c r="T316" i="175"/>
  <c r="V316" i="175" s="1"/>
  <c r="T318" i="175"/>
  <c r="V318" i="175" s="1"/>
  <c r="T328" i="175"/>
  <c r="V328" i="175" s="1"/>
  <c r="T92" i="175"/>
  <c r="V92" i="175" s="1"/>
  <c r="T76" i="175"/>
  <c r="V76" i="175" s="1"/>
  <c r="T180" i="175"/>
  <c r="V180" i="175" s="1"/>
  <c r="H72" i="51" s="1"/>
  <c r="J72" i="51" s="1"/>
  <c r="T336" i="175"/>
  <c r="V336" i="175" s="1"/>
  <c r="T341" i="175"/>
  <c r="V341" i="175" s="1"/>
  <c r="T217" i="175"/>
  <c r="V217" i="175" s="1"/>
  <c r="T218" i="175"/>
  <c r="V218" i="175" s="1"/>
  <c r="T413" i="175"/>
  <c r="V413" i="175" s="1"/>
  <c r="T416" i="175"/>
  <c r="V416" i="175" s="1"/>
  <c r="T183" i="175"/>
  <c r="V183" i="175" s="1"/>
  <c r="T507" i="175"/>
  <c r="V507" i="175" s="1"/>
  <c r="T508" i="175"/>
  <c r="V508" i="175" s="1"/>
  <c r="T509" i="175"/>
  <c r="V509" i="175" s="1"/>
  <c r="T144" i="175"/>
  <c r="V144" i="175" s="1"/>
  <c r="T511" i="175"/>
  <c r="V511" i="175" s="1"/>
  <c r="T512" i="175"/>
  <c r="V512" i="175" s="1"/>
  <c r="T513" i="175"/>
  <c r="V513" i="175" s="1"/>
  <c r="T514" i="175"/>
  <c r="V514" i="175" s="1"/>
  <c r="T515" i="175"/>
  <c r="V515" i="175" s="1"/>
  <c r="T516" i="175"/>
  <c r="V516" i="175" s="1"/>
  <c r="T517" i="175"/>
  <c r="V517" i="175" s="1"/>
  <c r="T518" i="175"/>
  <c r="V518" i="175" s="1"/>
  <c r="T519" i="175"/>
  <c r="V519" i="175" s="1"/>
  <c r="T520" i="175"/>
  <c r="V520" i="175" s="1"/>
  <c r="T521" i="175"/>
  <c r="V521" i="175" s="1"/>
  <c r="T522" i="175"/>
  <c r="V522" i="175" s="1"/>
  <c r="T523" i="175"/>
  <c r="V523" i="175" s="1"/>
  <c r="T524" i="175"/>
  <c r="V524" i="175" s="1"/>
  <c r="T525" i="175"/>
  <c r="V525" i="175" s="1"/>
  <c r="T29" i="175"/>
  <c r="V29" i="175" s="1"/>
  <c r="T527" i="175"/>
  <c r="V527" i="175" s="1"/>
  <c r="T528" i="175"/>
  <c r="V528" i="175" s="1"/>
  <c r="T529" i="175"/>
  <c r="V529" i="175" s="1"/>
  <c r="T530" i="175"/>
  <c r="V530" i="175" s="1"/>
  <c r="T69" i="175"/>
  <c r="V69" i="175" s="1"/>
  <c r="T211" i="175"/>
  <c r="V211" i="175" s="1"/>
  <c r="T533" i="175"/>
  <c r="V533" i="175" s="1"/>
  <c r="T534" i="175"/>
  <c r="V534" i="175" s="1"/>
  <c r="T535" i="175"/>
  <c r="V535" i="175" s="1"/>
  <c r="T109" i="175"/>
  <c r="V109" i="175" s="1"/>
  <c r="T176" i="175"/>
  <c r="V176" i="175" s="1"/>
  <c r="T160" i="175"/>
  <c r="V160" i="175" s="1"/>
  <c r="T141" i="175"/>
  <c r="V141" i="175" s="1"/>
  <c r="T148" i="175"/>
  <c r="V148" i="175" s="1"/>
  <c r="T542" i="175"/>
  <c r="V542" i="175" s="1"/>
  <c r="T543" i="175"/>
  <c r="V543" i="175" s="1"/>
  <c r="T544" i="175"/>
  <c r="V544" i="175" s="1"/>
  <c r="T545" i="175"/>
  <c r="V545" i="175" s="1"/>
  <c r="F74" i="51" l="1"/>
  <c r="J74" i="51" s="1"/>
  <c r="H73" i="51"/>
  <c r="J73" i="51" s="1"/>
  <c r="G75" i="51"/>
  <c r="J75" i="51" s="1"/>
  <c r="F71" i="51"/>
  <c r="J23" i="43"/>
  <c r="J27" i="166"/>
  <c r="J33" i="43"/>
  <c r="F17" i="181" s="1"/>
  <c r="J17" i="181" s="1"/>
  <c r="N97" i="51"/>
  <c r="N96" i="51" s="1"/>
  <c r="J47" i="43"/>
  <c r="J44" i="43"/>
  <c r="F33" i="150" s="1"/>
  <c r="J15" i="43"/>
  <c r="N56" i="51"/>
  <c r="J40" i="43"/>
  <c r="F13" i="181" s="1"/>
  <c r="Q29" i="79"/>
  <c r="Q19" i="79"/>
  <c r="Q58" i="79"/>
  <c r="G13" i="161" s="1"/>
  <c r="J19" i="43"/>
  <c r="J18" i="43"/>
  <c r="N19" i="51"/>
  <c r="N70" i="51"/>
  <c r="J31" i="43"/>
  <c r="J32" i="43"/>
  <c r="J30" i="43"/>
  <c r="F14" i="181" s="1"/>
  <c r="J14" i="181" s="1"/>
  <c r="H13" i="81"/>
  <c r="Q32" i="44"/>
  <c r="J14" i="160"/>
  <c r="V102" i="175"/>
  <c r="N29" i="51" s="1"/>
  <c r="Z102" i="175"/>
  <c r="N23" i="51"/>
  <c r="N21" i="51"/>
  <c r="N54" i="51"/>
  <c r="N55" i="51"/>
  <c r="J7" i="166"/>
  <c r="M35" i="54"/>
  <c r="G32" i="161" s="1"/>
  <c r="B16" i="196" s="1"/>
  <c r="D16" i="196" s="1"/>
  <c r="G16" i="196" s="1"/>
  <c r="I16" i="196" s="1"/>
  <c r="J60" i="43"/>
  <c r="J20" i="43" s="1"/>
  <c r="N49" i="51"/>
  <c r="N50" i="51"/>
  <c r="N53" i="51"/>
  <c r="N41" i="51"/>
  <c r="N38" i="51"/>
  <c r="K30" i="150" s="1"/>
  <c r="I30" i="150" s="1"/>
  <c r="N40" i="51"/>
  <c r="K31" i="150" s="1"/>
  <c r="I31" i="150" s="1"/>
  <c r="N39" i="51"/>
  <c r="K27" i="150" s="1"/>
  <c r="I27" i="150" s="1"/>
  <c r="F579" i="175"/>
  <c r="G579" i="175"/>
  <c r="F28" i="150" l="1"/>
  <c r="F16" i="181"/>
  <c r="J16" i="181" s="1"/>
  <c r="F30" i="150"/>
  <c r="J30" i="150" s="1"/>
  <c r="F15" i="181"/>
  <c r="J15" i="181" s="1"/>
  <c r="J13" i="181"/>
  <c r="J71" i="51"/>
  <c r="F76" i="51"/>
  <c r="N35" i="51"/>
  <c r="J34" i="43"/>
  <c r="J11" i="43" s="1"/>
  <c r="J48" i="43"/>
  <c r="J12" i="43" s="1"/>
  <c r="N59" i="51"/>
  <c r="N13" i="51" s="1"/>
  <c r="Q20" i="79"/>
  <c r="J24" i="43" s="1"/>
  <c r="F27" i="150"/>
  <c r="J27" i="150" s="1"/>
  <c r="O7" i="150"/>
  <c r="K13" i="174"/>
  <c r="M33" i="54"/>
  <c r="J25" i="166"/>
  <c r="F18" i="181" l="1"/>
  <c r="J18" i="181" s="1"/>
  <c r="J13" i="43"/>
  <c r="M32" i="150"/>
  <c r="L32" i="150"/>
  <c r="M26" i="150"/>
  <c r="L26" i="150"/>
  <c r="L34" i="150" l="1"/>
  <c r="M34" i="150"/>
  <c r="Q19" i="174"/>
  <c r="R27" i="51"/>
  <c r="H579" i="175" l="1"/>
  <c r="J579" i="175"/>
  <c r="L579" i="175"/>
  <c r="N579" i="175"/>
  <c r="O579" i="175"/>
  <c r="P579" i="175"/>
  <c r="Q579" i="175"/>
  <c r="R579" i="175"/>
  <c r="S579" i="175" l="1"/>
  <c r="W204" i="175" l="1"/>
  <c r="O36" i="48" l="1"/>
  <c r="N36" i="48"/>
  <c r="M36" i="48"/>
  <c r="K36" i="48"/>
  <c r="R36" i="48"/>
  <c r="P28" i="48"/>
  <c r="O28" i="48"/>
  <c r="N28" i="48"/>
  <c r="L28" i="48"/>
  <c r="K28" i="48"/>
  <c r="V27" i="48"/>
  <c r="V26" i="48"/>
  <c r="V25" i="48"/>
  <c r="V24" i="48"/>
  <c r="V23" i="48"/>
  <c r="V22" i="48"/>
  <c r="V21" i="48"/>
  <c r="V20" i="48"/>
  <c r="P18" i="48"/>
  <c r="O18" i="48"/>
  <c r="N18" i="48"/>
  <c r="M18" i="48"/>
  <c r="L18" i="48"/>
  <c r="K18" i="48"/>
  <c r="V17" i="48"/>
  <c r="V16" i="48"/>
  <c r="V15" i="48"/>
  <c r="V14" i="48"/>
  <c r="V13" i="48"/>
  <c r="V12" i="48"/>
  <c r="V11" i="48"/>
  <c r="K40" i="48" l="1"/>
  <c r="N40" i="48"/>
  <c r="N47" i="48" s="1"/>
  <c r="N33" i="50" s="1"/>
  <c r="P40" i="48"/>
  <c r="P42" i="48" s="1"/>
  <c r="L40" i="48"/>
  <c r="L47" i="48" s="1"/>
  <c r="M40" i="48"/>
  <c r="M42" i="48" s="1"/>
  <c r="O40" i="48"/>
  <c r="Q36" i="48"/>
  <c r="Q28" i="48"/>
  <c r="V28" i="48"/>
  <c r="V36" i="48" s="1"/>
  <c r="Q18" i="48"/>
  <c r="V18" i="48"/>
  <c r="R18" i="48"/>
  <c r="R28" i="48"/>
  <c r="Q17" i="44"/>
  <c r="W17" i="44" s="1"/>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X247" i="3"/>
  <c r="F247" i="3"/>
  <c r="W246" i="3"/>
  <c r="V246" i="3"/>
  <c r="U246" i="3"/>
  <c r="T246" i="3"/>
  <c r="S246" i="3"/>
  <c r="R246" i="3"/>
  <c r="Q246" i="3"/>
  <c r="P246" i="3"/>
  <c r="O246" i="3"/>
  <c r="N246" i="3"/>
  <c r="M246" i="3"/>
  <c r="L246" i="3"/>
  <c r="K246" i="3"/>
  <c r="J246" i="3"/>
  <c r="I246" i="3"/>
  <c r="H246" i="3"/>
  <c r="G246" i="3"/>
  <c r="W245" i="3"/>
  <c r="V245" i="3"/>
  <c r="U245" i="3"/>
  <c r="T245" i="3"/>
  <c r="S245" i="3"/>
  <c r="R245" i="3"/>
  <c r="Q245" i="3"/>
  <c r="P245" i="3"/>
  <c r="O245" i="3"/>
  <c r="N245" i="3"/>
  <c r="M245" i="3"/>
  <c r="L245" i="3"/>
  <c r="K245" i="3"/>
  <c r="J245" i="3"/>
  <c r="I245" i="3"/>
  <c r="H245" i="3"/>
  <c r="G245" i="3"/>
  <c r="W244" i="3"/>
  <c r="V244" i="3"/>
  <c r="U244" i="3"/>
  <c r="T244" i="3"/>
  <c r="S244" i="3"/>
  <c r="R244" i="3"/>
  <c r="Q244" i="3"/>
  <c r="P244" i="3"/>
  <c r="O244" i="3"/>
  <c r="N244" i="3"/>
  <c r="M244" i="3"/>
  <c r="L244" i="3"/>
  <c r="K244" i="3"/>
  <c r="J244" i="3"/>
  <c r="I244" i="3"/>
  <c r="H244" i="3"/>
  <c r="G244" i="3"/>
  <c r="W243" i="3"/>
  <c r="V243" i="3"/>
  <c r="U243" i="3"/>
  <c r="T243" i="3"/>
  <c r="S243" i="3"/>
  <c r="R243" i="3"/>
  <c r="Q243" i="3"/>
  <c r="P243" i="3"/>
  <c r="O243" i="3"/>
  <c r="N243" i="3"/>
  <c r="M243" i="3"/>
  <c r="L243" i="3"/>
  <c r="K243" i="3"/>
  <c r="J243" i="3"/>
  <c r="I243" i="3"/>
  <c r="H243" i="3"/>
  <c r="G243" i="3"/>
  <c r="W242" i="3"/>
  <c r="V242" i="3"/>
  <c r="U242" i="3"/>
  <c r="T242" i="3"/>
  <c r="S242" i="3"/>
  <c r="R242" i="3"/>
  <c r="Q242" i="3"/>
  <c r="P242" i="3"/>
  <c r="O242" i="3"/>
  <c r="N242" i="3"/>
  <c r="M242" i="3"/>
  <c r="L242" i="3"/>
  <c r="K242" i="3"/>
  <c r="J242" i="3"/>
  <c r="I242" i="3"/>
  <c r="H242" i="3"/>
  <c r="G242" i="3"/>
  <c r="W241" i="3"/>
  <c r="V241" i="3"/>
  <c r="U241" i="3"/>
  <c r="T241" i="3"/>
  <c r="S241" i="3"/>
  <c r="R241" i="3"/>
  <c r="Q241" i="3"/>
  <c r="P241" i="3"/>
  <c r="O241" i="3"/>
  <c r="N241" i="3"/>
  <c r="M241" i="3"/>
  <c r="L241" i="3"/>
  <c r="K241" i="3"/>
  <c r="J241" i="3"/>
  <c r="I241" i="3"/>
  <c r="H241" i="3"/>
  <c r="G241" i="3"/>
  <c r="W240" i="3"/>
  <c r="V240" i="3"/>
  <c r="U240" i="3"/>
  <c r="T240" i="3"/>
  <c r="S240" i="3"/>
  <c r="R240" i="3"/>
  <c r="Q240" i="3"/>
  <c r="P240" i="3"/>
  <c r="O240" i="3"/>
  <c r="N240" i="3"/>
  <c r="M240" i="3"/>
  <c r="L240" i="3"/>
  <c r="K240" i="3"/>
  <c r="J240" i="3"/>
  <c r="I240" i="3"/>
  <c r="H240" i="3"/>
  <c r="G240" i="3"/>
  <c r="W239" i="3"/>
  <c r="V239" i="3"/>
  <c r="U239" i="3"/>
  <c r="T239" i="3"/>
  <c r="S239" i="3"/>
  <c r="R239" i="3"/>
  <c r="Q239" i="3"/>
  <c r="P239" i="3"/>
  <c r="O239" i="3"/>
  <c r="N239" i="3"/>
  <c r="M239" i="3"/>
  <c r="L239" i="3"/>
  <c r="K239" i="3"/>
  <c r="J239" i="3"/>
  <c r="I239" i="3"/>
  <c r="H239" i="3"/>
  <c r="G239" i="3"/>
  <c r="W238" i="3"/>
  <c r="V238" i="3"/>
  <c r="U238" i="3"/>
  <c r="T238" i="3"/>
  <c r="S238" i="3"/>
  <c r="R238" i="3"/>
  <c r="Q238" i="3"/>
  <c r="P238" i="3"/>
  <c r="O238" i="3"/>
  <c r="N238" i="3"/>
  <c r="M238" i="3"/>
  <c r="L238" i="3"/>
  <c r="K238" i="3"/>
  <c r="J238" i="3"/>
  <c r="I238" i="3"/>
  <c r="H238" i="3"/>
  <c r="G238" i="3"/>
  <c r="W237" i="3"/>
  <c r="V237" i="3"/>
  <c r="U237" i="3"/>
  <c r="T237" i="3"/>
  <c r="S237" i="3"/>
  <c r="R237" i="3"/>
  <c r="Q237" i="3"/>
  <c r="P237" i="3"/>
  <c r="O237" i="3"/>
  <c r="N237" i="3"/>
  <c r="M237" i="3"/>
  <c r="L237" i="3"/>
  <c r="K237" i="3"/>
  <c r="J237" i="3"/>
  <c r="I237" i="3"/>
  <c r="H237" i="3"/>
  <c r="G237" i="3"/>
  <c r="W236" i="3"/>
  <c r="V236" i="3"/>
  <c r="U236" i="3"/>
  <c r="T236" i="3"/>
  <c r="S236" i="3"/>
  <c r="R236" i="3"/>
  <c r="Q236" i="3"/>
  <c r="P236" i="3"/>
  <c r="O236" i="3"/>
  <c r="N236" i="3"/>
  <c r="M236" i="3"/>
  <c r="L236" i="3"/>
  <c r="K236" i="3"/>
  <c r="J236" i="3"/>
  <c r="I236" i="3"/>
  <c r="H236" i="3"/>
  <c r="G236" i="3"/>
  <c r="W235" i="3"/>
  <c r="V235" i="3"/>
  <c r="U235" i="3"/>
  <c r="T235" i="3"/>
  <c r="S235" i="3"/>
  <c r="R235" i="3"/>
  <c r="Q235" i="3"/>
  <c r="P235" i="3"/>
  <c r="O235" i="3"/>
  <c r="N235" i="3"/>
  <c r="M235" i="3"/>
  <c r="L235" i="3"/>
  <c r="K235" i="3"/>
  <c r="J235" i="3"/>
  <c r="I235" i="3"/>
  <c r="H235" i="3"/>
  <c r="G235" i="3"/>
  <c r="W234" i="3"/>
  <c r="V234" i="3"/>
  <c r="U234" i="3"/>
  <c r="T234" i="3"/>
  <c r="S234" i="3"/>
  <c r="R234" i="3"/>
  <c r="Q234" i="3"/>
  <c r="P234" i="3"/>
  <c r="O234" i="3"/>
  <c r="N234" i="3"/>
  <c r="M234" i="3"/>
  <c r="L234" i="3"/>
  <c r="K234" i="3"/>
  <c r="J234" i="3"/>
  <c r="I234" i="3"/>
  <c r="H234" i="3"/>
  <c r="G234" i="3"/>
  <c r="W233" i="3"/>
  <c r="V233" i="3"/>
  <c r="U233" i="3"/>
  <c r="T233" i="3"/>
  <c r="S233" i="3"/>
  <c r="R233" i="3"/>
  <c r="Q233" i="3"/>
  <c r="P233" i="3"/>
  <c r="O233" i="3"/>
  <c r="N233" i="3"/>
  <c r="M233" i="3"/>
  <c r="L233" i="3"/>
  <c r="K233" i="3"/>
  <c r="J233" i="3"/>
  <c r="I233" i="3"/>
  <c r="H233" i="3"/>
  <c r="G233" i="3"/>
  <c r="W232" i="3"/>
  <c r="V232" i="3"/>
  <c r="U232" i="3"/>
  <c r="T232" i="3"/>
  <c r="S232" i="3"/>
  <c r="R232" i="3"/>
  <c r="Q232" i="3"/>
  <c r="P232" i="3"/>
  <c r="O232" i="3"/>
  <c r="N232" i="3"/>
  <c r="M232" i="3"/>
  <c r="L232" i="3"/>
  <c r="K232" i="3"/>
  <c r="J232" i="3"/>
  <c r="I232" i="3"/>
  <c r="H232" i="3"/>
  <c r="G232" i="3"/>
  <c r="W231" i="3"/>
  <c r="V231" i="3"/>
  <c r="U231" i="3"/>
  <c r="T231" i="3"/>
  <c r="S231" i="3"/>
  <c r="R231" i="3"/>
  <c r="Q231" i="3"/>
  <c r="P231" i="3"/>
  <c r="O231" i="3"/>
  <c r="N231" i="3"/>
  <c r="M231" i="3"/>
  <c r="L231" i="3"/>
  <c r="K231" i="3"/>
  <c r="J231" i="3"/>
  <c r="I231" i="3"/>
  <c r="H231" i="3"/>
  <c r="G231" i="3"/>
  <c r="W230" i="3"/>
  <c r="V230" i="3"/>
  <c r="U230" i="3"/>
  <c r="T230" i="3"/>
  <c r="S230" i="3"/>
  <c r="R230" i="3"/>
  <c r="Q230" i="3"/>
  <c r="P230" i="3"/>
  <c r="O230" i="3"/>
  <c r="N230" i="3"/>
  <c r="M230" i="3"/>
  <c r="L230" i="3"/>
  <c r="K230" i="3"/>
  <c r="J230" i="3"/>
  <c r="I230" i="3"/>
  <c r="H230" i="3"/>
  <c r="G230" i="3"/>
  <c r="W229" i="3"/>
  <c r="V229" i="3"/>
  <c r="U229" i="3"/>
  <c r="T229" i="3"/>
  <c r="S229" i="3"/>
  <c r="R229" i="3"/>
  <c r="Q229" i="3"/>
  <c r="P229" i="3"/>
  <c r="O229" i="3"/>
  <c r="N229" i="3"/>
  <c r="M229" i="3"/>
  <c r="L229" i="3"/>
  <c r="K229" i="3"/>
  <c r="J229" i="3"/>
  <c r="I229" i="3"/>
  <c r="H229" i="3"/>
  <c r="G229" i="3"/>
  <c r="W228" i="3"/>
  <c r="V228" i="3"/>
  <c r="U228" i="3"/>
  <c r="T228" i="3"/>
  <c r="S228" i="3"/>
  <c r="R228" i="3"/>
  <c r="Q228" i="3"/>
  <c r="P228" i="3"/>
  <c r="O228" i="3"/>
  <c r="N228" i="3"/>
  <c r="M228" i="3"/>
  <c r="L228" i="3"/>
  <c r="K228" i="3"/>
  <c r="J228" i="3"/>
  <c r="I228" i="3"/>
  <c r="H228" i="3"/>
  <c r="G228" i="3"/>
  <c r="W227" i="3"/>
  <c r="V227" i="3"/>
  <c r="U227" i="3"/>
  <c r="T227" i="3"/>
  <c r="S227" i="3"/>
  <c r="R227" i="3"/>
  <c r="Q227" i="3"/>
  <c r="P227" i="3"/>
  <c r="O227" i="3"/>
  <c r="N227" i="3"/>
  <c r="M227" i="3"/>
  <c r="L227" i="3"/>
  <c r="K227" i="3"/>
  <c r="J227" i="3"/>
  <c r="I227" i="3"/>
  <c r="H227" i="3"/>
  <c r="G227" i="3"/>
  <c r="W226" i="3"/>
  <c r="V226" i="3"/>
  <c r="U226" i="3"/>
  <c r="T226" i="3"/>
  <c r="S226" i="3"/>
  <c r="R226" i="3"/>
  <c r="Q226" i="3"/>
  <c r="P226" i="3"/>
  <c r="O226" i="3"/>
  <c r="N226" i="3"/>
  <c r="M226" i="3"/>
  <c r="L226" i="3"/>
  <c r="K226" i="3"/>
  <c r="J226" i="3"/>
  <c r="I226" i="3"/>
  <c r="H226" i="3"/>
  <c r="G226" i="3"/>
  <c r="W225" i="3"/>
  <c r="V225" i="3"/>
  <c r="U225" i="3"/>
  <c r="T225" i="3"/>
  <c r="S225" i="3"/>
  <c r="R225" i="3"/>
  <c r="Q225" i="3"/>
  <c r="P225" i="3"/>
  <c r="O225" i="3"/>
  <c r="N225" i="3"/>
  <c r="M225" i="3"/>
  <c r="L225" i="3"/>
  <c r="K225" i="3"/>
  <c r="J225" i="3"/>
  <c r="I225" i="3"/>
  <c r="H225" i="3"/>
  <c r="G225" i="3"/>
  <c r="W224" i="3"/>
  <c r="V224" i="3"/>
  <c r="U224" i="3"/>
  <c r="T224" i="3"/>
  <c r="S224" i="3"/>
  <c r="R224" i="3"/>
  <c r="Q224" i="3"/>
  <c r="P224" i="3"/>
  <c r="O224" i="3"/>
  <c r="N224" i="3"/>
  <c r="M224" i="3"/>
  <c r="L224" i="3"/>
  <c r="K224" i="3"/>
  <c r="J224" i="3"/>
  <c r="I224" i="3"/>
  <c r="H224" i="3"/>
  <c r="G224" i="3"/>
  <c r="W223" i="3"/>
  <c r="V223" i="3"/>
  <c r="U223" i="3"/>
  <c r="T223" i="3"/>
  <c r="S223" i="3"/>
  <c r="R223" i="3"/>
  <c r="Q223" i="3"/>
  <c r="P223" i="3"/>
  <c r="O223" i="3"/>
  <c r="N223" i="3"/>
  <c r="M223" i="3"/>
  <c r="L223" i="3"/>
  <c r="K223" i="3"/>
  <c r="J223" i="3"/>
  <c r="I223" i="3"/>
  <c r="H223" i="3"/>
  <c r="G223" i="3"/>
  <c r="W222" i="3"/>
  <c r="V222" i="3"/>
  <c r="U222" i="3"/>
  <c r="T222" i="3"/>
  <c r="S222" i="3"/>
  <c r="R222" i="3"/>
  <c r="Q222" i="3"/>
  <c r="P222" i="3"/>
  <c r="O222" i="3"/>
  <c r="N222" i="3"/>
  <c r="M222" i="3"/>
  <c r="L222" i="3"/>
  <c r="K222" i="3"/>
  <c r="J222" i="3"/>
  <c r="I222" i="3"/>
  <c r="H222" i="3"/>
  <c r="G222" i="3"/>
  <c r="W221" i="3"/>
  <c r="V221" i="3"/>
  <c r="U221" i="3"/>
  <c r="T221" i="3"/>
  <c r="S221" i="3"/>
  <c r="R221" i="3"/>
  <c r="Q221" i="3"/>
  <c r="P221" i="3"/>
  <c r="O221" i="3"/>
  <c r="N221" i="3"/>
  <c r="M221" i="3"/>
  <c r="L221" i="3"/>
  <c r="K221" i="3"/>
  <c r="J221" i="3"/>
  <c r="I221" i="3"/>
  <c r="H221" i="3"/>
  <c r="G221" i="3"/>
  <c r="W220" i="3"/>
  <c r="V220" i="3"/>
  <c r="U220" i="3"/>
  <c r="T220" i="3"/>
  <c r="S220" i="3"/>
  <c r="R220" i="3"/>
  <c r="Q220" i="3"/>
  <c r="P220" i="3"/>
  <c r="O220" i="3"/>
  <c r="N220" i="3"/>
  <c r="M220" i="3"/>
  <c r="L220" i="3"/>
  <c r="K220" i="3"/>
  <c r="J220" i="3"/>
  <c r="I220" i="3"/>
  <c r="H220" i="3"/>
  <c r="G220" i="3"/>
  <c r="W219" i="3"/>
  <c r="V219" i="3"/>
  <c r="U219" i="3"/>
  <c r="T219" i="3"/>
  <c r="S219" i="3"/>
  <c r="R219" i="3"/>
  <c r="Q219" i="3"/>
  <c r="P219" i="3"/>
  <c r="O219" i="3"/>
  <c r="N219" i="3"/>
  <c r="M219" i="3"/>
  <c r="L219" i="3"/>
  <c r="K219" i="3"/>
  <c r="J219" i="3"/>
  <c r="I219" i="3"/>
  <c r="H219" i="3"/>
  <c r="G219" i="3"/>
  <c r="W218" i="3"/>
  <c r="V218" i="3"/>
  <c r="U218" i="3"/>
  <c r="T218" i="3"/>
  <c r="S218" i="3"/>
  <c r="R218" i="3"/>
  <c r="Q218" i="3"/>
  <c r="P218" i="3"/>
  <c r="O218" i="3"/>
  <c r="N218" i="3"/>
  <c r="M218" i="3"/>
  <c r="L218" i="3"/>
  <c r="K218" i="3"/>
  <c r="J218" i="3"/>
  <c r="I218" i="3"/>
  <c r="H218" i="3"/>
  <c r="G218" i="3"/>
  <c r="W217" i="3"/>
  <c r="V217" i="3"/>
  <c r="U217" i="3"/>
  <c r="T217" i="3"/>
  <c r="S217" i="3"/>
  <c r="R217" i="3"/>
  <c r="Q217" i="3"/>
  <c r="P217" i="3"/>
  <c r="O217" i="3"/>
  <c r="N217" i="3"/>
  <c r="M217" i="3"/>
  <c r="L217" i="3"/>
  <c r="K217" i="3"/>
  <c r="J217" i="3"/>
  <c r="I217" i="3"/>
  <c r="H217" i="3"/>
  <c r="G217" i="3"/>
  <c r="W216" i="3"/>
  <c r="V216" i="3"/>
  <c r="U216" i="3"/>
  <c r="T216" i="3"/>
  <c r="S216" i="3"/>
  <c r="R216" i="3"/>
  <c r="Q216" i="3"/>
  <c r="P216" i="3"/>
  <c r="O216" i="3"/>
  <c r="N216" i="3"/>
  <c r="M216" i="3"/>
  <c r="L216" i="3"/>
  <c r="K216" i="3"/>
  <c r="J216" i="3"/>
  <c r="I216" i="3"/>
  <c r="H216" i="3"/>
  <c r="G216" i="3"/>
  <c r="W215" i="3"/>
  <c r="V215" i="3"/>
  <c r="U215" i="3"/>
  <c r="T215" i="3"/>
  <c r="S215" i="3"/>
  <c r="R215" i="3"/>
  <c r="Q215" i="3"/>
  <c r="P215" i="3"/>
  <c r="O215" i="3"/>
  <c r="N215" i="3"/>
  <c r="M215" i="3"/>
  <c r="L215" i="3"/>
  <c r="K215" i="3"/>
  <c r="J215" i="3"/>
  <c r="I215" i="3"/>
  <c r="H215" i="3"/>
  <c r="G215" i="3"/>
  <c r="W214" i="3"/>
  <c r="V214" i="3"/>
  <c r="U214" i="3"/>
  <c r="T214" i="3"/>
  <c r="S214" i="3"/>
  <c r="R214" i="3"/>
  <c r="Q214" i="3"/>
  <c r="P214" i="3"/>
  <c r="O214" i="3"/>
  <c r="N214" i="3"/>
  <c r="M214" i="3"/>
  <c r="L214" i="3"/>
  <c r="K214" i="3"/>
  <c r="J214" i="3"/>
  <c r="I214" i="3"/>
  <c r="H214" i="3"/>
  <c r="G214" i="3"/>
  <c r="W213" i="3"/>
  <c r="V213" i="3"/>
  <c r="U213" i="3"/>
  <c r="T213" i="3"/>
  <c r="S213" i="3"/>
  <c r="R213" i="3"/>
  <c r="Q213" i="3"/>
  <c r="P213" i="3"/>
  <c r="O213" i="3"/>
  <c r="N213" i="3"/>
  <c r="M213" i="3"/>
  <c r="L213" i="3"/>
  <c r="K213" i="3"/>
  <c r="J213" i="3"/>
  <c r="I213" i="3"/>
  <c r="H213" i="3"/>
  <c r="G213" i="3"/>
  <c r="W212" i="3"/>
  <c r="V212" i="3"/>
  <c r="U212" i="3"/>
  <c r="T212" i="3"/>
  <c r="S212" i="3"/>
  <c r="R212" i="3"/>
  <c r="Q212" i="3"/>
  <c r="P212" i="3"/>
  <c r="O212" i="3"/>
  <c r="N212" i="3"/>
  <c r="M212" i="3"/>
  <c r="L212" i="3"/>
  <c r="K212" i="3"/>
  <c r="J212" i="3"/>
  <c r="I212" i="3"/>
  <c r="H212" i="3"/>
  <c r="G212" i="3"/>
  <c r="W211" i="3"/>
  <c r="V211" i="3"/>
  <c r="U211" i="3"/>
  <c r="T211" i="3"/>
  <c r="S211" i="3"/>
  <c r="R211" i="3"/>
  <c r="Q211" i="3"/>
  <c r="P211" i="3"/>
  <c r="O211" i="3"/>
  <c r="N211" i="3"/>
  <c r="M211" i="3"/>
  <c r="L211" i="3"/>
  <c r="K211" i="3"/>
  <c r="J211" i="3"/>
  <c r="I211" i="3"/>
  <c r="H211" i="3"/>
  <c r="G211" i="3"/>
  <c r="W210" i="3"/>
  <c r="V210" i="3"/>
  <c r="U210" i="3"/>
  <c r="T210" i="3"/>
  <c r="S210" i="3"/>
  <c r="R210" i="3"/>
  <c r="Q210" i="3"/>
  <c r="P210" i="3"/>
  <c r="O210" i="3"/>
  <c r="N210" i="3"/>
  <c r="M210" i="3"/>
  <c r="L210" i="3"/>
  <c r="K210" i="3"/>
  <c r="J210" i="3"/>
  <c r="I210" i="3"/>
  <c r="H210" i="3"/>
  <c r="G210" i="3"/>
  <c r="W209" i="3"/>
  <c r="V209" i="3"/>
  <c r="U209" i="3"/>
  <c r="T209" i="3"/>
  <c r="S209" i="3"/>
  <c r="R209" i="3"/>
  <c r="Q209" i="3"/>
  <c r="P209" i="3"/>
  <c r="O209" i="3"/>
  <c r="N209" i="3"/>
  <c r="M209" i="3"/>
  <c r="L209" i="3"/>
  <c r="K209" i="3"/>
  <c r="J209" i="3"/>
  <c r="I209" i="3"/>
  <c r="H209" i="3"/>
  <c r="G209" i="3"/>
  <c r="W208" i="3"/>
  <c r="V208" i="3"/>
  <c r="U208" i="3"/>
  <c r="T208" i="3"/>
  <c r="S208" i="3"/>
  <c r="R208" i="3"/>
  <c r="Q208" i="3"/>
  <c r="P208" i="3"/>
  <c r="O208" i="3"/>
  <c r="N208" i="3"/>
  <c r="M208" i="3"/>
  <c r="L208" i="3"/>
  <c r="K208" i="3"/>
  <c r="J208" i="3"/>
  <c r="I208" i="3"/>
  <c r="H208" i="3"/>
  <c r="G208" i="3"/>
  <c r="W207" i="3"/>
  <c r="V207" i="3"/>
  <c r="U207" i="3"/>
  <c r="T207" i="3"/>
  <c r="S207" i="3"/>
  <c r="R207" i="3"/>
  <c r="Q207" i="3"/>
  <c r="P207" i="3"/>
  <c r="O207" i="3"/>
  <c r="N207" i="3"/>
  <c r="M207" i="3"/>
  <c r="L207" i="3"/>
  <c r="K207" i="3"/>
  <c r="J207" i="3"/>
  <c r="I207" i="3"/>
  <c r="H207" i="3"/>
  <c r="G207" i="3"/>
  <c r="W206" i="3"/>
  <c r="V206" i="3"/>
  <c r="U206" i="3"/>
  <c r="T206" i="3"/>
  <c r="S206" i="3"/>
  <c r="R206" i="3"/>
  <c r="Q206" i="3"/>
  <c r="P206" i="3"/>
  <c r="O206" i="3"/>
  <c r="N206" i="3"/>
  <c r="M206" i="3"/>
  <c r="L206" i="3"/>
  <c r="K206" i="3"/>
  <c r="J206" i="3"/>
  <c r="I206" i="3"/>
  <c r="H206" i="3"/>
  <c r="G206" i="3"/>
  <c r="W205" i="3"/>
  <c r="V205" i="3"/>
  <c r="U205" i="3"/>
  <c r="T205" i="3"/>
  <c r="S205" i="3"/>
  <c r="R205" i="3"/>
  <c r="Q205" i="3"/>
  <c r="P205" i="3"/>
  <c r="O205" i="3"/>
  <c r="N205" i="3"/>
  <c r="M205" i="3"/>
  <c r="L205" i="3"/>
  <c r="K205" i="3"/>
  <c r="J205" i="3"/>
  <c r="I205" i="3"/>
  <c r="H205" i="3"/>
  <c r="G205" i="3"/>
  <c r="W204" i="3"/>
  <c r="V204" i="3"/>
  <c r="U204" i="3"/>
  <c r="T204" i="3"/>
  <c r="S204" i="3"/>
  <c r="R204" i="3"/>
  <c r="Q204" i="3"/>
  <c r="P204" i="3"/>
  <c r="O204" i="3"/>
  <c r="N204" i="3"/>
  <c r="M204" i="3"/>
  <c r="L204" i="3"/>
  <c r="K204" i="3"/>
  <c r="J204" i="3"/>
  <c r="I204" i="3"/>
  <c r="H204" i="3"/>
  <c r="G204" i="3"/>
  <c r="W203" i="3"/>
  <c r="V203" i="3"/>
  <c r="U203" i="3"/>
  <c r="T203" i="3"/>
  <c r="S203" i="3"/>
  <c r="R203" i="3"/>
  <c r="Q203" i="3"/>
  <c r="P203" i="3"/>
  <c r="O203" i="3"/>
  <c r="N203" i="3"/>
  <c r="M203" i="3"/>
  <c r="L203" i="3"/>
  <c r="K203" i="3"/>
  <c r="J203" i="3"/>
  <c r="I203" i="3"/>
  <c r="H203" i="3"/>
  <c r="G203" i="3"/>
  <c r="W202" i="3"/>
  <c r="V202" i="3"/>
  <c r="U202" i="3"/>
  <c r="T202" i="3"/>
  <c r="S202" i="3"/>
  <c r="R202" i="3"/>
  <c r="Q202" i="3"/>
  <c r="P202" i="3"/>
  <c r="O202" i="3"/>
  <c r="N202" i="3"/>
  <c r="M202" i="3"/>
  <c r="L202" i="3"/>
  <c r="K202" i="3"/>
  <c r="J202" i="3"/>
  <c r="I202" i="3"/>
  <c r="H202" i="3"/>
  <c r="G202" i="3"/>
  <c r="W201" i="3"/>
  <c r="V201" i="3"/>
  <c r="U201" i="3"/>
  <c r="T201" i="3"/>
  <c r="S201" i="3"/>
  <c r="R201" i="3"/>
  <c r="Q201" i="3"/>
  <c r="P201" i="3"/>
  <c r="O201" i="3"/>
  <c r="N201" i="3"/>
  <c r="M201" i="3"/>
  <c r="L201" i="3"/>
  <c r="K201" i="3"/>
  <c r="J201" i="3"/>
  <c r="I201" i="3"/>
  <c r="H201" i="3"/>
  <c r="G201" i="3"/>
  <c r="W200" i="3"/>
  <c r="V200" i="3"/>
  <c r="U200" i="3"/>
  <c r="T200" i="3"/>
  <c r="S200" i="3"/>
  <c r="R200" i="3"/>
  <c r="Q200" i="3"/>
  <c r="P200" i="3"/>
  <c r="O200" i="3"/>
  <c r="N200" i="3"/>
  <c r="M200" i="3"/>
  <c r="L200" i="3"/>
  <c r="K200" i="3"/>
  <c r="J200" i="3"/>
  <c r="I200" i="3"/>
  <c r="H200" i="3"/>
  <c r="G200" i="3"/>
  <c r="W199" i="3"/>
  <c r="V199" i="3"/>
  <c r="U199" i="3"/>
  <c r="T199" i="3"/>
  <c r="S199" i="3"/>
  <c r="R199" i="3"/>
  <c r="Q199" i="3"/>
  <c r="P199" i="3"/>
  <c r="O199" i="3"/>
  <c r="N199" i="3"/>
  <c r="M199" i="3"/>
  <c r="L199" i="3"/>
  <c r="K199" i="3"/>
  <c r="J199" i="3"/>
  <c r="I199" i="3"/>
  <c r="H199" i="3"/>
  <c r="G199" i="3"/>
  <c r="W198" i="3"/>
  <c r="V198" i="3"/>
  <c r="U198" i="3"/>
  <c r="T198" i="3"/>
  <c r="S198" i="3"/>
  <c r="R198" i="3"/>
  <c r="Q198" i="3"/>
  <c r="P198" i="3"/>
  <c r="O198" i="3"/>
  <c r="N198" i="3"/>
  <c r="M198" i="3"/>
  <c r="L198" i="3"/>
  <c r="K198" i="3"/>
  <c r="J198" i="3"/>
  <c r="I198" i="3"/>
  <c r="H198" i="3"/>
  <c r="G198" i="3"/>
  <c r="W197" i="3"/>
  <c r="V197" i="3"/>
  <c r="U197" i="3"/>
  <c r="T197" i="3"/>
  <c r="S197" i="3"/>
  <c r="R197" i="3"/>
  <c r="Q197" i="3"/>
  <c r="P197" i="3"/>
  <c r="O197" i="3"/>
  <c r="N197" i="3"/>
  <c r="M197" i="3"/>
  <c r="L197" i="3"/>
  <c r="K197" i="3"/>
  <c r="J197" i="3"/>
  <c r="I197" i="3"/>
  <c r="H197" i="3"/>
  <c r="G197" i="3"/>
  <c r="W196" i="3"/>
  <c r="V196" i="3"/>
  <c r="U196" i="3"/>
  <c r="T196" i="3"/>
  <c r="S196" i="3"/>
  <c r="R196" i="3"/>
  <c r="Q196" i="3"/>
  <c r="P196" i="3"/>
  <c r="O196" i="3"/>
  <c r="N196" i="3"/>
  <c r="M196" i="3"/>
  <c r="L196" i="3"/>
  <c r="K196" i="3"/>
  <c r="J196" i="3"/>
  <c r="I196" i="3"/>
  <c r="H196" i="3"/>
  <c r="G196" i="3"/>
  <c r="W195" i="3"/>
  <c r="V195" i="3"/>
  <c r="U195" i="3"/>
  <c r="T195" i="3"/>
  <c r="S195" i="3"/>
  <c r="R195" i="3"/>
  <c r="Q195" i="3"/>
  <c r="P195" i="3"/>
  <c r="O195" i="3"/>
  <c r="N195" i="3"/>
  <c r="M195" i="3"/>
  <c r="L195" i="3"/>
  <c r="K195" i="3"/>
  <c r="J195" i="3"/>
  <c r="I195" i="3"/>
  <c r="H195" i="3"/>
  <c r="G195" i="3"/>
  <c r="W194" i="3"/>
  <c r="V194" i="3"/>
  <c r="U194" i="3"/>
  <c r="T194" i="3"/>
  <c r="S194" i="3"/>
  <c r="R194" i="3"/>
  <c r="Q194" i="3"/>
  <c r="P194" i="3"/>
  <c r="O194" i="3"/>
  <c r="N194" i="3"/>
  <c r="M194" i="3"/>
  <c r="L194" i="3"/>
  <c r="K194" i="3"/>
  <c r="J194" i="3"/>
  <c r="I194" i="3"/>
  <c r="H194" i="3"/>
  <c r="G194" i="3"/>
  <c r="W193" i="3"/>
  <c r="V193" i="3"/>
  <c r="U193" i="3"/>
  <c r="T193" i="3"/>
  <c r="S193" i="3"/>
  <c r="R193" i="3"/>
  <c r="Q193" i="3"/>
  <c r="P193" i="3"/>
  <c r="O193" i="3"/>
  <c r="N193" i="3"/>
  <c r="M193" i="3"/>
  <c r="L193" i="3"/>
  <c r="K193" i="3"/>
  <c r="J193" i="3"/>
  <c r="I193" i="3"/>
  <c r="H193" i="3"/>
  <c r="G193" i="3"/>
  <c r="W192" i="3"/>
  <c r="V192" i="3"/>
  <c r="U192" i="3"/>
  <c r="T192" i="3"/>
  <c r="S192" i="3"/>
  <c r="R192" i="3"/>
  <c r="Q192" i="3"/>
  <c r="P192" i="3"/>
  <c r="O192" i="3"/>
  <c r="N192" i="3"/>
  <c r="M192" i="3"/>
  <c r="L192" i="3"/>
  <c r="K192" i="3"/>
  <c r="J192" i="3"/>
  <c r="I192" i="3"/>
  <c r="H192" i="3"/>
  <c r="G192" i="3"/>
  <c r="W191" i="3"/>
  <c r="V191" i="3"/>
  <c r="U191" i="3"/>
  <c r="T191" i="3"/>
  <c r="S191" i="3"/>
  <c r="R191" i="3"/>
  <c r="Q191" i="3"/>
  <c r="P191" i="3"/>
  <c r="O191" i="3"/>
  <c r="N191" i="3"/>
  <c r="M191" i="3"/>
  <c r="L191" i="3"/>
  <c r="K191" i="3"/>
  <c r="J191" i="3"/>
  <c r="I191" i="3"/>
  <c r="H191" i="3"/>
  <c r="G191" i="3"/>
  <c r="W190" i="3"/>
  <c r="V190" i="3"/>
  <c r="U190" i="3"/>
  <c r="T190" i="3"/>
  <c r="S190" i="3"/>
  <c r="R190" i="3"/>
  <c r="Q190" i="3"/>
  <c r="P190" i="3"/>
  <c r="O190" i="3"/>
  <c r="N190" i="3"/>
  <c r="M190" i="3"/>
  <c r="L190" i="3"/>
  <c r="K190" i="3"/>
  <c r="J190" i="3"/>
  <c r="I190" i="3"/>
  <c r="H190" i="3"/>
  <c r="G190" i="3"/>
  <c r="W189" i="3"/>
  <c r="V189" i="3"/>
  <c r="U189" i="3"/>
  <c r="T189" i="3"/>
  <c r="S189" i="3"/>
  <c r="R189" i="3"/>
  <c r="Q189" i="3"/>
  <c r="P189" i="3"/>
  <c r="O189" i="3"/>
  <c r="N189" i="3"/>
  <c r="M189" i="3"/>
  <c r="L189" i="3"/>
  <c r="K189" i="3"/>
  <c r="J189" i="3"/>
  <c r="I189" i="3"/>
  <c r="H189" i="3"/>
  <c r="G189" i="3"/>
  <c r="W188" i="3"/>
  <c r="V188" i="3"/>
  <c r="U188" i="3"/>
  <c r="T188" i="3"/>
  <c r="S188" i="3"/>
  <c r="R188" i="3"/>
  <c r="Q188" i="3"/>
  <c r="P188" i="3"/>
  <c r="O188" i="3"/>
  <c r="N188" i="3"/>
  <c r="M188" i="3"/>
  <c r="L188" i="3"/>
  <c r="K188" i="3"/>
  <c r="J188" i="3"/>
  <c r="I188" i="3"/>
  <c r="H188" i="3"/>
  <c r="G188" i="3"/>
  <c r="W187" i="3"/>
  <c r="V187" i="3"/>
  <c r="U187" i="3"/>
  <c r="T187" i="3"/>
  <c r="S187" i="3"/>
  <c r="R187" i="3"/>
  <c r="Q187" i="3"/>
  <c r="P187" i="3"/>
  <c r="O187" i="3"/>
  <c r="N187" i="3"/>
  <c r="M187" i="3"/>
  <c r="L187" i="3"/>
  <c r="K187" i="3"/>
  <c r="J187" i="3"/>
  <c r="I187" i="3"/>
  <c r="H187" i="3"/>
  <c r="G187" i="3"/>
  <c r="W186" i="3"/>
  <c r="V186" i="3"/>
  <c r="U186" i="3"/>
  <c r="T186" i="3"/>
  <c r="S186" i="3"/>
  <c r="R186" i="3"/>
  <c r="Q186" i="3"/>
  <c r="P186" i="3"/>
  <c r="O186" i="3"/>
  <c r="N186" i="3"/>
  <c r="M186" i="3"/>
  <c r="L186" i="3"/>
  <c r="K186" i="3"/>
  <c r="J186" i="3"/>
  <c r="I186" i="3"/>
  <c r="H186" i="3"/>
  <c r="G186" i="3"/>
  <c r="W185" i="3"/>
  <c r="V185" i="3"/>
  <c r="U185" i="3"/>
  <c r="T185" i="3"/>
  <c r="S185" i="3"/>
  <c r="R185" i="3"/>
  <c r="Q185" i="3"/>
  <c r="P185" i="3"/>
  <c r="O185" i="3"/>
  <c r="N185" i="3"/>
  <c r="M185" i="3"/>
  <c r="L185" i="3"/>
  <c r="K185" i="3"/>
  <c r="J185" i="3"/>
  <c r="I185" i="3"/>
  <c r="H185" i="3"/>
  <c r="G185" i="3"/>
  <c r="W184" i="3"/>
  <c r="V184" i="3"/>
  <c r="U184" i="3"/>
  <c r="T184" i="3"/>
  <c r="S184" i="3"/>
  <c r="R184" i="3"/>
  <c r="Q184" i="3"/>
  <c r="P184" i="3"/>
  <c r="O184" i="3"/>
  <c r="N184" i="3"/>
  <c r="M184" i="3"/>
  <c r="L184" i="3"/>
  <c r="K184" i="3"/>
  <c r="J184" i="3"/>
  <c r="I184" i="3"/>
  <c r="H184" i="3"/>
  <c r="G184" i="3"/>
  <c r="W183" i="3"/>
  <c r="V183" i="3"/>
  <c r="U183" i="3"/>
  <c r="T183" i="3"/>
  <c r="S183" i="3"/>
  <c r="R183" i="3"/>
  <c r="Q183" i="3"/>
  <c r="P183" i="3"/>
  <c r="O183" i="3"/>
  <c r="N183" i="3"/>
  <c r="M183" i="3"/>
  <c r="L183" i="3"/>
  <c r="K183" i="3"/>
  <c r="J183" i="3"/>
  <c r="I183" i="3"/>
  <c r="H183" i="3"/>
  <c r="G183" i="3"/>
  <c r="W182" i="3"/>
  <c r="V182" i="3"/>
  <c r="U182" i="3"/>
  <c r="T182" i="3"/>
  <c r="S182" i="3"/>
  <c r="R182" i="3"/>
  <c r="Q182" i="3"/>
  <c r="P182" i="3"/>
  <c r="O182" i="3"/>
  <c r="N182" i="3"/>
  <c r="M182" i="3"/>
  <c r="L182" i="3"/>
  <c r="K182" i="3"/>
  <c r="J182" i="3"/>
  <c r="I182" i="3"/>
  <c r="H182" i="3"/>
  <c r="G182" i="3"/>
  <c r="W181" i="3"/>
  <c r="V181" i="3"/>
  <c r="U181" i="3"/>
  <c r="T181" i="3"/>
  <c r="S181" i="3"/>
  <c r="R181" i="3"/>
  <c r="Q181" i="3"/>
  <c r="P181" i="3"/>
  <c r="O181" i="3"/>
  <c r="N181" i="3"/>
  <c r="M181" i="3"/>
  <c r="L181" i="3"/>
  <c r="K181" i="3"/>
  <c r="J181" i="3"/>
  <c r="I181" i="3"/>
  <c r="H181" i="3"/>
  <c r="G181" i="3"/>
  <c r="W180" i="3"/>
  <c r="V180" i="3"/>
  <c r="U180" i="3"/>
  <c r="T180" i="3"/>
  <c r="S180" i="3"/>
  <c r="R180" i="3"/>
  <c r="Q180" i="3"/>
  <c r="P180" i="3"/>
  <c r="O180" i="3"/>
  <c r="N180" i="3"/>
  <c r="M180" i="3"/>
  <c r="L180" i="3"/>
  <c r="K180" i="3"/>
  <c r="J180" i="3"/>
  <c r="I180" i="3"/>
  <c r="H180" i="3"/>
  <c r="G180" i="3"/>
  <c r="W179" i="3"/>
  <c r="V179" i="3"/>
  <c r="U179" i="3"/>
  <c r="T179" i="3"/>
  <c r="S179" i="3"/>
  <c r="R179" i="3"/>
  <c r="Q179" i="3"/>
  <c r="P179" i="3"/>
  <c r="O179" i="3"/>
  <c r="N179" i="3"/>
  <c r="M179" i="3"/>
  <c r="L179" i="3"/>
  <c r="K179" i="3"/>
  <c r="J179" i="3"/>
  <c r="I179" i="3"/>
  <c r="H179" i="3"/>
  <c r="G179" i="3"/>
  <c r="W178" i="3"/>
  <c r="V178" i="3"/>
  <c r="U178" i="3"/>
  <c r="T178" i="3"/>
  <c r="S178" i="3"/>
  <c r="R178" i="3"/>
  <c r="Q178" i="3"/>
  <c r="P178" i="3"/>
  <c r="O178" i="3"/>
  <c r="N178" i="3"/>
  <c r="M178" i="3"/>
  <c r="L178" i="3"/>
  <c r="K178" i="3"/>
  <c r="J178" i="3"/>
  <c r="I178" i="3"/>
  <c r="H178" i="3"/>
  <c r="G178" i="3"/>
  <c r="W177" i="3"/>
  <c r="V177" i="3"/>
  <c r="U177" i="3"/>
  <c r="T177" i="3"/>
  <c r="S177" i="3"/>
  <c r="R177" i="3"/>
  <c r="Q177" i="3"/>
  <c r="P177" i="3"/>
  <c r="O177" i="3"/>
  <c r="N177" i="3"/>
  <c r="M177" i="3"/>
  <c r="L177" i="3"/>
  <c r="K177" i="3"/>
  <c r="J177" i="3"/>
  <c r="I177" i="3"/>
  <c r="H177" i="3"/>
  <c r="G177" i="3"/>
  <c r="W176" i="3"/>
  <c r="V176" i="3"/>
  <c r="U176" i="3"/>
  <c r="T176" i="3"/>
  <c r="S176" i="3"/>
  <c r="R176" i="3"/>
  <c r="Q176" i="3"/>
  <c r="P176" i="3"/>
  <c r="O176" i="3"/>
  <c r="N176" i="3"/>
  <c r="M176" i="3"/>
  <c r="L176" i="3"/>
  <c r="K176" i="3"/>
  <c r="J176" i="3"/>
  <c r="I176" i="3"/>
  <c r="H176" i="3"/>
  <c r="G176" i="3"/>
  <c r="W175" i="3"/>
  <c r="V175" i="3"/>
  <c r="U175" i="3"/>
  <c r="T175" i="3"/>
  <c r="S175" i="3"/>
  <c r="R175" i="3"/>
  <c r="Q175" i="3"/>
  <c r="P175" i="3"/>
  <c r="O175" i="3"/>
  <c r="N175" i="3"/>
  <c r="M175" i="3"/>
  <c r="L175" i="3"/>
  <c r="K175" i="3"/>
  <c r="J175" i="3"/>
  <c r="I175" i="3"/>
  <c r="H175" i="3"/>
  <c r="G175" i="3"/>
  <c r="W174" i="3"/>
  <c r="V174" i="3"/>
  <c r="U174" i="3"/>
  <c r="T174" i="3"/>
  <c r="S174" i="3"/>
  <c r="R174" i="3"/>
  <c r="Q174" i="3"/>
  <c r="P174" i="3"/>
  <c r="O174" i="3"/>
  <c r="N174" i="3"/>
  <c r="M174" i="3"/>
  <c r="L174" i="3"/>
  <c r="K174" i="3"/>
  <c r="J174" i="3"/>
  <c r="I174" i="3"/>
  <c r="H174" i="3"/>
  <c r="G174" i="3"/>
  <c r="W173" i="3"/>
  <c r="V173" i="3"/>
  <c r="U173" i="3"/>
  <c r="T173" i="3"/>
  <c r="S173" i="3"/>
  <c r="R173" i="3"/>
  <c r="Q173" i="3"/>
  <c r="P173" i="3"/>
  <c r="O173" i="3"/>
  <c r="N173" i="3"/>
  <c r="M173" i="3"/>
  <c r="L173" i="3"/>
  <c r="K173" i="3"/>
  <c r="J173" i="3"/>
  <c r="I173" i="3"/>
  <c r="H173" i="3"/>
  <c r="G173" i="3"/>
  <c r="W172" i="3"/>
  <c r="V172" i="3"/>
  <c r="U172" i="3"/>
  <c r="T172" i="3"/>
  <c r="S172" i="3"/>
  <c r="R172" i="3"/>
  <c r="Q172" i="3"/>
  <c r="P172" i="3"/>
  <c r="O172" i="3"/>
  <c r="N172" i="3"/>
  <c r="M172" i="3"/>
  <c r="L172" i="3"/>
  <c r="K172" i="3"/>
  <c r="J172" i="3"/>
  <c r="I172" i="3"/>
  <c r="H172" i="3"/>
  <c r="G172" i="3"/>
  <c r="W171" i="3"/>
  <c r="V171" i="3"/>
  <c r="U171" i="3"/>
  <c r="T171" i="3"/>
  <c r="S171" i="3"/>
  <c r="R171" i="3"/>
  <c r="Q171" i="3"/>
  <c r="P171" i="3"/>
  <c r="O171" i="3"/>
  <c r="N171" i="3"/>
  <c r="M171" i="3"/>
  <c r="L171" i="3"/>
  <c r="K171" i="3"/>
  <c r="J171" i="3"/>
  <c r="I171" i="3"/>
  <c r="H171" i="3"/>
  <c r="G171" i="3"/>
  <c r="W170" i="3"/>
  <c r="V170" i="3"/>
  <c r="U170" i="3"/>
  <c r="T170" i="3"/>
  <c r="S170" i="3"/>
  <c r="R170" i="3"/>
  <c r="Q170" i="3"/>
  <c r="P170" i="3"/>
  <c r="O170" i="3"/>
  <c r="N170" i="3"/>
  <c r="M170" i="3"/>
  <c r="L170" i="3"/>
  <c r="K170" i="3"/>
  <c r="J170" i="3"/>
  <c r="I170" i="3"/>
  <c r="H170" i="3"/>
  <c r="G170" i="3"/>
  <c r="W169" i="3"/>
  <c r="V169" i="3"/>
  <c r="U169" i="3"/>
  <c r="T169" i="3"/>
  <c r="S169" i="3"/>
  <c r="R169" i="3"/>
  <c r="Q169" i="3"/>
  <c r="P169" i="3"/>
  <c r="O169" i="3"/>
  <c r="N169" i="3"/>
  <c r="M169" i="3"/>
  <c r="L169" i="3"/>
  <c r="K169" i="3"/>
  <c r="J169" i="3"/>
  <c r="I169" i="3"/>
  <c r="H169" i="3"/>
  <c r="G169" i="3"/>
  <c r="W168" i="3"/>
  <c r="V168" i="3"/>
  <c r="U168" i="3"/>
  <c r="T168" i="3"/>
  <c r="S168" i="3"/>
  <c r="R168" i="3"/>
  <c r="Q168" i="3"/>
  <c r="P168" i="3"/>
  <c r="O168" i="3"/>
  <c r="N168" i="3"/>
  <c r="M168" i="3"/>
  <c r="L168" i="3"/>
  <c r="K168" i="3"/>
  <c r="J168" i="3"/>
  <c r="I168" i="3"/>
  <c r="H168" i="3"/>
  <c r="G168" i="3"/>
  <c r="W167" i="3"/>
  <c r="V167" i="3"/>
  <c r="U167" i="3"/>
  <c r="T167" i="3"/>
  <c r="S167" i="3"/>
  <c r="R167" i="3"/>
  <c r="Q167" i="3"/>
  <c r="P167" i="3"/>
  <c r="O167" i="3"/>
  <c r="N167" i="3"/>
  <c r="M167" i="3"/>
  <c r="L167" i="3"/>
  <c r="K167" i="3"/>
  <c r="J167" i="3"/>
  <c r="I167" i="3"/>
  <c r="H167" i="3"/>
  <c r="G167" i="3"/>
  <c r="W166" i="3"/>
  <c r="V166" i="3"/>
  <c r="U166" i="3"/>
  <c r="T166" i="3"/>
  <c r="S166" i="3"/>
  <c r="R166" i="3"/>
  <c r="Q166" i="3"/>
  <c r="P166" i="3"/>
  <c r="O166" i="3"/>
  <c r="N166" i="3"/>
  <c r="M166" i="3"/>
  <c r="L166" i="3"/>
  <c r="K166" i="3"/>
  <c r="J166" i="3"/>
  <c r="I166" i="3"/>
  <c r="H166" i="3"/>
  <c r="G166" i="3"/>
  <c r="W165" i="3"/>
  <c r="V165" i="3"/>
  <c r="U165" i="3"/>
  <c r="T165" i="3"/>
  <c r="S165" i="3"/>
  <c r="R165" i="3"/>
  <c r="Q165" i="3"/>
  <c r="P165" i="3"/>
  <c r="O165" i="3"/>
  <c r="N165" i="3"/>
  <c r="M165" i="3"/>
  <c r="L165" i="3"/>
  <c r="K165" i="3"/>
  <c r="J165" i="3"/>
  <c r="I165" i="3"/>
  <c r="H165" i="3"/>
  <c r="G165" i="3"/>
  <c r="W164" i="3"/>
  <c r="V164" i="3"/>
  <c r="U164" i="3"/>
  <c r="T164" i="3"/>
  <c r="S164" i="3"/>
  <c r="R164" i="3"/>
  <c r="Q164" i="3"/>
  <c r="P164" i="3"/>
  <c r="O164" i="3"/>
  <c r="N164" i="3"/>
  <c r="M164" i="3"/>
  <c r="L164" i="3"/>
  <c r="K164" i="3"/>
  <c r="J164" i="3"/>
  <c r="I164" i="3"/>
  <c r="H164" i="3"/>
  <c r="G164" i="3"/>
  <c r="W163" i="3"/>
  <c r="V163" i="3"/>
  <c r="U163" i="3"/>
  <c r="T163" i="3"/>
  <c r="S163" i="3"/>
  <c r="R163" i="3"/>
  <c r="Q163" i="3"/>
  <c r="P163" i="3"/>
  <c r="O163" i="3"/>
  <c r="N163" i="3"/>
  <c r="M163" i="3"/>
  <c r="L163" i="3"/>
  <c r="K163" i="3"/>
  <c r="J163" i="3"/>
  <c r="I163" i="3"/>
  <c r="H163" i="3"/>
  <c r="G163" i="3"/>
  <c r="W162" i="3"/>
  <c r="V162" i="3"/>
  <c r="U162" i="3"/>
  <c r="T162" i="3"/>
  <c r="S162" i="3"/>
  <c r="R162" i="3"/>
  <c r="Q162" i="3"/>
  <c r="P162" i="3"/>
  <c r="O162" i="3"/>
  <c r="N162" i="3"/>
  <c r="M162" i="3"/>
  <c r="L162" i="3"/>
  <c r="K162" i="3"/>
  <c r="J162" i="3"/>
  <c r="I162" i="3"/>
  <c r="H162" i="3"/>
  <c r="G162" i="3"/>
  <c r="W161" i="3"/>
  <c r="V161" i="3"/>
  <c r="U161" i="3"/>
  <c r="T161" i="3"/>
  <c r="S161" i="3"/>
  <c r="R161" i="3"/>
  <c r="Q161" i="3"/>
  <c r="P161" i="3"/>
  <c r="O161" i="3"/>
  <c r="N161" i="3"/>
  <c r="M161" i="3"/>
  <c r="L161" i="3"/>
  <c r="K161" i="3"/>
  <c r="J161" i="3"/>
  <c r="I161" i="3"/>
  <c r="H161" i="3"/>
  <c r="G161" i="3"/>
  <c r="W160" i="3"/>
  <c r="V160" i="3"/>
  <c r="U160" i="3"/>
  <c r="T160" i="3"/>
  <c r="S160" i="3"/>
  <c r="R160" i="3"/>
  <c r="Q160" i="3"/>
  <c r="P160" i="3"/>
  <c r="O160" i="3"/>
  <c r="N160" i="3"/>
  <c r="M160" i="3"/>
  <c r="L160" i="3"/>
  <c r="K160" i="3"/>
  <c r="J160" i="3"/>
  <c r="I160" i="3"/>
  <c r="H160" i="3"/>
  <c r="G160" i="3"/>
  <c r="W159" i="3"/>
  <c r="V159" i="3"/>
  <c r="U159" i="3"/>
  <c r="T159" i="3"/>
  <c r="S159" i="3"/>
  <c r="R159" i="3"/>
  <c r="Q159" i="3"/>
  <c r="P159" i="3"/>
  <c r="O159" i="3"/>
  <c r="N159" i="3"/>
  <c r="M159" i="3"/>
  <c r="L159" i="3"/>
  <c r="K159" i="3"/>
  <c r="J159" i="3"/>
  <c r="I159" i="3"/>
  <c r="H159" i="3"/>
  <c r="G159" i="3"/>
  <c r="W158" i="3"/>
  <c r="V158" i="3"/>
  <c r="U158" i="3"/>
  <c r="T158" i="3"/>
  <c r="S158" i="3"/>
  <c r="R158" i="3"/>
  <c r="Q158" i="3"/>
  <c r="P158" i="3"/>
  <c r="O158" i="3"/>
  <c r="N158" i="3"/>
  <c r="M158" i="3"/>
  <c r="L158" i="3"/>
  <c r="K158" i="3"/>
  <c r="J158" i="3"/>
  <c r="I158" i="3"/>
  <c r="H158" i="3"/>
  <c r="G158" i="3"/>
  <c r="W157" i="3"/>
  <c r="V157" i="3"/>
  <c r="U157" i="3"/>
  <c r="T157" i="3"/>
  <c r="S157" i="3"/>
  <c r="R157" i="3"/>
  <c r="Q157" i="3"/>
  <c r="P157" i="3"/>
  <c r="O157" i="3"/>
  <c r="N157" i="3"/>
  <c r="M157" i="3"/>
  <c r="L157" i="3"/>
  <c r="K157" i="3"/>
  <c r="J157" i="3"/>
  <c r="I157" i="3"/>
  <c r="H157" i="3"/>
  <c r="G157" i="3"/>
  <c r="W156" i="3"/>
  <c r="V156" i="3"/>
  <c r="U156" i="3"/>
  <c r="T156" i="3"/>
  <c r="S156" i="3"/>
  <c r="R156" i="3"/>
  <c r="Q156" i="3"/>
  <c r="P156" i="3"/>
  <c r="O156" i="3"/>
  <c r="N156" i="3"/>
  <c r="M156" i="3"/>
  <c r="L156" i="3"/>
  <c r="K156" i="3"/>
  <c r="J156" i="3"/>
  <c r="I156" i="3"/>
  <c r="H156" i="3"/>
  <c r="G156" i="3"/>
  <c r="W155" i="3"/>
  <c r="V155" i="3"/>
  <c r="U155" i="3"/>
  <c r="T155" i="3"/>
  <c r="S155" i="3"/>
  <c r="R155" i="3"/>
  <c r="Q155" i="3"/>
  <c r="P155" i="3"/>
  <c r="O155" i="3"/>
  <c r="N155" i="3"/>
  <c r="M155" i="3"/>
  <c r="L155" i="3"/>
  <c r="K155" i="3"/>
  <c r="J155" i="3"/>
  <c r="I155" i="3"/>
  <c r="H155" i="3"/>
  <c r="G155" i="3"/>
  <c r="W154" i="3"/>
  <c r="V154" i="3"/>
  <c r="U154" i="3"/>
  <c r="T154" i="3"/>
  <c r="S154" i="3"/>
  <c r="R154" i="3"/>
  <c r="Q154" i="3"/>
  <c r="P154" i="3"/>
  <c r="O154" i="3"/>
  <c r="N154" i="3"/>
  <c r="M154" i="3"/>
  <c r="L154" i="3"/>
  <c r="K154" i="3"/>
  <c r="J154" i="3"/>
  <c r="I154" i="3"/>
  <c r="H154" i="3"/>
  <c r="G154" i="3"/>
  <c r="W153" i="3"/>
  <c r="V153" i="3"/>
  <c r="U153" i="3"/>
  <c r="T153" i="3"/>
  <c r="S153" i="3"/>
  <c r="R153" i="3"/>
  <c r="Q153" i="3"/>
  <c r="P153" i="3"/>
  <c r="O153" i="3"/>
  <c r="N153" i="3"/>
  <c r="M153" i="3"/>
  <c r="L153" i="3"/>
  <c r="K153" i="3"/>
  <c r="J153" i="3"/>
  <c r="I153" i="3"/>
  <c r="H153" i="3"/>
  <c r="G153" i="3"/>
  <c r="W152" i="3"/>
  <c r="V152" i="3"/>
  <c r="U152" i="3"/>
  <c r="T152" i="3"/>
  <c r="S152" i="3"/>
  <c r="R152" i="3"/>
  <c r="Q152" i="3"/>
  <c r="P152" i="3"/>
  <c r="O152" i="3"/>
  <c r="N152" i="3"/>
  <c r="M152" i="3"/>
  <c r="L152" i="3"/>
  <c r="K152" i="3"/>
  <c r="J152" i="3"/>
  <c r="I152" i="3"/>
  <c r="H152" i="3"/>
  <c r="G152" i="3"/>
  <c r="W151" i="3"/>
  <c r="V151" i="3"/>
  <c r="U151" i="3"/>
  <c r="T151" i="3"/>
  <c r="S151" i="3"/>
  <c r="R151" i="3"/>
  <c r="Q151" i="3"/>
  <c r="P151" i="3"/>
  <c r="O151" i="3"/>
  <c r="N151" i="3"/>
  <c r="M151" i="3"/>
  <c r="L151" i="3"/>
  <c r="K151" i="3"/>
  <c r="J151" i="3"/>
  <c r="I151" i="3"/>
  <c r="H151" i="3"/>
  <c r="G151" i="3"/>
  <c r="W150" i="3"/>
  <c r="V150" i="3"/>
  <c r="U150" i="3"/>
  <c r="T150" i="3"/>
  <c r="S150" i="3"/>
  <c r="R150" i="3"/>
  <c r="Q150" i="3"/>
  <c r="P150" i="3"/>
  <c r="O150" i="3"/>
  <c r="N150" i="3"/>
  <c r="M150" i="3"/>
  <c r="L150" i="3"/>
  <c r="K150" i="3"/>
  <c r="J150" i="3"/>
  <c r="I150" i="3"/>
  <c r="H150" i="3"/>
  <c r="G150" i="3"/>
  <c r="W149" i="3"/>
  <c r="V149" i="3"/>
  <c r="U149" i="3"/>
  <c r="T149" i="3"/>
  <c r="S149" i="3"/>
  <c r="R149" i="3"/>
  <c r="Q149" i="3"/>
  <c r="P149" i="3"/>
  <c r="O149" i="3"/>
  <c r="N149" i="3"/>
  <c r="M149" i="3"/>
  <c r="L149" i="3"/>
  <c r="K149" i="3"/>
  <c r="J149" i="3"/>
  <c r="I149" i="3"/>
  <c r="H149" i="3"/>
  <c r="G149" i="3"/>
  <c r="W148" i="3"/>
  <c r="V148" i="3"/>
  <c r="U148" i="3"/>
  <c r="T148" i="3"/>
  <c r="S148" i="3"/>
  <c r="R148" i="3"/>
  <c r="Q148" i="3"/>
  <c r="P148" i="3"/>
  <c r="O148" i="3"/>
  <c r="N148" i="3"/>
  <c r="M148" i="3"/>
  <c r="L148" i="3"/>
  <c r="K148" i="3"/>
  <c r="J148" i="3"/>
  <c r="I148" i="3"/>
  <c r="H148" i="3"/>
  <c r="G148" i="3"/>
  <c r="W147" i="3"/>
  <c r="V147" i="3"/>
  <c r="U147" i="3"/>
  <c r="T147" i="3"/>
  <c r="S147" i="3"/>
  <c r="R147" i="3"/>
  <c r="Q147" i="3"/>
  <c r="P147" i="3"/>
  <c r="O147" i="3"/>
  <c r="N147" i="3"/>
  <c r="M147" i="3"/>
  <c r="L147" i="3"/>
  <c r="K147" i="3"/>
  <c r="J147" i="3"/>
  <c r="I147" i="3"/>
  <c r="H147" i="3"/>
  <c r="G147" i="3"/>
  <c r="W146" i="3"/>
  <c r="V146" i="3"/>
  <c r="U146" i="3"/>
  <c r="T146" i="3"/>
  <c r="S146" i="3"/>
  <c r="R146" i="3"/>
  <c r="Q146" i="3"/>
  <c r="P146" i="3"/>
  <c r="O146" i="3"/>
  <c r="N146" i="3"/>
  <c r="M146" i="3"/>
  <c r="L146" i="3"/>
  <c r="K146" i="3"/>
  <c r="J146" i="3"/>
  <c r="I146" i="3"/>
  <c r="H146" i="3"/>
  <c r="G146" i="3"/>
  <c r="W145" i="3"/>
  <c r="V145" i="3"/>
  <c r="U145" i="3"/>
  <c r="T145" i="3"/>
  <c r="S145" i="3"/>
  <c r="R145" i="3"/>
  <c r="Q145" i="3"/>
  <c r="P145" i="3"/>
  <c r="O145" i="3"/>
  <c r="N145" i="3"/>
  <c r="M145" i="3"/>
  <c r="L145" i="3"/>
  <c r="K145" i="3"/>
  <c r="J145" i="3"/>
  <c r="I145" i="3"/>
  <c r="H145" i="3"/>
  <c r="G145" i="3"/>
  <c r="W144" i="3"/>
  <c r="V144" i="3"/>
  <c r="U144" i="3"/>
  <c r="T144" i="3"/>
  <c r="S144" i="3"/>
  <c r="R144" i="3"/>
  <c r="Q144" i="3"/>
  <c r="P144" i="3"/>
  <c r="O144" i="3"/>
  <c r="N144" i="3"/>
  <c r="M144" i="3"/>
  <c r="L144" i="3"/>
  <c r="K144" i="3"/>
  <c r="J144" i="3"/>
  <c r="I144" i="3"/>
  <c r="H144" i="3"/>
  <c r="G144" i="3"/>
  <c r="W143" i="3"/>
  <c r="V143" i="3"/>
  <c r="U143" i="3"/>
  <c r="T143" i="3"/>
  <c r="S143" i="3"/>
  <c r="R143" i="3"/>
  <c r="Q143" i="3"/>
  <c r="P143" i="3"/>
  <c r="O143" i="3"/>
  <c r="N143" i="3"/>
  <c r="M143" i="3"/>
  <c r="L143" i="3"/>
  <c r="K143" i="3"/>
  <c r="J143" i="3"/>
  <c r="I143" i="3"/>
  <c r="H143" i="3"/>
  <c r="G143" i="3"/>
  <c r="W142" i="3"/>
  <c r="V142" i="3"/>
  <c r="U142" i="3"/>
  <c r="T142" i="3"/>
  <c r="S142" i="3"/>
  <c r="R142" i="3"/>
  <c r="Q142" i="3"/>
  <c r="P142" i="3"/>
  <c r="O142" i="3"/>
  <c r="N142" i="3"/>
  <c r="M142" i="3"/>
  <c r="L142" i="3"/>
  <c r="K142" i="3"/>
  <c r="J142" i="3"/>
  <c r="I142" i="3"/>
  <c r="H142" i="3"/>
  <c r="G142" i="3"/>
  <c r="W141" i="3"/>
  <c r="V141" i="3"/>
  <c r="U141" i="3"/>
  <c r="T141" i="3"/>
  <c r="S141" i="3"/>
  <c r="R141" i="3"/>
  <c r="Q141" i="3"/>
  <c r="P141" i="3"/>
  <c r="O141" i="3"/>
  <c r="N141" i="3"/>
  <c r="M141" i="3"/>
  <c r="L141" i="3"/>
  <c r="K141" i="3"/>
  <c r="J141" i="3"/>
  <c r="I141" i="3"/>
  <c r="H141" i="3"/>
  <c r="G141" i="3"/>
  <c r="W140" i="3"/>
  <c r="V140" i="3"/>
  <c r="U140" i="3"/>
  <c r="T140" i="3"/>
  <c r="S140" i="3"/>
  <c r="R140" i="3"/>
  <c r="Q140" i="3"/>
  <c r="P140" i="3"/>
  <c r="O140" i="3"/>
  <c r="N140" i="3"/>
  <c r="M140" i="3"/>
  <c r="L140" i="3"/>
  <c r="K140" i="3"/>
  <c r="J140" i="3"/>
  <c r="I140" i="3"/>
  <c r="H140" i="3"/>
  <c r="G140" i="3"/>
  <c r="W139" i="3"/>
  <c r="V139" i="3"/>
  <c r="U139" i="3"/>
  <c r="T139" i="3"/>
  <c r="S139" i="3"/>
  <c r="R139" i="3"/>
  <c r="Q139" i="3"/>
  <c r="P139" i="3"/>
  <c r="O139" i="3"/>
  <c r="N139" i="3"/>
  <c r="M139" i="3"/>
  <c r="L139" i="3"/>
  <c r="K139" i="3"/>
  <c r="J139" i="3"/>
  <c r="I139" i="3"/>
  <c r="H139" i="3"/>
  <c r="G139" i="3"/>
  <c r="W138" i="3"/>
  <c r="V138" i="3"/>
  <c r="U138" i="3"/>
  <c r="T138" i="3"/>
  <c r="S138" i="3"/>
  <c r="R138" i="3"/>
  <c r="Q138" i="3"/>
  <c r="P138" i="3"/>
  <c r="O138" i="3"/>
  <c r="N138" i="3"/>
  <c r="M138" i="3"/>
  <c r="L138" i="3"/>
  <c r="K138" i="3"/>
  <c r="J138" i="3"/>
  <c r="I138" i="3"/>
  <c r="H138" i="3"/>
  <c r="G138" i="3"/>
  <c r="W137" i="3"/>
  <c r="V137" i="3"/>
  <c r="U137" i="3"/>
  <c r="T137" i="3"/>
  <c r="S137" i="3"/>
  <c r="R137" i="3"/>
  <c r="Q137" i="3"/>
  <c r="P137" i="3"/>
  <c r="O137" i="3"/>
  <c r="N137" i="3"/>
  <c r="M137" i="3"/>
  <c r="L137" i="3"/>
  <c r="K137" i="3"/>
  <c r="J137" i="3"/>
  <c r="I137" i="3"/>
  <c r="H137" i="3"/>
  <c r="G137" i="3"/>
  <c r="W136" i="3"/>
  <c r="V136" i="3"/>
  <c r="U136" i="3"/>
  <c r="T136" i="3"/>
  <c r="S136" i="3"/>
  <c r="R136" i="3"/>
  <c r="Q136" i="3"/>
  <c r="P136" i="3"/>
  <c r="O136" i="3"/>
  <c r="N136" i="3"/>
  <c r="M136" i="3"/>
  <c r="L136" i="3"/>
  <c r="K136" i="3"/>
  <c r="J136" i="3"/>
  <c r="I136" i="3"/>
  <c r="H136" i="3"/>
  <c r="G136" i="3"/>
  <c r="W135" i="3"/>
  <c r="V135" i="3"/>
  <c r="U135" i="3"/>
  <c r="T135" i="3"/>
  <c r="S135" i="3"/>
  <c r="R135" i="3"/>
  <c r="Q135" i="3"/>
  <c r="P135" i="3"/>
  <c r="O135" i="3"/>
  <c r="N135" i="3"/>
  <c r="M135" i="3"/>
  <c r="L135" i="3"/>
  <c r="K135" i="3"/>
  <c r="J135" i="3"/>
  <c r="I135" i="3"/>
  <c r="H135" i="3"/>
  <c r="G135" i="3"/>
  <c r="W134" i="3"/>
  <c r="V134" i="3"/>
  <c r="U134" i="3"/>
  <c r="T134" i="3"/>
  <c r="S134" i="3"/>
  <c r="R134" i="3"/>
  <c r="Q134" i="3"/>
  <c r="P134" i="3"/>
  <c r="O134" i="3"/>
  <c r="N134" i="3"/>
  <c r="M134" i="3"/>
  <c r="L134" i="3"/>
  <c r="K134" i="3"/>
  <c r="J134" i="3"/>
  <c r="I134" i="3"/>
  <c r="H134" i="3"/>
  <c r="G134" i="3"/>
  <c r="W133" i="3"/>
  <c r="V133" i="3"/>
  <c r="U133" i="3"/>
  <c r="T133" i="3"/>
  <c r="S133" i="3"/>
  <c r="R133" i="3"/>
  <c r="Q133" i="3"/>
  <c r="P133" i="3"/>
  <c r="O133" i="3"/>
  <c r="N133" i="3"/>
  <c r="M133" i="3"/>
  <c r="L133" i="3"/>
  <c r="K133" i="3"/>
  <c r="J133" i="3"/>
  <c r="I133" i="3"/>
  <c r="H133" i="3"/>
  <c r="G133" i="3"/>
  <c r="W132" i="3"/>
  <c r="V132" i="3"/>
  <c r="U132" i="3"/>
  <c r="T132" i="3"/>
  <c r="S132" i="3"/>
  <c r="R132" i="3"/>
  <c r="Q132" i="3"/>
  <c r="P132" i="3"/>
  <c r="O132" i="3"/>
  <c r="N132" i="3"/>
  <c r="M132" i="3"/>
  <c r="L132" i="3"/>
  <c r="K132" i="3"/>
  <c r="J132" i="3"/>
  <c r="I132" i="3"/>
  <c r="H132" i="3"/>
  <c r="G132" i="3"/>
  <c r="W131" i="3"/>
  <c r="V131" i="3"/>
  <c r="U131" i="3"/>
  <c r="T131" i="3"/>
  <c r="S131" i="3"/>
  <c r="R131" i="3"/>
  <c r="Q131" i="3"/>
  <c r="P131" i="3"/>
  <c r="O131" i="3"/>
  <c r="N131" i="3"/>
  <c r="M131" i="3"/>
  <c r="L131" i="3"/>
  <c r="K131" i="3"/>
  <c r="J131" i="3"/>
  <c r="I131" i="3"/>
  <c r="H131" i="3"/>
  <c r="G131" i="3"/>
  <c r="W130" i="3"/>
  <c r="V130" i="3"/>
  <c r="U130" i="3"/>
  <c r="T130" i="3"/>
  <c r="S130" i="3"/>
  <c r="R130" i="3"/>
  <c r="Q130" i="3"/>
  <c r="P130" i="3"/>
  <c r="O130" i="3"/>
  <c r="N130" i="3"/>
  <c r="M130" i="3"/>
  <c r="L130" i="3"/>
  <c r="K130" i="3"/>
  <c r="J130" i="3"/>
  <c r="I130" i="3"/>
  <c r="H130" i="3"/>
  <c r="G130" i="3"/>
  <c r="W129" i="3"/>
  <c r="V129" i="3"/>
  <c r="U129" i="3"/>
  <c r="T129" i="3"/>
  <c r="S129" i="3"/>
  <c r="R129" i="3"/>
  <c r="Q129" i="3"/>
  <c r="P129" i="3"/>
  <c r="O129" i="3"/>
  <c r="N129" i="3"/>
  <c r="M129" i="3"/>
  <c r="L129" i="3"/>
  <c r="K129" i="3"/>
  <c r="J129" i="3"/>
  <c r="I129" i="3"/>
  <c r="H129" i="3"/>
  <c r="G129" i="3"/>
  <c r="W128" i="3"/>
  <c r="V128" i="3"/>
  <c r="U128" i="3"/>
  <c r="T128" i="3"/>
  <c r="S128" i="3"/>
  <c r="R128" i="3"/>
  <c r="Q128" i="3"/>
  <c r="P128" i="3"/>
  <c r="O128" i="3"/>
  <c r="N128" i="3"/>
  <c r="M128" i="3"/>
  <c r="L128" i="3"/>
  <c r="K128" i="3"/>
  <c r="J128" i="3"/>
  <c r="I128" i="3"/>
  <c r="H128" i="3"/>
  <c r="G128" i="3"/>
  <c r="W127" i="3"/>
  <c r="V127" i="3"/>
  <c r="U127" i="3"/>
  <c r="T127" i="3"/>
  <c r="S127" i="3"/>
  <c r="R127" i="3"/>
  <c r="Q127" i="3"/>
  <c r="P127" i="3"/>
  <c r="O127" i="3"/>
  <c r="N127" i="3"/>
  <c r="M127" i="3"/>
  <c r="L127" i="3"/>
  <c r="K127" i="3"/>
  <c r="J127" i="3"/>
  <c r="I127" i="3"/>
  <c r="H127" i="3"/>
  <c r="G127" i="3"/>
  <c r="W126" i="3"/>
  <c r="V126" i="3"/>
  <c r="U126" i="3"/>
  <c r="T126" i="3"/>
  <c r="S126" i="3"/>
  <c r="R126" i="3"/>
  <c r="Q126" i="3"/>
  <c r="P126" i="3"/>
  <c r="O126" i="3"/>
  <c r="N126" i="3"/>
  <c r="M126" i="3"/>
  <c r="L126" i="3"/>
  <c r="K126" i="3"/>
  <c r="J126" i="3"/>
  <c r="I126" i="3"/>
  <c r="H126" i="3"/>
  <c r="G126" i="3"/>
  <c r="W125" i="3"/>
  <c r="V125" i="3"/>
  <c r="U125" i="3"/>
  <c r="T125" i="3"/>
  <c r="S125" i="3"/>
  <c r="R125" i="3"/>
  <c r="Q125" i="3"/>
  <c r="P125" i="3"/>
  <c r="O125" i="3"/>
  <c r="N125" i="3"/>
  <c r="M125" i="3"/>
  <c r="L125" i="3"/>
  <c r="K125" i="3"/>
  <c r="J125" i="3"/>
  <c r="I125" i="3"/>
  <c r="H125" i="3"/>
  <c r="G125" i="3"/>
  <c r="W124" i="3"/>
  <c r="V124" i="3"/>
  <c r="U124" i="3"/>
  <c r="T124" i="3"/>
  <c r="S124" i="3"/>
  <c r="R124" i="3"/>
  <c r="Q124" i="3"/>
  <c r="P124" i="3"/>
  <c r="O124" i="3"/>
  <c r="N124" i="3"/>
  <c r="M124" i="3"/>
  <c r="L124" i="3"/>
  <c r="K124" i="3"/>
  <c r="J124" i="3"/>
  <c r="I124" i="3"/>
  <c r="H124" i="3"/>
  <c r="G124" i="3"/>
  <c r="W123" i="3"/>
  <c r="V123" i="3"/>
  <c r="U123" i="3"/>
  <c r="T123" i="3"/>
  <c r="S123" i="3"/>
  <c r="R123" i="3"/>
  <c r="Q123" i="3"/>
  <c r="P123" i="3"/>
  <c r="O123" i="3"/>
  <c r="N123" i="3"/>
  <c r="M123" i="3"/>
  <c r="L123" i="3"/>
  <c r="K123" i="3"/>
  <c r="J123" i="3"/>
  <c r="I123" i="3"/>
  <c r="H123" i="3"/>
  <c r="G123" i="3"/>
  <c r="W122" i="3"/>
  <c r="V122" i="3"/>
  <c r="U122" i="3"/>
  <c r="T122" i="3"/>
  <c r="S122" i="3"/>
  <c r="R122" i="3"/>
  <c r="Q122" i="3"/>
  <c r="P122" i="3"/>
  <c r="O122" i="3"/>
  <c r="N122" i="3"/>
  <c r="M122" i="3"/>
  <c r="L122" i="3"/>
  <c r="K122" i="3"/>
  <c r="J122" i="3"/>
  <c r="I122" i="3"/>
  <c r="H122" i="3"/>
  <c r="G122" i="3"/>
  <c r="W121" i="3"/>
  <c r="V121" i="3"/>
  <c r="U121" i="3"/>
  <c r="T121" i="3"/>
  <c r="S121" i="3"/>
  <c r="R121" i="3"/>
  <c r="Q121" i="3"/>
  <c r="P121" i="3"/>
  <c r="O121" i="3"/>
  <c r="N121" i="3"/>
  <c r="M121" i="3"/>
  <c r="L121" i="3"/>
  <c r="K121" i="3"/>
  <c r="J121" i="3"/>
  <c r="I121" i="3"/>
  <c r="H121" i="3"/>
  <c r="G121" i="3"/>
  <c r="W120" i="3"/>
  <c r="V120" i="3"/>
  <c r="U120" i="3"/>
  <c r="T120" i="3"/>
  <c r="S120" i="3"/>
  <c r="R120" i="3"/>
  <c r="Q120" i="3"/>
  <c r="P120" i="3"/>
  <c r="O120" i="3"/>
  <c r="N120" i="3"/>
  <c r="M120" i="3"/>
  <c r="L120" i="3"/>
  <c r="K120" i="3"/>
  <c r="J120" i="3"/>
  <c r="I120" i="3"/>
  <c r="H120" i="3"/>
  <c r="G120" i="3"/>
  <c r="W119" i="3"/>
  <c r="V119" i="3"/>
  <c r="U119" i="3"/>
  <c r="T119" i="3"/>
  <c r="S119" i="3"/>
  <c r="R119" i="3"/>
  <c r="Q119" i="3"/>
  <c r="P119" i="3"/>
  <c r="O119" i="3"/>
  <c r="N119" i="3"/>
  <c r="M119" i="3"/>
  <c r="L119" i="3"/>
  <c r="K119" i="3"/>
  <c r="J119" i="3"/>
  <c r="I119" i="3"/>
  <c r="H119" i="3"/>
  <c r="G119" i="3"/>
  <c r="W118" i="3"/>
  <c r="V118" i="3"/>
  <c r="U118" i="3"/>
  <c r="T118" i="3"/>
  <c r="S118" i="3"/>
  <c r="R118" i="3"/>
  <c r="Q118" i="3"/>
  <c r="P118" i="3"/>
  <c r="O118" i="3"/>
  <c r="N118" i="3"/>
  <c r="M118" i="3"/>
  <c r="L118" i="3"/>
  <c r="K118" i="3"/>
  <c r="J118" i="3"/>
  <c r="I118" i="3"/>
  <c r="H118" i="3"/>
  <c r="G118" i="3"/>
  <c r="W117" i="3"/>
  <c r="V117" i="3"/>
  <c r="U117" i="3"/>
  <c r="T117" i="3"/>
  <c r="S117" i="3"/>
  <c r="R117" i="3"/>
  <c r="Q117" i="3"/>
  <c r="P117" i="3"/>
  <c r="O117" i="3"/>
  <c r="N117" i="3"/>
  <c r="M117" i="3"/>
  <c r="L117" i="3"/>
  <c r="K117" i="3"/>
  <c r="J117" i="3"/>
  <c r="I117" i="3"/>
  <c r="H117" i="3"/>
  <c r="G117" i="3"/>
  <c r="W116" i="3"/>
  <c r="V116" i="3"/>
  <c r="U116" i="3"/>
  <c r="T116" i="3"/>
  <c r="S116" i="3"/>
  <c r="R116" i="3"/>
  <c r="Q116" i="3"/>
  <c r="P116" i="3"/>
  <c r="O116" i="3"/>
  <c r="N116" i="3"/>
  <c r="M116" i="3"/>
  <c r="L116" i="3"/>
  <c r="K116" i="3"/>
  <c r="J116" i="3"/>
  <c r="I116" i="3"/>
  <c r="H116" i="3"/>
  <c r="G116" i="3"/>
  <c r="W115" i="3"/>
  <c r="V115" i="3"/>
  <c r="U115" i="3"/>
  <c r="T115" i="3"/>
  <c r="S115" i="3"/>
  <c r="R115" i="3"/>
  <c r="Q115" i="3"/>
  <c r="P115" i="3"/>
  <c r="O115" i="3"/>
  <c r="N115" i="3"/>
  <c r="M115" i="3"/>
  <c r="L115" i="3"/>
  <c r="K115" i="3"/>
  <c r="J115" i="3"/>
  <c r="I115" i="3"/>
  <c r="H115" i="3"/>
  <c r="G115" i="3"/>
  <c r="W114" i="3"/>
  <c r="V114" i="3"/>
  <c r="U114" i="3"/>
  <c r="T114" i="3"/>
  <c r="S114" i="3"/>
  <c r="R114" i="3"/>
  <c r="Q114" i="3"/>
  <c r="P114" i="3"/>
  <c r="O114" i="3"/>
  <c r="N114" i="3"/>
  <c r="M114" i="3"/>
  <c r="L114" i="3"/>
  <c r="K114" i="3"/>
  <c r="J114" i="3"/>
  <c r="I114" i="3"/>
  <c r="H114" i="3"/>
  <c r="G114" i="3"/>
  <c r="W113" i="3"/>
  <c r="V113" i="3"/>
  <c r="U113" i="3"/>
  <c r="T113" i="3"/>
  <c r="S113" i="3"/>
  <c r="R113" i="3"/>
  <c r="Q113" i="3"/>
  <c r="P113" i="3"/>
  <c r="O113" i="3"/>
  <c r="N113" i="3"/>
  <c r="M113" i="3"/>
  <c r="L113" i="3"/>
  <c r="K113" i="3"/>
  <c r="J113" i="3"/>
  <c r="I113" i="3"/>
  <c r="H113" i="3"/>
  <c r="G113" i="3"/>
  <c r="W112" i="3"/>
  <c r="V112" i="3"/>
  <c r="U112" i="3"/>
  <c r="T112" i="3"/>
  <c r="S112" i="3"/>
  <c r="R112" i="3"/>
  <c r="Q112" i="3"/>
  <c r="P112" i="3"/>
  <c r="O112" i="3"/>
  <c r="N112" i="3"/>
  <c r="M112" i="3"/>
  <c r="L112" i="3"/>
  <c r="K112" i="3"/>
  <c r="J112" i="3"/>
  <c r="I112" i="3"/>
  <c r="H112" i="3"/>
  <c r="G112" i="3"/>
  <c r="W111" i="3"/>
  <c r="V111" i="3"/>
  <c r="U111" i="3"/>
  <c r="T111" i="3"/>
  <c r="S111" i="3"/>
  <c r="R111" i="3"/>
  <c r="Q111" i="3"/>
  <c r="P111" i="3"/>
  <c r="O111" i="3"/>
  <c r="N111" i="3"/>
  <c r="M111" i="3"/>
  <c r="L111" i="3"/>
  <c r="K111" i="3"/>
  <c r="J111" i="3"/>
  <c r="I111" i="3"/>
  <c r="H111" i="3"/>
  <c r="G111" i="3"/>
  <c r="W110" i="3"/>
  <c r="V110" i="3"/>
  <c r="U110" i="3"/>
  <c r="T110" i="3"/>
  <c r="S110" i="3"/>
  <c r="R110" i="3"/>
  <c r="Q110" i="3"/>
  <c r="P110" i="3"/>
  <c r="O110" i="3"/>
  <c r="N110" i="3"/>
  <c r="M110" i="3"/>
  <c r="L110" i="3"/>
  <c r="K110" i="3"/>
  <c r="J110" i="3"/>
  <c r="I110" i="3"/>
  <c r="H110" i="3"/>
  <c r="G110" i="3"/>
  <c r="W109" i="3"/>
  <c r="V109" i="3"/>
  <c r="U109" i="3"/>
  <c r="T109" i="3"/>
  <c r="S109" i="3"/>
  <c r="R109" i="3"/>
  <c r="Q109" i="3"/>
  <c r="P109" i="3"/>
  <c r="O109" i="3"/>
  <c r="N109" i="3"/>
  <c r="M109" i="3"/>
  <c r="L109" i="3"/>
  <c r="K109" i="3"/>
  <c r="J109" i="3"/>
  <c r="I109" i="3"/>
  <c r="H109" i="3"/>
  <c r="G109" i="3"/>
  <c r="W108" i="3"/>
  <c r="V108" i="3"/>
  <c r="U108" i="3"/>
  <c r="T108" i="3"/>
  <c r="S108" i="3"/>
  <c r="R108" i="3"/>
  <c r="Q108" i="3"/>
  <c r="P108" i="3"/>
  <c r="O108" i="3"/>
  <c r="N108" i="3"/>
  <c r="M108" i="3"/>
  <c r="L108" i="3"/>
  <c r="K108" i="3"/>
  <c r="J108" i="3"/>
  <c r="I108" i="3"/>
  <c r="H108" i="3"/>
  <c r="G108" i="3"/>
  <c r="W107" i="3"/>
  <c r="V107" i="3"/>
  <c r="U107" i="3"/>
  <c r="T107" i="3"/>
  <c r="S107" i="3"/>
  <c r="R107" i="3"/>
  <c r="Q107" i="3"/>
  <c r="P107" i="3"/>
  <c r="O107" i="3"/>
  <c r="N107" i="3"/>
  <c r="M107" i="3"/>
  <c r="L107" i="3"/>
  <c r="K107" i="3"/>
  <c r="J107" i="3"/>
  <c r="I107" i="3"/>
  <c r="H107" i="3"/>
  <c r="G107" i="3"/>
  <c r="W106" i="3"/>
  <c r="V106" i="3"/>
  <c r="U106" i="3"/>
  <c r="T106" i="3"/>
  <c r="S106" i="3"/>
  <c r="R106" i="3"/>
  <c r="Q106" i="3"/>
  <c r="P106" i="3"/>
  <c r="O106" i="3"/>
  <c r="N106" i="3"/>
  <c r="M106" i="3"/>
  <c r="L106" i="3"/>
  <c r="K106" i="3"/>
  <c r="J106" i="3"/>
  <c r="I106" i="3"/>
  <c r="H106" i="3"/>
  <c r="G106" i="3"/>
  <c r="W105" i="3"/>
  <c r="V105" i="3"/>
  <c r="U105" i="3"/>
  <c r="T105" i="3"/>
  <c r="S105" i="3"/>
  <c r="R105" i="3"/>
  <c r="Q105" i="3"/>
  <c r="P105" i="3"/>
  <c r="O105" i="3"/>
  <c r="N105" i="3"/>
  <c r="M105" i="3"/>
  <c r="L105" i="3"/>
  <c r="K105" i="3"/>
  <c r="J105" i="3"/>
  <c r="I105" i="3"/>
  <c r="H105" i="3"/>
  <c r="G105" i="3"/>
  <c r="W104" i="3"/>
  <c r="V104" i="3"/>
  <c r="U104" i="3"/>
  <c r="T104" i="3"/>
  <c r="S104" i="3"/>
  <c r="R104" i="3"/>
  <c r="Q104" i="3"/>
  <c r="P104" i="3"/>
  <c r="O104" i="3"/>
  <c r="N104" i="3"/>
  <c r="M104" i="3"/>
  <c r="L104" i="3"/>
  <c r="K104" i="3"/>
  <c r="J104" i="3"/>
  <c r="I104" i="3"/>
  <c r="H104" i="3"/>
  <c r="G104" i="3"/>
  <c r="W103" i="3"/>
  <c r="V103" i="3"/>
  <c r="U103" i="3"/>
  <c r="T103" i="3"/>
  <c r="S103" i="3"/>
  <c r="R103" i="3"/>
  <c r="Q103" i="3"/>
  <c r="P103" i="3"/>
  <c r="O103" i="3"/>
  <c r="N103" i="3"/>
  <c r="M103" i="3"/>
  <c r="L103" i="3"/>
  <c r="K103" i="3"/>
  <c r="J103" i="3"/>
  <c r="I103" i="3"/>
  <c r="H103" i="3"/>
  <c r="G103" i="3"/>
  <c r="W102" i="3"/>
  <c r="V102" i="3"/>
  <c r="U102" i="3"/>
  <c r="T102" i="3"/>
  <c r="S102" i="3"/>
  <c r="R102" i="3"/>
  <c r="Q102" i="3"/>
  <c r="P102" i="3"/>
  <c r="O102" i="3"/>
  <c r="N102" i="3"/>
  <c r="M102" i="3"/>
  <c r="L102" i="3"/>
  <c r="K102" i="3"/>
  <c r="J102" i="3"/>
  <c r="I102" i="3"/>
  <c r="H102" i="3"/>
  <c r="G102" i="3"/>
  <c r="W101" i="3"/>
  <c r="V101" i="3"/>
  <c r="U101" i="3"/>
  <c r="T101" i="3"/>
  <c r="S101" i="3"/>
  <c r="R101" i="3"/>
  <c r="Q101" i="3"/>
  <c r="P101" i="3"/>
  <c r="O101" i="3"/>
  <c r="N101" i="3"/>
  <c r="M101" i="3"/>
  <c r="L101" i="3"/>
  <c r="K101" i="3"/>
  <c r="J101" i="3"/>
  <c r="I101" i="3"/>
  <c r="H101" i="3"/>
  <c r="G101" i="3"/>
  <c r="W100" i="3"/>
  <c r="V100" i="3"/>
  <c r="U100" i="3"/>
  <c r="T100" i="3"/>
  <c r="S100" i="3"/>
  <c r="R100" i="3"/>
  <c r="Q100" i="3"/>
  <c r="P100" i="3"/>
  <c r="O100" i="3"/>
  <c r="N100" i="3"/>
  <c r="M100" i="3"/>
  <c r="L100" i="3"/>
  <c r="K100" i="3"/>
  <c r="J100" i="3"/>
  <c r="I100" i="3"/>
  <c r="H100" i="3"/>
  <c r="G100" i="3"/>
  <c r="W99" i="3"/>
  <c r="V99" i="3"/>
  <c r="U99" i="3"/>
  <c r="T99" i="3"/>
  <c r="S99" i="3"/>
  <c r="R99" i="3"/>
  <c r="Q99" i="3"/>
  <c r="P99" i="3"/>
  <c r="O99" i="3"/>
  <c r="N99" i="3"/>
  <c r="M99" i="3"/>
  <c r="L99" i="3"/>
  <c r="K99" i="3"/>
  <c r="J99" i="3"/>
  <c r="I99" i="3"/>
  <c r="H99" i="3"/>
  <c r="G99" i="3"/>
  <c r="W98" i="3"/>
  <c r="V98" i="3"/>
  <c r="U98" i="3"/>
  <c r="T98" i="3"/>
  <c r="S98" i="3"/>
  <c r="R98" i="3"/>
  <c r="Q98" i="3"/>
  <c r="P98" i="3"/>
  <c r="O98" i="3"/>
  <c r="N98" i="3"/>
  <c r="M98" i="3"/>
  <c r="L98" i="3"/>
  <c r="K98" i="3"/>
  <c r="J98" i="3"/>
  <c r="I98" i="3"/>
  <c r="H98" i="3"/>
  <c r="G98" i="3"/>
  <c r="W97" i="3"/>
  <c r="V97" i="3"/>
  <c r="U97" i="3"/>
  <c r="T97" i="3"/>
  <c r="S97" i="3"/>
  <c r="R97" i="3"/>
  <c r="Q97" i="3"/>
  <c r="P97" i="3"/>
  <c r="O97" i="3"/>
  <c r="N97" i="3"/>
  <c r="M97" i="3"/>
  <c r="L97" i="3"/>
  <c r="K97" i="3"/>
  <c r="J97" i="3"/>
  <c r="I97" i="3"/>
  <c r="H97" i="3"/>
  <c r="G97" i="3"/>
  <c r="W96" i="3"/>
  <c r="V96" i="3"/>
  <c r="U96" i="3"/>
  <c r="T96" i="3"/>
  <c r="S96" i="3"/>
  <c r="R96" i="3"/>
  <c r="Q96" i="3"/>
  <c r="P96" i="3"/>
  <c r="O96" i="3"/>
  <c r="N96" i="3"/>
  <c r="M96" i="3"/>
  <c r="L96" i="3"/>
  <c r="K96" i="3"/>
  <c r="J96" i="3"/>
  <c r="I96" i="3"/>
  <c r="H96" i="3"/>
  <c r="G96" i="3"/>
  <c r="W95" i="3"/>
  <c r="V95" i="3"/>
  <c r="U95" i="3"/>
  <c r="T95" i="3"/>
  <c r="S95" i="3"/>
  <c r="R95" i="3"/>
  <c r="Q95" i="3"/>
  <c r="P95" i="3"/>
  <c r="O95" i="3"/>
  <c r="N95" i="3"/>
  <c r="M95" i="3"/>
  <c r="L95" i="3"/>
  <c r="K95" i="3"/>
  <c r="J95" i="3"/>
  <c r="I95" i="3"/>
  <c r="H95" i="3"/>
  <c r="G95" i="3"/>
  <c r="W94" i="3"/>
  <c r="V94" i="3"/>
  <c r="U94" i="3"/>
  <c r="T94" i="3"/>
  <c r="S94" i="3"/>
  <c r="R94" i="3"/>
  <c r="Q94" i="3"/>
  <c r="P94" i="3"/>
  <c r="O94" i="3"/>
  <c r="N94" i="3"/>
  <c r="M94" i="3"/>
  <c r="L94" i="3"/>
  <c r="K94" i="3"/>
  <c r="J94" i="3"/>
  <c r="I94" i="3"/>
  <c r="H94" i="3"/>
  <c r="G94" i="3"/>
  <c r="W93" i="3"/>
  <c r="V93" i="3"/>
  <c r="U93" i="3"/>
  <c r="T93" i="3"/>
  <c r="S93" i="3"/>
  <c r="R93" i="3"/>
  <c r="Q93" i="3"/>
  <c r="P93" i="3"/>
  <c r="O93" i="3"/>
  <c r="N93" i="3"/>
  <c r="M93" i="3"/>
  <c r="L93" i="3"/>
  <c r="K93" i="3"/>
  <c r="J93" i="3"/>
  <c r="I93" i="3"/>
  <c r="H93" i="3"/>
  <c r="G93" i="3"/>
  <c r="W92" i="3"/>
  <c r="V92" i="3"/>
  <c r="U92" i="3"/>
  <c r="T92" i="3"/>
  <c r="S92" i="3"/>
  <c r="R92" i="3"/>
  <c r="Q92" i="3"/>
  <c r="P92" i="3"/>
  <c r="O92" i="3"/>
  <c r="N92" i="3"/>
  <c r="M92" i="3"/>
  <c r="L92" i="3"/>
  <c r="K92" i="3"/>
  <c r="J92" i="3"/>
  <c r="I92" i="3"/>
  <c r="H92" i="3"/>
  <c r="G92" i="3"/>
  <c r="W91" i="3"/>
  <c r="V91" i="3"/>
  <c r="U91" i="3"/>
  <c r="T91" i="3"/>
  <c r="S91" i="3"/>
  <c r="R91" i="3"/>
  <c r="Q91" i="3"/>
  <c r="P91" i="3"/>
  <c r="O91" i="3"/>
  <c r="N91" i="3"/>
  <c r="M91" i="3"/>
  <c r="L91" i="3"/>
  <c r="K91" i="3"/>
  <c r="J91" i="3"/>
  <c r="I91" i="3"/>
  <c r="H91" i="3"/>
  <c r="G91" i="3"/>
  <c r="W90" i="3"/>
  <c r="V90" i="3"/>
  <c r="U90" i="3"/>
  <c r="T90" i="3"/>
  <c r="S90" i="3"/>
  <c r="R90" i="3"/>
  <c r="Q90" i="3"/>
  <c r="P90" i="3"/>
  <c r="O90" i="3"/>
  <c r="N90" i="3"/>
  <c r="M90" i="3"/>
  <c r="L90" i="3"/>
  <c r="K90" i="3"/>
  <c r="J90" i="3"/>
  <c r="I90" i="3"/>
  <c r="H90" i="3"/>
  <c r="G90" i="3"/>
  <c r="W89" i="3"/>
  <c r="V89" i="3"/>
  <c r="U89" i="3"/>
  <c r="T89" i="3"/>
  <c r="S89" i="3"/>
  <c r="R89" i="3"/>
  <c r="Q89" i="3"/>
  <c r="P89" i="3"/>
  <c r="O89" i="3"/>
  <c r="N89" i="3"/>
  <c r="M89" i="3"/>
  <c r="L89" i="3"/>
  <c r="K89" i="3"/>
  <c r="J89" i="3"/>
  <c r="I89" i="3"/>
  <c r="H89" i="3"/>
  <c r="G89" i="3"/>
  <c r="W88" i="3"/>
  <c r="V88" i="3"/>
  <c r="U88" i="3"/>
  <c r="T88" i="3"/>
  <c r="S88" i="3"/>
  <c r="R88" i="3"/>
  <c r="Q88" i="3"/>
  <c r="P88" i="3"/>
  <c r="O88" i="3"/>
  <c r="N88" i="3"/>
  <c r="M88" i="3"/>
  <c r="L88" i="3"/>
  <c r="K88" i="3"/>
  <c r="J88" i="3"/>
  <c r="I88" i="3"/>
  <c r="H88" i="3"/>
  <c r="G88" i="3"/>
  <c r="W87" i="3"/>
  <c r="V87" i="3"/>
  <c r="U87" i="3"/>
  <c r="T87" i="3"/>
  <c r="S87" i="3"/>
  <c r="R87" i="3"/>
  <c r="Q87" i="3"/>
  <c r="P87" i="3"/>
  <c r="O87" i="3"/>
  <c r="N87" i="3"/>
  <c r="M87" i="3"/>
  <c r="L87" i="3"/>
  <c r="K87" i="3"/>
  <c r="J87" i="3"/>
  <c r="I87" i="3"/>
  <c r="H87" i="3"/>
  <c r="G87" i="3"/>
  <c r="W86" i="3"/>
  <c r="V86" i="3"/>
  <c r="U86" i="3"/>
  <c r="T86" i="3"/>
  <c r="S86" i="3"/>
  <c r="R86" i="3"/>
  <c r="Q86" i="3"/>
  <c r="P86" i="3"/>
  <c r="O86" i="3"/>
  <c r="N86" i="3"/>
  <c r="M86" i="3"/>
  <c r="L86" i="3"/>
  <c r="K86" i="3"/>
  <c r="J86" i="3"/>
  <c r="I86" i="3"/>
  <c r="H86" i="3"/>
  <c r="G86" i="3"/>
  <c r="W85" i="3"/>
  <c r="V85" i="3"/>
  <c r="U85" i="3"/>
  <c r="T85" i="3"/>
  <c r="S85" i="3"/>
  <c r="R85" i="3"/>
  <c r="Q85" i="3"/>
  <c r="P85" i="3"/>
  <c r="O85" i="3"/>
  <c r="N85" i="3"/>
  <c r="M85" i="3"/>
  <c r="L85" i="3"/>
  <c r="K85" i="3"/>
  <c r="J85" i="3"/>
  <c r="I85" i="3"/>
  <c r="H85" i="3"/>
  <c r="G85" i="3"/>
  <c r="W84" i="3"/>
  <c r="V84" i="3"/>
  <c r="U84" i="3"/>
  <c r="T84" i="3"/>
  <c r="S84" i="3"/>
  <c r="R84" i="3"/>
  <c r="Q84" i="3"/>
  <c r="P84" i="3"/>
  <c r="O84" i="3"/>
  <c r="N84" i="3"/>
  <c r="M84" i="3"/>
  <c r="L84" i="3"/>
  <c r="K84" i="3"/>
  <c r="J84" i="3"/>
  <c r="I84" i="3"/>
  <c r="H84" i="3"/>
  <c r="G84" i="3"/>
  <c r="W83" i="3"/>
  <c r="V83" i="3"/>
  <c r="U83" i="3"/>
  <c r="T83" i="3"/>
  <c r="S83" i="3"/>
  <c r="R83" i="3"/>
  <c r="Q83" i="3"/>
  <c r="P83" i="3"/>
  <c r="O83" i="3"/>
  <c r="N83" i="3"/>
  <c r="M83" i="3"/>
  <c r="L83" i="3"/>
  <c r="K83" i="3"/>
  <c r="J83" i="3"/>
  <c r="I83" i="3"/>
  <c r="H83" i="3"/>
  <c r="G83" i="3"/>
  <c r="W82" i="3"/>
  <c r="V82" i="3"/>
  <c r="U82" i="3"/>
  <c r="T82" i="3"/>
  <c r="S82" i="3"/>
  <c r="R82" i="3"/>
  <c r="Q82" i="3"/>
  <c r="P82" i="3"/>
  <c r="O82" i="3"/>
  <c r="N82" i="3"/>
  <c r="M82" i="3"/>
  <c r="L82" i="3"/>
  <c r="K82" i="3"/>
  <c r="J82" i="3"/>
  <c r="I82" i="3"/>
  <c r="H82" i="3"/>
  <c r="G82" i="3"/>
  <c r="W81" i="3"/>
  <c r="V81" i="3"/>
  <c r="U81" i="3"/>
  <c r="T81" i="3"/>
  <c r="S81" i="3"/>
  <c r="R81" i="3"/>
  <c r="Q81" i="3"/>
  <c r="P81" i="3"/>
  <c r="O81" i="3"/>
  <c r="N81" i="3"/>
  <c r="M81" i="3"/>
  <c r="L81" i="3"/>
  <c r="K81" i="3"/>
  <c r="J81" i="3"/>
  <c r="I81" i="3"/>
  <c r="H81" i="3"/>
  <c r="G81" i="3"/>
  <c r="W80" i="3"/>
  <c r="V80" i="3"/>
  <c r="U80" i="3"/>
  <c r="T80" i="3"/>
  <c r="S80" i="3"/>
  <c r="R80" i="3"/>
  <c r="Q80" i="3"/>
  <c r="P80" i="3"/>
  <c r="O80" i="3"/>
  <c r="N80" i="3"/>
  <c r="M80" i="3"/>
  <c r="L80" i="3"/>
  <c r="K80" i="3"/>
  <c r="J80" i="3"/>
  <c r="I80" i="3"/>
  <c r="H80" i="3"/>
  <c r="G80" i="3"/>
  <c r="W79" i="3"/>
  <c r="V79" i="3"/>
  <c r="U79" i="3"/>
  <c r="T79" i="3"/>
  <c r="S79" i="3"/>
  <c r="R79" i="3"/>
  <c r="Q79" i="3"/>
  <c r="P79" i="3"/>
  <c r="O79" i="3"/>
  <c r="N79" i="3"/>
  <c r="M79" i="3"/>
  <c r="L79" i="3"/>
  <c r="K79" i="3"/>
  <c r="J79" i="3"/>
  <c r="I79" i="3"/>
  <c r="H79" i="3"/>
  <c r="G79" i="3"/>
  <c r="W78" i="3"/>
  <c r="V78" i="3"/>
  <c r="U78" i="3"/>
  <c r="T78" i="3"/>
  <c r="S78" i="3"/>
  <c r="R78" i="3"/>
  <c r="Q78" i="3"/>
  <c r="P78" i="3"/>
  <c r="O78" i="3"/>
  <c r="N78" i="3"/>
  <c r="M78" i="3"/>
  <c r="L78" i="3"/>
  <c r="K78" i="3"/>
  <c r="J78" i="3"/>
  <c r="I78" i="3"/>
  <c r="H78" i="3"/>
  <c r="G78" i="3"/>
  <c r="W77" i="3"/>
  <c r="V77" i="3"/>
  <c r="U77" i="3"/>
  <c r="T77" i="3"/>
  <c r="S77" i="3"/>
  <c r="R77" i="3"/>
  <c r="Q77" i="3"/>
  <c r="P77" i="3"/>
  <c r="O77" i="3"/>
  <c r="N77" i="3"/>
  <c r="M77" i="3"/>
  <c r="L77" i="3"/>
  <c r="K77" i="3"/>
  <c r="J77" i="3"/>
  <c r="I77" i="3"/>
  <c r="H77" i="3"/>
  <c r="G77" i="3"/>
  <c r="W76" i="3"/>
  <c r="V76" i="3"/>
  <c r="U76" i="3"/>
  <c r="T76" i="3"/>
  <c r="S76" i="3"/>
  <c r="R76" i="3"/>
  <c r="Q76" i="3"/>
  <c r="P76" i="3"/>
  <c r="O76" i="3"/>
  <c r="N76" i="3"/>
  <c r="M76" i="3"/>
  <c r="L76" i="3"/>
  <c r="K76" i="3"/>
  <c r="J76" i="3"/>
  <c r="I76" i="3"/>
  <c r="H76" i="3"/>
  <c r="G76" i="3"/>
  <c r="W75" i="3"/>
  <c r="V75" i="3"/>
  <c r="U75" i="3"/>
  <c r="T75" i="3"/>
  <c r="S75" i="3"/>
  <c r="R75" i="3"/>
  <c r="Q75" i="3"/>
  <c r="P75" i="3"/>
  <c r="O75" i="3"/>
  <c r="N75" i="3"/>
  <c r="M75" i="3"/>
  <c r="L75" i="3"/>
  <c r="K75" i="3"/>
  <c r="J75" i="3"/>
  <c r="I75" i="3"/>
  <c r="H75" i="3"/>
  <c r="G75" i="3"/>
  <c r="W74" i="3"/>
  <c r="V74" i="3"/>
  <c r="U74" i="3"/>
  <c r="T74" i="3"/>
  <c r="S74" i="3"/>
  <c r="R74" i="3"/>
  <c r="Q74" i="3"/>
  <c r="P74" i="3"/>
  <c r="O74" i="3"/>
  <c r="N74" i="3"/>
  <c r="M74" i="3"/>
  <c r="L74" i="3"/>
  <c r="K74" i="3"/>
  <c r="J74" i="3"/>
  <c r="I74" i="3"/>
  <c r="H74" i="3"/>
  <c r="G74" i="3"/>
  <c r="W73" i="3"/>
  <c r="V73" i="3"/>
  <c r="U73" i="3"/>
  <c r="T73" i="3"/>
  <c r="S73" i="3"/>
  <c r="R73" i="3"/>
  <c r="Q73" i="3"/>
  <c r="P73" i="3"/>
  <c r="O73" i="3"/>
  <c r="N73" i="3"/>
  <c r="M73" i="3"/>
  <c r="L73" i="3"/>
  <c r="K73" i="3"/>
  <c r="J73" i="3"/>
  <c r="I73" i="3"/>
  <c r="H73" i="3"/>
  <c r="G73" i="3"/>
  <c r="W72" i="3"/>
  <c r="V72" i="3"/>
  <c r="U72" i="3"/>
  <c r="T72" i="3"/>
  <c r="S72" i="3"/>
  <c r="R72" i="3"/>
  <c r="Q72" i="3"/>
  <c r="P72" i="3"/>
  <c r="O72" i="3"/>
  <c r="N72" i="3"/>
  <c r="M72" i="3"/>
  <c r="L72" i="3"/>
  <c r="K72" i="3"/>
  <c r="J72" i="3"/>
  <c r="I72" i="3"/>
  <c r="H72" i="3"/>
  <c r="G72" i="3"/>
  <c r="W71" i="3"/>
  <c r="V71" i="3"/>
  <c r="U71" i="3"/>
  <c r="T71" i="3"/>
  <c r="S71" i="3"/>
  <c r="R71" i="3"/>
  <c r="Q71" i="3"/>
  <c r="P71" i="3"/>
  <c r="O71" i="3"/>
  <c r="N71" i="3"/>
  <c r="M71" i="3"/>
  <c r="L71" i="3"/>
  <c r="K71" i="3"/>
  <c r="J71" i="3"/>
  <c r="I71" i="3"/>
  <c r="H71" i="3"/>
  <c r="G71" i="3"/>
  <c r="W70" i="3"/>
  <c r="V70" i="3"/>
  <c r="U70" i="3"/>
  <c r="T70" i="3"/>
  <c r="S70" i="3"/>
  <c r="R70" i="3"/>
  <c r="Q70" i="3"/>
  <c r="P70" i="3"/>
  <c r="O70" i="3"/>
  <c r="N70" i="3"/>
  <c r="M70" i="3"/>
  <c r="L70" i="3"/>
  <c r="K70" i="3"/>
  <c r="J70" i="3"/>
  <c r="I70" i="3"/>
  <c r="H70" i="3"/>
  <c r="G70" i="3"/>
  <c r="W69" i="3"/>
  <c r="V69" i="3"/>
  <c r="U69" i="3"/>
  <c r="T69" i="3"/>
  <c r="S69" i="3"/>
  <c r="R69" i="3"/>
  <c r="Q69" i="3"/>
  <c r="P69" i="3"/>
  <c r="O69" i="3"/>
  <c r="N69" i="3"/>
  <c r="M69" i="3"/>
  <c r="L69" i="3"/>
  <c r="K69" i="3"/>
  <c r="J69" i="3"/>
  <c r="I69" i="3"/>
  <c r="H69" i="3"/>
  <c r="G69" i="3"/>
  <c r="W68" i="3"/>
  <c r="V68" i="3"/>
  <c r="U68" i="3"/>
  <c r="T68" i="3"/>
  <c r="S68" i="3"/>
  <c r="R68" i="3"/>
  <c r="Q68" i="3"/>
  <c r="P68" i="3"/>
  <c r="O68" i="3"/>
  <c r="N68" i="3"/>
  <c r="M68" i="3"/>
  <c r="L68" i="3"/>
  <c r="K68" i="3"/>
  <c r="J68" i="3"/>
  <c r="I68" i="3"/>
  <c r="H68" i="3"/>
  <c r="G68" i="3"/>
  <c r="W67" i="3"/>
  <c r="V67" i="3"/>
  <c r="U67" i="3"/>
  <c r="T67" i="3"/>
  <c r="S67" i="3"/>
  <c r="R67" i="3"/>
  <c r="Q67" i="3"/>
  <c r="P67" i="3"/>
  <c r="O67" i="3"/>
  <c r="N67" i="3"/>
  <c r="M67" i="3"/>
  <c r="L67" i="3"/>
  <c r="K67" i="3"/>
  <c r="J67" i="3"/>
  <c r="I67" i="3"/>
  <c r="H67" i="3"/>
  <c r="G67" i="3"/>
  <c r="W66" i="3"/>
  <c r="V66" i="3"/>
  <c r="U66" i="3"/>
  <c r="T66" i="3"/>
  <c r="S66" i="3"/>
  <c r="R66" i="3"/>
  <c r="Q66" i="3"/>
  <c r="P66" i="3"/>
  <c r="O66" i="3"/>
  <c r="N66" i="3"/>
  <c r="M66" i="3"/>
  <c r="L66" i="3"/>
  <c r="K66" i="3"/>
  <c r="J66" i="3"/>
  <c r="I66" i="3"/>
  <c r="H66" i="3"/>
  <c r="G66" i="3"/>
  <c r="W65" i="3"/>
  <c r="V65" i="3"/>
  <c r="U65" i="3"/>
  <c r="T65" i="3"/>
  <c r="S65" i="3"/>
  <c r="R65" i="3"/>
  <c r="Q65" i="3"/>
  <c r="P65" i="3"/>
  <c r="O65" i="3"/>
  <c r="N65" i="3"/>
  <c r="M65" i="3"/>
  <c r="L65" i="3"/>
  <c r="K65" i="3"/>
  <c r="J65" i="3"/>
  <c r="I65" i="3"/>
  <c r="H65" i="3"/>
  <c r="G65" i="3"/>
  <c r="W64" i="3"/>
  <c r="V64" i="3"/>
  <c r="U64" i="3"/>
  <c r="T64" i="3"/>
  <c r="S64" i="3"/>
  <c r="R64" i="3"/>
  <c r="Q64" i="3"/>
  <c r="P64" i="3"/>
  <c r="O64" i="3"/>
  <c r="N64" i="3"/>
  <c r="M64" i="3"/>
  <c r="L64" i="3"/>
  <c r="K64" i="3"/>
  <c r="J64" i="3"/>
  <c r="I64" i="3"/>
  <c r="H64" i="3"/>
  <c r="G64" i="3"/>
  <c r="W63" i="3"/>
  <c r="V63" i="3"/>
  <c r="U63" i="3"/>
  <c r="T63" i="3"/>
  <c r="S63" i="3"/>
  <c r="R63" i="3"/>
  <c r="Q63" i="3"/>
  <c r="P63" i="3"/>
  <c r="O63" i="3"/>
  <c r="N63" i="3"/>
  <c r="M63" i="3"/>
  <c r="L63" i="3"/>
  <c r="K63" i="3"/>
  <c r="J63" i="3"/>
  <c r="I63" i="3"/>
  <c r="H63" i="3"/>
  <c r="G63" i="3"/>
  <c r="W62" i="3"/>
  <c r="V62" i="3"/>
  <c r="U62" i="3"/>
  <c r="T62" i="3"/>
  <c r="S62" i="3"/>
  <c r="R62" i="3"/>
  <c r="Q62" i="3"/>
  <c r="P62" i="3"/>
  <c r="O62" i="3"/>
  <c r="N62" i="3"/>
  <c r="M62" i="3"/>
  <c r="L62" i="3"/>
  <c r="K62" i="3"/>
  <c r="J62" i="3"/>
  <c r="I62" i="3"/>
  <c r="H62" i="3"/>
  <c r="G62" i="3"/>
  <c r="W61" i="3"/>
  <c r="V61" i="3"/>
  <c r="U61" i="3"/>
  <c r="T61" i="3"/>
  <c r="S61" i="3"/>
  <c r="R61" i="3"/>
  <c r="Q61" i="3"/>
  <c r="P61" i="3"/>
  <c r="O61" i="3"/>
  <c r="N61" i="3"/>
  <c r="M61" i="3"/>
  <c r="L61" i="3"/>
  <c r="K61" i="3"/>
  <c r="J61" i="3"/>
  <c r="I61" i="3"/>
  <c r="H61" i="3"/>
  <c r="G61" i="3"/>
  <c r="W60" i="3"/>
  <c r="V60" i="3"/>
  <c r="U60" i="3"/>
  <c r="T60" i="3"/>
  <c r="S60" i="3"/>
  <c r="R60" i="3"/>
  <c r="Q60" i="3"/>
  <c r="P60" i="3"/>
  <c r="O60" i="3"/>
  <c r="N60" i="3"/>
  <c r="M60" i="3"/>
  <c r="L60" i="3"/>
  <c r="K60" i="3"/>
  <c r="J60" i="3"/>
  <c r="I60" i="3"/>
  <c r="H60" i="3"/>
  <c r="G60" i="3"/>
  <c r="W59" i="3"/>
  <c r="V59" i="3"/>
  <c r="U59" i="3"/>
  <c r="T59" i="3"/>
  <c r="S59" i="3"/>
  <c r="R59" i="3"/>
  <c r="Q59" i="3"/>
  <c r="P59" i="3"/>
  <c r="O59" i="3"/>
  <c r="N59" i="3"/>
  <c r="M59" i="3"/>
  <c r="L59" i="3"/>
  <c r="K59" i="3"/>
  <c r="J59" i="3"/>
  <c r="I59" i="3"/>
  <c r="H59" i="3"/>
  <c r="G59" i="3"/>
  <c r="W58" i="3"/>
  <c r="V58" i="3"/>
  <c r="U58" i="3"/>
  <c r="T58" i="3"/>
  <c r="S58" i="3"/>
  <c r="R58" i="3"/>
  <c r="Q58" i="3"/>
  <c r="P58" i="3"/>
  <c r="O58" i="3"/>
  <c r="N58" i="3"/>
  <c r="M58" i="3"/>
  <c r="L58" i="3"/>
  <c r="K58" i="3"/>
  <c r="J58" i="3"/>
  <c r="I58" i="3"/>
  <c r="H58" i="3"/>
  <c r="G58" i="3"/>
  <c r="W57" i="3"/>
  <c r="V57" i="3"/>
  <c r="U57" i="3"/>
  <c r="T57" i="3"/>
  <c r="S57" i="3"/>
  <c r="R57" i="3"/>
  <c r="Q57" i="3"/>
  <c r="P57" i="3"/>
  <c r="O57" i="3"/>
  <c r="N57" i="3"/>
  <c r="M57" i="3"/>
  <c r="L57" i="3"/>
  <c r="K57" i="3"/>
  <c r="J57" i="3"/>
  <c r="I57" i="3"/>
  <c r="H57" i="3"/>
  <c r="G57" i="3"/>
  <c r="W56" i="3"/>
  <c r="V56" i="3"/>
  <c r="U56" i="3"/>
  <c r="T56" i="3"/>
  <c r="S56" i="3"/>
  <c r="R56" i="3"/>
  <c r="Q56" i="3"/>
  <c r="P56" i="3"/>
  <c r="O56" i="3"/>
  <c r="N56" i="3"/>
  <c r="M56" i="3"/>
  <c r="L56" i="3"/>
  <c r="K56" i="3"/>
  <c r="J56" i="3"/>
  <c r="I56" i="3"/>
  <c r="H56" i="3"/>
  <c r="G56" i="3"/>
  <c r="W55" i="3"/>
  <c r="V55" i="3"/>
  <c r="U55" i="3"/>
  <c r="T55" i="3"/>
  <c r="S55" i="3"/>
  <c r="R55" i="3"/>
  <c r="Q55" i="3"/>
  <c r="P55" i="3"/>
  <c r="O55" i="3"/>
  <c r="N55" i="3"/>
  <c r="M55" i="3"/>
  <c r="L55" i="3"/>
  <c r="K55" i="3"/>
  <c r="J55" i="3"/>
  <c r="I55" i="3"/>
  <c r="H55" i="3"/>
  <c r="G55" i="3"/>
  <c r="W54" i="3"/>
  <c r="V54" i="3"/>
  <c r="U54" i="3"/>
  <c r="T54" i="3"/>
  <c r="S54" i="3"/>
  <c r="R54" i="3"/>
  <c r="Q54" i="3"/>
  <c r="P54" i="3"/>
  <c r="O54" i="3"/>
  <c r="N54" i="3"/>
  <c r="M54" i="3"/>
  <c r="L54" i="3"/>
  <c r="K54" i="3"/>
  <c r="J54" i="3"/>
  <c r="I54" i="3"/>
  <c r="H54" i="3"/>
  <c r="G54" i="3"/>
  <c r="W53" i="3"/>
  <c r="V53" i="3"/>
  <c r="U53" i="3"/>
  <c r="T53" i="3"/>
  <c r="S53" i="3"/>
  <c r="R53" i="3"/>
  <c r="Q53" i="3"/>
  <c r="P53" i="3"/>
  <c r="O53" i="3"/>
  <c r="N53" i="3"/>
  <c r="M53" i="3"/>
  <c r="L53" i="3"/>
  <c r="K53" i="3"/>
  <c r="J53" i="3"/>
  <c r="I53" i="3"/>
  <c r="H53" i="3"/>
  <c r="G53" i="3"/>
  <c r="W52" i="3"/>
  <c r="V52" i="3"/>
  <c r="U52" i="3"/>
  <c r="T52" i="3"/>
  <c r="S52" i="3"/>
  <c r="R52" i="3"/>
  <c r="Q52" i="3"/>
  <c r="P52" i="3"/>
  <c r="O52" i="3"/>
  <c r="N52" i="3"/>
  <c r="M52" i="3"/>
  <c r="L52" i="3"/>
  <c r="K52" i="3"/>
  <c r="J52" i="3"/>
  <c r="I52" i="3"/>
  <c r="H52" i="3"/>
  <c r="G52" i="3"/>
  <c r="W51" i="3"/>
  <c r="V51" i="3"/>
  <c r="U51" i="3"/>
  <c r="T51" i="3"/>
  <c r="S51" i="3"/>
  <c r="R51" i="3"/>
  <c r="Q51" i="3"/>
  <c r="P51" i="3"/>
  <c r="O51" i="3"/>
  <c r="N51" i="3"/>
  <c r="M51" i="3"/>
  <c r="L51" i="3"/>
  <c r="K51" i="3"/>
  <c r="J51" i="3"/>
  <c r="I51" i="3"/>
  <c r="H51" i="3"/>
  <c r="G51" i="3"/>
  <c r="W50" i="3"/>
  <c r="V50" i="3"/>
  <c r="U50" i="3"/>
  <c r="T50" i="3"/>
  <c r="S50" i="3"/>
  <c r="R50" i="3"/>
  <c r="Q50" i="3"/>
  <c r="P50" i="3"/>
  <c r="O50" i="3"/>
  <c r="N50" i="3"/>
  <c r="M50" i="3"/>
  <c r="L50" i="3"/>
  <c r="K50" i="3"/>
  <c r="J50" i="3"/>
  <c r="I50" i="3"/>
  <c r="H50" i="3"/>
  <c r="G50" i="3"/>
  <c r="W49" i="3"/>
  <c r="V49" i="3"/>
  <c r="U49" i="3"/>
  <c r="T49" i="3"/>
  <c r="S49" i="3"/>
  <c r="R49" i="3"/>
  <c r="Q49" i="3"/>
  <c r="P49" i="3"/>
  <c r="O49" i="3"/>
  <c r="N49" i="3"/>
  <c r="M49" i="3"/>
  <c r="L49" i="3"/>
  <c r="K49" i="3"/>
  <c r="J49" i="3"/>
  <c r="I49" i="3"/>
  <c r="H49" i="3"/>
  <c r="G49" i="3"/>
  <c r="W48" i="3"/>
  <c r="V48" i="3"/>
  <c r="U48" i="3"/>
  <c r="T48" i="3"/>
  <c r="S48" i="3"/>
  <c r="R48" i="3"/>
  <c r="Q48" i="3"/>
  <c r="P48" i="3"/>
  <c r="O48" i="3"/>
  <c r="N48" i="3"/>
  <c r="M48" i="3"/>
  <c r="L48" i="3"/>
  <c r="K48" i="3"/>
  <c r="J48" i="3"/>
  <c r="I48" i="3"/>
  <c r="H48" i="3"/>
  <c r="G48" i="3"/>
  <c r="W47" i="3"/>
  <c r="V47" i="3"/>
  <c r="U47" i="3"/>
  <c r="T47" i="3"/>
  <c r="S47" i="3"/>
  <c r="R47" i="3"/>
  <c r="Q47" i="3"/>
  <c r="P47" i="3"/>
  <c r="O47" i="3"/>
  <c r="N47" i="3"/>
  <c r="M47" i="3"/>
  <c r="L47" i="3"/>
  <c r="K47" i="3"/>
  <c r="J47" i="3"/>
  <c r="I47" i="3"/>
  <c r="H47" i="3"/>
  <c r="G47" i="3"/>
  <c r="W46" i="3"/>
  <c r="V46" i="3"/>
  <c r="U46" i="3"/>
  <c r="T46" i="3"/>
  <c r="S46" i="3"/>
  <c r="R46" i="3"/>
  <c r="Q46" i="3"/>
  <c r="P46" i="3"/>
  <c r="O46" i="3"/>
  <c r="N46" i="3"/>
  <c r="M46" i="3"/>
  <c r="L46" i="3"/>
  <c r="K46" i="3"/>
  <c r="J46" i="3"/>
  <c r="I46" i="3"/>
  <c r="H46" i="3"/>
  <c r="G46" i="3"/>
  <c r="W45" i="3"/>
  <c r="V45" i="3"/>
  <c r="U45" i="3"/>
  <c r="T45" i="3"/>
  <c r="S45" i="3"/>
  <c r="R45" i="3"/>
  <c r="Q45" i="3"/>
  <c r="P45" i="3"/>
  <c r="O45" i="3"/>
  <c r="N45" i="3"/>
  <c r="M45" i="3"/>
  <c r="L45" i="3"/>
  <c r="K45" i="3"/>
  <c r="J45" i="3"/>
  <c r="I45" i="3"/>
  <c r="H45" i="3"/>
  <c r="G45" i="3"/>
  <c r="W44" i="3"/>
  <c r="V44" i="3"/>
  <c r="U44" i="3"/>
  <c r="T44" i="3"/>
  <c r="S44" i="3"/>
  <c r="R44" i="3"/>
  <c r="Q44" i="3"/>
  <c r="P44" i="3"/>
  <c r="O44" i="3"/>
  <c r="N44" i="3"/>
  <c r="M44" i="3"/>
  <c r="L44" i="3"/>
  <c r="K44" i="3"/>
  <c r="J44" i="3"/>
  <c r="I44" i="3"/>
  <c r="H44" i="3"/>
  <c r="G44" i="3"/>
  <c r="W43" i="3"/>
  <c r="V43" i="3"/>
  <c r="U43" i="3"/>
  <c r="T43" i="3"/>
  <c r="S43" i="3"/>
  <c r="R43" i="3"/>
  <c r="Q43" i="3"/>
  <c r="P43" i="3"/>
  <c r="O43" i="3"/>
  <c r="N43" i="3"/>
  <c r="M43" i="3"/>
  <c r="L43" i="3"/>
  <c r="K43" i="3"/>
  <c r="J43" i="3"/>
  <c r="I43" i="3"/>
  <c r="H43" i="3"/>
  <c r="G43" i="3"/>
  <c r="W42" i="3"/>
  <c r="V42" i="3"/>
  <c r="U42" i="3"/>
  <c r="T42" i="3"/>
  <c r="S42" i="3"/>
  <c r="R42" i="3"/>
  <c r="Q42" i="3"/>
  <c r="P42" i="3"/>
  <c r="O42" i="3"/>
  <c r="N42" i="3"/>
  <c r="M42" i="3"/>
  <c r="L42" i="3"/>
  <c r="K42" i="3"/>
  <c r="J42" i="3"/>
  <c r="I42" i="3"/>
  <c r="H42" i="3"/>
  <c r="G42" i="3"/>
  <c r="W41" i="3"/>
  <c r="V41" i="3"/>
  <c r="U41" i="3"/>
  <c r="T41" i="3"/>
  <c r="S41" i="3"/>
  <c r="R41" i="3"/>
  <c r="Q41" i="3"/>
  <c r="P41" i="3"/>
  <c r="O41" i="3"/>
  <c r="N41" i="3"/>
  <c r="M41" i="3"/>
  <c r="L41" i="3"/>
  <c r="K41" i="3"/>
  <c r="J41" i="3"/>
  <c r="I41" i="3"/>
  <c r="H41" i="3"/>
  <c r="G41" i="3"/>
  <c r="W40" i="3"/>
  <c r="V40" i="3"/>
  <c r="U40" i="3"/>
  <c r="T40" i="3"/>
  <c r="S40" i="3"/>
  <c r="R40" i="3"/>
  <c r="Q40" i="3"/>
  <c r="P40" i="3"/>
  <c r="O40" i="3"/>
  <c r="N40" i="3"/>
  <c r="M40" i="3"/>
  <c r="L40" i="3"/>
  <c r="K40" i="3"/>
  <c r="J40" i="3"/>
  <c r="I40" i="3"/>
  <c r="H40" i="3"/>
  <c r="G40" i="3"/>
  <c r="W39" i="3"/>
  <c r="V39" i="3"/>
  <c r="U39" i="3"/>
  <c r="T39" i="3"/>
  <c r="S39" i="3"/>
  <c r="R39" i="3"/>
  <c r="Q39" i="3"/>
  <c r="P39" i="3"/>
  <c r="O39" i="3"/>
  <c r="N39" i="3"/>
  <c r="M39" i="3"/>
  <c r="L39" i="3"/>
  <c r="K39" i="3"/>
  <c r="J39" i="3"/>
  <c r="I39" i="3"/>
  <c r="H39" i="3"/>
  <c r="G39" i="3"/>
  <c r="W38" i="3"/>
  <c r="V38" i="3"/>
  <c r="U38" i="3"/>
  <c r="T38" i="3"/>
  <c r="S38" i="3"/>
  <c r="R38" i="3"/>
  <c r="Q38" i="3"/>
  <c r="P38" i="3"/>
  <c r="O38" i="3"/>
  <c r="N38" i="3"/>
  <c r="M38" i="3"/>
  <c r="L38" i="3"/>
  <c r="K38" i="3"/>
  <c r="J38" i="3"/>
  <c r="I38" i="3"/>
  <c r="H38" i="3"/>
  <c r="G38" i="3"/>
  <c r="W37" i="3"/>
  <c r="V37" i="3"/>
  <c r="U37" i="3"/>
  <c r="T37" i="3"/>
  <c r="S37" i="3"/>
  <c r="R37" i="3"/>
  <c r="Q37" i="3"/>
  <c r="P37" i="3"/>
  <c r="O37" i="3"/>
  <c r="N37" i="3"/>
  <c r="M37" i="3"/>
  <c r="L37" i="3"/>
  <c r="K37" i="3"/>
  <c r="J37" i="3"/>
  <c r="I37" i="3"/>
  <c r="H37" i="3"/>
  <c r="G37" i="3"/>
  <c r="W36" i="3"/>
  <c r="V36" i="3"/>
  <c r="U36" i="3"/>
  <c r="T36" i="3"/>
  <c r="S36" i="3"/>
  <c r="R36" i="3"/>
  <c r="Q36" i="3"/>
  <c r="P36" i="3"/>
  <c r="O36" i="3"/>
  <c r="N36" i="3"/>
  <c r="M36" i="3"/>
  <c r="L36" i="3"/>
  <c r="K36" i="3"/>
  <c r="J36" i="3"/>
  <c r="I36" i="3"/>
  <c r="H36" i="3"/>
  <c r="G36" i="3"/>
  <c r="W35" i="3"/>
  <c r="V35" i="3"/>
  <c r="U35" i="3"/>
  <c r="T35" i="3"/>
  <c r="S35" i="3"/>
  <c r="R35" i="3"/>
  <c r="Q35" i="3"/>
  <c r="P35" i="3"/>
  <c r="O35" i="3"/>
  <c r="N35" i="3"/>
  <c r="M35" i="3"/>
  <c r="L35" i="3"/>
  <c r="K35" i="3"/>
  <c r="J35" i="3"/>
  <c r="I35" i="3"/>
  <c r="H35" i="3"/>
  <c r="G35" i="3"/>
  <c r="W34" i="3"/>
  <c r="V34" i="3"/>
  <c r="U34" i="3"/>
  <c r="T34" i="3"/>
  <c r="S34" i="3"/>
  <c r="R34" i="3"/>
  <c r="Q34" i="3"/>
  <c r="P34" i="3"/>
  <c r="O34" i="3"/>
  <c r="N34" i="3"/>
  <c r="M34" i="3"/>
  <c r="L34" i="3"/>
  <c r="K34" i="3"/>
  <c r="J34" i="3"/>
  <c r="I34" i="3"/>
  <c r="H34" i="3"/>
  <c r="G34" i="3"/>
  <c r="W33" i="3"/>
  <c r="V33" i="3"/>
  <c r="U33" i="3"/>
  <c r="T33" i="3"/>
  <c r="S33" i="3"/>
  <c r="R33" i="3"/>
  <c r="Q33" i="3"/>
  <c r="P33" i="3"/>
  <c r="O33" i="3"/>
  <c r="N33" i="3"/>
  <c r="M33" i="3"/>
  <c r="L33" i="3"/>
  <c r="K33" i="3"/>
  <c r="J33" i="3"/>
  <c r="I33" i="3"/>
  <c r="H33" i="3"/>
  <c r="G33" i="3"/>
  <c r="W32" i="3"/>
  <c r="V32" i="3"/>
  <c r="U32" i="3"/>
  <c r="T32" i="3"/>
  <c r="S32" i="3"/>
  <c r="R32" i="3"/>
  <c r="Q32" i="3"/>
  <c r="P32" i="3"/>
  <c r="O32" i="3"/>
  <c r="N32" i="3"/>
  <c r="M32" i="3"/>
  <c r="L32" i="3"/>
  <c r="K32" i="3"/>
  <c r="J32" i="3"/>
  <c r="I32" i="3"/>
  <c r="H32" i="3"/>
  <c r="G32" i="3"/>
  <c r="W31" i="3"/>
  <c r="V31" i="3"/>
  <c r="U31" i="3"/>
  <c r="T31" i="3"/>
  <c r="S31" i="3"/>
  <c r="R31" i="3"/>
  <c r="Q31" i="3"/>
  <c r="P31" i="3"/>
  <c r="O31" i="3"/>
  <c r="N31" i="3"/>
  <c r="M31" i="3"/>
  <c r="L31" i="3"/>
  <c r="K31" i="3"/>
  <c r="J31" i="3"/>
  <c r="I31" i="3"/>
  <c r="H31" i="3"/>
  <c r="G31" i="3"/>
  <c r="W30" i="3"/>
  <c r="V30" i="3"/>
  <c r="U30" i="3"/>
  <c r="T30" i="3"/>
  <c r="S30" i="3"/>
  <c r="R30" i="3"/>
  <c r="Q30" i="3"/>
  <c r="P30" i="3"/>
  <c r="O30" i="3"/>
  <c r="N30" i="3"/>
  <c r="M30" i="3"/>
  <c r="L30" i="3"/>
  <c r="K30" i="3"/>
  <c r="J30" i="3"/>
  <c r="I30" i="3"/>
  <c r="H30" i="3"/>
  <c r="G30" i="3"/>
  <c r="W29" i="3"/>
  <c r="V29" i="3"/>
  <c r="U29" i="3"/>
  <c r="T29" i="3"/>
  <c r="S29" i="3"/>
  <c r="R29" i="3"/>
  <c r="Q29" i="3"/>
  <c r="P29" i="3"/>
  <c r="O29" i="3"/>
  <c r="N29" i="3"/>
  <c r="M29" i="3"/>
  <c r="L29" i="3"/>
  <c r="K29" i="3"/>
  <c r="J29" i="3"/>
  <c r="I29" i="3"/>
  <c r="H29" i="3"/>
  <c r="G29" i="3"/>
  <c r="W28" i="3"/>
  <c r="V28" i="3"/>
  <c r="U28" i="3"/>
  <c r="T28" i="3"/>
  <c r="S28" i="3"/>
  <c r="R28" i="3"/>
  <c r="Q28" i="3"/>
  <c r="P28" i="3"/>
  <c r="O28" i="3"/>
  <c r="N28" i="3"/>
  <c r="M28" i="3"/>
  <c r="L28" i="3"/>
  <c r="K28" i="3"/>
  <c r="J28" i="3"/>
  <c r="I28" i="3"/>
  <c r="H28" i="3"/>
  <c r="G28" i="3"/>
  <c r="W27" i="3"/>
  <c r="V27" i="3"/>
  <c r="U27" i="3"/>
  <c r="T27" i="3"/>
  <c r="S27" i="3"/>
  <c r="R27" i="3"/>
  <c r="Q27" i="3"/>
  <c r="P27" i="3"/>
  <c r="O27" i="3"/>
  <c r="N27" i="3"/>
  <c r="M27" i="3"/>
  <c r="L27" i="3"/>
  <c r="K27" i="3"/>
  <c r="J27" i="3"/>
  <c r="I27" i="3"/>
  <c r="H27" i="3"/>
  <c r="G27" i="3"/>
  <c r="W26" i="3"/>
  <c r="V26" i="3"/>
  <c r="U26" i="3"/>
  <c r="T26" i="3"/>
  <c r="S26" i="3"/>
  <c r="R26" i="3"/>
  <c r="Q26" i="3"/>
  <c r="P26" i="3"/>
  <c r="O26" i="3"/>
  <c r="N26" i="3"/>
  <c r="M26" i="3"/>
  <c r="L26" i="3"/>
  <c r="K26" i="3"/>
  <c r="J26" i="3"/>
  <c r="I26" i="3"/>
  <c r="H26" i="3"/>
  <c r="G26" i="3"/>
  <c r="W25" i="3"/>
  <c r="V25" i="3"/>
  <c r="U25" i="3"/>
  <c r="T25" i="3"/>
  <c r="S25" i="3"/>
  <c r="R25" i="3"/>
  <c r="Q25" i="3"/>
  <c r="P25" i="3"/>
  <c r="O25" i="3"/>
  <c r="N25" i="3"/>
  <c r="M25" i="3"/>
  <c r="L25" i="3"/>
  <c r="K25" i="3"/>
  <c r="J25" i="3"/>
  <c r="I25" i="3"/>
  <c r="H25" i="3"/>
  <c r="G25" i="3"/>
  <c r="W24" i="3"/>
  <c r="V24" i="3"/>
  <c r="U24" i="3"/>
  <c r="T24" i="3"/>
  <c r="S24" i="3"/>
  <c r="R24" i="3"/>
  <c r="Q24" i="3"/>
  <c r="P24" i="3"/>
  <c r="O24" i="3"/>
  <c r="N24" i="3"/>
  <c r="M24" i="3"/>
  <c r="L24" i="3"/>
  <c r="K24" i="3"/>
  <c r="J24" i="3"/>
  <c r="I24" i="3"/>
  <c r="H24" i="3"/>
  <c r="G24" i="3"/>
  <c r="W23" i="3"/>
  <c r="V23" i="3"/>
  <c r="U23" i="3"/>
  <c r="T23" i="3"/>
  <c r="S23" i="3"/>
  <c r="R23" i="3"/>
  <c r="Q23" i="3"/>
  <c r="P23" i="3"/>
  <c r="O23" i="3"/>
  <c r="N23" i="3"/>
  <c r="M23" i="3"/>
  <c r="L23" i="3"/>
  <c r="K23" i="3"/>
  <c r="J23" i="3"/>
  <c r="I23" i="3"/>
  <c r="H23" i="3"/>
  <c r="G23" i="3"/>
  <c r="W22" i="3"/>
  <c r="V22" i="3"/>
  <c r="U22" i="3"/>
  <c r="T22" i="3"/>
  <c r="S22" i="3"/>
  <c r="R22" i="3"/>
  <c r="Q22" i="3"/>
  <c r="P22" i="3"/>
  <c r="O22" i="3"/>
  <c r="N22" i="3"/>
  <c r="M22" i="3"/>
  <c r="L22" i="3"/>
  <c r="K22" i="3"/>
  <c r="J22" i="3"/>
  <c r="I22" i="3"/>
  <c r="H22" i="3"/>
  <c r="G22" i="3"/>
  <c r="W21" i="3"/>
  <c r="V21" i="3"/>
  <c r="U21" i="3"/>
  <c r="T21" i="3"/>
  <c r="S21" i="3"/>
  <c r="R21" i="3"/>
  <c r="Q21" i="3"/>
  <c r="P21" i="3"/>
  <c r="O21" i="3"/>
  <c r="N21" i="3"/>
  <c r="M21" i="3"/>
  <c r="L21" i="3"/>
  <c r="K21" i="3"/>
  <c r="J21" i="3"/>
  <c r="I21" i="3"/>
  <c r="H21" i="3"/>
  <c r="G21" i="3"/>
  <c r="W20" i="3"/>
  <c r="V20" i="3"/>
  <c r="U20" i="3"/>
  <c r="T20" i="3"/>
  <c r="S20" i="3"/>
  <c r="R20" i="3"/>
  <c r="Q20" i="3"/>
  <c r="P20" i="3"/>
  <c r="O20" i="3"/>
  <c r="N20" i="3"/>
  <c r="M20" i="3"/>
  <c r="L20" i="3"/>
  <c r="K20" i="3"/>
  <c r="J20" i="3"/>
  <c r="I20" i="3"/>
  <c r="H20" i="3"/>
  <c r="G20" i="3"/>
  <c r="W19" i="3"/>
  <c r="V19" i="3"/>
  <c r="U19" i="3"/>
  <c r="T19" i="3"/>
  <c r="S19" i="3"/>
  <c r="R19" i="3"/>
  <c r="Q19" i="3"/>
  <c r="P19" i="3"/>
  <c r="O19" i="3"/>
  <c r="N19" i="3"/>
  <c r="M19" i="3"/>
  <c r="L19" i="3"/>
  <c r="K19" i="3"/>
  <c r="J19" i="3"/>
  <c r="I19" i="3"/>
  <c r="H19" i="3"/>
  <c r="G19" i="3"/>
  <c r="W18" i="3"/>
  <c r="V18" i="3"/>
  <c r="U18" i="3"/>
  <c r="T18" i="3"/>
  <c r="S18" i="3"/>
  <c r="R18" i="3"/>
  <c r="Q18" i="3"/>
  <c r="P18" i="3"/>
  <c r="O18" i="3"/>
  <c r="N18" i="3"/>
  <c r="M18" i="3"/>
  <c r="L18" i="3"/>
  <c r="K18" i="3"/>
  <c r="J18" i="3"/>
  <c r="I18" i="3"/>
  <c r="H18" i="3"/>
  <c r="G18" i="3"/>
  <c r="W17" i="3"/>
  <c r="V17" i="3"/>
  <c r="U17" i="3"/>
  <c r="T17" i="3"/>
  <c r="S17" i="3"/>
  <c r="R17" i="3"/>
  <c r="Q17" i="3"/>
  <c r="P17" i="3"/>
  <c r="O17" i="3"/>
  <c r="N17" i="3"/>
  <c r="M17" i="3"/>
  <c r="L17" i="3"/>
  <c r="K17" i="3"/>
  <c r="J17" i="3"/>
  <c r="I17" i="3"/>
  <c r="H17" i="3"/>
  <c r="G17" i="3"/>
  <c r="W16" i="3"/>
  <c r="V16" i="3"/>
  <c r="U16" i="3"/>
  <c r="T16" i="3"/>
  <c r="S16" i="3"/>
  <c r="R16" i="3"/>
  <c r="Q16" i="3"/>
  <c r="P16" i="3"/>
  <c r="O16" i="3"/>
  <c r="N16" i="3"/>
  <c r="M16" i="3"/>
  <c r="L16" i="3"/>
  <c r="K16" i="3"/>
  <c r="J16" i="3"/>
  <c r="I16" i="3"/>
  <c r="H16" i="3"/>
  <c r="G16" i="3"/>
  <c r="W15" i="3"/>
  <c r="V15" i="3"/>
  <c r="U15" i="3"/>
  <c r="T15" i="3"/>
  <c r="S15" i="3"/>
  <c r="R15" i="3"/>
  <c r="Q15" i="3"/>
  <c r="P15" i="3"/>
  <c r="O15" i="3"/>
  <c r="N15" i="3"/>
  <c r="M15" i="3"/>
  <c r="L15" i="3"/>
  <c r="K15" i="3"/>
  <c r="J15" i="3"/>
  <c r="I15" i="3"/>
  <c r="H15" i="3"/>
  <c r="G15" i="3"/>
  <c r="W14" i="3"/>
  <c r="V14" i="3"/>
  <c r="U14" i="3"/>
  <c r="T14" i="3"/>
  <c r="S14" i="3"/>
  <c r="R14" i="3"/>
  <c r="Q14" i="3"/>
  <c r="P14" i="3"/>
  <c r="O14" i="3"/>
  <c r="N14" i="3"/>
  <c r="M14" i="3"/>
  <c r="L14" i="3"/>
  <c r="K14" i="3"/>
  <c r="J14" i="3"/>
  <c r="I14" i="3"/>
  <c r="H14" i="3"/>
  <c r="G14" i="3"/>
  <c r="W13" i="3"/>
  <c r="V13" i="3"/>
  <c r="U13" i="3"/>
  <c r="T13" i="3"/>
  <c r="S13" i="3"/>
  <c r="R13" i="3"/>
  <c r="Q13" i="3"/>
  <c r="P13" i="3"/>
  <c r="O13" i="3"/>
  <c r="N13" i="3"/>
  <c r="M13" i="3"/>
  <c r="L13" i="3"/>
  <c r="K13" i="3"/>
  <c r="J13" i="3"/>
  <c r="I13" i="3"/>
  <c r="H13" i="3"/>
  <c r="G13" i="3"/>
  <c r="W12" i="3"/>
  <c r="V12" i="3"/>
  <c r="U12" i="3"/>
  <c r="T12" i="3"/>
  <c r="S12" i="3"/>
  <c r="R12" i="3"/>
  <c r="Q12" i="3"/>
  <c r="P12" i="3"/>
  <c r="O12" i="3"/>
  <c r="N12" i="3"/>
  <c r="M12" i="3"/>
  <c r="L12" i="3"/>
  <c r="K12" i="3"/>
  <c r="J12" i="3"/>
  <c r="I12" i="3"/>
  <c r="H12" i="3"/>
  <c r="G12" i="3"/>
  <c r="W11" i="3"/>
  <c r="V11" i="3"/>
  <c r="U11" i="3"/>
  <c r="T11" i="3"/>
  <c r="S11" i="3"/>
  <c r="R11" i="3"/>
  <c r="Q11" i="3"/>
  <c r="P11" i="3"/>
  <c r="O11" i="3"/>
  <c r="N11" i="3"/>
  <c r="M11" i="3"/>
  <c r="L11" i="3"/>
  <c r="K11" i="3"/>
  <c r="J11" i="3"/>
  <c r="I11" i="3"/>
  <c r="H11" i="3"/>
  <c r="G11" i="3"/>
  <c r="W10" i="3"/>
  <c r="V10" i="3"/>
  <c r="U10" i="3"/>
  <c r="T10" i="3"/>
  <c r="S10" i="3"/>
  <c r="R10" i="3"/>
  <c r="Q10" i="3"/>
  <c r="P10" i="3"/>
  <c r="O10" i="3"/>
  <c r="N10" i="3"/>
  <c r="M10" i="3"/>
  <c r="L10" i="3"/>
  <c r="K10" i="3"/>
  <c r="J10" i="3"/>
  <c r="I10" i="3"/>
  <c r="H10" i="3"/>
  <c r="G10" i="3"/>
  <c r="W9" i="3"/>
  <c r="V9" i="3"/>
  <c r="U9" i="3"/>
  <c r="T9" i="3"/>
  <c r="S9" i="3"/>
  <c r="R9" i="3"/>
  <c r="Q9" i="3"/>
  <c r="P9" i="3"/>
  <c r="O9" i="3"/>
  <c r="N9" i="3"/>
  <c r="M9" i="3"/>
  <c r="L9" i="3"/>
  <c r="K9" i="3"/>
  <c r="J9" i="3"/>
  <c r="I9" i="3"/>
  <c r="H9" i="3"/>
  <c r="G9" i="3"/>
  <c r="W8" i="3"/>
  <c r="V8" i="3"/>
  <c r="U8" i="3"/>
  <c r="T8" i="3"/>
  <c r="S8" i="3"/>
  <c r="R8" i="3"/>
  <c r="Q8" i="3"/>
  <c r="P8" i="3"/>
  <c r="O8" i="3"/>
  <c r="N8" i="3"/>
  <c r="M8" i="3"/>
  <c r="L8" i="3"/>
  <c r="K8" i="3"/>
  <c r="J8" i="3"/>
  <c r="I8" i="3"/>
  <c r="H8" i="3"/>
  <c r="G8" i="3"/>
  <c r="W7" i="3"/>
  <c r="V7" i="3"/>
  <c r="U7" i="3"/>
  <c r="T7" i="3"/>
  <c r="S7" i="3"/>
  <c r="R7" i="3"/>
  <c r="Q7" i="3"/>
  <c r="P7" i="3"/>
  <c r="O7" i="3"/>
  <c r="N7" i="3"/>
  <c r="M7" i="3"/>
  <c r="L7" i="3"/>
  <c r="K7" i="3"/>
  <c r="J7" i="3"/>
  <c r="I7" i="3"/>
  <c r="H7" i="3"/>
  <c r="G7" i="3"/>
  <c r="W6" i="3"/>
  <c r="V6" i="3"/>
  <c r="U6" i="3"/>
  <c r="T6" i="3"/>
  <c r="S6" i="3"/>
  <c r="R6" i="3"/>
  <c r="Q6" i="3"/>
  <c r="P6" i="3"/>
  <c r="O6" i="3"/>
  <c r="N6" i="3"/>
  <c r="M6" i="3"/>
  <c r="L6" i="3"/>
  <c r="K6" i="3"/>
  <c r="J6" i="3"/>
  <c r="I6" i="3"/>
  <c r="H6" i="3"/>
  <c r="G6" i="3"/>
  <c r="W5" i="3"/>
  <c r="V5" i="3"/>
  <c r="U5" i="3"/>
  <c r="T5" i="3"/>
  <c r="S5" i="3"/>
  <c r="R5" i="3"/>
  <c r="Q5" i="3"/>
  <c r="P5" i="3"/>
  <c r="O5" i="3"/>
  <c r="N5" i="3"/>
  <c r="M5" i="3"/>
  <c r="L5" i="3"/>
  <c r="K5" i="3"/>
  <c r="J5" i="3"/>
  <c r="I5" i="3"/>
  <c r="H5" i="3"/>
  <c r="G5" i="3"/>
  <c r="W4" i="3"/>
  <c r="V4" i="3"/>
  <c r="U4" i="3"/>
  <c r="T4" i="3"/>
  <c r="S4" i="3"/>
  <c r="R4" i="3"/>
  <c r="Q4" i="3"/>
  <c r="P4" i="3"/>
  <c r="O4" i="3"/>
  <c r="N4" i="3"/>
  <c r="M4" i="3"/>
  <c r="L4" i="3"/>
  <c r="K4" i="3"/>
  <c r="J4" i="3"/>
  <c r="I4" i="3"/>
  <c r="H4" i="3"/>
  <c r="G4" i="3"/>
  <c r="AU49" i="91"/>
  <c r="AU47" i="91"/>
  <c r="AP45" i="91"/>
  <c r="AY44" i="91"/>
  <c r="AY46" i="91" s="1"/>
  <c r="AY48" i="91" s="1"/>
  <c r="AY50" i="91" s="1"/>
  <c r="AX44" i="91"/>
  <c r="AX46" i="91" s="1"/>
  <c r="AX48" i="91" s="1"/>
  <c r="AX50" i="91" s="1"/>
  <c r="AW44" i="91"/>
  <c r="AW46" i="91" s="1"/>
  <c r="AW48" i="91" s="1"/>
  <c r="AW50" i="91" s="1"/>
  <c r="AV44" i="91"/>
  <c r="AV46" i="91" s="1"/>
  <c r="AV48" i="91" s="1"/>
  <c r="AV50" i="91" s="1"/>
  <c r="AT44" i="91"/>
  <c r="AT46" i="91" s="1"/>
  <c r="AT48" i="91" s="1"/>
  <c r="AT50" i="91" s="1"/>
  <c r="AS44" i="91"/>
  <c r="AS46" i="91" s="1"/>
  <c r="AS48" i="91" s="1"/>
  <c r="AS50" i="91" s="1"/>
  <c r="AU42" i="91"/>
  <c r="AU44" i="91" s="1"/>
  <c r="AU46" i="91" s="1"/>
  <c r="AU48" i="91" s="1"/>
  <c r="AU50" i="91" s="1"/>
  <c r="AY41" i="91"/>
  <c r="AX41" i="91"/>
  <c r="AW41" i="91"/>
  <c r="AV41" i="91"/>
  <c r="AQ41" i="91"/>
  <c r="AP41" i="91"/>
  <c r="S40" i="91"/>
  <c r="Q40" i="91"/>
  <c r="U39" i="91"/>
  <c r="W39" i="91" s="1"/>
  <c r="U38" i="91"/>
  <c r="AY37" i="91"/>
  <c r="AX37" i="91"/>
  <c r="AW37" i="91"/>
  <c r="AV37" i="91"/>
  <c r="AT37" i="91"/>
  <c r="AS37" i="91"/>
  <c r="AU35" i="91"/>
  <c r="AU34" i="91"/>
  <c r="AU33" i="91"/>
  <c r="AQ33" i="91"/>
  <c r="AP33" i="91"/>
  <c r="AU32" i="91"/>
  <c r="AU37" i="91" s="1"/>
  <c r="AQ32" i="91"/>
  <c r="AP31" i="91"/>
  <c r="AY28" i="91"/>
  <c r="AW28" i="91"/>
  <c r="AV28" i="91"/>
  <c r="AT28" i="91"/>
  <c r="AS28" i="91"/>
  <c r="AU27" i="91"/>
  <c r="AQ26" i="91"/>
  <c r="AP26" i="91"/>
  <c r="AU25" i="91"/>
  <c r="AU28" i="91" s="1"/>
  <c r="AP24" i="91"/>
  <c r="AY23" i="91"/>
  <c r="AY30" i="91" s="1"/>
  <c r="AY39" i="91" s="1"/>
  <c r="AX23" i="91"/>
  <c r="AX30" i="91" s="1"/>
  <c r="AX39" i="91" s="1"/>
  <c r="AW23" i="91"/>
  <c r="AV23" i="91"/>
  <c r="AT23" i="91"/>
  <c r="AS23" i="91"/>
  <c r="O23" i="91"/>
  <c r="AU22" i="91"/>
  <c r="AU23" i="91" s="1"/>
  <c r="AQ22" i="91"/>
  <c r="AP22" i="91"/>
  <c r="AH22" i="91"/>
  <c r="O22" i="91"/>
  <c r="AQ21" i="91"/>
  <c r="AP21" i="91"/>
  <c r="AH21" i="91"/>
  <c r="O21" i="91"/>
  <c r="G21" i="91"/>
  <c r="AQ20" i="91"/>
  <c r="AP20" i="91"/>
  <c r="AH20" i="91"/>
  <c r="O20" i="91"/>
  <c r="O19" i="91"/>
  <c r="G19" i="91"/>
  <c r="L23" i="91" s="1"/>
  <c r="AH18" i="91"/>
  <c r="O18" i="91"/>
  <c r="G18" i="91"/>
  <c r="AH17" i="91"/>
  <c r="O17" i="91"/>
  <c r="AH16" i="91"/>
  <c r="AF16" i="91" s="1"/>
  <c r="O15" i="91"/>
  <c r="AH14" i="91"/>
  <c r="AY13" i="91"/>
  <c r="AX13" i="91"/>
  <c r="AW13" i="91"/>
  <c r="AV13" i="91"/>
  <c r="AT13" i="91"/>
  <c r="AS13" i="91"/>
  <c r="AR13" i="91"/>
  <c r="AH13" i="91"/>
  <c r="O13" i="91"/>
  <c r="AH12" i="91"/>
  <c r="AF12" i="91" s="1"/>
  <c r="O12" i="91"/>
  <c r="O16" i="91" s="1"/>
  <c r="M16" i="91" s="1"/>
  <c r="AU10" i="91"/>
  <c r="AU13" i="91" s="1"/>
  <c r="O10" i="91"/>
  <c r="AH9" i="91"/>
  <c r="O9" i="91"/>
  <c r="M9" i="91" s="1"/>
  <c r="O8" i="91"/>
  <c r="AX7" i="91"/>
  <c r="AW7" i="91"/>
  <c r="AV7" i="91"/>
  <c r="AT7" i="91"/>
  <c r="AS7" i="91"/>
  <c r="AR7" i="91"/>
  <c r="AH5" i="91" s="1"/>
  <c r="AH7" i="91"/>
  <c r="O7" i="91"/>
  <c r="M7" i="91" s="1"/>
  <c r="AY6" i="91"/>
  <c r="AY7" i="91" s="1"/>
  <c r="AY15" i="91" s="1"/>
  <c r="AH6" i="91"/>
  <c r="O6" i="91"/>
  <c r="AF5" i="91"/>
  <c r="O5" i="91"/>
  <c r="M5" i="91" s="1"/>
  <c r="AH4" i="91"/>
  <c r="O4" i="91"/>
  <c r="AJ3" i="91"/>
  <c r="AH3" i="91"/>
  <c r="Q3" i="91"/>
  <c r="O3" i="91"/>
  <c r="AU2" i="91"/>
  <c r="AU7" i="91" s="1"/>
  <c r="AU15" i="91" s="1"/>
  <c r="L56" i="65"/>
  <c r="H48" i="65"/>
  <c r="F48" i="65"/>
  <c r="I47" i="65"/>
  <c r="J47" i="65" s="1"/>
  <c r="L47" i="65" s="1"/>
  <c r="I46" i="65"/>
  <c r="J46" i="65" s="1"/>
  <c r="I45" i="65"/>
  <c r="J45" i="65" s="1"/>
  <c r="L45" i="65" s="1"/>
  <c r="I44" i="65"/>
  <c r="J44" i="65" s="1"/>
  <c r="L44" i="65" s="1"/>
  <c r="I43" i="65"/>
  <c r="J43" i="65" s="1"/>
  <c r="L43" i="65" s="1"/>
  <c r="I42" i="65"/>
  <c r="H28" i="65"/>
  <c r="G28" i="65"/>
  <c r="F28" i="65"/>
  <c r="I27" i="65"/>
  <c r="J27" i="65" s="1"/>
  <c r="L27" i="65" s="1"/>
  <c r="I26" i="65"/>
  <c r="J26" i="65" s="1"/>
  <c r="L26" i="65" s="1"/>
  <c r="I25" i="65"/>
  <c r="J25" i="65" s="1"/>
  <c r="L25" i="65" s="1"/>
  <c r="I24" i="65"/>
  <c r="J24" i="65" s="1"/>
  <c r="L24" i="65" s="1"/>
  <c r="I23" i="65"/>
  <c r="J23" i="65" s="1"/>
  <c r="L23" i="65" s="1"/>
  <c r="I22" i="65"/>
  <c r="J22" i="65" s="1"/>
  <c r="L22" i="65" s="1"/>
  <c r="I21" i="65"/>
  <c r="J21" i="65" s="1"/>
  <c r="L21" i="65" s="1"/>
  <c r="I20" i="65"/>
  <c r="J20" i="65" s="1"/>
  <c r="L20" i="65" s="1"/>
  <c r="H18" i="65"/>
  <c r="G18" i="65"/>
  <c r="F18" i="65"/>
  <c r="F55" i="65" s="1"/>
  <c r="F58" i="65" s="1"/>
  <c r="I17" i="65"/>
  <c r="J17" i="65" s="1"/>
  <c r="L17" i="65" s="1"/>
  <c r="I16" i="65"/>
  <c r="J16" i="65" s="1"/>
  <c r="L16" i="65" s="1"/>
  <c r="I15" i="65"/>
  <c r="J15" i="65" s="1"/>
  <c r="L15" i="65" s="1"/>
  <c r="I14" i="65"/>
  <c r="J14" i="65" s="1"/>
  <c r="L14" i="65" s="1"/>
  <c r="I13" i="65"/>
  <c r="J13" i="65" s="1"/>
  <c r="L13" i="65" s="1"/>
  <c r="I12" i="65"/>
  <c r="J12" i="65" s="1"/>
  <c r="L12" i="65" s="1"/>
  <c r="I11" i="65"/>
  <c r="O15" i="149"/>
  <c r="A3" i="149"/>
  <c r="F25" i="150"/>
  <c r="S16" i="150"/>
  <c r="L14" i="150"/>
  <c r="S13" i="150"/>
  <c r="Q13" i="150"/>
  <c r="S12" i="150"/>
  <c r="Q12" i="150"/>
  <c r="S11" i="150"/>
  <c r="S10" i="150"/>
  <c r="Q10" i="150"/>
  <c r="L9" i="150"/>
  <c r="K9" i="150"/>
  <c r="AF8" i="150"/>
  <c r="AG8" i="150" s="1"/>
  <c r="AF7" i="150"/>
  <c r="AG7" i="150" s="1"/>
  <c r="A3" i="150"/>
  <c r="L22" i="174"/>
  <c r="A3" i="174"/>
  <c r="A2" i="174"/>
  <c r="P17" i="67"/>
  <c r="AQ27" i="91" s="1"/>
  <c r="M16" i="54"/>
  <c r="O10" i="54"/>
  <c r="A3" i="54"/>
  <c r="A2" i="54"/>
  <c r="R135" i="51"/>
  <c r="P129" i="51"/>
  <c r="L129" i="51"/>
  <c r="A84" i="51"/>
  <c r="A82" i="51"/>
  <c r="L30" i="166"/>
  <c r="J30" i="162" s="1"/>
  <c r="AQ29" i="166"/>
  <c r="AP29" i="166"/>
  <c r="AO29" i="166"/>
  <c r="AN29" i="166"/>
  <c r="U29" i="166"/>
  <c r="T29" i="166"/>
  <c r="AQ28" i="166"/>
  <c r="AQ30" i="166" s="1"/>
  <c r="AP28" i="166"/>
  <c r="AL29" i="166" s="1"/>
  <c r="T28" i="166"/>
  <c r="U27" i="166"/>
  <c r="T25" i="166"/>
  <c r="L11" i="166"/>
  <c r="H12" i="67" s="1"/>
  <c r="AQ4" i="91" s="1"/>
  <c r="A3" i="166"/>
  <c r="A2" i="166"/>
  <c r="A1" i="166"/>
  <c r="U40" i="129"/>
  <c r="A4" i="129"/>
  <c r="A3" i="129"/>
  <c r="A2" i="129"/>
  <c r="N11" i="125"/>
  <c r="L8" i="125" s="1"/>
  <c r="N7" i="125"/>
  <c r="N6" i="125"/>
  <c r="L6" i="125"/>
  <c r="A3" i="125"/>
  <c r="A2" i="125"/>
  <c r="A1" i="125"/>
  <c r="J19" i="81"/>
  <c r="AO18" i="81"/>
  <c r="AN18" i="81"/>
  <c r="AM18" i="81"/>
  <c r="AL18" i="81"/>
  <c r="AO17" i="81"/>
  <c r="AK18" i="81" s="1"/>
  <c r="AN17" i="81"/>
  <c r="AN19" i="81" s="1"/>
  <c r="AM17" i="81"/>
  <c r="AI18" i="81" s="1"/>
  <c r="AL17" i="81"/>
  <c r="AL19" i="81" s="1"/>
  <c r="A3" i="81"/>
  <c r="A1" i="81"/>
  <c r="H16" i="67"/>
  <c r="AQ12" i="91" s="1"/>
  <c r="A3" i="43"/>
  <c r="A1" i="43"/>
  <c r="N10" i="106"/>
  <c r="N15" i="106" s="1"/>
  <c r="L10" i="106"/>
  <c r="L15" i="106" s="1"/>
  <c r="J10" i="106"/>
  <c r="J15" i="106" s="1"/>
  <c r="H10" i="106"/>
  <c r="H15" i="106" s="1"/>
  <c r="A3" i="106"/>
  <c r="A2" i="106"/>
  <c r="N19" i="50"/>
  <c r="N27" i="50" s="1"/>
  <c r="A3" i="50"/>
  <c r="A2" i="50"/>
  <c r="S26" i="49"/>
  <c r="S17" i="49"/>
  <c r="S13" i="49"/>
  <c r="A3" i="49"/>
  <c r="D3" i="48"/>
  <c r="D2" i="48"/>
  <c r="G25" i="167"/>
  <c r="Q19" i="167"/>
  <c r="K17" i="167"/>
  <c r="K16" i="167"/>
  <c r="Y15" i="167"/>
  <c r="Y19" i="167" s="1"/>
  <c r="W15" i="167"/>
  <c r="W19" i="167" s="1"/>
  <c r="T15" i="167"/>
  <c r="T19" i="167" s="1"/>
  <c r="S15" i="167"/>
  <c r="M15" i="167"/>
  <c r="K15" i="167"/>
  <c r="I15" i="167"/>
  <c r="I19" i="167" s="1"/>
  <c r="G15" i="167"/>
  <c r="AA14" i="167"/>
  <c r="O14" i="167"/>
  <c r="AA13" i="167"/>
  <c r="O13" i="167"/>
  <c r="AA12" i="167"/>
  <c r="O12" i="167"/>
  <c r="AA11" i="167"/>
  <c r="O11" i="167"/>
  <c r="AA10" i="167"/>
  <c r="AA15" i="167" s="1"/>
  <c r="AA19" i="167" s="1"/>
  <c r="O10" i="167"/>
  <c r="AE9" i="167"/>
  <c r="AC8" i="167"/>
  <c r="A3" i="167"/>
  <c r="A2" i="167"/>
  <c r="V33" i="44"/>
  <c r="R33" i="44"/>
  <c r="P33" i="44"/>
  <c r="N33" i="44"/>
  <c r="H33" i="44"/>
  <c r="F33" i="44"/>
  <c r="W28" i="44"/>
  <c r="W27" i="44"/>
  <c r="W26" i="44"/>
  <c r="U25" i="44"/>
  <c r="U29" i="44" s="1"/>
  <c r="S25" i="44"/>
  <c r="S29" i="44" s="1"/>
  <c r="R25" i="44"/>
  <c r="R29" i="44" s="1"/>
  <c r="Q25" i="44"/>
  <c r="Q29" i="44" s="1"/>
  <c r="P25" i="44"/>
  <c r="P29" i="44" s="1"/>
  <c r="N29" i="44"/>
  <c r="L25" i="44"/>
  <c r="L29" i="44" s="1"/>
  <c r="J29" i="44"/>
  <c r="F29" i="44"/>
  <c r="E25" i="44"/>
  <c r="E29" i="44" s="1"/>
  <c r="U14" i="44"/>
  <c r="U19" i="44" s="1"/>
  <c r="S14" i="44"/>
  <c r="R14" i="44"/>
  <c r="R19" i="44" s="1"/>
  <c r="P14" i="44"/>
  <c r="P19" i="44" s="1"/>
  <c r="O19" i="44"/>
  <c r="O30" i="44" s="1"/>
  <c r="N19" i="44"/>
  <c r="M19" i="44"/>
  <c r="L14" i="44"/>
  <c r="L19" i="44" s="1"/>
  <c r="J19" i="44"/>
  <c r="I19" i="44"/>
  <c r="H19" i="44"/>
  <c r="G19" i="44"/>
  <c r="G30" i="44" s="1"/>
  <c r="F19" i="44"/>
  <c r="E14" i="44"/>
  <c r="E19" i="44" s="1"/>
  <c r="E30" i="44" s="1"/>
  <c r="A3" i="44"/>
  <c r="A2" i="44"/>
  <c r="J92" i="59"/>
  <c r="J94" i="59" s="1"/>
  <c r="J86" i="59"/>
  <c r="J80" i="59"/>
  <c r="J82" i="59" s="1"/>
  <c r="J67" i="59"/>
  <c r="J69" i="59" s="1"/>
  <c r="J60" i="59"/>
  <c r="I51" i="59"/>
  <c r="J49" i="59"/>
  <c r="J51" i="59" s="1"/>
  <c r="I49" i="59"/>
  <c r="J33" i="59"/>
  <c r="J35" i="59" s="1"/>
  <c r="I33" i="59"/>
  <c r="I20" i="59"/>
  <c r="J18" i="59"/>
  <c r="J20" i="59" s="1"/>
  <c r="I18" i="59"/>
  <c r="A3" i="59"/>
  <c r="A58" i="59" s="1"/>
  <c r="A2" i="59"/>
  <c r="N31" i="58"/>
  <c r="Q30" i="58"/>
  <c r="T29" i="58"/>
  <c r="H93" i="59" s="1"/>
  <c r="N29" i="58"/>
  <c r="Z28" i="58"/>
  <c r="Z30" i="58" s="1"/>
  <c r="I12" i="83" s="1"/>
  <c r="AQ45" i="91" s="1"/>
  <c r="X28" i="58"/>
  <c r="X30" i="58" s="1"/>
  <c r="V28" i="58"/>
  <c r="V30" i="58" s="1"/>
  <c r="R28" i="58"/>
  <c r="R30" i="58" s="1"/>
  <c r="P28" i="58"/>
  <c r="P30" i="58" s="1"/>
  <c r="N28" i="58"/>
  <c r="L28" i="58"/>
  <c r="L30" i="58" s="1"/>
  <c r="J28" i="58"/>
  <c r="J30" i="58" s="1"/>
  <c r="T11" i="58"/>
  <c r="D30" i="58"/>
  <c r="T10" i="58" s="1"/>
  <c r="T26" i="58"/>
  <c r="H68" i="59" s="1"/>
  <c r="H26" i="58"/>
  <c r="T25" i="58"/>
  <c r="H25" i="58"/>
  <c r="T24" i="58"/>
  <c r="H50" i="59" s="1"/>
  <c r="H24" i="58"/>
  <c r="T23" i="58"/>
  <c r="H23" i="58"/>
  <c r="T22" i="58"/>
  <c r="H34" i="59" s="1"/>
  <c r="H22" i="58"/>
  <c r="H35" i="59" s="1"/>
  <c r="H21" i="58"/>
  <c r="H20" i="58"/>
  <c r="A3" i="58"/>
  <c r="A2" i="58"/>
  <c r="R55" i="57"/>
  <c r="N42" i="57"/>
  <c r="R17" i="57"/>
  <c r="R31" i="57" s="1"/>
  <c r="N17" i="57"/>
  <c r="A3" i="57"/>
  <c r="A2" i="57"/>
  <c r="J27" i="82"/>
  <c r="H27" i="82"/>
  <c r="I21" i="82"/>
  <c r="J20" i="82"/>
  <c r="F19" i="82"/>
  <c r="F18" i="82"/>
  <c r="F17" i="82"/>
  <c r="H20" i="82" s="1"/>
  <c r="H12" i="82"/>
  <c r="J10" i="82"/>
  <c r="H10" i="82"/>
  <c r="J8" i="82"/>
  <c r="H8" i="82"/>
  <c r="J7" i="82"/>
  <c r="F7" i="82"/>
  <c r="B4" i="82"/>
  <c r="H14" i="83"/>
  <c r="I6" i="83"/>
  <c r="E6" i="83"/>
  <c r="A3" i="83"/>
  <c r="O49" i="67"/>
  <c r="O48" i="67"/>
  <c r="O47" i="67"/>
  <c r="O45" i="67"/>
  <c r="O44" i="67"/>
  <c r="O43" i="67"/>
  <c r="O42" i="67"/>
  <c r="O41" i="67"/>
  <c r="O40" i="67"/>
  <c r="O38" i="67"/>
  <c r="O37" i="67"/>
  <c r="O36" i="67"/>
  <c r="S26" i="67"/>
  <c r="S25" i="67"/>
  <c r="W24" i="67"/>
  <c r="S24" i="67"/>
  <c r="W23" i="67"/>
  <c r="S22" i="67"/>
  <c r="W21" i="67"/>
  <c r="S21" i="67"/>
  <c r="U42" i="67" s="1"/>
  <c r="H19" i="67"/>
  <c r="W18" i="67"/>
  <c r="H18" i="67"/>
  <c r="AQ10" i="91" s="1"/>
  <c r="F18" i="67"/>
  <c r="AP10" i="91" s="1"/>
  <c r="H17" i="67"/>
  <c r="AQ9" i="91" s="1"/>
  <c r="P16" i="67"/>
  <c r="AQ25" i="91" s="1"/>
  <c r="W15" i="67"/>
  <c r="S15" i="67"/>
  <c r="W13" i="67"/>
  <c r="W12" i="67"/>
  <c r="W11" i="67"/>
  <c r="P8" i="67"/>
  <c r="N8" i="67"/>
  <c r="H8" i="67"/>
  <c r="P7" i="67"/>
  <c r="N7" i="67"/>
  <c r="H7" i="67"/>
  <c r="F7" i="67"/>
  <c r="B4" i="67"/>
  <c r="I22" i="162"/>
  <c r="J18" i="162"/>
  <c r="H17" i="162"/>
  <c r="H14" i="162"/>
  <c r="J12" i="162"/>
  <c r="J19" i="162" s="1"/>
  <c r="J22" i="162" s="1"/>
  <c r="F7" i="162"/>
  <c r="C4" i="162"/>
  <c r="J16" i="164"/>
  <c r="G16" i="164"/>
  <c r="L14" i="164"/>
  <c r="J10" i="164"/>
  <c r="G10" i="164"/>
  <c r="F10" i="164"/>
  <c r="F16" i="164" s="1"/>
  <c r="F20" i="164" s="1"/>
  <c r="D10" i="164"/>
  <c r="D16" i="164" s="1"/>
  <c r="D20" i="164" s="1"/>
  <c r="B10" i="164"/>
  <c r="B16" i="164" s="1"/>
  <c r="B20" i="164" s="1"/>
  <c r="L9" i="164"/>
  <c r="A3" i="164"/>
  <c r="K37" i="161"/>
  <c r="I37" i="161"/>
  <c r="K33" i="161"/>
  <c r="I33" i="161"/>
  <c r="K20" i="161"/>
  <c r="K14" i="161"/>
  <c r="I14" i="161"/>
  <c r="I11" i="160"/>
  <c r="I13" i="160" s="1"/>
  <c r="I15" i="160" s="1"/>
  <c r="A3" i="160"/>
  <c r="W579" i="175"/>
  <c r="U579" i="175"/>
  <c r="Z532" i="175"/>
  <c r="AA532" i="175" s="1"/>
  <c r="Z526" i="175"/>
  <c r="AA526" i="175" s="1"/>
  <c r="Z510" i="175"/>
  <c r="AA510" i="175" s="1"/>
  <c r="Z78" i="175"/>
  <c r="AA78" i="175" s="1"/>
  <c r="Z538" i="175"/>
  <c r="AA538" i="175" s="1"/>
  <c r="Z536" i="175"/>
  <c r="AA536" i="175" s="1"/>
  <c r="Z107" i="175"/>
  <c r="AA107" i="175" s="1"/>
  <c r="Z106" i="175"/>
  <c r="AA106" i="175" s="1"/>
  <c r="Z105" i="175"/>
  <c r="AA105" i="175" s="1"/>
  <c r="Z103" i="175"/>
  <c r="AA103" i="175" s="1"/>
  <c r="AA102" i="175"/>
  <c r="Z99" i="175"/>
  <c r="AA99" i="175" s="1"/>
  <c r="Z98" i="175"/>
  <c r="AA98" i="175" s="1"/>
  <c r="Z506" i="175"/>
  <c r="AA506" i="175" s="1"/>
  <c r="Z505" i="175"/>
  <c r="AA505" i="175" s="1"/>
  <c r="Z504" i="175"/>
  <c r="AA504" i="175" s="1"/>
  <c r="Z97" i="175"/>
  <c r="AA97" i="175" s="1"/>
  <c r="Z88" i="175"/>
  <c r="AA88" i="175" s="1"/>
  <c r="Z220" i="175"/>
  <c r="AA220" i="175" s="1"/>
  <c r="Z503" i="175"/>
  <c r="AA503" i="175" s="1"/>
  <c r="Z216" i="175"/>
  <c r="AA216" i="175" s="1"/>
  <c r="Z502" i="175"/>
  <c r="AA502" i="175" s="1"/>
  <c r="Z215" i="175"/>
  <c r="AA215" i="175" s="1"/>
  <c r="Z214" i="175"/>
  <c r="AA214" i="175" s="1"/>
  <c r="Z541" i="175"/>
  <c r="AA541" i="175" s="1"/>
  <c r="Z501" i="175"/>
  <c r="AA501" i="175" s="1"/>
  <c r="Z500" i="175"/>
  <c r="AA500" i="175" s="1"/>
  <c r="Z499" i="175"/>
  <c r="AA499" i="175" s="1"/>
  <c r="Z55" i="175"/>
  <c r="AA55" i="175" s="1"/>
  <c r="Z213" i="175"/>
  <c r="AA213" i="175" s="1"/>
  <c r="Z212" i="175"/>
  <c r="AA212" i="175" s="1"/>
  <c r="Z497" i="175"/>
  <c r="AA497" i="175" s="1"/>
  <c r="Z210" i="175"/>
  <c r="AA210" i="175" s="1"/>
  <c r="Z496" i="175"/>
  <c r="AA496" i="175" s="1"/>
  <c r="Z495" i="175"/>
  <c r="AA495" i="175" s="1"/>
  <c r="Z108" i="175"/>
  <c r="AA108" i="175" s="1"/>
  <c r="Z494" i="175"/>
  <c r="AA494" i="175" s="1"/>
  <c r="Z208" i="175"/>
  <c r="AA208" i="175" s="1"/>
  <c r="Z492" i="175"/>
  <c r="AA492" i="175" s="1"/>
  <c r="Z491" i="175"/>
  <c r="AA491" i="175" s="1"/>
  <c r="Z490" i="175"/>
  <c r="AA490" i="175" s="1"/>
  <c r="Z489" i="175"/>
  <c r="AA489" i="175" s="1"/>
  <c r="Z203" i="175"/>
  <c r="AA203" i="175" s="1"/>
  <c r="Z95" i="175"/>
  <c r="AA95" i="175" s="1"/>
  <c r="Z128" i="175"/>
  <c r="AA128" i="175" s="1"/>
  <c r="Z488" i="175"/>
  <c r="AA488" i="175" s="1"/>
  <c r="Z487" i="175"/>
  <c r="AA487" i="175" s="1"/>
  <c r="Z486" i="175"/>
  <c r="AA486" i="175" s="1"/>
  <c r="Z485" i="175"/>
  <c r="AA485" i="175" s="1"/>
  <c r="Z278" i="175"/>
  <c r="AA278" i="175" s="1"/>
  <c r="Z277" i="175"/>
  <c r="AA277" i="175" s="1"/>
  <c r="Z228" i="175"/>
  <c r="AA228" i="175" s="1"/>
  <c r="Z429" i="175"/>
  <c r="AA429" i="175" s="1"/>
  <c r="Z427" i="175"/>
  <c r="AA427" i="175" s="1"/>
  <c r="Z423" i="175"/>
  <c r="AA423" i="175" s="1"/>
  <c r="Z420" i="175"/>
  <c r="AA420" i="175" s="1"/>
  <c r="Z412" i="175"/>
  <c r="AA412" i="175" s="1"/>
  <c r="Z411" i="175"/>
  <c r="AA411" i="175" s="1"/>
  <c r="Z53" i="175"/>
  <c r="AA53" i="175" s="1"/>
  <c r="Z360" i="175"/>
  <c r="AA360" i="175" s="1"/>
  <c r="Z276" i="175"/>
  <c r="AA276" i="175" s="1"/>
  <c r="Z357" i="175"/>
  <c r="AA357" i="175" s="1"/>
  <c r="Z309" i="175"/>
  <c r="AA309" i="175" s="1"/>
  <c r="Z308" i="175"/>
  <c r="AA308" i="175" s="1"/>
  <c r="Z302" i="175"/>
  <c r="AA302" i="175" s="1"/>
  <c r="Z275" i="175"/>
  <c r="AA275" i="175" s="1"/>
  <c r="Z296" i="175"/>
  <c r="AA296" i="175" s="1"/>
  <c r="Z286" i="175"/>
  <c r="AA286" i="175" s="1"/>
  <c r="Z274" i="175"/>
  <c r="AA274" i="175" s="1"/>
  <c r="Z285" i="175"/>
  <c r="AA285" i="175" s="1"/>
  <c r="Z272" i="175"/>
  <c r="AA272" i="175" s="1"/>
  <c r="Z271" i="175"/>
  <c r="AA271" i="175" s="1"/>
  <c r="Z269" i="175"/>
  <c r="AA269" i="175" s="1"/>
  <c r="Z270" i="175"/>
  <c r="AA270" i="175" s="1"/>
  <c r="Z268" i="175"/>
  <c r="AA268" i="175" s="1"/>
  <c r="Z267" i="175"/>
  <c r="AA267" i="175" s="1"/>
  <c r="Z265" i="175"/>
  <c r="AA265" i="175" s="1"/>
  <c r="Z266" i="175"/>
  <c r="AA266" i="175" s="1"/>
  <c r="Z264" i="175"/>
  <c r="AA264" i="175" s="1"/>
  <c r="Z262" i="175"/>
  <c r="AA262" i="175" s="1"/>
  <c r="Z263" i="175"/>
  <c r="AA263" i="175" s="1"/>
  <c r="Z259" i="175"/>
  <c r="AA259" i="175" s="1"/>
  <c r="Z257" i="175"/>
  <c r="AA257" i="175" s="1"/>
  <c r="Z256" i="175"/>
  <c r="AA256" i="175" s="1"/>
  <c r="Z253" i="175"/>
  <c r="AA253" i="175" s="1"/>
  <c r="Z251" i="175"/>
  <c r="AA251" i="175" s="1"/>
  <c r="Z250" i="175"/>
  <c r="AA250" i="175" s="1"/>
  <c r="Z249" i="175"/>
  <c r="AA249" i="175" s="1"/>
  <c r="Z248" i="175"/>
  <c r="AA248" i="175" s="1"/>
  <c r="Z246" i="175"/>
  <c r="AA246" i="175" s="1"/>
  <c r="Z30" i="175"/>
  <c r="AA30" i="175" s="1"/>
  <c r="Z261" i="175"/>
  <c r="AA261" i="175" s="1"/>
  <c r="Z244" i="175"/>
  <c r="AA244" i="175" s="1"/>
  <c r="Z243" i="175"/>
  <c r="AA243" i="175" s="1"/>
  <c r="Z242" i="175"/>
  <c r="AA242" i="175" s="1"/>
  <c r="Z260" i="175"/>
  <c r="AA260" i="175" s="1"/>
  <c r="Z258" i="175"/>
  <c r="AA258" i="175" s="1"/>
  <c r="Z254" i="175"/>
  <c r="AA254" i="175" s="1"/>
  <c r="Z241" i="175"/>
  <c r="AA241" i="175" s="1"/>
  <c r="Z252" i="175"/>
  <c r="AA252" i="175" s="1"/>
  <c r="Z247" i="175"/>
  <c r="AA247" i="175" s="1"/>
  <c r="Z245" i="175"/>
  <c r="AA245" i="175" s="1"/>
  <c r="Z240" i="175"/>
  <c r="AA240" i="175" s="1"/>
  <c r="Z238" i="175"/>
  <c r="AA238" i="175" s="1"/>
  <c r="Z237" i="175"/>
  <c r="AA237" i="175" s="1"/>
  <c r="Z236" i="175"/>
  <c r="AA236" i="175" s="1"/>
  <c r="Z235" i="175"/>
  <c r="AA235" i="175" s="1"/>
  <c r="Z232" i="175"/>
  <c r="AA232" i="175" s="1"/>
  <c r="Z224" i="175"/>
  <c r="AA224" i="175" s="1"/>
  <c r="Z221" i="175"/>
  <c r="AA221" i="175" s="1"/>
  <c r="Z239" i="175"/>
  <c r="AA239" i="175" s="1"/>
  <c r="Z219" i="175"/>
  <c r="AA219" i="175" s="1"/>
  <c r="T204" i="175"/>
  <c r="V560" i="151"/>
  <c r="T560" i="151"/>
  <c r="M560" i="151"/>
  <c r="M559" i="151"/>
  <c r="S558" i="151"/>
  <c r="S557" i="151"/>
  <c r="S556" i="151"/>
  <c r="S555" i="151"/>
  <c r="S554" i="151"/>
  <c r="S553" i="151"/>
  <c r="S552" i="151"/>
  <c r="S551" i="151"/>
  <c r="S550" i="151"/>
  <c r="S549" i="151"/>
  <c r="S548" i="151"/>
  <c r="S547" i="151"/>
  <c r="S546" i="151"/>
  <c r="S545" i="151"/>
  <c r="S544" i="151"/>
  <c r="S543" i="151"/>
  <c r="S542" i="151"/>
  <c r="S541" i="151"/>
  <c r="S540" i="151"/>
  <c r="S539" i="151"/>
  <c r="S538" i="151"/>
  <c r="S537" i="151"/>
  <c r="S536" i="151"/>
  <c r="S535" i="151"/>
  <c r="S534" i="151"/>
  <c r="S533" i="151"/>
  <c r="S532" i="151"/>
  <c r="S531" i="151"/>
  <c r="S530" i="151"/>
  <c r="S529" i="151"/>
  <c r="S528" i="151"/>
  <c r="S527" i="151"/>
  <c r="O526" i="151"/>
  <c r="S526" i="151" s="1"/>
  <c r="G525" i="151"/>
  <c r="S525" i="151" s="1"/>
  <c r="O524" i="151"/>
  <c r="S524" i="151" s="1"/>
  <c r="Y524" i="151" s="1"/>
  <c r="Z524" i="151" s="1"/>
  <c r="G523" i="151"/>
  <c r="S523" i="151" s="1"/>
  <c r="U523" i="151" s="1"/>
  <c r="S522" i="151"/>
  <c r="J521" i="151"/>
  <c r="G521" i="151"/>
  <c r="H520" i="151"/>
  <c r="G520" i="151"/>
  <c r="I519" i="151"/>
  <c r="G519" i="151"/>
  <c r="H518" i="151"/>
  <c r="G518" i="151"/>
  <c r="I517" i="151"/>
  <c r="H517" i="151"/>
  <c r="G517" i="151"/>
  <c r="S516" i="151"/>
  <c r="U516" i="151" s="1"/>
  <c r="S515" i="151"/>
  <c r="U515" i="151" s="1"/>
  <c r="S514" i="151"/>
  <c r="U514" i="151" s="1"/>
  <c r="S513" i="151"/>
  <c r="U513" i="151" s="1"/>
  <c r="O512" i="151"/>
  <c r="S512" i="151" s="1"/>
  <c r="U512" i="151" s="1"/>
  <c r="S511" i="151"/>
  <c r="U511" i="151" s="1"/>
  <c r="J510" i="151"/>
  <c r="H510" i="151"/>
  <c r="S509" i="151"/>
  <c r="Y509" i="151" s="1"/>
  <c r="Z509" i="151" s="1"/>
  <c r="S508" i="151"/>
  <c r="Y508" i="151" s="1"/>
  <c r="Z508" i="151" s="1"/>
  <c r="Q507" i="151"/>
  <c r="O507" i="151"/>
  <c r="L507" i="151"/>
  <c r="G507" i="151"/>
  <c r="L506" i="151"/>
  <c r="H506" i="151"/>
  <c r="G506" i="151"/>
  <c r="S505" i="151"/>
  <c r="U505" i="151" s="1"/>
  <c r="S504" i="151"/>
  <c r="U504" i="151" s="1"/>
  <c r="P503" i="151"/>
  <c r="O503" i="151"/>
  <c r="N503" i="151"/>
  <c r="L503" i="151"/>
  <c r="K503" i="151"/>
  <c r="J503" i="151"/>
  <c r="I503" i="151"/>
  <c r="H503" i="151"/>
  <c r="G503" i="151"/>
  <c r="S502" i="151"/>
  <c r="S501" i="151"/>
  <c r="S500" i="151"/>
  <c r="S499" i="151"/>
  <c r="S498" i="151"/>
  <c r="S497" i="151"/>
  <c r="S496" i="151"/>
  <c r="S495" i="151"/>
  <c r="S494" i="151"/>
  <c r="S493" i="151"/>
  <c r="G492" i="151"/>
  <c r="S492" i="151" s="1"/>
  <c r="G491" i="151"/>
  <c r="S491" i="151" s="1"/>
  <c r="S490" i="151"/>
  <c r="Y490" i="151" s="1"/>
  <c r="Z490" i="151" s="1"/>
  <c r="S489" i="151"/>
  <c r="Y489" i="151" s="1"/>
  <c r="Z489" i="151" s="1"/>
  <c r="S488" i="151"/>
  <c r="Y488" i="151" s="1"/>
  <c r="Z488" i="151" s="1"/>
  <c r="S487" i="151"/>
  <c r="Y487" i="151" s="1"/>
  <c r="Z487" i="151" s="1"/>
  <c r="S486" i="151"/>
  <c r="Y486" i="151" s="1"/>
  <c r="Z486" i="151" s="1"/>
  <c r="S485" i="151"/>
  <c r="Y485" i="151" s="1"/>
  <c r="Z485" i="151" s="1"/>
  <c r="G484" i="151"/>
  <c r="S484" i="151" s="1"/>
  <c r="Y484" i="151" s="1"/>
  <c r="Z484" i="151" s="1"/>
  <c r="H483" i="151"/>
  <c r="G483" i="151"/>
  <c r="S482" i="151"/>
  <c r="U482" i="151" s="1"/>
  <c r="S481" i="151"/>
  <c r="U481" i="151" s="1"/>
  <c r="H480" i="151"/>
  <c r="G480" i="151"/>
  <c r="N479" i="151"/>
  <c r="H479" i="151"/>
  <c r="G479" i="151"/>
  <c r="J478" i="151"/>
  <c r="S478" i="151" s="1"/>
  <c r="S477" i="151"/>
  <c r="S476" i="151"/>
  <c r="S475" i="151"/>
  <c r="S474" i="151"/>
  <c r="S473" i="151"/>
  <c r="G472" i="151"/>
  <c r="S472" i="151" s="1"/>
  <c r="S471" i="151"/>
  <c r="Y471" i="151" s="1"/>
  <c r="Z471" i="151" s="1"/>
  <c r="S470" i="151"/>
  <c r="Y470" i="151" s="1"/>
  <c r="Z470" i="151" s="1"/>
  <c r="S469" i="151"/>
  <c r="Y469" i="151" s="1"/>
  <c r="Z469" i="151" s="1"/>
  <c r="S468" i="151"/>
  <c r="Y468" i="151" s="1"/>
  <c r="Z468" i="151" s="1"/>
  <c r="G467" i="151"/>
  <c r="S467" i="151" s="1"/>
  <c r="Y467" i="151" s="1"/>
  <c r="Z467" i="151" s="1"/>
  <c r="O466" i="151"/>
  <c r="S466" i="151" s="1"/>
  <c r="G465" i="151"/>
  <c r="S465" i="151" s="1"/>
  <c r="S464" i="151"/>
  <c r="S463" i="151"/>
  <c r="S462" i="151"/>
  <c r="S461" i="151"/>
  <c r="Q460" i="151"/>
  <c r="J460" i="151"/>
  <c r="S459" i="151"/>
  <c r="S458" i="151"/>
  <c r="S457" i="151"/>
  <c r="S456" i="151"/>
  <c r="S455" i="151"/>
  <c r="S454" i="151"/>
  <c r="O453" i="151"/>
  <c r="J453" i="151"/>
  <c r="H453" i="151"/>
  <c r="O452" i="151"/>
  <c r="J452" i="151"/>
  <c r="H452" i="151"/>
  <c r="N451" i="151"/>
  <c r="H451" i="151"/>
  <c r="G451" i="151"/>
  <c r="N450" i="151"/>
  <c r="H450" i="151"/>
  <c r="G450" i="151"/>
  <c r="H449" i="151"/>
  <c r="G449" i="151"/>
  <c r="S448" i="151"/>
  <c r="S447" i="151"/>
  <c r="G446" i="151"/>
  <c r="F446" i="151"/>
  <c r="S445" i="151"/>
  <c r="S444" i="151"/>
  <c r="S443" i="151"/>
  <c r="S442" i="151"/>
  <c r="S441" i="151"/>
  <c r="O440" i="151"/>
  <c r="S440" i="151" s="1"/>
  <c r="S439" i="151"/>
  <c r="S438" i="151"/>
  <c r="S437" i="151"/>
  <c r="S436" i="151"/>
  <c r="P435" i="151"/>
  <c r="O435" i="151"/>
  <c r="I435" i="151"/>
  <c r="H435" i="151"/>
  <c r="G435" i="151"/>
  <c r="F435" i="151"/>
  <c r="F560" i="151" s="1"/>
  <c r="S434" i="151"/>
  <c r="S433" i="151"/>
  <c r="S432" i="151"/>
  <c r="S431" i="151"/>
  <c r="S430" i="151"/>
  <c r="S429" i="151"/>
  <c r="S428" i="151"/>
  <c r="S427" i="151"/>
  <c r="N426" i="151"/>
  <c r="S426" i="151" s="1"/>
  <c r="S425" i="151"/>
  <c r="S424" i="151"/>
  <c r="H423" i="151"/>
  <c r="S423" i="151" s="1"/>
  <c r="S422" i="151"/>
  <c r="S421" i="151"/>
  <c r="S420" i="151"/>
  <c r="G419" i="151"/>
  <c r="S419" i="151" s="1"/>
  <c r="Y419" i="151" s="1"/>
  <c r="Z419" i="151" s="1"/>
  <c r="S418" i="151"/>
  <c r="U418" i="151" s="1"/>
  <c r="O417" i="151"/>
  <c r="S417" i="151" s="1"/>
  <c r="U417" i="151" s="1"/>
  <c r="S416" i="151"/>
  <c r="O415" i="151"/>
  <c r="S415" i="151" s="1"/>
  <c r="G414" i="151"/>
  <c r="S414" i="151" s="1"/>
  <c r="S413" i="151"/>
  <c r="S412" i="151"/>
  <c r="G411" i="151"/>
  <c r="S411" i="151" s="1"/>
  <c r="G410" i="151"/>
  <c r="S410" i="151" s="1"/>
  <c r="S409" i="151"/>
  <c r="S408" i="151"/>
  <c r="J407" i="151"/>
  <c r="S407" i="151" s="1"/>
  <c r="S406" i="151"/>
  <c r="S405" i="151"/>
  <c r="S404" i="151"/>
  <c r="S403" i="151"/>
  <c r="S402" i="151"/>
  <c r="S401" i="151"/>
  <c r="G400" i="151"/>
  <c r="S400" i="151" s="1"/>
  <c r="S399" i="151"/>
  <c r="S398" i="151"/>
  <c r="S397" i="151"/>
  <c r="S396" i="151"/>
  <c r="S395" i="151"/>
  <c r="S394" i="151"/>
  <c r="S393" i="151"/>
  <c r="S392" i="151"/>
  <c r="S391" i="151"/>
  <c r="J390" i="151"/>
  <c r="I390" i="151"/>
  <c r="H390" i="151"/>
  <c r="G390" i="151"/>
  <c r="S389" i="151"/>
  <c r="S388" i="151"/>
  <c r="S387" i="151"/>
  <c r="S386" i="151"/>
  <c r="S385" i="151"/>
  <c r="N384" i="151"/>
  <c r="S384" i="151" s="1"/>
  <c r="S383" i="151"/>
  <c r="U383" i="151" s="1"/>
  <c r="S382" i="151"/>
  <c r="U382" i="151" s="1"/>
  <c r="S381" i="151"/>
  <c r="U381" i="151" s="1"/>
  <c r="N380" i="151"/>
  <c r="S380" i="151" s="1"/>
  <c r="U380" i="151" s="1"/>
  <c r="S379" i="151"/>
  <c r="S378" i="151"/>
  <c r="S377" i="151"/>
  <c r="N376" i="151"/>
  <c r="S376" i="151" s="1"/>
  <c r="Y376" i="151" s="1"/>
  <c r="Z376" i="151" s="1"/>
  <c r="S375" i="151"/>
  <c r="U375" i="151" s="1"/>
  <c r="S374" i="151"/>
  <c r="U374" i="151" s="1"/>
  <c r="N373" i="151"/>
  <c r="S373" i="151" s="1"/>
  <c r="U373" i="151" s="1"/>
  <c r="S372" i="151"/>
  <c r="Y372" i="151" s="1"/>
  <c r="Z372" i="151" s="1"/>
  <c r="S371" i="151"/>
  <c r="Y371" i="151" s="1"/>
  <c r="Z371" i="151" s="1"/>
  <c r="S370" i="151"/>
  <c r="Y370" i="151" s="1"/>
  <c r="Z370" i="151" s="1"/>
  <c r="S369" i="151"/>
  <c r="Y369" i="151" s="1"/>
  <c r="Z369" i="151" s="1"/>
  <c r="S368" i="151"/>
  <c r="Y368" i="151" s="1"/>
  <c r="Z368" i="151" s="1"/>
  <c r="S367" i="151"/>
  <c r="Y367" i="151" s="1"/>
  <c r="Z367" i="151" s="1"/>
  <c r="S366" i="151"/>
  <c r="Y366" i="151" s="1"/>
  <c r="Z366" i="151" s="1"/>
  <c r="K365" i="151"/>
  <c r="H365" i="151"/>
  <c r="G365" i="151"/>
  <c r="S364" i="151"/>
  <c r="U364" i="151" s="1"/>
  <c r="S363" i="151"/>
  <c r="U363" i="151" s="1"/>
  <c r="S362" i="151"/>
  <c r="U362" i="151" s="1"/>
  <c r="N361" i="151"/>
  <c r="S361" i="151" s="1"/>
  <c r="S360" i="151"/>
  <c r="S359" i="151"/>
  <c r="S358" i="151"/>
  <c r="S357" i="151"/>
  <c r="N356" i="151"/>
  <c r="S356" i="151" s="1"/>
  <c r="S355" i="151"/>
  <c r="S354" i="151"/>
  <c r="S353" i="151"/>
  <c r="K352" i="151"/>
  <c r="G352" i="151"/>
  <c r="S352" i="151" s="1"/>
  <c r="N351" i="151"/>
  <c r="S351" i="151" s="1"/>
  <c r="S350" i="151"/>
  <c r="Y350" i="151" s="1"/>
  <c r="Z350" i="151" s="1"/>
  <c r="S349" i="151"/>
  <c r="Y349" i="151" s="1"/>
  <c r="Z349" i="151" s="1"/>
  <c r="S348" i="151"/>
  <c r="U348" i="151" s="1"/>
  <c r="J347" i="151"/>
  <c r="I347" i="151"/>
  <c r="S347" i="151" s="1"/>
  <c r="Y347" i="151" s="1"/>
  <c r="Z347" i="151" s="1"/>
  <c r="S346" i="151"/>
  <c r="Y346" i="151" s="1"/>
  <c r="Z346" i="151" s="1"/>
  <c r="S345" i="151"/>
  <c r="Y345" i="151" s="1"/>
  <c r="Z345" i="151" s="1"/>
  <c r="S344" i="151"/>
  <c r="Y344" i="151" s="1"/>
  <c r="Z344" i="151" s="1"/>
  <c r="S343" i="151"/>
  <c r="Y343" i="151" s="1"/>
  <c r="Z343" i="151" s="1"/>
  <c r="S342" i="151"/>
  <c r="Y342" i="151" s="1"/>
  <c r="Z342" i="151" s="1"/>
  <c r="S341" i="151"/>
  <c r="Y341" i="151" s="1"/>
  <c r="Z341" i="151" s="1"/>
  <c r="S340" i="151"/>
  <c r="Y340" i="151" s="1"/>
  <c r="Z340" i="151" s="1"/>
  <c r="S339" i="151"/>
  <c r="Y339" i="151" s="1"/>
  <c r="Z339" i="151" s="1"/>
  <c r="S338" i="151"/>
  <c r="Y338" i="151" s="1"/>
  <c r="Z338" i="151" s="1"/>
  <c r="S337" i="151"/>
  <c r="Y337" i="151" s="1"/>
  <c r="Z337" i="151" s="1"/>
  <c r="S336" i="151"/>
  <c r="Y336" i="151" s="1"/>
  <c r="Z336" i="151" s="1"/>
  <c r="S335" i="151"/>
  <c r="Y335" i="151" s="1"/>
  <c r="Z335" i="151" s="1"/>
  <c r="S334" i="151"/>
  <c r="Y334" i="151" s="1"/>
  <c r="Z334" i="151" s="1"/>
  <c r="G333" i="151"/>
  <c r="S333" i="151" s="1"/>
  <c r="Y333" i="151" s="1"/>
  <c r="Z333" i="151" s="1"/>
  <c r="S332" i="151"/>
  <c r="U332" i="151" s="1"/>
  <c r="S331" i="151"/>
  <c r="U331" i="151" s="1"/>
  <c r="S330" i="151"/>
  <c r="U330" i="151" s="1"/>
  <c r="S329" i="151"/>
  <c r="U329" i="151" s="1"/>
  <c r="G329" i="151"/>
  <c r="S328" i="151"/>
  <c r="S327" i="151"/>
  <c r="S326" i="151"/>
  <c r="S325" i="151"/>
  <c r="S324" i="151"/>
  <c r="S323" i="151"/>
  <c r="G322" i="151"/>
  <c r="S322" i="151" s="1"/>
  <c r="S321" i="151"/>
  <c r="S320" i="151"/>
  <c r="G320" i="151"/>
  <c r="S319" i="151"/>
  <c r="Y319" i="151" s="1"/>
  <c r="Z319" i="151" s="1"/>
  <c r="S318" i="151"/>
  <c r="Y318" i="151" s="1"/>
  <c r="Z318" i="151" s="1"/>
  <c r="S317" i="151"/>
  <c r="Y317" i="151" s="1"/>
  <c r="Z317" i="151" s="1"/>
  <c r="S316" i="151"/>
  <c r="Y316" i="151" s="1"/>
  <c r="Z316" i="151" s="1"/>
  <c r="S315" i="151"/>
  <c r="Y315" i="151" s="1"/>
  <c r="Z315" i="151" s="1"/>
  <c r="S314" i="151"/>
  <c r="Y314" i="151" s="1"/>
  <c r="Z314" i="151" s="1"/>
  <c r="S313" i="151"/>
  <c r="Y313" i="151" s="1"/>
  <c r="Z313" i="151" s="1"/>
  <c r="S312" i="151"/>
  <c r="Y312" i="151" s="1"/>
  <c r="Z312" i="151" s="1"/>
  <c r="S311" i="151"/>
  <c r="Y311" i="151" s="1"/>
  <c r="Z311" i="151" s="1"/>
  <c r="G310" i="151"/>
  <c r="S310" i="151" s="1"/>
  <c r="Y310" i="151" s="1"/>
  <c r="Z310" i="151" s="1"/>
  <c r="G309" i="151"/>
  <c r="S309" i="151" s="1"/>
  <c r="U309" i="151" s="1"/>
  <c r="S308" i="151"/>
  <c r="S307" i="151"/>
  <c r="S306" i="151"/>
  <c r="G305" i="151"/>
  <c r="S305" i="151" s="1"/>
  <c r="S304" i="151"/>
  <c r="S303" i="151"/>
  <c r="G303" i="151"/>
  <c r="S302" i="151"/>
  <c r="Y302" i="151" s="1"/>
  <c r="Z302" i="151" s="1"/>
  <c r="S301" i="151"/>
  <c r="Y301" i="151" s="1"/>
  <c r="Z301" i="151" s="1"/>
  <c r="H300" i="151"/>
  <c r="G300" i="151"/>
  <c r="S299" i="151"/>
  <c r="Y299" i="151" s="1"/>
  <c r="Z299" i="151" s="1"/>
  <c r="G298" i="151"/>
  <c r="S298" i="151" s="1"/>
  <c r="Y298" i="151" s="1"/>
  <c r="Z298" i="151" s="1"/>
  <c r="G297" i="151"/>
  <c r="S297" i="151" s="1"/>
  <c r="U297" i="151" s="1"/>
  <c r="G296" i="151"/>
  <c r="S296" i="151" s="1"/>
  <c r="Y296" i="151" s="1"/>
  <c r="Z296" i="151" s="1"/>
  <c r="S295" i="151"/>
  <c r="U295" i="151" s="1"/>
  <c r="S294" i="151"/>
  <c r="U294" i="151" s="1"/>
  <c r="S293" i="151"/>
  <c r="U293" i="151" s="1"/>
  <c r="S292" i="151"/>
  <c r="U292" i="151" s="1"/>
  <c r="S291" i="151"/>
  <c r="U291" i="151" s="1"/>
  <c r="S290" i="151"/>
  <c r="U290" i="151" s="1"/>
  <c r="S289" i="151"/>
  <c r="U289" i="151" s="1"/>
  <c r="S288" i="151"/>
  <c r="U288" i="151" s="1"/>
  <c r="S287" i="151"/>
  <c r="U287" i="151" s="1"/>
  <c r="S286" i="151"/>
  <c r="U286" i="151" s="1"/>
  <c r="S285" i="151"/>
  <c r="U285" i="151" s="1"/>
  <c r="S284" i="151"/>
  <c r="U284" i="151" s="1"/>
  <c r="S283" i="151"/>
  <c r="U283" i="151" s="1"/>
  <c r="S282" i="151"/>
  <c r="U282" i="151" s="1"/>
  <c r="S281" i="151"/>
  <c r="U281" i="151" s="1"/>
  <c r="S280" i="151"/>
  <c r="U280" i="151" s="1"/>
  <c r="S279" i="151"/>
  <c r="U279" i="151" s="1"/>
  <c r="S278" i="151"/>
  <c r="U278" i="151" s="1"/>
  <c r="S277" i="151"/>
  <c r="U277" i="151" s="1"/>
  <c r="S276" i="151"/>
  <c r="U276" i="151" s="1"/>
  <c r="S275" i="151"/>
  <c r="U275" i="151" s="1"/>
  <c r="S274" i="151"/>
  <c r="U274" i="151" s="1"/>
  <c r="S273" i="151"/>
  <c r="U273" i="151" s="1"/>
  <c r="S272" i="151"/>
  <c r="U272" i="151" s="1"/>
  <c r="S271" i="151"/>
  <c r="U271" i="151" s="1"/>
  <c r="S270" i="151"/>
  <c r="U270" i="151" s="1"/>
  <c r="S269" i="151"/>
  <c r="U269" i="151" s="1"/>
  <c r="S268" i="151"/>
  <c r="U268" i="151" s="1"/>
  <c r="S267" i="151"/>
  <c r="U267" i="151" s="1"/>
  <c r="S266" i="151"/>
  <c r="U266" i="151" s="1"/>
  <c r="S265" i="151"/>
  <c r="U265" i="151" s="1"/>
  <c r="S264" i="151"/>
  <c r="U264" i="151" s="1"/>
  <c r="S263" i="151"/>
  <c r="U263" i="151" s="1"/>
  <c r="S262" i="151"/>
  <c r="U262" i="151" s="1"/>
  <c r="S261" i="151"/>
  <c r="U261" i="151" s="1"/>
  <c r="L260" i="151"/>
  <c r="S260" i="151" s="1"/>
  <c r="U260" i="151" s="1"/>
  <c r="S259" i="151"/>
  <c r="S258" i="151"/>
  <c r="S257" i="151"/>
  <c r="S256" i="151"/>
  <c r="S255" i="151"/>
  <c r="S254" i="151"/>
  <c r="S253" i="151"/>
  <c r="S252" i="151"/>
  <c r="S251" i="151"/>
  <c r="S250" i="151"/>
  <c r="S249" i="151"/>
  <c r="S248" i="151"/>
  <c r="S247" i="151"/>
  <c r="S246" i="151"/>
  <c r="S245" i="151"/>
  <c r="S244" i="151"/>
  <c r="S243" i="151"/>
  <c r="S242" i="151"/>
  <c r="S241" i="151"/>
  <c r="S240" i="151"/>
  <c r="S239" i="151"/>
  <c r="S238" i="151"/>
  <c r="S237" i="151"/>
  <c r="S236" i="151"/>
  <c r="S235" i="151"/>
  <c r="S234" i="151"/>
  <c r="S233" i="151"/>
  <c r="S232" i="151"/>
  <c r="S231" i="151"/>
  <c r="S230" i="151"/>
  <c r="S229" i="151"/>
  <c r="S228" i="151"/>
  <c r="S227" i="151"/>
  <c r="S226" i="151"/>
  <c r="S225" i="151"/>
  <c r="S224" i="151"/>
  <c r="Y224" i="151" s="1"/>
  <c r="Z224" i="151" s="1"/>
  <c r="S223" i="151"/>
  <c r="Y223" i="151" s="1"/>
  <c r="Z223" i="151" s="1"/>
  <c r="S222" i="151"/>
  <c r="Y222" i="151" s="1"/>
  <c r="Z222" i="151" s="1"/>
  <c r="S221" i="151"/>
  <c r="Y221" i="151" s="1"/>
  <c r="Z221" i="151" s="1"/>
  <c r="S220" i="151"/>
  <c r="Y220" i="151" s="1"/>
  <c r="Z220" i="151" s="1"/>
  <c r="S219" i="151"/>
  <c r="Y219" i="151" s="1"/>
  <c r="Z219" i="151" s="1"/>
  <c r="S218" i="151"/>
  <c r="Y218" i="151" s="1"/>
  <c r="Z218" i="151" s="1"/>
  <c r="S217" i="151"/>
  <c r="Y217" i="151" s="1"/>
  <c r="Z217" i="151" s="1"/>
  <c r="S216" i="151"/>
  <c r="Y216" i="151" s="1"/>
  <c r="Z216" i="151" s="1"/>
  <c r="S215" i="151"/>
  <c r="Y215" i="151" s="1"/>
  <c r="Z215" i="151" s="1"/>
  <c r="S214" i="151"/>
  <c r="Y214" i="151" s="1"/>
  <c r="Z214" i="151" s="1"/>
  <c r="S213" i="151"/>
  <c r="Y213" i="151" s="1"/>
  <c r="Z213" i="151" s="1"/>
  <c r="S212" i="151"/>
  <c r="Y212" i="151" s="1"/>
  <c r="Z212" i="151" s="1"/>
  <c r="S211" i="151"/>
  <c r="Y211" i="151" s="1"/>
  <c r="Z211" i="151" s="1"/>
  <c r="S210" i="151"/>
  <c r="Y210" i="151" s="1"/>
  <c r="Z210" i="151" s="1"/>
  <c r="S209" i="151"/>
  <c r="Y209" i="151" s="1"/>
  <c r="Z209" i="151" s="1"/>
  <c r="S208" i="151"/>
  <c r="Y208" i="151" s="1"/>
  <c r="Z208" i="151" s="1"/>
  <c r="S207" i="151"/>
  <c r="Y207" i="151" s="1"/>
  <c r="Z207" i="151" s="1"/>
  <c r="S206" i="151"/>
  <c r="Y206" i="151" s="1"/>
  <c r="Z206" i="151" s="1"/>
  <c r="S205" i="151"/>
  <c r="Y205" i="151" s="1"/>
  <c r="Z205" i="151" s="1"/>
  <c r="S204" i="151"/>
  <c r="Y204" i="151" s="1"/>
  <c r="Z204" i="151" s="1"/>
  <c r="S203" i="151"/>
  <c r="Y203" i="151" s="1"/>
  <c r="Z203" i="151" s="1"/>
  <c r="S202" i="151"/>
  <c r="Y202" i="151" s="1"/>
  <c r="Z202" i="151" s="1"/>
  <c r="S201" i="151"/>
  <c r="Y201" i="151" s="1"/>
  <c r="Z201" i="151" s="1"/>
  <c r="S200" i="151"/>
  <c r="Y200" i="151" s="1"/>
  <c r="Z200" i="151" s="1"/>
  <c r="S199" i="151"/>
  <c r="Y199" i="151" s="1"/>
  <c r="Z199" i="151" s="1"/>
  <c r="S198" i="151"/>
  <c r="Y198" i="151" s="1"/>
  <c r="Z198" i="151" s="1"/>
  <c r="S197" i="151"/>
  <c r="Y197" i="151" s="1"/>
  <c r="Z197" i="151" s="1"/>
  <c r="O196" i="151"/>
  <c r="N196" i="151"/>
  <c r="K196" i="151"/>
  <c r="G196" i="151"/>
  <c r="J195" i="151"/>
  <c r="S195" i="151" s="1"/>
  <c r="Y195" i="151" s="1"/>
  <c r="Z195" i="151" s="1"/>
  <c r="L194" i="151"/>
  <c r="H194" i="151"/>
  <c r="J193" i="151"/>
  <c r="S193" i="151" s="1"/>
  <c r="U193" i="151" s="1"/>
  <c r="I192" i="151"/>
  <c r="H192" i="151"/>
  <c r="G192" i="151"/>
  <c r="L191" i="151"/>
  <c r="S191" i="151" s="1"/>
  <c r="U191" i="151" s="1"/>
  <c r="L190" i="151"/>
  <c r="H190" i="151"/>
  <c r="O189" i="151"/>
  <c r="S189" i="151" s="1"/>
  <c r="Y189" i="151" s="1"/>
  <c r="Z189" i="151" s="1"/>
  <c r="N188" i="151"/>
  <c r="K188" i="151"/>
  <c r="J188" i="151"/>
  <c r="S187" i="151"/>
  <c r="Y187" i="151" s="1"/>
  <c r="Z187" i="151" s="1"/>
  <c r="L186" i="151"/>
  <c r="I186" i="151"/>
  <c r="S185" i="151"/>
  <c r="Y185" i="151" s="1"/>
  <c r="Z185" i="151" s="1"/>
  <c r="S184" i="151"/>
  <c r="Y184" i="151" s="1"/>
  <c r="Z184" i="151" s="1"/>
  <c r="S183" i="151"/>
  <c r="Y183" i="151" s="1"/>
  <c r="Z183" i="151" s="1"/>
  <c r="H182" i="151"/>
  <c r="S182" i="151" s="1"/>
  <c r="Y182" i="151" s="1"/>
  <c r="Z182" i="151" s="1"/>
  <c r="S181" i="151"/>
  <c r="U181" i="151" s="1"/>
  <c r="S180" i="151"/>
  <c r="U180" i="151" s="1"/>
  <c r="S179" i="151"/>
  <c r="U179" i="151" s="1"/>
  <c r="S178" i="151"/>
  <c r="U178" i="151" s="1"/>
  <c r="S177" i="151"/>
  <c r="U177" i="151" s="1"/>
  <c r="S176" i="151"/>
  <c r="U176" i="151" s="1"/>
  <c r="S175" i="151"/>
  <c r="U175" i="151" s="1"/>
  <c r="O174" i="151"/>
  <c r="I174" i="151"/>
  <c r="H174" i="151"/>
  <c r="S173" i="151"/>
  <c r="Y173" i="151" s="1"/>
  <c r="Z173" i="151" s="1"/>
  <c r="N172" i="151"/>
  <c r="H172" i="151"/>
  <c r="G172" i="151"/>
  <c r="S171" i="151"/>
  <c r="S170" i="151"/>
  <c r="S169" i="151"/>
  <c r="S168" i="151"/>
  <c r="S167" i="151"/>
  <c r="S166" i="151"/>
  <c r="S165" i="151"/>
  <c r="S164" i="151"/>
  <c r="S163" i="151"/>
  <c r="S162" i="151"/>
  <c r="S161" i="151"/>
  <c r="S160" i="151"/>
  <c r="S159" i="151"/>
  <c r="S158" i="151"/>
  <c r="J157" i="151"/>
  <c r="H157" i="151"/>
  <c r="G157" i="151"/>
  <c r="S156" i="151"/>
  <c r="Y156" i="151" s="1"/>
  <c r="Z156" i="151" s="1"/>
  <c r="S155" i="151"/>
  <c r="Y155" i="151" s="1"/>
  <c r="Z155" i="151" s="1"/>
  <c r="S154" i="151"/>
  <c r="Y154" i="151" s="1"/>
  <c r="Z154" i="151" s="1"/>
  <c r="H153" i="151"/>
  <c r="S153" i="151" s="1"/>
  <c r="Y153" i="151" s="1"/>
  <c r="Z153" i="151" s="1"/>
  <c r="S152" i="151"/>
  <c r="U152" i="151" s="1"/>
  <c r="G151" i="151"/>
  <c r="S151" i="151" s="1"/>
  <c r="U151" i="151" s="1"/>
  <c r="S150" i="151"/>
  <c r="Y150" i="151" s="1"/>
  <c r="Z150" i="151" s="1"/>
  <c r="S149" i="151"/>
  <c r="Y149" i="151" s="1"/>
  <c r="Z149" i="151" s="1"/>
  <c r="S148" i="151"/>
  <c r="Y148" i="151" s="1"/>
  <c r="Z148" i="151" s="1"/>
  <c r="S147" i="151"/>
  <c r="Y147" i="151" s="1"/>
  <c r="Z147" i="151" s="1"/>
  <c r="S146" i="151"/>
  <c r="Y146" i="151" s="1"/>
  <c r="Z146" i="151" s="1"/>
  <c r="S145" i="151"/>
  <c r="Y145" i="151" s="1"/>
  <c r="Z145" i="151" s="1"/>
  <c r="S144" i="151"/>
  <c r="Y144" i="151" s="1"/>
  <c r="Z144" i="151" s="1"/>
  <c r="S143" i="151"/>
  <c r="Y143" i="151" s="1"/>
  <c r="Z143" i="151" s="1"/>
  <c r="S142" i="151"/>
  <c r="Y142" i="151" s="1"/>
  <c r="Z142" i="151" s="1"/>
  <c r="S141" i="151"/>
  <c r="Y141" i="151" s="1"/>
  <c r="Z141" i="151" s="1"/>
  <c r="O140" i="151"/>
  <c r="L140" i="151"/>
  <c r="H140" i="151"/>
  <c r="S139" i="151"/>
  <c r="U139" i="151" s="1"/>
  <c r="H138" i="151"/>
  <c r="S138" i="151" s="1"/>
  <c r="U138" i="151" s="1"/>
  <c r="S137" i="151"/>
  <c r="Y137" i="151" s="1"/>
  <c r="Z137" i="151" s="1"/>
  <c r="O136" i="151"/>
  <c r="J136" i="151"/>
  <c r="N135" i="151"/>
  <c r="L135" i="151"/>
  <c r="H135" i="151"/>
  <c r="S134" i="151"/>
  <c r="S133" i="151"/>
  <c r="O132" i="151"/>
  <c r="S132" i="151" s="1"/>
  <c r="L131" i="151"/>
  <c r="H131" i="151"/>
  <c r="G131" i="151"/>
  <c r="P130" i="151"/>
  <c r="O130" i="151"/>
  <c r="J130" i="151"/>
  <c r="H130" i="151"/>
  <c r="S129" i="151"/>
  <c r="S128" i="151"/>
  <c r="S127" i="151"/>
  <c r="S126" i="151"/>
  <c r="S125" i="151"/>
  <c r="S124" i="151"/>
  <c r="S123" i="151"/>
  <c r="S122" i="151"/>
  <c r="O121" i="151"/>
  <c r="N121" i="151"/>
  <c r="K121" i="151"/>
  <c r="J121" i="151"/>
  <c r="H121" i="151"/>
  <c r="G121" i="151"/>
  <c r="O120" i="151"/>
  <c r="N120" i="151"/>
  <c r="K120" i="151"/>
  <c r="H120" i="151"/>
  <c r="G120" i="151"/>
  <c r="S119" i="151"/>
  <c r="Y119" i="151" s="1"/>
  <c r="Z119" i="151" s="1"/>
  <c r="I118" i="151"/>
  <c r="H118" i="151"/>
  <c r="G118" i="151"/>
  <c r="L117" i="151"/>
  <c r="H117" i="151"/>
  <c r="G117" i="151"/>
  <c r="S116" i="151"/>
  <c r="Y116" i="151" s="1"/>
  <c r="Z116" i="151" s="1"/>
  <c r="L115" i="151"/>
  <c r="S115" i="151" s="1"/>
  <c r="S114" i="151"/>
  <c r="S113" i="151"/>
  <c r="S112" i="151"/>
  <c r="S111" i="151"/>
  <c r="P110" i="151"/>
  <c r="N110" i="151"/>
  <c r="L110" i="151"/>
  <c r="J110" i="151"/>
  <c r="H110" i="151"/>
  <c r="G110" i="151"/>
  <c r="N109" i="151"/>
  <c r="N560" i="151" s="1"/>
  <c r="S108" i="151"/>
  <c r="Y108" i="151" s="1"/>
  <c r="Z108" i="151" s="1"/>
  <c r="S107" i="151"/>
  <c r="Y107" i="151" s="1"/>
  <c r="Z107" i="151" s="1"/>
  <c r="G106" i="151"/>
  <c r="S106" i="151" s="1"/>
  <c r="S105" i="151"/>
  <c r="S104" i="151"/>
  <c r="S103" i="151"/>
  <c r="S102" i="151"/>
  <c r="S101" i="151"/>
  <c r="S100" i="151"/>
  <c r="S99" i="151"/>
  <c r="S98" i="151"/>
  <c r="S97" i="151"/>
  <c r="S96" i="151"/>
  <c r="S95" i="151"/>
  <c r="G95" i="151"/>
  <c r="S94" i="151"/>
  <c r="Y94" i="151" s="1"/>
  <c r="Z94" i="151" s="1"/>
  <c r="S93" i="151"/>
  <c r="Y93" i="151" s="1"/>
  <c r="Z93" i="151" s="1"/>
  <c r="H92" i="151"/>
  <c r="S92" i="151" s="1"/>
  <c r="S91" i="151"/>
  <c r="S90" i="151"/>
  <c r="L89" i="151"/>
  <c r="S89" i="151" s="1"/>
  <c r="S88" i="151"/>
  <c r="S87" i="151"/>
  <c r="U87" i="151" s="1"/>
  <c r="S86" i="151"/>
  <c r="U86" i="151" s="1"/>
  <c r="H85" i="151"/>
  <c r="G85" i="151"/>
  <c r="H84" i="151"/>
  <c r="G84" i="151"/>
  <c r="S83" i="151"/>
  <c r="U83" i="151" s="1"/>
  <c r="J82" i="151"/>
  <c r="G82" i="151"/>
  <c r="S81" i="151"/>
  <c r="U81" i="151" s="1"/>
  <c r="L80" i="151"/>
  <c r="S80" i="151" s="1"/>
  <c r="U80" i="151" s="1"/>
  <c r="S79" i="151"/>
  <c r="U79" i="151" s="1"/>
  <c r="K78" i="151"/>
  <c r="J78" i="151"/>
  <c r="H78" i="151"/>
  <c r="G78" i="151"/>
  <c r="S77" i="151"/>
  <c r="Y77" i="151" s="1"/>
  <c r="Z77" i="151" s="1"/>
  <c r="S76" i="151"/>
  <c r="Y76" i="151" s="1"/>
  <c r="Z76" i="151" s="1"/>
  <c r="H75" i="151"/>
  <c r="S75" i="151" s="1"/>
  <c r="Y75" i="151" s="1"/>
  <c r="Z75" i="151" s="1"/>
  <c r="S74" i="151"/>
  <c r="U74" i="151" s="1"/>
  <c r="I73" i="151"/>
  <c r="H73" i="151"/>
  <c r="S72" i="151"/>
  <c r="U72" i="151" s="1"/>
  <c r="S71" i="151"/>
  <c r="U71" i="151" s="1"/>
  <c r="S70" i="151"/>
  <c r="U70" i="151" s="1"/>
  <c r="S69" i="151"/>
  <c r="U69" i="151" s="1"/>
  <c r="S68" i="151"/>
  <c r="U68" i="151" s="1"/>
  <c r="S67" i="151"/>
  <c r="U67" i="151" s="1"/>
  <c r="G66" i="151"/>
  <c r="S66" i="151" s="1"/>
  <c r="S65" i="151"/>
  <c r="Y65" i="151" s="1"/>
  <c r="Z65" i="151" s="1"/>
  <c r="S64" i="151"/>
  <c r="Y64" i="151" s="1"/>
  <c r="Z64" i="151" s="1"/>
  <c r="S63" i="151"/>
  <c r="Y63" i="151" s="1"/>
  <c r="Z63" i="151" s="1"/>
  <c r="I62" i="151"/>
  <c r="S62" i="151" s="1"/>
  <c r="Y62" i="151" s="1"/>
  <c r="Z62" i="151" s="1"/>
  <c r="S61" i="151"/>
  <c r="U61" i="151" s="1"/>
  <c r="G60" i="151"/>
  <c r="S60" i="151" s="1"/>
  <c r="U60" i="151" s="1"/>
  <c r="S59" i="151"/>
  <c r="Y59" i="151" s="1"/>
  <c r="Z59" i="151" s="1"/>
  <c r="S58" i="151"/>
  <c r="Y58" i="151" s="1"/>
  <c r="Z58" i="151" s="1"/>
  <c r="S57" i="151"/>
  <c r="Y57" i="151" s="1"/>
  <c r="Z57" i="151" s="1"/>
  <c r="S56" i="151"/>
  <c r="Y56" i="151" s="1"/>
  <c r="Z56" i="151" s="1"/>
  <c r="S55" i="151"/>
  <c r="Y55" i="151" s="1"/>
  <c r="Z55" i="151" s="1"/>
  <c r="S54" i="151"/>
  <c r="Y54" i="151" s="1"/>
  <c r="Z54" i="151" s="1"/>
  <c r="S53" i="151"/>
  <c r="Y53" i="151" s="1"/>
  <c r="Z53" i="151" s="1"/>
  <c r="S52" i="151"/>
  <c r="Y52" i="151" s="1"/>
  <c r="Z52" i="151" s="1"/>
  <c r="S51" i="151"/>
  <c r="Y51" i="151" s="1"/>
  <c r="Z51" i="151" s="1"/>
  <c r="J50" i="151"/>
  <c r="S50" i="151" s="1"/>
  <c r="Y50" i="151" s="1"/>
  <c r="Z50" i="151" s="1"/>
  <c r="S49" i="151"/>
  <c r="U49" i="151" s="1"/>
  <c r="I48" i="151"/>
  <c r="H48" i="151"/>
  <c r="G48" i="151"/>
  <c r="S47" i="151"/>
  <c r="Y47" i="151" s="1"/>
  <c r="Z47" i="151" s="1"/>
  <c r="S46" i="151"/>
  <c r="Y46" i="151" s="1"/>
  <c r="Z46" i="151" s="1"/>
  <c r="H45" i="151"/>
  <c r="S45" i="151" s="1"/>
  <c r="Y45" i="151" s="1"/>
  <c r="Z45" i="151" s="1"/>
  <c r="S44" i="151"/>
  <c r="U44" i="151" s="1"/>
  <c r="S43" i="151"/>
  <c r="U43" i="151" s="1"/>
  <c r="S42" i="151"/>
  <c r="U42" i="151" s="1"/>
  <c r="H41" i="151"/>
  <c r="S41" i="151" s="1"/>
  <c r="U41" i="151" s="1"/>
  <c r="S40" i="151"/>
  <c r="Y40" i="151" s="1"/>
  <c r="Z40" i="151" s="1"/>
  <c r="S39" i="151"/>
  <c r="Y39" i="151" s="1"/>
  <c r="Z39" i="151" s="1"/>
  <c r="S38" i="151"/>
  <c r="Y38" i="151" s="1"/>
  <c r="Z38" i="151" s="1"/>
  <c r="S37" i="151"/>
  <c r="Y37" i="151" s="1"/>
  <c r="Z37" i="151" s="1"/>
  <c r="S36" i="151"/>
  <c r="Y36" i="151" s="1"/>
  <c r="Z36" i="151" s="1"/>
  <c r="S35" i="151"/>
  <c r="Y35" i="151" s="1"/>
  <c r="Z35" i="151" s="1"/>
  <c r="S34" i="151"/>
  <c r="Y34" i="151" s="1"/>
  <c r="Z34" i="151" s="1"/>
  <c r="S33" i="151"/>
  <c r="Y33" i="151" s="1"/>
  <c r="Z33" i="151" s="1"/>
  <c r="S32" i="151"/>
  <c r="Y32" i="151" s="1"/>
  <c r="Z32" i="151" s="1"/>
  <c r="S31" i="151"/>
  <c r="Y31" i="151" s="1"/>
  <c r="Z31" i="151" s="1"/>
  <c r="H30" i="151"/>
  <c r="G30" i="151"/>
  <c r="S30" i="151" s="1"/>
  <c r="Y30" i="151" s="1"/>
  <c r="Z30" i="151" s="1"/>
  <c r="S29" i="151"/>
  <c r="Y29" i="151" s="1"/>
  <c r="Z29" i="151" s="1"/>
  <c r="S28" i="151"/>
  <c r="Y28" i="151" s="1"/>
  <c r="Z28" i="151" s="1"/>
  <c r="S27" i="151"/>
  <c r="Y27" i="151" s="1"/>
  <c r="Z27" i="151" s="1"/>
  <c r="K26" i="151"/>
  <c r="G26" i="151"/>
  <c r="H25" i="151"/>
  <c r="S25" i="151" s="1"/>
  <c r="Y25" i="151" s="1"/>
  <c r="Z25" i="151" s="1"/>
  <c r="H24" i="151"/>
  <c r="S24" i="151" s="1"/>
  <c r="U24" i="151" s="1"/>
  <c r="S23" i="151"/>
  <c r="S22" i="151"/>
  <c r="S21" i="151"/>
  <c r="S20" i="151"/>
  <c r="S19" i="151"/>
  <c r="S18" i="151"/>
  <c r="S17" i="151"/>
  <c r="S16" i="151"/>
  <c r="J15" i="151"/>
  <c r="H15" i="151"/>
  <c r="S14" i="151"/>
  <c r="Y14" i="151" s="1"/>
  <c r="Z14" i="151" s="1"/>
  <c r="H13" i="151"/>
  <c r="S12" i="151"/>
  <c r="U12" i="151" s="1"/>
  <c r="S11" i="151"/>
  <c r="U11" i="151" s="1"/>
  <c r="S10" i="151"/>
  <c r="U10" i="151" s="1"/>
  <c r="S9" i="151"/>
  <c r="U9" i="151" s="1"/>
  <c r="S8" i="151"/>
  <c r="U8" i="151" s="1"/>
  <c r="S7" i="151"/>
  <c r="U7" i="151" s="1"/>
  <c r="S6" i="151"/>
  <c r="U6" i="151" s="1"/>
  <c r="S5" i="151"/>
  <c r="U5" i="151" s="1"/>
  <c r="S4" i="151"/>
  <c r="U4" i="151" s="1"/>
  <c r="S3" i="151"/>
  <c r="Q548" i="154"/>
  <c r="R545" i="154"/>
  <c r="P545" i="154"/>
  <c r="O545" i="154"/>
  <c r="I545" i="154"/>
  <c r="H545" i="154"/>
  <c r="G545" i="154"/>
  <c r="R544" i="154"/>
  <c r="P544" i="154"/>
  <c r="O544" i="154"/>
  <c r="I544" i="154"/>
  <c r="H544" i="154"/>
  <c r="G544" i="154"/>
  <c r="Q543" i="154"/>
  <c r="S543" i="154" s="1"/>
  <c r="T542" i="154"/>
  <c r="Q542" i="154"/>
  <c r="T541" i="154"/>
  <c r="Q541" i="154"/>
  <c r="T540" i="154"/>
  <c r="Q540" i="154"/>
  <c r="T539" i="154"/>
  <c r="Q539" i="154"/>
  <c r="T538" i="154"/>
  <c r="Q538" i="154"/>
  <c r="T537" i="154"/>
  <c r="Q537" i="154"/>
  <c r="T536" i="154"/>
  <c r="Q536" i="154"/>
  <c r="T535" i="154"/>
  <c r="Q535" i="154"/>
  <c r="T534" i="154"/>
  <c r="Q534" i="154"/>
  <c r="T533" i="154"/>
  <c r="Q533" i="154"/>
  <c r="T532" i="154"/>
  <c r="Q532" i="154"/>
  <c r="T531" i="154"/>
  <c r="Q531" i="154"/>
  <c r="T530" i="154"/>
  <c r="Q530" i="154"/>
  <c r="T529" i="154"/>
  <c r="Q529" i="154"/>
  <c r="T528" i="154"/>
  <c r="Q528" i="154"/>
  <c r="T527" i="154"/>
  <c r="Q527" i="154"/>
  <c r="T526" i="154"/>
  <c r="Q526" i="154"/>
  <c r="T525" i="154"/>
  <c r="Q525" i="154"/>
  <c r="T524" i="154"/>
  <c r="Q524" i="154"/>
  <c r="T523" i="154"/>
  <c r="Q523" i="154"/>
  <c r="T522" i="154"/>
  <c r="Q522" i="154"/>
  <c r="T521" i="154"/>
  <c r="Q521" i="154"/>
  <c r="T520" i="154"/>
  <c r="Q520" i="154"/>
  <c r="T519" i="154"/>
  <c r="Q519" i="154"/>
  <c r="T518" i="154"/>
  <c r="Q518" i="154"/>
  <c r="T517" i="154"/>
  <c r="Q517" i="154"/>
  <c r="T516" i="154"/>
  <c r="Q516" i="154"/>
  <c r="T515" i="154"/>
  <c r="Q515" i="154"/>
  <c r="T514" i="154"/>
  <c r="Q514" i="154"/>
  <c r="T513" i="154"/>
  <c r="Q513" i="154"/>
  <c r="T512" i="154"/>
  <c r="Q512" i="154"/>
  <c r="T511" i="154"/>
  <c r="Q511" i="154"/>
  <c r="T510" i="154"/>
  <c r="Q510" i="154"/>
  <c r="T509" i="154"/>
  <c r="Q509" i="154"/>
  <c r="T508" i="154"/>
  <c r="Q508" i="154"/>
  <c r="T507" i="154"/>
  <c r="Q507" i="154"/>
  <c r="T506" i="154"/>
  <c r="Q506" i="154"/>
  <c r="T505" i="154"/>
  <c r="Q505" i="154"/>
  <c r="T504" i="154"/>
  <c r="Q504" i="154"/>
  <c r="T503" i="154"/>
  <c r="Q503" i="154"/>
  <c r="T502" i="154"/>
  <c r="Q502" i="154"/>
  <c r="T501" i="154"/>
  <c r="Q501" i="154"/>
  <c r="S501" i="154" s="1"/>
  <c r="T500" i="154"/>
  <c r="Q500" i="154"/>
  <c r="S500" i="154" s="1"/>
  <c r="T499" i="154"/>
  <c r="Q499" i="154"/>
  <c r="U499" i="154" s="1"/>
  <c r="T498" i="154"/>
  <c r="Q498" i="154"/>
  <c r="W498" i="154" s="1"/>
  <c r="X498" i="154" s="1"/>
  <c r="T497" i="154"/>
  <c r="Q497" i="154"/>
  <c r="W497" i="154" s="1"/>
  <c r="X497" i="154" s="1"/>
  <c r="T496" i="154"/>
  <c r="Q496" i="154"/>
  <c r="T495" i="154"/>
  <c r="Q495" i="154"/>
  <c r="U495" i="154" s="1"/>
  <c r="T494" i="154"/>
  <c r="Q494" i="154"/>
  <c r="T493" i="154"/>
  <c r="Q493" i="154"/>
  <c r="U493" i="154" s="1"/>
  <c r="T492" i="154"/>
  <c r="N492" i="154"/>
  <c r="M492" i="154"/>
  <c r="T491" i="154"/>
  <c r="Q491" i="154"/>
  <c r="T490" i="154"/>
  <c r="Q490" i="154"/>
  <c r="V490" i="154" s="1"/>
  <c r="Y489" i="154"/>
  <c r="T488" i="154"/>
  <c r="N488" i="154"/>
  <c r="K488" i="154"/>
  <c r="T487" i="154"/>
  <c r="Q487" i="154"/>
  <c r="W487" i="154" s="1"/>
  <c r="X487" i="154" s="1"/>
  <c r="T486" i="154"/>
  <c r="Q486" i="154"/>
  <c r="W486" i="154" s="1"/>
  <c r="X486" i="154" s="1"/>
  <c r="T485" i="154"/>
  <c r="N485" i="154"/>
  <c r="Q485" i="154" s="1"/>
  <c r="W485" i="154" s="1"/>
  <c r="X485" i="154" s="1"/>
  <c r="T484" i="154"/>
  <c r="Q484" i="154"/>
  <c r="T483" i="154"/>
  <c r="Q483" i="154"/>
  <c r="T482" i="154"/>
  <c r="Q482" i="154"/>
  <c r="T481" i="154"/>
  <c r="Q481" i="154"/>
  <c r="T480" i="154"/>
  <c r="Q480" i="154"/>
  <c r="T479" i="154"/>
  <c r="Q479" i="154"/>
  <c r="T478" i="154"/>
  <c r="Q478" i="154"/>
  <c r="T477" i="154"/>
  <c r="Q477" i="154"/>
  <c r="T476" i="154"/>
  <c r="Q476" i="154"/>
  <c r="T475" i="154"/>
  <c r="N475" i="154"/>
  <c r="Q475" i="154" s="1"/>
  <c r="T474" i="154"/>
  <c r="Q474" i="154"/>
  <c r="W474" i="154" s="1"/>
  <c r="X474" i="154" s="1"/>
  <c r="T473" i="154"/>
  <c r="Q473" i="154"/>
  <c r="W473" i="154" s="1"/>
  <c r="X473" i="154" s="1"/>
  <c r="T472" i="154"/>
  <c r="Q472" i="154"/>
  <c r="W472" i="154" s="1"/>
  <c r="X472" i="154" s="1"/>
  <c r="T471" i="154"/>
  <c r="Q471" i="154"/>
  <c r="W471" i="154" s="1"/>
  <c r="X471" i="154" s="1"/>
  <c r="T470" i="154"/>
  <c r="Q470" i="154"/>
  <c r="W470" i="154" s="1"/>
  <c r="X470" i="154" s="1"/>
  <c r="T469" i="154"/>
  <c r="Q469" i="154"/>
  <c r="W469" i="154" s="1"/>
  <c r="X469" i="154" s="1"/>
  <c r="T468" i="154"/>
  <c r="Q468" i="154"/>
  <c r="W468" i="154" s="1"/>
  <c r="X468" i="154" s="1"/>
  <c r="T467" i="154"/>
  <c r="Q467" i="154"/>
  <c r="W467" i="154" s="1"/>
  <c r="X467" i="154" s="1"/>
  <c r="T466" i="154"/>
  <c r="Q466" i="154"/>
  <c r="W466" i="154" s="1"/>
  <c r="X466" i="154" s="1"/>
  <c r="T465" i="154"/>
  <c r="Q465" i="154"/>
  <c r="W465" i="154" s="1"/>
  <c r="X465" i="154" s="1"/>
  <c r="T464" i="154"/>
  <c r="Q464" i="154"/>
  <c r="W464" i="154" s="1"/>
  <c r="X464" i="154" s="1"/>
  <c r="T463" i="154"/>
  <c r="Q463" i="154"/>
  <c r="W463" i="154" s="1"/>
  <c r="X463" i="154" s="1"/>
  <c r="T462" i="154"/>
  <c r="Q462" i="154"/>
  <c r="W462" i="154" s="1"/>
  <c r="X462" i="154" s="1"/>
  <c r="Q461" i="154"/>
  <c r="S461" i="154" s="1"/>
  <c r="T460" i="154"/>
  <c r="Q460" i="154"/>
  <c r="T459" i="154"/>
  <c r="J459" i="154"/>
  <c r="Q459" i="154" s="1"/>
  <c r="T458" i="154"/>
  <c r="Q458" i="154"/>
  <c r="W458" i="154" s="1"/>
  <c r="X458" i="154" s="1"/>
  <c r="T457" i="154"/>
  <c r="Q457" i="154"/>
  <c r="W457" i="154" s="1"/>
  <c r="X457" i="154" s="1"/>
  <c r="T456" i="154"/>
  <c r="Q456" i="154"/>
  <c r="W456" i="154" s="1"/>
  <c r="X456" i="154" s="1"/>
  <c r="T455" i="154"/>
  <c r="J455" i="154"/>
  <c r="Q455" i="154" s="1"/>
  <c r="W455" i="154" s="1"/>
  <c r="X455" i="154" s="1"/>
  <c r="T454" i="154"/>
  <c r="N454" i="154"/>
  <c r="Q454" i="154" s="1"/>
  <c r="T453" i="154"/>
  <c r="J453" i="154"/>
  <c r="Q453" i="154" s="1"/>
  <c r="W453" i="154" s="1"/>
  <c r="X453" i="154" s="1"/>
  <c r="T452" i="154"/>
  <c r="Q452" i="154"/>
  <c r="T451" i="154"/>
  <c r="Q451" i="154"/>
  <c r="T450" i="154"/>
  <c r="Q450" i="154"/>
  <c r="T449" i="154"/>
  <c r="Q449" i="154"/>
  <c r="T448" i="154"/>
  <c r="N448" i="154"/>
  <c r="M448" i="154"/>
  <c r="T447" i="154"/>
  <c r="Q447" i="154"/>
  <c r="T446" i="154"/>
  <c r="Q446" i="154"/>
  <c r="T445" i="154"/>
  <c r="Q445" i="154"/>
  <c r="T444" i="154"/>
  <c r="Q444" i="154"/>
  <c r="T443" i="154"/>
  <c r="Q443" i="154"/>
  <c r="T442" i="154"/>
  <c r="Q442" i="154"/>
  <c r="T441" i="154"/>
  <c r="Q441" i="154"/>
  <c r="T440" i="154"/>
  <c r="Q440" i="154"/>
  <c r="T439" i="154"/>
  <c r="M439" i="154"/>
  <c r="Q439" i="154" s="1"/>
  <c r="T438" i="154"/>
  <c r="M438" i="154"/>
  <c r="Q438" i="154" s="1"/>
  <c r="W438" i="154" s="1"/>
  <c r="X438" i="154" s="1"/>
  <c r="T437" i="154"/>
  <c r="M437" i="154"/>
  <c r="L437" i="154"/>
  <c r="T436" i="154"/>
  <c r="Q436" i="154"/>
  <c r="T435" i="154"/>
  <c r="Q435" i="154"/>
  <c r="T434" i="154"/>
  <c r="Q434" i="154"/>
  <c r="T433" i="154"/>
  <c r="F433" i="154"/>
  <c r="Q433" i="154" s="1"/>
  <c r="T432" i="154"/>
  <c r="Q432" i="154"/>
  <c r="T431" i="154"/>
  <c r="Q431" i="154"/>
  <c r="T430" i="154"/>
  <c r="Q430" i="154"/>
  <c r="T429" i="154"/>
  <c r="Q429" i="154"/>
  <c r="S429" i="154" s="1"/>
  <c r="T428" i="154"/>
  <c r="Q428" i="154"/>
  <c r="W428" i="154" s="1"/>
  <c r="X428" i="154" s="1"/>
  <c r="T427" i="154"/>
  <c r="Q427" i="154"/>
  <c r="W427" i="154" s="1"/>
  <c r="X427" i="154" s="1"/>
  <c r="T426" i="154"/>
  <c r="Q426" i="154"/>
  <c r="W426" i="154" s="1"/>
  <c r="X426" i="154" s="1"/>
  <c r="T425" i="154"/>
  <c r="Q425" i="154"/>
  <c r="W425" i="154" s="1"/>
  <c r="X425" i="154" s="1"/>
  <c r="T424" i="154"/>
  <c r="F424" i="154"/>
  <c r="Q424" i="154" s="1"/>
  <c r="W424" i="154" s="1"/>
  <c r="X424" i="154" s="1"/>
  <c r="T423" i="154"/>
  <c r="Q423" i="154"/>
  <c r="T422" i="154"/>
  <c r="Q422" i="154"/>
  <c r="T421" i="154"/>
  <c r="Q421" i="154"/>
  <c r="T420" i="154"/>
  <c r="Q420" i="154"/>
  <c r="T419" i="154"/>
  <c r="Q419" i="154"/>
  <c r="T418" i="154"/>
  <c r="Q418" i="154"/>
  <c r="T417" i="154"/>
  <c r="Q417" i="154"/>
  <c r="T416" i="154"/>
  <c r="Q416" i="154"/>
  <c r="T415" i="154"/>
  <c r="Q415" i="154"/>
  <c r="S415" i="154" s="1"/>
  <c r="T414" i="154"/>
  <c r="Q414" i="154"/>
  <c r="W414" i="154" s="1"/>
  <c r="X414" i="154" s="1"/>
  <c r="T413" i="154"/>
  <c r="Q413" i="154"/>
  <c r="W413" i="154" s="1"/>
  <c r="X413" i="154" s="1"/>
  <c r="T412" i="154"/>
  <c r="Q412" i="154"/>
  <c r="W412" i="154" s="1"/>
  <c r="X412" i="154" s="1"/>
  <c r="T411" i="154"/>
  <c r="Q411" i="154"/>
  <c r="W411" i="154" s="1"/>
  <c r="X411" i="154" s="1"/>
  <c r="T410" i="154"/>
  <c r="Q410" i="154"/>
  <c r="W410" i="154" s="1"/>
  <c r="X410" i="154" s="1"/>
  <c r="T409" i="154"/>
  <c r="Q409" i="154"/>
  <c r="W409" i="154" s="1"/>
  <c r="X409" i="154" s="1"/>
  <c r="T408" i="154"/>
  <c r="Q408" i="154"/>
  <c r="W408" i="154" s="1"/>
  <c r="X408" i="154" s="1"/>
  <c r="T407" i="154"/>
  <c r="Q407" i="154"/>
  <c r="W407" i="154" s="1"/>
  <c r="X407" i="154" s="1"/>
  <c r="T406" i="154"/>
  <c r="N406" i="154"/>
  <c r="J406" i="154"/>
  <c r="T405" i="154"/>
  <c r="K405" i="154"/>
  <c r="J405" i="154"/>
  <c r="F405" i="154"/>
  <c r="T404" i="154"/>
  <c r="Q404" i="154"/>
  <c r="T403" i="154"/>
  <c r="Q403" i="154"/>
  <c r="T402" i="154"/>
  <c r="Q402" i="154"/>
  <c r="T401" i="154"/>
  <c r="Q401" i="154"/>
  <c r="T400" i="154"/>
  <c r="J400" i="154"/>
  <c r="Q400" i="154" s="1"/>
  <c r="T399" i="154"/>
  <c r="Q399" i="154"/>
  <c r="W399" i="154" s="1"/>
  <c r="X399" i="154" s="1"/>
  <c r="T398" i="154"/>
  <c r="Q398" i="154"/>
  <c r="W398" i="154" s="1"/>
  <c r="X398" i="154" s="1"/>
  <c r="T397" i="154"/>
  <c r="J397" i="154"/>
  <c r="Q397" i="154" s="1"/>
  <c r="W397" i="154" s="1"/>
  <c r="X397" i="154" s="1"/>
  <c r="T396" i="154"/>
  <c r="F396" i="154"/>
  <c r="T395" i="154"/>
  <c r="Q395" i="154"/>
  <c r="W395" i="154" s="1"/>
  <c r="X395" i="154" s="1"/>
  <c r="T394" i="154"/>
  <c r="Q394" i="154"/>
  <c r="W394" i="154" s="1"/>
  <c r="X394" i="154" s="1"/>
  <c r="T393" i="154"/>
  <c r="Q393" i="154"/>
  <c r="W393" i="154" s="1"/>
  <c r="X393" i="154" s="1"/>
  <c r="T392" i="154"/>
  <c r="Q392" i="154"/>
  <c r="W392" i="154" s="1"/>
  <c r="X392" i="154" s="1"/>
  <c r="T391" i="154"/>
  <c r="Q391" i="154"/>
  <c r="W391" i="154" s="1"/>
  <c r="X391" i="154" s="1"/>
  <c r="T390" i="154"/>
  <c r="Q390" i="154"/>
  <c r="W390" i="154" s="1"/>
  <c r="X390" i="154" s="1"/>
  <c r="T389" i="154"/>
  <c r="Q389" i="154"/>
  <c r="W389" i="154" s="1"/>
  <c r="X389" i="154" s="1"/>
  <c r="T388" i="154"/>
  <c r="Q388" i="154"/>
  <c r="W388" i="154" s="1"/>
  <c r="X388" i="154" s="1"/>
  <c r="T387" i="154"/>
  <c r="Q387" i="154"/>
  <c r="W387" i="154" s="1"/>
  <c r="X387" i="154" s="1"/>
  <c r="T386" i="154"/>
  <c r="Q386" i="154"/>
  <c r="W386" i="154" s="1"/>
  <c r="X386" i="154" s="1"/>
  <c r="T385" i="154"/>
  <c r="Q385" i="154"/>
  <c r="W385" i="154" s="1"/>
  <c r="X385" i="154" s="1"/>
  <c r="T384" i="154"/>
  <c r="Q384" i="154"/>
  <c r="W384" i="154" s="1"/>
  <c r="X384" i="154" s="1"/>
  <c r="T383" i="154"/>
  <c r="Q383" i="154"/>
  <c r="W383" i="154" s="1"/>
  <c r="X383" i="154" s="1"/>
  <c r="T382" i="154"/>
  <c r="K382" i="154"/>
  <c r="Q382" i="154" s="1"/>
  <c r="W382" i="154" s="1"/>
  <c r="X382" i="154" s="1"/>
  <c r="T381" i="154"/>
  <c r="Q381" i="154"/>
  <c r="T380" i="154"/>
  <c r="N380" i="154"/>
  <c r="K380" i="154"/>
  <c r="T379" i="154"/>
  <c r="Q379" i="154"/>
  <c r="T378" i="154"/>
  <c r="Q378" i="154"/>
  <c r="T377" i="154"/>
  <c r="Q377" i="154"/>
  <c r="T376" i="154"/>
  <c r="Q376" i="154"/>
  <c r="T375" i="154"/>
  <c r="Q375" i="154"/>
  <c r="T374" i="154"/>
  <c r="Q374" i="154"/>
  <c r="T373" i="154"/>
  <c r="Q373" i="154"/>
  <c r="T372" i="154"/>
  <c r="Q372" i="154"/>
  <c r="T371" i="154"/>
  <c r="Q371" i="154"/>
  <c r="T370" i="154"/>
  <c r="Q370" i="154"/>
  <c r="T369" i="154"/>
  <c r="Q369" i="154"/>
  <c r="T368" i="154"/>
  <c r="Q368" i="154"/>
  <c r="T367" i="154"/>
  <c r="Q367" i="154"/>
  <c r="T366" i="154"/>
  <c r="Q366" i="154"/>
  <c r="T365" i="154"/>
  <c r="Q365" i="154"/>
  <c r="T364" i="154"/>
  <c r="Q364" i="154"/>
  <c r="T363" i="154"/>
  <c r="Q363" i="154"/>
  <c r="T362" i="154"/>
  <c r="Q362" i="154"/>
  <c r="T361" i="154"/>
  <c r="Q361" i="154"/>
  <c r="T360" i="154"/>
  <c r="Q360" i="154"/>
  <c r="T359" i="154"/>
  <c r="Q359" i="154"/>
  <c r="T358" i="154"/>
  <c r="Q358" i="154"/>
  <c r="T357" i="154"/>
  <c r="Q357" i="154"/>
  <c r="T356" i="154"/>
  <c r="Q356" i="154"/>
  <c r="T355" i="154"/>
  <c r="Q355" i="154"/>
  <c r="T354" i="154"/>
  <c r="Q354" i="154"/>
  <c r="T353" i="154"/>
  <c r="Q353" i="154"/>
  <c r="T352" i="154"/>
  <c r="Q352" i="154"/>
  <c r="T351" i="154"/>
  <c r="Q351" i="154"/>
  <c r="T350" i="154"/>
  <c r="Q350" i="154"/>
  <c r="T349" i="154"/>
  <c r="Q349" i="154"/>
  <c r="T348" i="154"/>
  <c r="Q348" i="154"/>
  <c r="T347" i="154"/>
  <c r="Q347" i="154"/>
  <c r="T346" i="154"/>
  <c r="Q346" i="154"/>
  <c r="T345" i="154"/>
  <c r="Q345" i="154"/>
  <c r="T344" i="154"/>
  <c r="Q344" i="154"/>
  <c r="T343" i="154"/>
  <c r="Q343" i="154"/>
  <c r="T342" i="154"/>
  <c r="Q342" i="154"/>
  <c r="T341" i="154"/>
  <c r="Q341" i="154"/>
  <c r="T340" i="154"/>
  <c r="Q340" i="154"/>
  <c r="T339" i="154"/>
  <c r="Q339" i="154"/>
  <c r="T338" i="154"/>
  <c r="Q338" i="154"/>
  <c r="T337" i="154"/>
  <c r="Q337" i="154"/>
  <c r="T336" i="154"/>
  <c r="Q336" i="154"/>
  <c r="T335" i="154"/>
  <c r="Q335" i="154"/>
  <c r="T334" i="154"/>
  <c r="Q334" i="154"/>
  <c r="T333" i="154"/>
  <c r="Q333" i="154"/>
  <c r="T332" i="154"/>
  <c r="Q332" i="154"/>
  <c r="T331" i="154"/>
  <c r="Q331" i="154"/>
  <c r="T330" i="154"/>
  <c r="Q330" i="154"/>
  <c r="T329" i="154"/>
  <c r="Q329" i="154"/>
  <c r="T328" i="154"/>
  <c r="Q328" i="154"/>
  <c r="T327" i="154"/>
  <c r="Q327" i="154"/>
  <c r="T326" i="154"/>
  <c r="Q326" i="154"/>
  <c r="T325" i="154"/>
  <c r="Q325" i="154"/>
  <c r="T324" i="154"/>
  <c r="Q324" i="154"/>
  <c r="T323" i="154"/>
  <c r="Q323" i="154"/>
  <c r="T322" i="154"/>
  <c r="Q322" i="154"/>
  <c r="T321" i="154"/>
  <c r="Q321" i="154"/>
  <c r="T320" i="154"/>
  <c r="Q320" i="154"/>
  <c r="T319" i="154"/>
  <c r="Q319" i="154"/>
  <c r="T318" i="154"/>
  <c r="Q318" i="154"/>
  <c r="T317" i="154"/>
  <c r="Q317" i="154"/>
  <c r="T316" i="154"/>
  <c r="Q316" i="154"/>
  <c r="T315" i="154"/>
  <c r="Q315" i="154"/>
  <c r="T314" i="154"/>
  <c r="Q314" i="154"/>
  <c r="T313" i="154"/>
  <c r="Q313" i="154"/>
  <c r="T312" i="154"/>
  <c r="Q312" i="154"/>
  <c r="T311" i="154"/>
  <c r="Q311" i="154"/>
  <c r="T310" i="154"/>
  <c r="Q310" i="154"/>
  <c r="T309" i="154"/>
  <c r="Q309" i="154"/>
  <c r="T308" i="154"/>
  <c r="Q308" i="154"/>
  <c r="T307" i="154"/>
  <c r="Q307" i="154"/>
  <c r="T306" i="154"/>
  <c r="Q306" i="154"/>
  <c r="T305" i="154"/>
  <c r="Q305" i="154"/>
  <c r="T304" i="154"/>
  <c r="Q304" i="154"/>
  <c r="T303" i="154"/>
  <c r="Q303" i="154"/>
  <c r="T302" i="154"/>
  <c r="Q302" i="154"/>
  <c r="T301" i="154"/>
  <c r="Q301" i="154"/>
  <c r="T300" i="154"/>
  <c r="N300" i="154"/>
  <c r="L300" i="154"/>
  <c r="Q300" i="154" s="1"/>
  <c r="T299" i="154"/>
  <c r="Q299" i="154"/>
  <c r="T298" i="154"/>
  <c r="Q298" i="154"/>
  <c r="T297" i="154"/>
  <c r="Q297" i="154"/>
  <c r="T296" i="154"/>
  <c r="Q296" i="154"/>
  <c r="T295" i="154"/>
  <c r="Q295" i="154"/>
  <c r="T294" i="154"/>
  <c r="Q294" i="154"/>
  <c r="T293" i="154"/>
  <c r="Q293" i="154"/>
  <c r="T292" i="154"/>
  <c r="Q292" i="154"/>
  <c r="T291" i="154"/>
  <c r="Q291" i="154"/>
  <c r="T290" i="154"/>
  <c r="Q290" i="154"/>
  <c r="T289" i="154"/>
  <c r="Q289" i="154"/>
  <c r="T288" i="154"/>
  <c r="Q288" i="154"/>
  <c r="T287" i="154"/>
  <c r="Q287" i="154"/>
  <c r="T286" i="154"/>
  <c r="Q286" i="154"/>
  <c r="T285" i="154"/>
  <c r="Q285" i="154"/>
  <c r="T284" i="154"/>
  <c r="Q284" i="154"/>
  <c r="T283" i="154"/>
  <c r="Q283" i="154"/>
  <c r="T282" i="154"/>
  <c r="Q282" i="154"/>
  <c r="T281" i="154"/>
  <c r="Q281" i="154"/>
  <c r="T280" i="154"/>
  <c r="Q280" i="154"/>
  <c r="T279" i="154"/>
  <c r="Q279" i="154"/>
  <c r="T278" i="154"/>
  <c r="Q278" i="154"/>
  <c r="T277" i="154"/>
  <c r="Q277" i="154"/>
  <c r="T276" i="154"/>
  <c r="Q276" i="154"/>
  <c r="T275" i="154"/>
  <c r="Q275" i="154"/>
  <c r="T274" i="154"/>
  <c r="Q274" i="154"/>
  <c r="T273" i="154"/>
  <c r="Q273" i="154"/>
  <c r="T272" i="154"/>
  <c r="Q272" i="154"/>
  <c r="T271" i="154"/>
  <c r="Q271" i="154"/>
  <c r="T270" i="154"/>
  <c r="Q270" i="154"/>
  <c r="T269" i="154"/>
  <c r="Q269" i="154"/>
  <c r="T268" i="154"/>
  <c r="Q268" i="154"/>
  <c r="T267" i="154"/>
  <c r="Q267" i="154"/>
  <c r="T266" i="154"/>
  <c r="Q266" i="154"/>
  <c r="T265" i="154"/>
  <c r="Q265" i="154"/>
  <c r="T264" i="154"/>
  <c r="Q264" i="154"/>
  <c r="T263" i="154"/>
  <c r="Q263" i="154"/>
  <c r="T262" i="154"/>
  <c r="Q262" i="154"/>
  <c r="T261" i="154"/>
  <c r="Q261" i="154"/>
  <c r="T260" i="154"/>
  <c r="Q260" i="154"/>
  <c r="T259" i="154"/>
  <c r="Q259" i="154"/>
  <c r="T258" i="154"/>
  <c r="Q258" i="154"/>
  <c r="T257" i="154"/>
  <c r="Q257" i="154"/>
  <c r="T256" i="154"/>
  <c r="Q256" i="154"/>
  <c r="T255" i="154"/>
  <c r="Q255" i="154"/>
  <c r="T254" i="154"/>
  <c r="Q254" i="154"/>
  <c r="T253" i="154"/>
  <c r="Q253" i="154"/>
  <c r="T252" i="154"/>
  <c r="Q252" i="154"/>
  <c r="T251" i="154"/>
  <c r="Q251" i="154"/>
  <c r="T250" i="154"/>
  <c r="Q250" i="154"/>
  <c r="T249" i="154"/>
  <c r="Q249" i="154"/>
  <c r="T248" i="154"/>
  <c r="Q248" i="154"/>
  <c r="T247" i="154"/>
  <c r="Q247" i="154"/>
  <c r="T246" i="154"/>
  <c r="Q246" i="154"/>
  <c r="T245" i="154"/>
  <c r="Q245" i="154"/>
  <c r="T244" i="154"/>
  <c r="Q244" i="154"/>
  <c r="T243" i="154"/>
  <c r="Q243" i="154"/>
  <c r="T242" i="154"/>
  <c r="Q242" i="154"/>
  <c r="T241" i="154"/>
  <c r="Q241" i="154"/>
  <c r="T240" i="154"/>
  <c r="Q240" i="154"/>
  <c r="T239" i="154"/>
  <c r="Q239" i="154"/>
  <c r="T238" i="154"/>
  <c r="Q238" i="154"/>
  <c r="T237" i="154"/>
  <c r="Q237" i="154"/>
  <c r="T236" i="154"/>
  <c r="Q236" i="154"/>
  <c r="T235" i="154"/>
  <c r="Q235" i="154"/>
  <c r="T234" i="154"/>
  <c r="Q234" i="154"/>
  <c r="T233" i="154"/>
  <c r="Q233" i="154"/>
  <c r="T232" i="154"/>
  <c r="Q232" i="154"/>
  <c r="T231" i="154"/>
  <c r="Q231" i="154"/>
  <c r="T230" i="154"/>
  <c r="Q230" i="154"/>
  <c r="T229" i="154"/>
  <c r="Q229" i="154"/>
  <c r="T228" i="154"/>
  <c r="Q228" i="154"/>
  <c r="T227" i="154"/>
  <c r="Q227" i="154"/>
  <c r="T226" i="154"/>
  <c r="Q226" i="154"/>
  <c r="T225" i="154"/>
  <c r="Q225" i="154"/>
  <c r="T224" i="154"/>
  <c r="Q224" i="154"/>
  <c r="T223" i="154"/>
  <c r="Q223" i="154"/>
  <c r="T222" i="154"/>
  <c r="Q222" i="154"/>
  <c r="T221" i="154"/>
  <c r="Q221" i="154"/>
  <c r="T220" i="154"/>
  <c r="Q220" i="154"/>
  <c r="T219" i="154"/>
  <c r="Q219" i="154"/>
  <c r="T218" i="154"/>
  <c r="Q218" i="154"/>
  <c r="T217" i="154"/>
  <c r="Q217" i="154"/>
  <c r="T216" i="154"/>
  <c r="Q216" i="154"/>
  <c r="T215" i="154"/>
  <c r="Q215" i="154"/>
  <c r="T214" i="154"/>
  <c r="Q214" i="154"/>
  <c r="T213" i="154"/>
  <c r="Q213" i="154"/>
  <c r="T212" i="154"/>
  <c r="Q212" i="154"/>
  <c r="T211" i="154"/>
  <c r="Q211" i="154"/>
  <c r="T210" i="154"/>
  <c r="Q210" i="154"/>
  <c r="T209" i="154"/>
  <c r="Q209" i="154"/>
  <c r="T208" i="154"/>
  <c r="Q208" i="154"/>
  <c r="T207" i="154"/>
  <c r="Q207" i="154"/>
  <c r="T206" i="154"/>
  <c r="Q206" i="154"/>
  <c r="T205" i="154"/>
  <c r="Q205" i="154"/>
  <c r="T204" i="154"/>
  <c r="Q204" i="154"/>
  <c r="T203" i="154"/>
  <c r="Q203" i="154"/>
  <c r="T202" i="154"/>
  <c r="Q202" i="154"/>
  <c r="T201" i="154"/>
  <c r="Q201" i="154"/>
  <c r="T200" i="154"/>
  <c r="Q200" i="154"/>
  <c r="T199" i="154"/>
  <c r="Q199" i="154"/>
  <c r="T198" i="154"/>
  <c r="Q198" i="154"/>
  <c r="T197" i="154"/>
  <c r="Q197" i="154"/>
  <c r="T196" i="154"/>
  <c r="Q196" i="154"/>
  <c r="T195" i="154"/>
  <c r="Q195" i="154"/>
  <c r="T194" i="154"/>
  <c r="Q194" i="154"/>
  <c r="T193" i="154"/>
  <c r="Q193" i="154"/>
  <c r="T192" i="154"/>
  <c r="Q192" i="154"/>
  <c r="T191" i="154"/>
  <c r="Q191" i="154"/>
  <c r="T190" i="154"/>
  <c r="Q190" i="154"/>
  <c r="T189" i="154"/>
  <c r="Q189" i="154"/>
  <c r="T188" i="154"/>
  <c r="Q188" i="154"/>
  <c r="T187" i="154"/>
  <c r="Q187" i="154"/>
  <c r="T186" i="154"/>
  <c r="L186" i="154"/>
  <c r="Q186" i="154" s="1"/>
  <c r="T185" i="154"/>
  <c r="M185" i="154"/>
  <c r="Q185" i="154" s="1"/>
  <c r="W185" i="154" s="1"/>
  <c r="X185" i="154" s="1"/>
  <c r="T184" i="154"/>
  <c r="Q184" i="154"/>
  <c r="T183" i="154"/>
  <c r="Q183" i="154"/>
  <c r="T182" i="154"/>
  <c r="Q182" i="154"/>
  <c r="T181" i="154"/>
  <c r="Q181" i="154"/>
  <c r="T180" i="154"/>
  <c r="Q180" i="154"/>
  <c r="T179" i="154"/>
  <c r="Q179" i="154"/>
  <c r="T178" i="154"/>
  <c r="Q178" i="154"/>
  <c r="T177" i="154"/>
  <c r="Q177" i="154"/>
  <c r="T176" i="154"/>
  <c r="Q176" i="154"/>
  <c r="T175" i="154"/>
  <c r="Q175" i="154"/>
  <c r="T174" i="154"/>
  <c r="Q174" i="154"/>
  <c r="T173" i="154"/>
  <c r="Q173" i="154"/>
  <c r="T172" i="154"/>
  <c r="Q172" i="154"/>
  <c r="T171" i="154"/>
  <c r="Q171" i="154"/>
  <c r="T170" i="154"/>
  <c r="Q170" i="154"/>
  <c r="T169" i="154"/>
  <c r="Q169" i="154"/>
  <c r="T168" i="154"/>
  <c r="Q168" i="154"/>
  <c r="T167" i="154"/>
  <c r="Q167" i="154"/>
  <c r="T166" i="154"/>
  <c r="Q166" i="154"/>
  <c r="T165" i="154"/>
  <c r="Q165" i="154"/>
  <c r="T164" i="154"/>
  <c r="Q164" i="154"/>
  <c r="T163" i="154"/>
  <c r="Q163" i="154"/>
  <c r="T162" i="154"/>
  <c r="Q162" i="154"/>
  <c r="T161" i="154"/>
  <c r="Q161" i="154"/>
  <c r="T160" i="154"/>
  <c r="Q160" i="154"/>
  <c r="T159" i="154"/>
  <c r="Q159" i="154"/>
  <c r="W159" i="154" s="1"/>
  <c r="X159" i="154" s="1"/>
  <c r="T158" i="154"/>
  <c r="Q158" i="154"/>
  <c r="W158" i="154" s="1"/>
  <c r="X158" i="154" s="1"/>
  <c r="T157" i="154"/>
  <c r="Q157" i="154"/>
  <c r="W157" i="154" s="1"/>
  <c r="X157" i="154" s="1"/>
  <c r="T156" i="154"/>
  <c r="Q156" i="154"/>
  <c r="W156" i="154" s="1"/>
  <c r="X156" i="154" s="1"/>
  <c r="T155" i="154"/>
  <c r="Q155" i="154"/>
  <c r="W155" i="154" s="1"/>
  <c r="X155" i="154" s="1"/>
  <c r="T154" i="154"/>
  <c r="Q154" i="154"/>
  <c r="W154" i="154" s="1"/>
  <c r="X154" i="154" s="1"/>
  <c r="T153" i="154"/>
  <c r="Q153" i="154"/>
  <c r="W153" i="154" s="1"/>
  <c r="X153" i="154" s="1"/>
  <c r="T152" i="154"/>
  <c r="Q152" i="154"/>
  <c r="W152" i="154" s="1"/>
  <c r="X152" i="154" s="1"/>
  <c r="T151" i="154"/>
  <c r="Q151" i="154"/>
  <c r="W151" i="154" s="1"/>
  <c r="X151" i="154" s="1"/>
  <c r="T150" i="154"/>
  <c r="Q150" i="154"/>
  <c r="W150" i="154" s="1"/>
  <c r="X150" i="154" s="1"/>
  <c r="T149" i="154"/>
  <c r="Q149" i="154"/>
  <c r="W149" i="154" s="1"/>
  <c r="X149" i="154" s="1"/>
  <c r="T148" i="154"/>
  <c r="Q148" i="154"/>
  <c r="W148" i="154" s="1"/>
  <c r="X148" i="154" s="1"/>
  <c r="T147" i="154"/>
  <c r="Q147" i="154"/>
  <c r="W147" i="154" s="1"/>
  <c r="X147" i="154" s="1"/>
  <c r="T146" i="154"/>
  <c r="Q146" i="154"/>
  <c r="W146" i="154" s="1"/>
  <c r="X146" i="154" s="1"/>
  <c r="T145" i="154"/>
  <c r="Q145" i="154"/>
  <c r="W145" i="154" s="1"/>
  <c r="X145" i="154" s="1"/>
  <c r="T144" i="154"/>
  <c r="Q144" i="154"/>
  <c r="W144" i="154" s="1"/>
  <c r="X144" i="154" s="1"/>
  <c r="T143" i="154"/>
  <c r="Q143" i="154"/>
  <c r="W143" i="154" s="1"/>
  <c r="X143" i="154" s="1"/>
  <c r="T142" i="154"/>
  <c r="Q142" i="154"/>
  <c r="W142" i="154" s="1"/>
  <c r="X142" i="154" s="1"/>
  <c r="T141" i="154"/>
  <c r="Q141" i="154"/>
  <c r="W141" i="154" s="1"/>
  <c r="X141" i="154" s="1"/>
  <c r="T140" i="154"/>
  <c r="Q140" i="154"/>
  <c r="W140" i="154" s="1"/>
  <c r="X140" i="154" s="1"/>
  <c r="T139" i="154"/>
  <c r="Q139" i="154"/>
  <c r="W139" i="154" s="1"/>
  <c r="X139" i="154" s="1"/>
  <c r="T138" i="154"/>
  <c r="Q138" i="154"/>
  <c r="W138" i="154" s="1"/>
  <c r="X138" i="154" s="1"/>
  <c r="T137" i="154"/>
  <c r="Q137" i="154"/>
  <c r="W137" i="154" s="1"/>
  <c r="X137" i="154" s="1"/>
  <c r="T136" i="154"/>
  <c r="Q136" i="154"/>
  <c r="W136" i="154" s="1"/>
  <c r="X136" i="154" s="1"/>
  <c r="T135" i="154"/>
  <c r="Q135" i="154"/>
  <c r="W135" i="154" s="1"/>
  <c r="X135" i="154" s="1"/>
  <c r="T134" i="154"/>
  <c r="Q134" i="154"/>
  <c r="W134" i="154" s="1"/>
  <c r="X134" i="154" s="1"/>
  <c r="T133" i="154"/>
  <c r="Q133" i="154"/>
  <c r="W133" i="154" s="1"/>
  <c r="X133" i="154" s="1"/>
  <c r="T132" i="154"/>
  <c r="Q132" i="154"/>
  <c r="W132" i="154" s="1"/>
  <c r="X132" i="154" s="1"/>
  <c r="T131" i="154"/>
  <c r="L131" i="154"/>
  <c r="Q131" i="154" s="1"/>
  <c r="W131" i="154" s="1"/>
  <c r="X131" i="154" s="1"/>
  <c r="T130" i="154"/>
  <c r="M130" i="154"/>
  <c r="M545" i="154" s="1"/>
  <c r="T129" i="154"/>
  <c r="Q129" i="154"/>
  <c r="W129" i="154" s="1"/>
  <c r="X129" i="154" s="1"/>
  <c r="J129" i="154"/>
  <c r="W128" i="154"/>
  <c r="X128" i="154" s="1"/>
  <c r="T128" i="154"/>
  <c r="S128" i="154"/>
  <c r="Y128" i="154" s="1"/>
  <c r="Q128" i="154"/>
  <c r="W127" i="154"/>
  <c r="X127" i="154" s="1"/>
  <c r="T127" i="154"/>
  <c r="S127" i="154"/>
  <c r="Y127" i="154" s="1"/>
  <c r="Q127" i="154"/>
  <c r="T126" i="154"/>
  <c r="J126" i="154"/>
  <c r="Q126" i="154" s="1"/>
  <c r="T125" i="154"/>
  <c r="Q125" i="154"/>
  <c r="W125" i="154" s="1"/>
  <c r="X125" i="154" s="1"/>
  <c r="T124" i="154"/>
  <c r="Q124" i="154"/>
  <c r="W124" i="154" s="1"/>
  <c r="X124" i="154" s="1"/>
  <c r="T123" i="154"/>
  <c r="Q123" i="154"/>
  <c r="W123" i="154" s="1"/>
  <c r="X123" i="154" s="1"/>
  <c r="T122" i="154"/>
  <c r="Q122" i="154"/>
  <c r="W122" i="154" s="1"/>
  <c r="X122" i="154" s="1"/>
  <c r="T121" i="154"/>
  <c r="Q121" i="154"/>
  <c r="W121" i="154" s="1"/>
  <c r="X121" i="154" s="1"/>
  <c r="T120" i="154"/>
  <c r="Q120" i="154"/>
  <c r="W120" i="154" s="1"/>
  <c r="X120" i="154" s="1"/>
  <c r="T119" i="154"/>
  <c r="Q119" i="154"/>
  <c r="W119" i="154" s="1"/>
  <c r="X119" i="154" s="1"/>
  <c r="T118" i="154"/>
  <c r="Q118" i="154"/>
  <c r="W118" i="154" s="1"/>
  <c r="X118" i="154" s="1"/>
  <c r="T117" i="154"/>
  <c r="Q117" i="154"/>
  <c r="W117" i="154" s="1"/>
  <c r="X117" i="154" s="1"/>
  <c r="T116" i="154"/>
  <c r="Q116" i="154"/>
  <c r="W116" i="154" s="1"/>
  <c r="X116" i="154" s="1"/>
  <c r="T115" i="154"/>
  <c r="Q115" i="154"/>
  <c r="W115" i="154" s="1"/>
  <c r="X115" i="154" s="1"/>
  <c r="T114" i="154"/>
  <c r="Q114" i="154"/>
  <c r="W114" i="154" s="1"/>
  <c r="X114" i="154" s="1"/>
  <c r="T113" i="154"/>
  <c r="Q113" i="154"/>
  <c r="W113" i="154" s="1"/>
  <c r="X113" i="154" s="1"/>
  <c r="T112" i="154"/>
  <c r="Q112" i="154"/>
  <c r="W112" i="154" s="1"/>
  <c r="X112" i="154" s="1"/>
  <c r="T111" i="154"/>
  <c r="Q111" i="154"/>
  <c r="W111" i="154" s="1"/>
  <c r="X111" i="154" s="1"/>
  <c r="T110" i="154"/>
  <c r="Q110" i="154"/>
  <c r="W110" i="154" s="1"/>
  <c r="X110" i="154" s="1"/>
  <c r="T109" i="154"/>
  <c r="Q109" i="154"/>
  <c r="W109" i="154" s="1"/>
  <c r="X109" i="154" s="1"/>
  <c r="T108" i="154"/>
  <c r="Q108" i="154"/>
  <c r="W108" i="154" s="1"/>
  <c r="X108" i="154" s="1"/>
  <c r="T107" i="154"/>
  <c r="Q107" i="154"/>
  <c r="W107" i="154" s="1"/>
  <c r="X107" i="154" s="1"/>
  <c r="T106" i="154"/>
  <c r="Q106" i="154"/>
  <c r="W106" i="154" s="1"/>
  <c r="X106" i="154" s="1"/>
  <c r="T105" i="154"/>
  <c r="L105" i="154"/>
  <c r="Q105" i="154" s="1"/>
  <c r="W105" i="154" s="1"/>
  <c r="X105" i="154" s="1"/>
  <c r="T104" i="154"/>
  <c r="L104" i="154"/>
  <c r="Q104" i="154" s="1"/>
  <c r="T103" i="154"/>
  <c r="Q103" i="154"/>
  <c r="W103" i="154" s="1"/>
  <c r="X103" i="154" s="1"/>
  <c r="T102" i="154"/>
  <c r="L102" i="154"/>
  <c r="Q102" i="154" s="1"/>
  <c r="W102" i="154" s="1"/>
  <c r="X102" i="154" s="1"/>
  <c r="T101" i="154"/>
  <c r="L101" i="154"/>
  <c r="Q101" i="154" s="1"/>
  <c r="T100" i="154"/>
  <c r="Q100" i="154"/>
  <c r="W100" i="154" s="1"/>
  <c r="X100" i="154" s="1"/>
  <c r="T99" i="154"/>
  <c r="Q99" i="154"/>
  <c r="W99" i="154" s="1"/>
  <c r="X99" i="154" s="1"/>
  <c r="T98" i="154"/>
  <c r="Q98" i="154"/>
  <c r="W98" i="154" s="1"/>
  <c r="X98" i="154" s="1"/>
  <c r="T97" i="154"/>
  <c r="Q97" i="154"/>
  <c r="W97" i="154" s="1"/>
  <c r="X97" i="154" s="1"/>
  <c r="T96" i="154"/>
  <c r="Q96" i="154"/>
  <c r="W96" i="154" s="1"/>
  <c r="X96" i="154" s="1"/>
  <c r="T95" i="154"/>
  <c r="Q95" i="154"/>
  <c r="W95" i="154" s="1"/>
  <c r="X95" i="154" s="1"/>
  <c r="T94" i="154"/>
  <c r="Q94" i="154"/>
  <c r="W94" i="154" s="1"/>
  <c r="X94" i="154" s="1"/>
  <c r="T93" i="154"/>
  <c r="Q93" i="154"/>
  <c r="W93" i="154" s="1"/>
  <c r="X93" i="154" s="1"/>
  <c r="T92" i="154"/>
  <c r="Q92" i="154"/>
  <c r="W92" i="154" s="1"/>
  <c r="X92" i="154" s="1"/>
  <c r="T91" i="154"/>
  <c r="Q91" i="154"/>
  <c r="W91" i="154" s="1"/>
  <c r="X91" i="154" s="1"/>
  <c r="T90" i="154"/>
  <c r="Q90" i="154"/>
  <c r="W90" i="154" s="1"/>
  <c r="X90" i="154" s="1"/>
  <c r="T89" i="154"/>
  <c r="Q89" i="154"/>
  <c r="W89" i="154" s="1"/>
  <c r="X89" i="154" s="1"/>
  <c r="T88" i="154"/>
  <c r="Q88" i="154"/>
  <c r="W88" i="154" s="1"/>
  <c r="X88" i="154" s="1"/>
  <c r="T87" i="154"/>
  <c r="Q87" i="154"/>
  <c r="W87" i="154" s="1"/>
  <c r="X87" i="154" s="1"/>
  <c r="T86" i="154"/>
  <c r="Q86" i="154"/>
  <c r="W86" i="154" s="1"/>
  <c r="X86" i="154" s="1"/>
  <c r="T85" i="154"/>
  <c r="Q85" i="154"/>
  <c r="W85" i="154" s="1"/>
  <c r="X85" i="154" s="1"/>
  <c r="T84" i="154"/>
  <c r="Q84" i="154"/>
  <c r="W84" i="154" s="1"/>
  <c r="X84" i="154" s="1"/>
  <c r="T83" i="154"/>
  <c r="Q83" i="154"/>
  <c r="W83" i="154" s="1"/>
  <c r="X83" i="154" s="1"/>
  <c r="T82" i="154"/>
  <c r="Q82" i="154"/>
  <c r="W82" i="154" s="1"/>
  <c r="X82" i="154" s="1"/>
  <c r="T81" i="154"/>
  <c r="Q81" i="154"/>
  <c r="W81" i="154" s="1"/>
  <c r="X81" i="154" s="1"/>
  <c r="T80" i="154"/>
  <c r="L80" i="154"/>
  <c r="Q80" i="154" s="1"/>
  <c r="W80" i="154" s="1"/>
  <c r="X80" i="154" s="1"/>
  <c r="T79" i="154"/>
  <c r="Q79" i="154"/>
  <c r="T78" i="154"/>
  <c r="Q78" i="154"/>
  <c r="T77" i="154"/>
  <c r="Q77" i="154"/>
  <c r="T76" i="154"/>
  <c r="Q76" i="154"/>
  <c r="T75" i="154"/>
  <c r="Q75" i="154"/>
  <c r="T74" i="154"/>
  <c r="Q74" i="154"/>
  <c r="T73" i="154"/>
  <c r="Q73" i="154"/>
  <c r="T72" i="154"/>
  <c r="Q72" i="154"/>
  <c r="T71" i="154"/>
  <c r="Q71" i="154"/>
  <c r="T70" i="154"/>
  <c r="Q70" i="154"/>
  <c r="T69" i="154"/>
  <c r="Q69" i="154"/>
  <c r="T68" i="154"/>
  <c r="Q68" i="154"/>
  <c r="T67" i="154"/>
  <c r="Q67" i="154"/>
  <c r="T66" i="154"/>
  <c r="Q66" i="154"/>
  <c r="T65" i="154"/>
  <c r="Q65" i="154"/>
  <c r="T64" i="154"/>
  <c r="Q64" i="154"/>
  <c r="T63" i="154"/>
  <c r="Q63" i="154"/>
  <c r="T62" i="154"/>
  <c r="Q62" i="154"/>
  <c r="T61" i="154"/>
  <c r="Q61" i="154"/>
  <c r="T60" i="154"/>
  <c r="Q60" i="154"/>
  <c r="T59" i="154"/>
  <c r="Q59" i="154"/>
  <c r="T58" i="154"/>
  <c r="Q58" i="154"/>
  <c r="T57" i="154"/>
  <c r="Q57" i="154"/>
  <c r="T56" i="154"/>
  <c r="Q56" i="154"/>
  <c r="T55" i="154"/>
  <c r="Q55" i="154"/>
  <c r="T54" i="154"/>
  <c r="Q54" i="154"/>
  <c r="T53" i="154"/>
  <c r="Q53" i="154"/>
  <c r="T52" i="154"/>
  <c r="Q52" i="154"/>
  <c r="T51" i="154"/>
  <c r="Q51" i="154"/>
  <c r="T50" i="154"/>
  <c r="Q50" i="154"/>
  <c r="T49" i="154"/>
  <c r="Q49" i="154"/>
  <c r="T48" i="154"/>
  <c r="Q48" i="154"/>
  <c r="T47" i="154"/>
  <c r="Q47" i="154"/>
  <c r="T46" i="154"/>
  <c r="Q46" i="154"/>
  <c r="W46" i="154" s="1"/>
  <c r="X46" i="154" s="1"/>
  <c r="T45" i="154"/>
  <c r="Q45" i="154"/>
  <c r="W45" i="154" s="1"/>
  <c r="X45" i="154" s="1"/>
  <c r="T44" i="154"/>
  <c r="Q44" i="154"/>
  <c r="W44" i="154" s="1"/>
  <c r="X44" i="154" s="1"/>
  <c r="T43" i="154"/>
  <c r="Q43" i="154"/>
  <c r="W43" i="154" s="1"/>
  <c r="X43" i="154" s="1"/>
  <c r="T42" i="154"/>
  <c r="Q42" i="154"/>
  <c r="W42" i="154" s="1"/>
  <c r="X42" i="154" s="1"/>
  <c r="T41" i="154"/>
  <c r="Q41" i="154"/>
  <c r="W41" i="154" s="1"/>
  <c r="X41" i="154" s="1"/>
  <c r="T40" i="154"/>
  <c r="Q40" i="154"/>
  <c r="W40" i="154" s="1"/>
  <c r="X40" i="154" s="1"/>
  <c r="T39" i="154"/>
  <c r="Q39" i="154"/>
  <c r="W39" i="154" s="1"/>
  <c r="X39" i="154" s="1"/>
  <c r="T38" i="154"/>
  <c r="Q38" i="154"/>
  <c r="W38" i="154" s="1"/>
  <c r="X38" i="154" s="1"/>
  <c r="T37" i="154"/>
  <c r="Q37" i="154"/>
  <c r="W37" i="154" s="1"/>
  <c r="X37" i="154" s="1"/>
  <c r="T36" i="154"/>
  <c r="Q36" i="154"/>
  <c r="W36" i="154" s="1"/>
  <c r="X36" i="154" s="1"/>
  <c r="T35" i="154"/>
  <c r="Q35" i="154"/>
  <c r="W35" i="154" s="1"/>
  <c r="X35" i="154" s="1"/>
  <c r="T34" i="154"/>
  <c r="Q34" i="154"/>
  <c r="W34" i="154" s="1"/>
  <c r="X34" i="154" s="1"/>
  <c r="T33" i="154"/>
  <c r="Q33" i="154"/>
  <c r="W33" i="154" s="1"/>
  <c r="X33" i="154" s="1"/>
  <c r="T32" i="154"/>
  <c r="Q32" i="154"/>
  <c r="W32" i="154" s="1"/>
  <c r="X32" i="154" s="1"/>
  <c r="T31" i="154"/>
  <c r="Q31" i="154"/>
  <c r="W31" i="154" s="1"/>
  <c r="X31" i="154" s="1"/>
  <c r="T30" i="154"/>
  <c r="Q30" i="154"/>
  <c r="W30" i="154" s="1"/>
  <c r="X30" i="154" s="1"/>
  <c r="T29" i="154"/>
  <c r="Q29" i="154"/>
  <c r="W29" i="154" s="1"/>
  <c r="X29" i="154" s="1"/>
  <c r="T28" i="154"/>
  <c r="Q28" i="154"/>
  <c r="W28" i="154" s="1"/>
  <c r="X28" i="154" s="1"/>
  <c r="T27" i="154"/>
  <c r="Q27" i="154"/>
  <c r="W27" i="154" s="1"/>
  <c r="X27" i="154" s="1"/>
  <c r="T26" i="154"/>
  <c r="Q26" i="154"/>
  <c r="W26" i="154" s="1"/>
  <c r="X26" i="154" s="1"/>
  <c r="T25" i="154"/>
  <c r="Q25" i="154"/>
  <c r="W25" i="154" s="1"/>
  <c r="X25" i="154" s="1"/>
  <c r="T24" i="154"/>
  <c r="Q24" i="154"/>
  <c r="W24" i="154" s="1"/>
  <c r="X24" i="154" s="1"/>
  <c r="T23" i="154"/>
  <c r="Q23" i="154"/>
  <c r="W23" i="154" s="1"/>
  <c r="X23" i="154" s="1"/>
  <c r="T22" i="154"/>
  <c r="Q22" i="154"/>
  <c r="W22" i="154" s="1"/>
  <c r="X22" i="154" s="1"/>
  <c r="T21" i="154"/>
  <c r="Q21" i="154"/>
  <c r="W21" i="154" s="1"/>
  <c r="X21" i="154" s="1"/>
  <c r="T20" i="154"/>
  <c r="Q20" i="154"/>
  <c r="W20" i="154" s="1"/>
  <c r="X20" i="154" s="1"/>
  <c r="T19" i="154"/>
  <c r="Q19" i="154"/>
  <c r="W19" i="154" s="1"/>
  <c r="X19" i="154" s="1"/>
  <c r="T18" i="154"/>
  <c r="Q18" i="154"/>
  <c r="W18" i="154" s="1"/>
  <c r="X18" i="154" s="1"/>
  <c r="T17" i="154"/>
  <c r="Q17" i="154"/>
  <c r="W17" i="154" s="1"/>
  <c r="X17" i="154" s="1"/>
  <c r="T16" i="154"/>
  <c r="Q16" i="154"/>
  <c r="W16" i="154" s="1"/>
  <c r="X16" i="154" s="1"/>
  <c r="T15" i="154"/>
  <c r="Q15" i="154"/>
  <c r="W15" i="154" s="1"/>
  <c r="X15" i="154" s="1"/>
  <c r="T14" i="154"/>
  <c r="Q14" i="154"/>
  <c r="W14" i="154" s="1"/>
  <c r="X14" i="154" s="1"/>
  <c r="T13" i="154"/>
  <c r="Q13" i="154"/>
  <c r="W13" i="154" s="1"/>
  <c r="X13" i="154" s="1"/>
  <c r="T12" i="154"/>
  <c r="Q12" i="154"/>
  <c r="W12" i="154" s="1"/>
  <c r="X12" i="154" s="1"/>
  <c r="T11" i="154"/>
  <c r="Q11" i="154"/>
  <c r="W11" i="154" s="1"/>
  <c r="X11" i="154" s="1"/>
  <c r="T10" i="154"/>
  <c r="Q10" i="154"/>
  <c r="W10" i="154" s="1"/>
  <c r="X10" i="154" s="1"/>
  <c r="T9" i="154"/>
  <c r="Q9" i="154"/>
  <c r="W9" i="154" s="1"/>
  <c r="X9" i="154" s="1"/>
  <c r="T8" i="154"/>
  <c r="Q8" i="154"/>
  <c r="W8" i="154" s="1"/>
  <c r="X8" i="154" s="1"/>
  <c r="T7" i="154"/>
  <c r="Q7" i="154"/>
  <c r="W7" i="154" s="1"/>
  <c r="X7" i="154" s="1"/>
  <c r="T6" i="154"/>
  <c r="Q6" i="154"/>
  <c r="W6" i="154" s="1"/>
  <c r="X6" i="154" s="1"/>
  <c r="T5" i="154"/>
  <c r="Q5" i="154"/>
  <c r="W5" i="154" s="1"/>
  <c r="X5" i="154" s="1"/>
  <c r="T4" i="154"/>
  <c r="Q4" i="154"/>
  <c r="W4" i="154" s="1"/>
  <c r="X4" i="154" s="1"/>
  <c r="T3" i="154"/>
  <c r="Q3" i="154"/>
  <c r="W3" i="154" s="1"/>
  <c r="O559" i="158"/>
  <c r="L559" i="158"/>
  <c r="J559" i="158"/>
  <c r="H559" i="158"/>
  <c r="G559" i="158"/>
  <c r="O558" i="158"/>
  <c r="L558" i="158"/>
  <c r="J558" i="158"/>
  <c r="H558" i="158"/>
  <c r="G558" i="158"/>
  <c r="S557" i="158"/>
  <c r="Y557" i="158" s="1"/>
  <c r="Z557" i="158" s="1"/>
  <c r="S556" i="158"/>
  <c r="Y556" i="158" s="1"/>
  <c r="Z556" i="158" s="1"/>
  <c r="S555" i="158"/>
  <c r="Y555" i="158" s="1"/>
  <c r="Z555" i="158" s="1"/>
  <c r="S554" i="158"/>
  <c r="Y554" i="158" s="1"/>
  <c r="Z554" i="158" s="1"/>
  <c r="S553" i="158"/>
  <c r="Y553" i="158" s="1"/>
  <c r="Z553" i="158" s="1"/>
  <c r="S552" i="158"/>
  <c r="Y552" i="158" s="1"/>
  <c r="Z552" i="158" s="1"/>
  <c r="S551" i="158"/>
  <c r="Y551" i="158" s="1"/>
  <c r="Z551" i="158" s="1"/>
  <c r="S550" i="158"/>
  <c r="Y550" i="158" s="1"/>
  <c r="Z550" i="158" s="1"/>
  <c r="S549" i="158"/>
  <c r="Y549" i="158" s="1"/>
  <c r="Z549" i="158" s="1"/>
  <c r="S548" i="158"/>
  <c r="Y548" i="158" s="1"/>
  <c r="Z548" i="158" s="1"/>
  <c r="S547" i="158"/>
  <c r="Y547" i="158" s="1"/>
  <c r="Z547" i="158" s="1"/>
  <c r="S546" i="158"/>
  <c r="Y546" i="158" s="1"/>
  <c r="Z546" i="158" s="1"/>
  <c r="S545" i="158"/>
  <c r="Y545" i="158" s="1"/>
  <c r="Z545" i="158" s="1"/>
  <c r="S544" i="158"/>
  <c r="Y544" i="158" s="1"/>
  <c r="Z544" i="158" s="1"/>
  <c r="S543" i="158"/>
  <c r="Y543" i="158" s="1"/>
  <c r="Z543" i="158" s="1"/>
  <c r="S542" i="158"/>
  <c r="Y542" i="158" s="1"/>
  <c r="Z542" i="158" s="1"/>
  <c r="S541" i="158"/>
  <c r="Y541" i="158" s="1"/>
  <c r="Z541" i="158" s="1"/>
  <c r="S540" i="158"/>
  <c r="Y540" i="158" s="1"/>
  <c r="Z540" i="158" s="1"/>
  <c r="S539" i="158"/>
  <c r="Y539" i="158" s="1"/>
  <c r="Z539" i="158" s="1"/>
  <c r="S538" i="158"/>
  <c r="Y538" i="158" s="1"/>
  <c r="Z538" i="158" s="1"/>
  <c r="S537" i="158"/>
  <c r="Y537" i="158" s="1"/>
  <c r="Z537" i="158" s="1"/>
  <c r="S536" i="158"/>
  <c r="Y536" i="158" s="1"/>
  <c r="Z536" i="158" s="1"/>
  <c r="S535" i="158"/>
  <c r="Y535" i="158" s="1"/>
  <c r="Z535" i="158" s="1"/>
  <c r="S534" i="158"/>
  <c r="Y534" i="158" s="1"/>
  <c r="Z534" i="158" s="1"/>
  <c r="S533" i="158"/>
  <c r="Y533" i="158" s="1"/>
  <c r="Z533" i="158" s="1"/>
  <c r="S532" i="158"/>
  <c r="Y532" i="158" s="1"/>
  <c r="Z532" i="158" s="1"/>
  <c r="S531" i="158"/>
  <c r="Y531" i="158" s="1"/>
  <c r="Z531" i="158" s="1"/>
  <c r="S530" i="158"/>
  <c r="Y530" i="158" s="1"/>
  <c r="Z530" i="158" s="1"/>
  <c r="S529" i="158"/>
  <c r="Y529" i="158" s="1"/>
  <c r="Z529" i="158" s="1"/>
  <c r="S528" i="158"/>
  <c r="Y528" i="158" s="1"/>
  <c r="Z528" i="158" s="1"/>
  <c r="S527" i="158"/>
  <c r="Y527" i="158" s="1"/>
  <c r="Z527" i="158" s="1"/>
  <c r="S526" i="158"/>
  <c r="Y526" i="158" s="1"/>
  <c r="Z526" i="158" s="1"/>
  <c r="S525" i="158"/>
  <c r="Y525" i="158" s="1"/>
  <c r="Z525" i="158" s="1"/>
  <c r="S524" i="158"/>
  <c r="Y524" i="158" s="1"/>
  <c r="Z524" i="158" s="1"/>
  <c r="S523" i="158"/>
  <c r="Y523" i="158" s="1"/>
  <c r="Z523" i="158" s="1"/>
  <c r="S522" i="158"/>
  <c r="Y522" i="158" s="1"/>
  <c r="Z522" i="158" s="1"/>
  <c r="S521" i="158"/>
  <c r="Y521" i="158" s="1"/>
  <c r="Z521" i="158" s="1"/>
  <c r="S520" i="158"/>
  <c r="Y520" i="158" s="1"/>
  <c r="Z520" i="158" s="1"/>
  <c r="S519" i="158"/>
  <c r="Y519" i="158" s="1"/>
  <c r="Z519" i="158" s="1"/>
  <c r="S518" i="158"/>
  <c r="Y518" i="158" s="1"/>
  <c r="Z518" i="158" s="1"/>
  <c r="S517" i="158"/>
  <c r="Y517" i="158" s="1"/>
  <c r="Z517" i="158" s="1"/>
  <c r="S516" i="158"/>
  <c r="Y516" i="158" s="1"/>
  <c r="Z516" i="158" s="1"/>
  <c r="W515" i="158"/>
  <c r="S515" i="158"/>
  <c r="S514" i="158"/>
  <c r="Y514" i="158" s="1"/>
  <c r="Z514" i="158" s="1"/>
  <c r="S513" i="158"/>
  <c r="Y513" i="158" s="1"/>
  <c r="Z513" i="158" s="1"/>
  <c r="S512" i="158"/>
  <c r="Y512" i="158" s="1"/>
  <c r="Z512" i="158" s="1"/>
  <c r="M511" i="158"/>
  <c r="S511" i="158" s="1"/>
  <c r="S510" i="158"/>
  <c r="Y510" i="158" s="1"/>
  <c r="Z510" i="158" s="1"/>
  <c r="N509" i="158"/>
  <c r="S509" i="158" s="1"/>
  <c r="Y509" i="158" s="1"/>
  <c r="Z509" i="158" s="1"/>
  <c r="N508" i="158"/>
  <c r="S508" i="158" s="1"/>
  <c r="S507" i="158"/>
  <c r="Y507" i="158" s="1"/>
  <c r="Z507" i="158" s="1"/>
  <c r="M506" i="158"/>
  <c r="K506" i="158"/>
  <c r="S505" i="158"/>
  <c r="Y505" i="158" s="1"/>
  <c r="Z505" i="158" s="1"/>
  <c r="P504" i="158"/>
  <c r="S504" i="158" s="1"/>
  <c r="Y504" i="158" s="1"/>
  <c r="Z504" i="158" s="1"/>
  <c r="S503" i="158"/>
  <c r="Y503" i="158" s="1"/>
  <c r="Z503" i="158" s="1"/>
  <c r="S502" i="158"/>
  <c r="Y502" i="158" s="1"/>
  <c r="Z502" i="158" s="1"/>
  <c r="S501" i="158"/>
  <c r="Y501" i="158" s="1"/>
  <c r="Z501" i="158" s="1"/>
  <c r="S500" i="158"/>
  <c r="Y500" i="158" s="1"/>
  <c r="Z500" i="158" s="1"/>
  <c r="S499" i="158"/>
  <c r="Y499" i="158" s="1"/>
  <c r="Z499" i="158" s="1"/>
  <c r="S498" i="158"/>
  <c r="Y498" i="158" s="1"/>
  <c r="Z498" i="158" s="1"/>
  <c r="S497" i="158"/>
  <c r="Y497" i="158" s="1"/>
  <c r="Z497" i="158" s="1"/>
  <c r="S496" i="158"/>
  <c r="Y496" i="158" s="1"/>
  <c r="Z496" i="158" s="1"/>
  <c r="S495" i="158"/>
  <c r="Y495" i="158" s="1"/>
  <c r="Z495" i="158" s="1"/>
  <c r="S494" i="158"/>
  <c r="Y494" i="158" s="1"/>
  <c r="Z494" i="158" s="1"/>
  <c r="S493" i="158"/>
  <c r="Y493" i="158" s="1"/>
  <c r="Z493" i="158" s="1"/>
  <c r="S492" i="158"/>
  <c r="Y492" i="158" s="1"/>
  <c r="Z492" i="158" s="1"/>
  <c r="S491" i="158"/>
  <c r="Y491" i="158" s="1"/>
  <c r="Z491" i="158" s="1"/>
  <c r="S490" i="158"/>
  <c r="Y490" i="158" s="1"/>
  <c r="Z490" i="158" s="1"/>
  <c r="S489" i="158"/>
  <c r="Y489" i="158" s="1"/>
  <c r="Z489" i="158" s="1"/>
  <c r="S488" i="158"/>
  <c r="Y488" i="158" s="1"/>
  <c r="Z488" i="158" s="1"/>
  <c r="S487" i="158"/>
  <c r="Y487" i="158" s="1"/>
  <c r="Z487" i="158" s="1"/>
  <c r="S486" i="158"/>
  <c r="Y486" i="158" s="1"/>
  <c r="Z486" i="158" s="1"/>
  <c r="S485" i="158"/>
  <c r="Y485" i="158" s="1"/>
  <c r="Z485" i="158" s="1"/>
  <c r="S484" i="158"/>
  <c r="Y484" i="158" s="1"/>
  <c r="Z484" i="158" s="1"/>
  <c r="S483" i="158"/>
  <c r="Y483" i="158" s="1"/>
  <c r="Z483" i="158" s="1"/>
  <c r="S482" i="158"/>
  <c r="Y482" i="158" s="1"/>
  <c r="Z482" i="158" s="1"/>
  <c r="S481" i="158"/>
  <c r="Y481" i="158" s="1"/>
  <c r="Z481" i="158" s="1"/>
  <c r="S480" i="158"/>
  <c r="Y480" i="158" s="1"/>
  <c r="Z480" i="158" s="1"/>
  <c r="S479" i="158"/>
  <c r="Y479" i="158" s="1"/>
  <c r="Z479" i="158" s="1"/>
  <c r="S478" i="158"/>
  <c r="Y478" i="158" s="1"/>
  <c r="Z478" i="158" s="1"/>
  <c r="S477" i="158"/>
  <c r="Y477" i="158" s="1"/>
  <c r="Z477" i="158" s="1"/>
  <c r="S476" i="158"/>
  <c r="Y476" i="158" s="1"/>
  <c r="Z476" i="158" s="1"/>
  <c r="S475" i="158"/>
  <c r="Y475" i="158" s="1"/>
  <c r="Z475" i="158" s="1"/>
  <c r="S474" i="158"/>
  <c r="Y474" i="158" s="1"/>
  <c r="Z474" i="158" s="1"/>
  <c r="T473" i="158"/>
  <c r="T559" i="158" s="1"/>
  <c r="K473" i="158"/>
  <c r="S473" i="158" s="1"/>
  <c r="S472" i="158"/>
  <c r="Y472" i="158" s="1"/>
  <c r="Z472" i="158" s="1"/>
  <c r="S471" i="158"/>
  <c r="Y471" i="158" s="1"/>
  <c r="Z471" i="158" s="1"/>
  <c r="S470" i="158"/>
  <c r="Y470" i="158" s="1"/>
  <c r="Z470" i="158" s="1"/>
  <c r="S469" i="158"/>
  <c r="Y469" i="158" s="1"/>
  <c r="Z469" i="158" s="1"/>
  <c r="S468" i="158"/>
  <c r="Y468" i="158" s="1"/>
  <c r="Z468" i="158" s="1"/>
  <c r="N467" i="158"/>
  <c r="K467" i="158"/>
  <c r="S466" i="158"/>
  <c r="Y466" i="158" s="1"/>
  <c r="Z466" i="158" s="1"/>
  <c r="N465" i="158"/>
  <c r="K465" i="158"/>
  <c r="S464" i="158"/>
  <c r="Y464" i="158" s="1"/>
  <c r="Z464" i="158" s="1"/>
  <c r="S463" i="158"/>
  <c r="Y463" i="158" s="1"/>
  <c r="Z463" i="158" s="1"/>
  <c r="S462" i="158"/>
  <c r="Y462" i="158" s="1"/>
  <c r="Z462" i="158" s="1"/>
  <c r="S461" i="158"/>
  <c r="Y461" i="158" s="1"/>
  <c r="Z461" i="158" s="1"/>
  <c r="S460" i="158"/>
  <c r="Y460" i="158" s="1"/>
  <c r="Z460" i="158" s="1"/>
  <c r="M459" i="158"/>
  <c r="S459" i="158" s="1"/>
  <c r="Y459" i="158" s="1"/>
  <c r="Z459" i="158" s="1"/>
  <c r="S458" i="158"/>
  <c r="Y458" i="158" s="1"/>
  <c r="Z458" i="158" s="1"/>
  <c r="S457" i="158"/>
  <c r="Y457" i="158" s="1"/>
  <c r="Z457" i="158" s="1"/>
  <c r="S456" i="158"/>
  <c r="Y456" i="158" s="1"/>
  <c r="Z456" i="158" s="1"/>
  <c r="S455" i="158"/>
  <c r="Y455" i="158" s="1"/>
  <c r="Z455" i="158" s="1"/>
  <c r="S454" i="158"/>
  <c r="Y454" i="158" s="1"/>
  <c r="Z454" i="158" s="1"/>
  <c r="S453" i="158"/>
  <c r="Y453" i="158" s="1"/>
  <c r="Z453" i="158" s="1"/>
  <c r="N452" i="158"/>
  <c r="S452" i="158" s="1"/>
  <c r="N451" i="158"/>
  <c r="S451" i="158" s="1"/>
  <c r="Y451" i="158" s="1"/>
  <c r="Z451" i="158" s="1"/>
  <c r="M450" i="158"/>
  <c r="S450" i="158" s="1"/>
  <c r="M449" i="158"/>
  <c r="S449" i="158" s="1"/>
  <c r="Y449" i="158" s="1"/>
  <c r="Z449" i="158" s="1"/>
  <c r="S448" i="158"/>
  <c r="Y448" i="158" s="1"/>
  <c r="Z448" i="158" s="1"/>
  <c r="S447" i="158"/>
  <c r="Y447" i="158" s="1"/>
  <c r="Z447" i="158" s="1"/>
  <c r="S446" i="158"/>
  <c r="Y446" i="158" s="1"/>
  <c r="Z446" i="158" s="1"/>
  <c r="S445" i="158"/>
  <c r="Y445" i="158" s="1"/>
  <c r="Z445" i="158" s="1"/>
  <c r="S444" i="158"/>
  <c r="Y444" i="158" s="1"/>
  <c r="Z444" i="158" s="1"/>
  <c r="S443" i="158"/>
  <c r="Y443" i="158" s="1"/>
  <c r="Z443" i="158" s="1"/>
  <c r="S442" i="158"/>
  <c r="Y442" i="158" s="1"/>
  <c r="Z442" i="158" s="1"/>
  <c r="S441" i="158"/>
  <c r="Y441" i="158" s="1"/>
  <c r="Z441" i="158" s="1"/>
  <c r="S440" i="158"/>
  <c r="Y440" i="158" s="1"/>
  <c r="Z440" i="158" s="1"/>
  <c r="S439" i="158"/>
  <c r="Y439" i="158" s="1"/>
  <c r="Z439" i="158" s="1"/>
  <c r="I438" i="158"/>
  <c r="S438" i="158" s="1"/>
  <c r="I437" i="158"/>
  <c r="S437" i="158" s="1"/>
  <c r="Y437" i="158" s="1"/>
  <c r="Z437" i="158" s="1"/>
  <c r="I436" i="158"/>
  <c r="S436" i="158" s="1"/>
  <c r="M435" i="158"/>
  <c r="K435" i="158"/>
  <c r="F435" i="158"/>
  <c r="F559" i="158" s="1"/>
  <c r="S434" i="158"/>
  <c r="Y434" i="158" s="1"/>
  <c r="Z434" i="158" s="1"/>
  <c r="S433" i="158"/>
  <c r="Y433" i="158" s="1"/>
  <c r="Z433" i="158" s="1"/>
  <c r="S432" i="158"/>
  <c r="Y432" i="158" s="1"/>
  <c r="Z432" i="158" s="1"/>
  <c r="S431" i="158"/>
  <c r="Y431" i="158" s="1"/>
  <c r="Z431" i="158" s="1"/>
  <c r="S430" i="158"/>
  <c r="Y430" i="158" s="1"/>
  <c r="Z430" i="158" s="1"/>
  <c r="S429" i="158"/>
  <c r="Y429" i="158" s="1"/>
  <c r="Z429" i="158" s="1"/>
  <c r="S428" i="158"/>
  <c r="Y428" i="158" s="1"/>
  <c r="Z428" i="158" s="1"/>
  <c r="S427" i="158"/>
  <c r="Y427" i="158" s="1"/>
  <c r="Z427" i="158" s="1"/>
  <c r="S426" i="158"/>
  <c r="Y426" i="158" s="1"/>
  <c r="Z426" i="158" s="1"/>
  <c r="S425" i="158"/>
  <c r="Y425" i="158" s="1"/>
  <c r="Z425" i="158" s="1"/>
  <c r="S424" i="158"/>
  <c r="Y424" i="158" s="1"/>
  <c r="Z424" i="158" s="1"/>
  <c r="S423" i="158"/>
  <c r="Y423" i="158" s="1"/>
  <c r="Z423" i="158" s="1"/>
  <c r="S422" i="158"/>
  <c r="Y422" i="158" s="1"/>
  <c r="Z422" i="158" s="1"/>
  <c r="S421" i="158"/>
  <c r="Y421" i="158" s="1"/>
  <c r="Z421" i="158" s="1"/>
  <c r="S420" i="158"/>
  <c r="Y420" i="158" s="1"/>
  <c r="Z420" i="158" s="1"/>
  <c r="S419" i="158"/>
  <c r="Y419" i="158" s="1"/>
  <c r="Z419" i="158" s="1"/>
  <c r="S418" i="158"/>
  <c r="Y418" i="158" s="1"/>
  <c r="Z418" i="158" s="1"/>
  <c r="P417" i="158"/>
  <c r="N417" i="158"/>
  <c r="K417" i="158"/>
  <c r="S416" i="158"/>
  <c r="Y416" i="158" s="1"/>
  <c r="Z416" i="158" s="1"/>
  <c r="S415" i="158"/>
  <c r="Y415" i="158" s="1"/>
  <c r="Z415" i="158" s="1"/>
  <c r="S414" i="158"/>
  <c r="Y414" i="158" s="1"/>
  <c r="Z414" i="158" s="1"/>
  <c r="S413" i="158"/>
  <c r="Y413" i="158" s="1"/>
  <c r="Z413" i="158" s="1"/>
  <c r="S412" i="158"/>
  <c r="Y412" i="158" s="1"/>
  <c r="Z412" i="158" s="1"/>
  <c r="S411" i="158"/>
  <c r="Y411" i="158" s="1"/>
  <c r="Z411" i="158" s="1"/>
  <c r="S410" i="158"/>
  <c r="Y410" i="158" s="1"/>
  <c r="Z410" i="158" s="1"/>
  <c r="S409" i="158"/>
  <c r="Y409" i="158" s="1"/>
  <c r="Z409" i="158" s="1"/>
  <c r="K408" i="158"/>
  <c r="S408" i="158" s="1"/>
  <c r="S407" i="158"/>
  <c r="Y407" i="158" s="1"/>
  <c r="Z407" i="158" s="1"/>
  <c r="S406" i="158"/>
  <c r="Y406" i="158" s="1"/>
  <c r="Z406" i="158" s="1"/>
  <c r="S405" i="158"/>
  <c r="Y405" i="158" s="1"/>
  <c r="Z405" i="158" s="1"/>
  <c r="S404" i="158"/>
  <c r="Y404" i="158" s="1"/>
  <c r="Z404" i="158" s="1"/>
  <c r="S403" i="158"/>
  <c r="Y403" i="158" s="1"/>
  <c r="Z403" i="158" s="1"/>
  <c r="S402" i="158"/>
  <c r="Y402" i="158" s="1"/>
  <c r="Z402" i="158" s="1"/>
  <c r="S401" i="158"/>
  <c r="Y401" i="158" s="1"/>
  <c r="Z401" i="158" s="1"/>
  <c r="S400" i="158"/>
  <c r="Y400" i="158" s="1"/>
  <c r="Z400" i="158" s="1"/>
  <c r="S399" i="158"/>
  <c r="Y399" i="158" s="1"/>
  <c r="Z399" i="158" s="1"/>
  <c r="S398" i="158"/>
  <c r="Y398" i="158" s="1"/>
  <c r="Z398" i="158" s="1"/>
  <c r="S397" i="158"/>
  <c r="Y397" i="158" s="1"/>
  <c r="Z397" i="158" s="1"/>
  <c r="S396" i="158"/>
  <c r="Y396" i="158" s="1"/>
  <c r="Z396" i="158" s="1"/>
  <c r="S395" i="158"/>
  <c r="Y395" i="158" s="1"/>
  <c r="Z395" i="158" s="1"/>
  <c r="S394" i="158"/>
  <c r="Y394" i="158" s="1"/>
  <c r="Z394" i="158" s="1"/>
  <c r="S393" i="158"/>
  <c r="Y393" i="158" s="1"/>
  <c r="Z393" i="158" s="1"/>
  <c r="S392" i="158"/>
  <c r="Y392" i="158" s="1"/>
  <c r="Z392" i="158" s="1"/>
  <c r="S391" i="158"/>
  <c r="Y391" i="158" s="1"/>
  <c r="Z391" i="158" s="1"/>
  <c r="K390" i="158"/>
  <c r="S390" i="158" s="1"/>
  <c r="Y390" i="158" s="1"/>
  <c r="Z390" i="158" s="1"/>
  <c r="S389" i="158"/>
  <c r="Y389" i="158" s="1"/>
  <c r="Z389" i="158" s="1"/>
  <c r="S388" i="158"/>
  <c r="Y388" i="158" s="1"/>
  <c r="Z388" i="158" s="1"/>
  <c r="S387" i="158"/>
  <c r="Y387" i="158" s="1"/>
  <c r="Z387" i="158" s="1"/>
  <c r="S386" i="158"/>
  <c r="Y386" i="158" s="1"/>
  <c r="Z386" i="158" s="1"/>
  <c r="S385" i="158"/>
  <c r="Y385" i="158" s="1"/>
  <c r="Z385" i="158" s="1"/>
  <c r="S384" i="158"/>
  <c r="Y384" i="158" s="1"/>
  <c r="Z384" i="158" s="1"/>
  <c r="S383" i="158"/>
  <c r="Y383" i="158" s="1"/>
  <c r="Z383" i="158" s="1"/>
  <c r="S382" i="158"/>
  <c r="Y382" i="158" s="1"/>
  <c r="Z382" i="158" s="1"/>
  <c r="S381" i="158"/>
  <c r="Y381" i="158" s="1"/>
  <c r="Z381" i="158" s="1"/>
  <c r="S380" i="158"/>
  <c r="Y380" i="158" s="1"/>
  <c r="Z380" i="158" s="1"/>
  <c r="S379" i="158"/>
  <c r="Y379" i="158" s="1"/>
  <c r="Z379" i="158" s="1"/>
  <c r="S378" i="158"/>
  <c r="Y378" i="158" s="1"/>
  <c r="Z378" i="158" s="1"/>
  <c r="S377" i="158"/>
  <c r="Y377" i="158" s="1"/>
  <c r="Z377" i="158" s="1"/>
  <c r="S376" i="158"/>
  <c r="Y376" i="158" s="1"/>
  <c r="Z376" i="158" s="1"/>
  <c r="S375" i="158"/>
  <c r="Y375" i="158" s="1"/>
  <c r="Z375" i="158" s="1"/>
  <c r="S374" i="158"/>
  <c r="Y374" i="158" s="1"/>
  <c r="Z374" i="158" s="1"/>
  <c r="S373" i="158"/>
  <c r="Y373" i="158" s="1"/>
  <c r="Z373" i="158" s="1"/>
  <c r="S372" i="158"/>
  <c r="Y372" i="158" s="1"/>
  <c r="Z372" i="158" s="1"/>
  <c r="S371" i="158"/>
  <c r="Y371" i="158" s="1"/>
  <c r="Z371" i="158" s="1"/>
  <c r="S370" i="158"/>
  <c r="Y370" i="158" s="1"/>
  <c r="Z370" i="158" s="1"/>
  <c r="S369" i="158"/>
  <c r="Y369" i="158" s="1"/>
  <c r="Z369" i="158" s="1"/>
  <c r="S368" i="158"/>
  <c r="Y368" i="158" s="1"/>
  <c r="Z368" i="158" s="1"/>
  <c r="S367" i="158"/>
  <c r="Y367" i="158" s="1"/>
  <c r="Z367" i="158" s="1"/>
  <c r="S366" i="158"/>
  <c r="Y366" i="158" s="1"/>
  <c r="Z366" i="158" s="1"/>
  <c r="S365" i="158"/>
  <c r="Y365" i="158" s="1"/>
  <c r="Z365" i="158" s="1"/>
  <c r="S364" i="158"/>
  <c r="Y364" i="158" s="1"/>
  <c r="Z364" i="158" s="1"/>
  <c r="S363" i="158"/>
  <c r="Y363" i="158" s="1"/>
  <c r="Z363" i="158" s="1"/>
  <c r="S362" i="158"/>
  <c r="Y362" i="158" s="1"/>
  <c r="Z362" i="158" s="1"/>
  <c r="S361" i="158"/>
  <c r="Y361" i="158" s="1"/>
  <c r="Z361" i="158" s="1"/>
  <c r="S360" i="158"/>
  <c r="Y360" i="158" s="1"/>
  <c r="Z360" i="158" s="1"/>
  <c r="S359" i="158"/>
  <c r="Y359" i="158" s="1"/>
  <c r="Z359" i="158" s="1"/>
  <c r="S358" i="158"/>
  <c r="Y358" i="158" s="1"/>
  <c r="Z358" i="158" s="1"/>
  <c r="S357" i="158"/>
  <c r="Y357" i="158" s="1"/>
  <c r="Z357" i="158" s="1"/>
  <c r="S356" i="158"/>
  <c r="Y356" i="158" s="1"/>
  <c r="Z356" i="158" s="1"/>
  <c r="S355" i="158"/>
  <c r="Y355" i="158" s="1"/>
  <c r="Z355" i="158" s="1"/>
  <c r="S354" i="158"/>
  <c r="Y354" i="158" s="1"/>
  <c r="Z354" i="158" s="1"/>
  <c r="S353" i="158"/>
  <c r="Y353" i="158" s="1"/>
  <c r="Z353" i="158" s="1"/>
  <c r="S352" i="158"/>
  <c r="Y352" i="158" s="1"/>
  <c r="Z352" i="158" s="1"/>
  <c r="S351" i="158"/>
  <c r="Y351" i="158" s="1"/>
  <c r="Z351" i="158" s="1"/>
  <c r="S350" i="158"/>
  <c r="Y350" i="158" s="1"/>
  <c r="Z350" i="158" s="1"/>
  <c r="S349" i="158"/>
  <c r="Y349" i="158" s="1"/>
  <c r="Z349" i="158" s="1"/>
  <c r="S347" i="158"/>
  <c r="Y347" i="158" s="1"/>
  <c r="Z347" i="158" s="1"/>
  <c r="S346" i="158"/>
  <c r="Y346" i="158" s="1"/>
  <c r="Z346" i="158" s="1"/>
  <c r="S345" i="158"/>
  <c r="Y345" i="158" s="1"/>
  <c r="Z345" i="158" s="1"/>
  <c r="S344" i="158"/>
  <c r="Y344" i="158" s="1"/>
  <c r="Z344" i="158" s="1"/>
  <c r="S343" i="158"/>
  <c r="Y343" i="158" s="1"/>
  <c r="Z343" i="158" s="1"/>
  <c r="S342" i="158"/>
  <c r="Y342" i="158" s="1"/>
  <c r="Z342" i="158" s="1"/>
  <c r="S341" i="158"/>
  <c r="Y341" i="158" s="1"/>
  <c r="Z341" i="158" s="1"/>
  <c r="S340" i="158"/>
  <c r="Y340" i="158" s="1"/>
  <c r="Z340" i="158" s="1"/>
  <c r="S339" i="158"/>
  <c r="Y339" i="158" s="1"/>
  <c r="Z339" i="158" s="1"/>
  <c r="S338" i="158"/>
  <c r="Y338" i="158" s="1"/>
  <c r="Z338" i="158" s="1"/>
  <c r="S337" i="158"/>
  <c r="Y337" i="158" s="1"/>
  <c r="Z337" i="158" s="1"/>
  <c r="S336" i="158"/>
  <c r="Y336" i="158" s="1"/>
  <c r="Z336" i="158" s="1"/>
  <c r="S335" i="158"/>
  <c r="Y335" i="158" s="1"/>
  <c r="Z335" i="158" s="1"/>
  <c r="M334" i="158"/>
  <c r="S334" i="158" s="1"/>
  <c r="S333" i="158"/>
  <c r="Y333" i="158" s="1"/>
  <c r="Z333" i="158" s="1"/>
  <c r="S332" i="158"/>
  <c r="Y332" i="158" s="1"/>
  <c r="Z332" i="158" s="1"/>
  <c r="S331" i="158"/>
  <c r="Y331" i="158" s="1"/>
  <c r="Z331" i="158" s="1"/>
  <c r="S330" i="158"/>
  <c r="Y330" i="158" s="1"/>
  <c r="Z330" i="158" s="1"/>
  <c r="M329" i="158"/>
  <c r="S329" i="158" s="1"/>
  <c r="Y329" i="158" s="1"/>
  <c r="Z329" i="158" s="1"/>
  <c r="S328" i="158"/>
  <c r="Y328" i="158" s="1"/>
  <c r="Z328" i="158" s="1"/>
  <c r="S327" i="158"/>
  <c r="Y327" i="158" s="1"/>
  <c r="Z327" i="158" s="1"/>
  <c r="S326" i="158"/>
  <c r="Y326" i="158" s="1"/>
  <c r="Z326" i="158" s="1"/>
  <c r="S325" i="158"/>
  <c r="Y325" i="158" s="1"/>
  <c r="Z325" i="158" s="1"/>
  <c r="S324" i="158"/>
  <c r="Y324" i="158" s="1"/>
  <c r="Z324" i="158" s="1"/>
  <c r="S323" i="158"/>
  <c r="Y323" i="158" s="1"/>
  <c r="Z323" i="158" s="1"/>
  <c r="S322" i="158"/>
  <c r="Y322" i="158" s="1"/>
  <c r="Z322" i="158" s="1"/>
  <c r="S321" i="158"/>
  <c r="Y321" i="158" s="1"/>
  <c r="Z321" i="158" s="1"/>
  <c r="S320" i="158"/>
  <c r="Y320" i="158" s="1"/>
  <c r="Z320" i="158" s="1"/>
  <c r="S319" i="158"/>
  <c r="Y319" i="158" s="1"/>
  <c r="Z319" i="158" s="1"/>
  <c r="S318" i="158"/>
  <c r="Y318" i="158" s="1"/>
  <c r="Z318" i="158" s="1"/>
  <c r="S317" i="158"/>
  <c r="Y317" i="158" s="1"/>
  <c r="Z317" i="158" s="1"/>
  <c r="S316" i="158"/>
  <c r="Y316" i="158" s="1"/>
  <c r="Z316" i="158" s="1"/>
  <c r="S315" i="158"/>
  <c r="Y315" i="158" s="1"/>
  <c r="Z315" i="158" s="1"/>
  <c r="S314" i="158"/>
  <c r="Y314" i="158" s="1"/>
  <c r="Z314" i="158" s="1"/>
  <c r="S313" i="158"/>
  <c r="Y313" i="158" s="1"/>
  <c r="Z313" i="158" s="1"/>
  <c r="S312" i="158"/>
  <c r="Y312" i="158" s="1"/>
  <c r="Z312" i="158" s="1"/>
  <c r="S311" i="158"/>
  <c r="Y311" i="158" s="1"/>
  <c r="Z311" i="158" s="1"/>
  <c r="S310" i="158"/>
  <c r="Y310" i="158" s="1"/>
  <c r="Z310" i="158" s="1"/>
  <c r="S309" i="158"/>
  <c r="Y309" i="158" s="1"/>
  <c r="Z309" i="158" s="1"/>
  <c r="S308" i="158"/>
  <c r="Y308" i="158" s="1"/>
  <c r="Z308" i="158" s="1"/>
  <c r="S307" i="158"/>
  <c r="Y307" i="158" s="1"/>
  <c r="Z307" i="158" s="1"/>
  <c r="S306" i="158"/>
  <c r="Y306" i="158" s="1"/>
  <c r="Z306" i="158" s="1"/>
  <c r="S305" i="158"/>
  <c r="Y305" i="158" s="1"/>
  <c r="Z305" i="158" s="1"/>
  <c r="S304" i="158"/>
  <c r="Y304" i="158" s="1"/>
  <c r="Z304" i="158" s="1"/>
  <c r="S303" i="158"/>
  <c r="Y303" i="158" s="1"/>
  <c r="Z303" i="158" s="1"/>
  <c r="S302" i="158"/>
  <c r="Y302" i="158" s="1"/>
  <c r="Z302" i="158" s="1"/>
  <c r="S301" i="158"/>
  <c r="Y301" i="158" s="1"/>
  <c r="Z301" i="158" s="1"/>
  <c r="S300" i="158"/>
  <c r="Y300" i="158" s="1"/>
  <c r="Z300" i="158" s="1"/>
  <c r="S299" i="158"/>
  <c r="Y299" i="158" s="1"/>
  <c r="Z299" i="158" s="1"/>
  <c r="S298" i="158"/>
  <c r="Y298" i="158" s="1"/>
  <c r="Z298" i="158" s="1"/>
  <c r="S297" i="158"/>
  <c r="Y297" i="158" s="1"/>
  <c r="Z297" i="158" s="1"/>
  <c r="S296" i="158"/>
  <c r="Y296" i="158" s="1"/>
  <c r="Z296" i="158" s="1"/>
  <c r="S295" i="158"/>
  <c r="Y295" i="158" s="1"/>
  <c r="Z295" i="158" s="1"/>
  <c r="S294" i="158"/>
  <c r="Y294" i="158" s="1"/>
  <c r="Z294" i="158" s="1"/>
  <c r="S293" i="158"/>
  <c r="Y293" i="158" s="1"/>
  <c r="Z293" i="158" s="1"/>
  <c r="S292" i="158"/>
  <c r="S291" i="158"/>
  <c r="S290" i="158"/>
  <c r="S289" i="158"/>
  <c r="S288" i="158"/>
  <c r="S287" i="158"/>
  <c r="S286" i="158"/>
  <c r="S285" i="158"/>
  <c r="S284" i="158"/>
  <c r="S283" i="158"/>
  <c r="S282" i="158"/>
  <c r="S281" i="158"/>
  <c r="S280" i="158"/>
  <c r="Y280" i="158" s="1"/>
  <c r="Z280" i="158" s="1"/>
  <c r="S279" i="158"/>
  <c r="Y279" i="158" s="1"/>
  <c r="Z279" i="158" s="1"/>
  <c r="S278" i="158"/>
  <c r="Y278" i="158" s="1"/>
  <c r="Z278" i="158" s="1"/>
  <c r="S277" i="158"/>
  <c r="Y277" i="158" s="1"/>
  <c r="Z277" i="158" s="1"/>
  <c r="S276" i="158"/>
  <c r="Y276" i="158" s="1"/>
  <c r="Z276" i="158" s="1"/>
  <c r="S275" i="158"/>
  <c r="Y275" i="158" s="1"/>
  <c r="Z275" i="158" s="1"/>
  <c r="S274" i="158"/>
  <c r="Y274" i="158" s="1"/>
  <c r="Z274" i="158" s="1"/>
  <c r="S273" i="158"/>
  <c r="Y273" i="158" s="1"/>
  <c r="Z273" i="158" s="1"/>
  <c r="S272" i="158"/>
  <c r="Y272" i="158" s="1"/>
  <c r="Z272" i="158" s="1"/>
  <c r="S271" i="158"/>
  <c r="Y271" i="158" s="1"/>
  <c r="Z271" i="158" s="1"/>
  <c r="S270" i="158"/>
  <c r="Y270" i="158" s="1"/>
  <c r="Z270" i="158" s="1"/>
  <c r="S269" i="158"/>
  <c r="Y269" i="158" s="1"/>
  <c r="Z269" i="158" s="1"/>
  <c r="S268" i="158"/>
  <c r="Y268" i="158" s="1"/>
  <c r="Z268" i="158" s="1"/>
  <c r="S267" i="158"/>
  <c r="Y267" i="158" s="1"/>
  <c r="Z267" i="158" s="1"/>
  <c r="S266" i="158"/>
  <c r="Y266" i="158" s="1"/>
  <c r="Z266" i="158" s="1"/>
  <c r="S265" i="158"/>
  <c r="Y265" i="158" s="1"/>
  <c r="Z265" i="158" s="1"/>
  <c r="S264" i="158"/>
  <c r="Y264" i="158" s="1"/>
  <c r="Z264" i="158" s="1"/>
  <c r="S263" i="158"/>
  <c r="Y263" i="158" s="1"/>
  <c r="Z263" i="158" s="1"/>
  <c r="S262" i="158"/>
  <c r="Y262" i="158" s="1"/>
  <c r="Z262" i="158" s="1"/>
  <c r="S261" i="158"/>
  <c r="Y261" i="158" s="1"/>
  <c r="Z261" i="158" s="1"/>
  <c r="S260" i="158"/>
  <c r="Y260" i="158" s="1"/>
  <c r="Z260" i="158" s="1"/>
  <c r="S259" i="158"/>
  <c r="Y259" i="158" s="1"/>
  <c r="Z259" i="158" s="1"/>
  <c r="S258" i="158"/>
  <c r="Y258" i="158" s="1"/>
  <c r="Z258" i="158" s="1"/>
  <c r="S257" i="158"/>
  <c r="Y257" i="158" s="1"/>
  <c r="Z257" i="158" s="1"/>
  <c r="S256" i="158"/>
  <c r="Y256" i="158" s="1"/>
  <c r="Z256" i="158" s="1"/>
  <c r="S255" i="158"/>
  <c r="Y255" i="158" s="1"/>
  <c r="Z255" i="158" s="1"/>
  <c r="S254" i="158"/>
  <c r="Y254" i="158" s="1"/>
  <c r="Z254" i="158" s="1"/>
  <c r="S253" i="158"/>
  <c r="Y253" i="158" s="1"/>
  <c r="Z253" i="158" s="1"/>
  <c r="S252" i="158"/>
  <c r="Y252" i="158" s="1"/>
  <c r="Z252" i="158" s="1"/>
  <c r="S251" i="158"/>
  <c r="Y251" i="158" s="1"/>
  <c r="Z251" i="158" s="1"/>
  <c r="S250" i="158"/>
  <c r="Y250" i="158" s="1"/>
  <c r="Z250" i="158" s="1"/>
  <c r="S249" i="158"/>
  <c r="Y249" i="158" s="1"/>
  <c r="Z249" i="158" s="1"/>
  <c r="S248" i="158"/>
  <c r="Y248" i="158" s="1"/>
  <c r="Z248" i="158" s="1"/>
  <c r="S247" i="158"/>
  <c r="Y247" i="158" s="1"/>
  <c r="Z247" i="158" s="1"/>
  <c r="S246" i="158"/>
  <c r="Y246" i="158" s="1"/>
  <c r="Z246" i="158" s="1"/>
  <c r="S245" i="158"/>
  <c r="Y245" i="158" s="1"/>
  <c r="Z245" i="158" s="1"/>
  <c r="S244" i="158"/>
  <c r="Y244" i="158" s="1"/>
  <c r="Z244" i="158" s="1"/>
  <c r="S243" i="158"/>
  <c r="Y243" i="158" s="1"/>
  <c r="Z243" i="158" s="1"/>
  <c r="S242" i="158"/>
  <c r="Y242" i="158" s="1"/>
  <c r="Z242" i="158" s="1"/>
  <c r="S241" i="158"/>
  <c r="Y241" i="158" s="1"/>
  <c r="Z241" i="158" s="1"/>
  <c r="S240" i="158"/>
  <c r="Y240" i="158" s="1"/>
  <c r="Z240" i="158" s="1"/>
  <c r="S239" i="158"/>
  <c r="Y239" i="158" s="1"/>
  <c r="Z239" i="158" s="1"/>
  <c r="S238" i="158"/>
  <c r="Y238" i="158" s="1"/>
  <c r="Z238" i="158" s="1"/>
  <c r="S237" i="158"/>
  <c r="Y237" i="158" s="1"/>
  <c r="Z237" i="158" s="1"/>
  <c r="S236" i="158"/>
  <c r="Y236" i="158" s="1"/>
  <c r="Z236" i="158" s="1"/>
  <c r="S235" i="158"/>
  <c r="Y235" i="158" s="1"/>
  <c r="Z235" i="158" s="1"/>
  <c r="S234" i="158"/>
  <c r="Y234" i="158" s="1"/>
  <c r="Z234" i="158" s="1"/>
  <c r="S233" i="158"/>
  <c r="Y233" i="158" s="1"/>
  <c r="Z233" i="158" s="1"/>
  <c r="S232" i="158"/>
  <c r="Y232" i="158" s="1"/>
  <c r="Z232" i="158" s="1"/>
  <c r="S231" i="158"/>
  <c r="Y231" i="158" s="1"/>
  <c r="Z231" i="158" s="1"/>
  <c r="S230" i="158"/>
  <c r="Y230" i="158" s="1"/>
  <c r="Z230" i="158" s="1"/>
  <c r="S229" i="158"/>
  <c r="Y229" i="158" s="1"/>
  <c r="Z229" i="158" s="1"/>
  <c r="S228" i="158"/>
  <c r="Y228" i="158" s="1"/>
  <c r="Z228" i="158" s="1"/>
  <c r="S227" i="158"/>
  <c r="Y227" i="158" s="1"/>
  <c r="Z227" i="158" s="1"/>
  <c r="S226" i="158"/>
  <c r="Y226" i="158" s="1"/>
  <c r="Z226" i="158" s="1"/>
  <c r="S225" i="158"/>
  <c r="Y225" i="158" s="1"/>
  <c r="Z225" i="158" s="1"/>
  <c r="S224" i="158"/>
  <c r="Y224" i="158" s="1"/>
  <c r="Z224" i="158" s="1"/>
  <c r="S223" i="158"/>
  <c r="Y223" i="158" s="1"/>
  <c r="Z223" i="158" s="1"/>
  <c r="S222" i="158"/>
  <c r="Y222" i="158" s="1"/>
  <c r="Z222" i="158" s="1"/>
  <c r="S221" i="158"/>
  <c r="Y221" i="158" s="1"/>
  <c r="Z221" i="158" s="1"/>
  <c r="S220" i="158"/>
  <c r="Y220" i="158" s="1"/>
  <c r="Z220" i="158" s="1"/>
  <c r="S219" i="158"/>
  <c r="Y219" i="158" s="1"/>
  <c r="Z219" i="158" s="1"/>
  <c r="S218" i="158"/>
  <c r="Y218" i="158" s="1"/>
  <c r="Z218" i="158" s="1"/>
  <c r="S217" i="158"/>
  <c r="Y217" i="158" s="1"/>
  <c r="Z217" i="158" s="1"/>
  <c r="S216" i="158"/>
  <c r="Y216" i="158" s="1"/>
  <c r="Z216" i="158" s="1"/>
  <c r="S215" i="158"/>
  <c r="Y215" i="158" s="1"/>
  <c r="Z215" i="158" s="1"/>
  <c r="S214" i="158"/>
  <c r="Y214" i="158" s="1"/>
  <c r="Z214" i="158" s="1"/>
  <c r="S213" i="158"/>
  <c r="Y213" i="158" s="1"/>
  <c r="Z213" i="158" s="1"/>
  <c r="S212" i="158"/>
  <c r="Y212" i="158" s="1"/>
  <c r="Z212" i="158" s="1"/>
  <c r="S211" i="158"/>
  <c r="Y211" i="158" s="1"/>
  <c r="Z211" i="158" s="1"/>
  <c r="S210" i="158"/>
  <c r="Y210" i="158" s="1"/>
  <c r="Z210" i="158" s="1"/>
  <c r="S209" i="158"/>
  <c r="Y209" i="158" s="1"/>
  <c r="Z209" i="158" s="1"/>
  <c r="S208" i="158"/>
  <c r="Y208" i="158" s="1"/>
  <c r="Z208" i="158" s="1"/>
  <c r="S207" i="158"/>
  <c r="Y207" i="158" s="1"/>
  <c r="Z207" i="158" s="1"/>
  <c r="S206" i="158"/>
  <c r="Y206" i="158" s="1"/>
  <c r="Z206" i="158" s="1"/>
  <c r="S205" i="158"/>
  <c r="Y205" i="158" s="1"/>
  <c r="Z205" i="158" s="1"/>
  <c r="S204" i="158"/>
  <c r="Y204" i="158" s="1"/>
  <c r="Z204" i="158" s="1"/>
  <c r="S203" i="158"/>
  <c r="Y203" i="158" s="1"/>
  <c r="Z203" i="158" s="1"/>
  <c r="S202" i="158"/>
  <c r="Y202" i="158" s="1"/>
  <c r="Z202" i="158" s="1"/>
  <c r="S201" i="158"/>
  <c r="Y201" i="158" s="1"/>
  <c r="Z201" i="158" s="1"/>
  <c r="S200" i="158"/>
  <c r="Y200" i="158" s="1"/>
  <c r="Z200" i="158" s="1"/>
  <c r="S199" i="158"/>
  <c r="Y199" i="158" s="1"/>
  <c r="Z199" i="158" s="1"/>
  <c r="S198" i="158"/>
  <c r="Y198" i="158" s="1"/>
  <c r="Z198" i="158" s="1"/>
  <c r="S197" i="158"/>
  <c r="Y197" i="158" s="1"/>
  <c r="Z197" i="158" s="1"/>
  <c r="S196" i="158"/>
  <c r="Y196" i="158" s="1"/>
  <c r="Z196" i="158" s="1"/>
  <c r="S195" i="158"/>
  <c r="Y195" i="158" s="1"/>
  <c r="Z195" i="158" s="1"/>
  <c r="S194" i="158"/>
  <c r="Y194" i="158" s="1"/>
  <c r="Z194" i="158" s="1"/>
  <c r="S193" i="158"/>
  <c r="Y193" i="158" s="1"/>
  <c r="Z193" i="158" s="1"/>
  <c r="N192" i="158"/>
  <c r="S192" i="158" s="1"/>
  <c r="Y192" i="158" s="1"/>
  <c r="Z192" i="158" s="1"/>
  <c r="S191" i="158"/>
  <c r="U191" i="158" s="1"/>
  <c r="S190" i="158"/>
  <c r="U190" i="158" s="1"/>
  <c r="S189" i="158"/>
  <c r="U189" i="158" s="1"/>
  <c r="S188" i="158"/>
  <c r="U188" i="158" s="1"/>
  <c r="S187" i="158"/>
  <c r="U187" i="158" s="1"/>
  <c r="S186" i="158"/>
  <c r="U186" i="158" s="1"/>
  <c r="S185" i="158"/>
  <c r="U185" i="158" s="1"/>
  <c r="S184" i="158"/>
  <c r="U184" i="158" s="1"/>
  <c r="S183" i="158"/>
  <c r="U183" i="158" s="1"/>
  <c r="M182" i="158"/>
  <c r="S182" i="158" s="1"/>
  <c r="U182" i="158" s="1"/>
  <c r="S181" i="158"/>
  <c r="Y181" i="158" s="1"/>
  <c r="Z181" i="158" s="1"/>
  <c r="S180" i="158"/>
  <c r="Y180" i="158" s="1"/>
  <c r="Z180" i="158" s="1"/>
  <c r="S179" i="158"/>
  <c r="Y179" i="158" s="1"/>
  <c r="Z179" i="158" s="1"/>
  <c r="S178" i="158"/>
  <c r="Y178" i="158" s="1"/>
  <c r="Z178" i="158" s="1"/>
  <c r="S177" i="158"/>
  <c r="Y177" i="158" s="1"/>
  <c r="Z177" i="158" s="1"/>
  <c r="S176" i="158"/>
  <c r="Y176" i="158" s="1"/>
  <c r="Z176" i="158" s="1"/>
  <c r="S175" i="158"/>
  <c r="Y175" i="158" s="1"/>
  <c r="Z175" i="158" s="1"/>
  <c r="S174" i="158"/>
  <c r="Y174" i="158" s="1"/>
  <c r="Z174" i="158" s="1"/>
  <c r="S173" i="158"/>
  <c r="Y173" i="158" s="1"/>
  <c r="Z173" i="158" s="1"/>
  <c r="S172" i="158"/>
  <c r="Y172" i="158" s="1"/>
  <c r="Z172" i="158" s="1"/>
  <c r="S171" i="158"/>
  <c r="Y171" i="158" s="1"/>
  <c r="Z171" i="158" s="1"/>
  <c r="S170" i="158"/>
  <c r="Y170" i="158" s="1"/>
  <c r="Z170" i="158" s="1"/>
  <c r="S169" i="158"/>
  <c r="Y169" i="158" s="1"/>
  <c r="Z169" i="158" s="1"/>
  <c r="S168" i="158"/>
  <c r="Y168" i="158" s="1"/>
  <c r="Z168" i="158" s="1"/>
  <c r="S167" i="158"/>
  <c r="Y167" i="158" s="1"/>
  <c r="Z167" i="158" s="1"/>
  <c r="S166" i="158"/>
  <c r="Y166" i="158" s="1"/>
  <c r="Z166" i="158" s="1"/>
  <c r="S165" i="158"/>
  <c r="Y165" i="158" s="1"/>
  <c r="Z165" i="158" s="1"/>
  <c r="S164" i="158"/>
  <c r="Y164" i="158" s="1"/>
  <c r="Z164" i="158" s="1"/>
  <c r="S163" i="158"/>
  <c r="Y163" i="158" s="1"/>
  <c r="Z163" i="158" s="1"/>
  <c r="S162" i="158"/>
  <c r="Y162" i="158" s="1"/>
  <c r="Z162" i="158" s="1"/>
  <c r="S161" i="158"/>
  <c r="Y161" i="158" s="1"/>
  <c r="Z161" i="158" s="1"/>
  <c r="S160" i="158"/>
  <c r="Y160" i="158" s="1"/>
  <c r="Z160" i="158" s="1"/>
  <c r="S159" i="158"/>
  <c r="Y159" i="158" s="1"/>
  <c r="Z159" i="158" s="1"/>
  <c r="S158" i="158"/>
  <c r="N157" i="158"/>
  <c r="S156" i="158"/>
  <c r="U156" i="158" s="1"/>
  <c r="S155" i="158"/>
  <c r="U155" i="158" s="1"/>
  <c r="S154" i="158"/>
  <c r="U154" i="158" s="1"/>
  <c r="S153" i="158"/>
  <c r="U153" i="158" s="1"/>
  <c r="S152" i="158"/>
  <c r="U152" i="158" s="1"/>
  <c r="S151" i="158"/>
  <c r="U151" i="158" s="1"/>
  <c r="S150" i="158"/>
  <c r="U150" i="158" s="1"/>
  <c r="S149" i="158"/>
  <c r="U149" i="158" s="1"/>
  <c r="S148" i="158"/>
  <c r="U148" i="158" s="1"/>
  <c r="S147" i="158"/>
  <c r="U147" i="158" s="1"/>
  <c r="S146" i="158"/>
  <c r="U146" i="158" s="1"/>
  <c r="S145" i="158"/>
  <c r="U145" i="158" s="1"/>
  <c r="S144" i="158"/>
  <c r="U144" i="158" s="1"/>
  <c r="S143" i="158"/>
  <c r="U143" i="158" s="1"/>
  <c r="S142" i="158"/>
  <c r="U142" i="158" s="1"/>
  <c r="S141" i="158"/>
  <c r="U141" i="158" s="1"/>
  <c r="M140" i="158"/>
  <c r="S140" i="158" s="1"/>
  <c r="U140" i="158" s="1"/>
  <c r="S139" i="158"/>
  <c r="Y139" i="158" s="1"/>
  <c r="Z139" i="158" s="1"/>
  <c r="S138" i="158"/>
  <c r="Y138" i="158" s="1"/>
  <c r="Z138" i="158" s="1"/>
  <c r="S137" i="158"/>
  <c r="Y137" i="158" s="1"/>
  <c r="Z137" i="158" s="1"/>
  <c r="M136" i="158"/>
  <c r="S136" i="158" s="1"/>
  <c r="Y136" i="158" s="1"/>
  <c r="Z136" i="158" s="1"/>
  <c r="S135" i="158"/>
  <c r="U135" i="158" s="1"/>
  <c r="S134" i="158"/>
  <c r="U134" i="158" s="1"/>
  <c r="S133" i="158"/>
  <c r="U133" i="158" s="1"/>
  <c r="P132" i="158"/>
  <c r="M131" i="158"/>
  <c r="K131" i="158"/>
  <c r="S130" i="158"/>
  <c r="S129" i="158"/>
  <c r="S128" i="158"/>
  <c r="S127" i="158"/>
  <c r="S126" i="158"/>
  <c r="S125" i="158"/>
  <c r="S124" i="158"/>
  <c r="S123" i="158"/>
  <c r="S122" i="158"/>
  <c r="S121" i="158"/>
  <c r="S120" i="158"/>
  <c r="S119" i="158"/>
  <c r="S118" i="158"/>
  <c r="S117" i="158"/>
  <c r="S116" i="158"/>
  <c r="S115" i="158"/>
  <c r="S114" i="158"/>
  <c r="S113" i="158"/>
  <c r="S112" i="158"/>
  <c r="S111" i="158"/>
  <c r="S110" i="158"/>
  <c r="S109" i="158"/>
  <c r="S108" i="158"/>
  <c r="S107" i="158"/>
  <c r="S106" i="158"/>
  <c r="S105" i="158"/>
  <c r="S104" i="158"/>
  <c r="S103" i="158"/>
  <c r="S102" i="158"/>
  <c r="S101" i="158"/>
  <c r="S100" i="158"/>
  <c r="S99" i="158"/>
  <c r="S98" i="158"/>
  <c r="S97" i="158"/>
  <c r="S96" i="158"/>
  <c r="S95" i="158"/>
  <c r="S94" i="158"/>
  <c r="S93" i="158"/>
  <c r="S92" i="158"/>
  <c r="S91" i="158"/>
  <c r="S90" i="158"/>
  <c r="S89" i="158"/>
  <c r="S88" i="158"/>
  <c r="S87" i="158"/>
  <c r="S86" i="158"/>
  <c r="S85" i="158"/>
  <c r="S84" i="158"/>
  <c r="S83" i="158"/>
  <c r="S82" i="158"/>
  <c r="S81" i="158"/>
  <c r="S80" i="158"/>
  <c r="S78" i="158"/>
  <c r="S77" i="158"/>
  <c r="S76" i="158"/>
  <c r="S75" i="158"/>
  <c r="Y75" i="158" s="1"/>
  <c r="Z75" i="158" s="1"/>
  <c r="S74" i="158"/>
  <c r="Y74" i="158" s="1"/>
  <c r="Z74" i="158" s="1"/>
  <c r="S73" i="158"/>
  <c r="Y73" i="158" s="1"/>
  <c r="Z73" i="158" s="1"/>
  <c r="S72" i="158"/>
  <c r="Y72" i="158" s="1"/>
  <c r="Z72" i="158" s="1"/>
  <c r="S71" i="158"/>
  <c r="Y71" i="158" s="1"/>
  <c r="Z71" i="158" s="1"/>
  <c r="S70" i="158"/>
  <c r="Y70" i="158" s="1"/>
  <c r="Z70" i="158" s="1"/>
  <c r="S69" i="158"/>
  <c r="Y69" i="158" s="1"/>
  <c r="Z69" i="158" s="1"/>
  <c r="S68" i="158"/>
  <c r="Y68" i="158" s="1"/>
  <c r="Z68" i="158" s="1"/>
  <c r="S67" i="158"/>
  <c r="Y67" i="158" s="1"/>
  <c r="Z67" i="158" s="1"/>
  <c r="S66" i="158"/>
  <c r="Y66" i="158" s="1"/>
  <c r="Z66" i="158" s="1"/>
  <c r="S65" i="158"/>
  <c r="Y65" i="158" s="1"/>
  <c r="Z65" i="158" s="1"/>
  <c r="S64" i="158"/>
  <c r="Y64" i="158" s="1"/>
  <c r="Z64" i="158" s="1"/>
  <c r="S63" i="158"/>
  <c r="Y63" i="158" s="1"/>
  <c r="Z63" i="158" s="1"/>
  <c r="S62" i="158"/>
  <c r="Y62" i="158" s="1"/>
  <c r="Z62" i="158" s="1"/>
  <c r="S61" i="158"/>
  <c r="Y61" i="158" s="1"/>
  <c r="Z61" i="158" s="1"/>
  <c r="S60" i="158"/>
  <c r="Y60" i="158" s="1"/>
  <c r="Z60" i="158" s="1"/>
  <c r="S59" i="158"/>
  <c r="Y59" i="158" s="1"/>
  <c r="Z59" i="158" s="1"/>
  <c r="S58" i="158"/>
  <c r="Y58" i="158" s="1"/>
  <c r="Z58" i="158" s="1"/>
  <c r="S57" i="158"/>
  <c r="Y57" i="158" s="1"/>
  <c r="Z57" i="158" s="1"/>
  <c r="S56" i="158"/>
  <c r="Y56" i="158" s="1"/>
  <c r="Z56" i="158" s="1"/>
  <c r="S55" i="158"/>
  <c r="Y55" i="158" s="1"/>
  <c r="Z55" i="158" s="1"/>
  <c r="S54" i="158"/>
  <c r="Y54" i="158" s="1"/>
  <c r="Z54" i="158" s="1"/>
  <c r="S53" i="158"/>
  <c r="Y53" i="158" s="1"/>
  <c r="Z53" i="158" s="1"/>
  <c r="S52" i="158"/>
  <c r="Y52" i="158" s="1"/>
  <c r="Z52" i="158" s="1"/>
  <c r="S51" i="158"/>
  <c r="Y51" i="158" s="1"/>
  <c r="Z51" i="158" s="1"/>
  <c r="S50" i="158"/>
  <c r="Y50" i="158" s="1"/>
  <c r="Z50" i="158" s="1"/>
  <c r="S49" i="158"/>
  <c r="Y49" i="158" s="1"/>
  <c r="Z49" i="158" s="1"/>
  <c r="S48" i="158"/>
  <c r="Y48" i="158" s="1"/>
  <c r="Z48" i="158" s="1"/>
  <c r="S47" i="158"/>
  <c r="Y47" i="158" s="1"/>
  <c r="Z47" i="158" s="1"/>
  <c r="S46" i="158"/>
  <c r="Y46" i="158" s="1"/>
  <c r="Z46" i="158" s="1"/>
  <c r="S45" i="158"/>
  <c r="Y45" i="158" s="1"/>
  <c r="Z45" i="158" s="1"/>
  <c r="S44" i="158"/>
  <c r="Y44" i="158" s="1"/>
  <c r="Z44" i="158" s="1"/>
  <c r="S43" i="158"/>
  <c r="U43" i="158" s="1"/>
  <c r="S42" i="158"/>
  <c r="U42" i="158" s="1"/>
  <c r="S41" i="158"/>
  <c r="U41" i="158" s="1"/>
  <c r="S40" i="158"/>
  <c r="U40" i="158" s="1"/>
  <c r="S39" i="158"/>
  <c r="U39" i="158" s="1"/>
  <c r="S38" i="158"/>
  <c r="U38" i="158" s="1"/>
  <c r="S37" i="158"/>
  <c r="U37" i="158" s="1"/>
  <c r="S36" i="158"/>
  <c r="U36" i="158" s="1"/>
  <c r="S35" i="158"/>
  <c r="U35" i="158" s="1"/>
  <c r="S34" i="158"/>
  <c r="U34" i="158" s="1"/>
  <c r="S33" i="158"/>
  <c r="U33" i="158" s="1"/>
  <c r="S32" i="158"/>
  <c r="U32" i="158" s="1"/>
  <c r="S31" i="158"/>
  <c r="U31" i="158" s="1"/>
  <c r="S30" i="158"/>
  <c r="U30" i="158" s="1"/>
  <c r="S29" i="158"/>
  <c r="U29" i="158" s="1"/>
  <c r="S28" i="158"/>
  <c r="U28" i="158" s="1"/>
  <c r="S27" i="158"/>
  <c r="U27" i="158" s="1"/>
  <c r="S26" i="158"/>
  <c r="U26" i="158" s="1"/>
  <c r="S25" i="158"/>
  <c r="U25" i="158" s="1"/>
  <c r="S24" i="158"/>
  <c r="Y24" i="158" s="1"/>
  <c r="Z24" i="158" s="1"/>
  <c r="S23" i="158"/>
  <c r="Y23" i="158" s="1"/>
  <c r="Z23" i="158" s="1"/>
  <c r="S22" i="158"/>
  <c r="Y22" i="158" s="1"/>
  <c r="Z22" i="158" s="1"/>
  <c r="S21" i="158"/>
  <c r="Y21" i="158" s="1"/>
  <c r="Z21" i="158" s="1"/>
  <c r="S20" i="158"/>
  <c r="Y20" i="158" s="1"/>
  <c r="Z20" i="158" s="1"/>
  <c r="S19" i="158"/>
  <c r="Y19" i="158" s="1"/>
  <c r="Z19" i="158" s="1"/>
  <c r="S18" i="158"/>
  <c r="Y18" i="158" s="1"/>
  <c r="Z18" i="158" s="1"/>
  <c r="S17" i="158"/>
  <c r="Y17" i="158" s="1"/>
  <c r="Z17" i="158" s="1"/>
  <c r="S16" i="158"/>
  <c r="Y16" i="158" s="1"/>
  <c r="Z16" i="158" s="1"/>
  <c r="S15" i="158"/>
  <c r="Y15" i="158" s="1"/>
  <c r="Z15" i="158" s="1"/>
  <c r="S14" i="158"/>
  <c r="Y14" i="158" s="1"/>
  <c r="Z14" i="158" s="1"/>
  <c r="S13" i="158"/>
  <c r="Y13" i="158" s="1"/>
  <c r="Z13" i="158" s="1"/>
  <c r="S12" i="158"/>
  <c r="Y12" i="158" s="1"/>
  <c r="Z12" i="158" s="1"/>
  <c r="S11" i="158"/>
  <c r="Y11" i="158" s="1"/>
  <c r="Z11" i="158" s="1"/>
  <c r="S10" i="158"/>
  <c r="Y10" i="158" s="1"/>
  <c r="Z10" i="158" s="1"/>
  <c r="S9" i="158"/>
  <c r="Y9" i="158" s="1"/>
  <c r="Z9" i="158" s="1"/>
  <c r="S8" i="158"/>
  <c r="Y8" i="158" s="1"/>
  <c r="Z8" i="158" s="1"/>
  <c r="S6" i="158"/>
  <c r="Y6" i="158" s="1"/>
  <c r="Z6" i="158" s="1"/>
  <c r="S5" i="158"/>
  <c r="Y5" i="158" s="1"/>
  <c r="Z5" i="158" s="1"/>
  <c r="S4" i="158"/>
  <c r="Y4" i="158" s="1"/>
  <c r="Z4" i="158" s="1"/>
  <c r="S3" i="158"/>
  <c r="U3" i="158" s="1"/>
  <c r="R535" i="124"/>
  <c r="M535" i="124"/>
  <c r="F535" i="124"/>
  <c r="R534" i="124"/>
  <c r="M534" i="124"/>
  <c r="F534" i="124"/>
  <c r="T533" i="124"/>
  <c r="Q533" i="124"/>
  <c r="W533" i="124" s="1"/>
  <c r="X533" i="124" s="1"/>
  <c r="T532" i="124"/>
  <c r="Q532" i="124"/>
  <c r="W532" i="124" s="1"/>
  <c r="X532" i="124" s="1"/>
  <c r="T531" i="124"/>
  <c r="Q531" i="124"/>
  <c r="W531" i="124" s="1"/>
  <c r="X531" i="124" s="1"/>
  <c r="T530" i="124"/>
  <c r="Q530" i="124"/>
  <c r="W530" i="124" s="1"/>
  <c r="X530" i="124" s="1"/>
  <c r="T529" i="124"/>
  <c r="Q529" i="124"/>
  <c r="W529" i="124" s="1"/>
  <c r="X529" i="124" s="1"/>
  <c r="T528" i="124"/>
  <c r="Q528" i="124"/>
  <c r="W528" i="124" s="1"/>
  <c r="X528" i="124" s="1"/>
  <c r="T527" i="124"/>
  <c r="Q527" i="124"/>
  <c r="W527" i="124" s="1"/>
  <c r="X527" i="124" s="1"/>
  <c r="T526" i="124"/>
  <c r="Q526" i="124"/>
  <c r="W526" i="124" s="1"/>
  <c r="X526" i="124" s="1"/>
  <c r="T525" i="124"/>
  <c r="Q525" i="124"/>
  <c r="W525" i="124" s="1"/>
  <c r="X525" i="124" s="1"/>
  <c r="T524" i="124"/>
  <c r="Q524" i="124"/>
  <c r="W524" i="124" s="1"/>
  <c r="X524" i="124" s="1"/>
  <c r="T523" i="124"/>
  <c r="Q523" i="124"/>
  <c r="W523" i="124" s="1"/>
  <c r="X523" i="124" s="1"/>
  <c r="T522" i="124"/>
  <c r="Q522" i="124"/>
  <c r="W522" i="124" s="1"/>
  <c r="X522" i="124" s="1"/>
  <c r="T521" i="124"/>
  <c r="Q521" i="124"/>
  <c r="W521" i="124" s="1"/>
  <c r="X521" i="124" s="1"/>
  <c r="T520" i="124"/>
  <c r="Q520" i="124"/>
  <c r="W520" i="124" s="1"/>
  <c r="X520" i="124" s="1"/>
  <c r="T519" i="124"/>
  <c r="Q519" i="124"/>
  <c r="W519" i="124" s="1"/>
  <c r="X519" i="124" s="1"/>
  <c r="T518" i="124"/>
  <c r="Q518" i="124"/>
  <c r="W518" i="124" s="1"/>
  <c r="X518" i="124" s="1"/>
  <c r="T517" i="124"/>
  <c r="Q517" i="124"/>
  <c r="W517" i="124" s="1"/>
  <c r="X517" i="124" s="1"/>
  <c r="T516" i="124"/>
  <c r="Q516" i="124"/>
  <c r="W516" i="124" s="1"/>
  <c r="X516" i="124" s="1"/>
  <c r="T515" i="124"/>
  <c r="Q515" i="124"/>
  <c r="W515" i="124" s="1"/>
  <c r="X515" i="124" s="1"/>
  <c r="T514" i="124"/>
  <c r="Q514" i="124"/>
  <c r="W514" i="124" s="1"/>
  <c r="X514" i="124" s="1"/>
  <c r="T513" i="124"/>
  <c r="Q513" i="124"/>
  <c r="W513" i="124" s="1"/>
  <c r="X513" i="124" s="1"/>
  <c r="T512" i="124"/>
  <c r="Q512" i="124"/>
  <c r="W512" i="124" s="1"/>
  <c r="X512" i="124" s="1"/>
  <c r="T511" i="124"/>
  <c r="Q511" i="124"/>
  <c r="W511" i="124" s="1"/>
  <c r="X511" i="124" s="1"/>
  <c r="T510" i="124"/>
  <c r="Q510" i="124"/>
  <c r="W510" i="124" s="1"/>
  <c r="X510" i="124" s="1"/>
  <c r="T509" i="124"/>
  <c r="Q509" i="124"/>
  <c r="W509" i="124" s="1"/>
  <c r="X509" i="124" s="1"/>
  <c r="T508" i="124"/>
  <c r="Q508" i="124"/>
  <c r="W508" i="124" s="1"/>
  <c r="X508" i="124" s="1"/>
  <c r="T507" i="124"/>
  <c r="Q507" i="124"/>
  <c r="W507" i="124" s="1"/>
  <c r="X507" i="124" s="1"/>
  <c r="T506" i="124"/>
  <c r="Q506" i="124"/>
  <c r="W506" i="124" s="1"/>
  <c r="X506" i="124" s="1"/>
  <c r="T505" i="124"/>
  <c r="Q505" i="124"/>
  <c r="W505" i="124" s="1"/>
  <c r="X505" i="124" s="1"/>
  <c r="T504" i="124"/>
  <c r="Q504" i="124"/>
  <c r="W504" i="124" s="1"/>
  <c r="X504" i="124" s="1"/>
  <c r="T503" i="124"/>
  <c r="O503" i="124"/>
  <c r="I503" i="124"/>
  <c r="T502" i="124"/>
  <c r="O502" i="124"/>
  <c r="I502" i="124"/>
  <c r="T501" i="124"/>
  <c r="Q501" i="124"/>
  <c r="W501" i="124" s="1"/>
  <c r="X501" i="124" s="1"/>
  <c r="T500" i="124"/>
  <c r="Q500" i="124"/>
  <c r="W500" i="124" s="1"/>
  <c r="X500" i="124" s="1"/>
  <c r="T499" i="124"/>
  <c r="Q499" i="124"/>
  <c r="W499" i="124" s="1"/>
  <c r="X499" i="124" s="1"/>
  <c r="T498" i="124"/>
  <c r="Q498" i="124"/>
  <c r="W498" i="124" s="1"/>
  <c r="X498" i="124" s="1"/>
  <c r="T497" i="124"/>
  <c r="Q497" i="124"/>
  <c r="W497" i="124" s="1"/>
  <c r="X497" i="124" s="1"/>
  <c r="T496" i="124"/>
  <c r="Q496" i="124"/>
  <c r="W496" i="124" s="1"/>
  <c r="X496" i="124" s="1"/>
  <c r="T495" i="124"/>
  <c r="Q495" i="124"/>
  <c r="W495" i="124" s="1"/>
  <c r="X495" i="124" s="1"/>
  <c r="T494" i="124"/>
  <c r="Q494" i="124"/>
  <c r="W494" i="124" s="1"/>
  <c r="X494" i="124" s="1"/>
  <c r="T493" i="124"/>
  <c r="Q493" i="124"/>
  <c r="W493" i="124" s="1"/>
  <c r="X493" i="124" s="1"/>
  <c r="T492" i="124"/>
  <c r="Q492" i="124"/>
  <c r="W492" i="124" s="1"/>
  <c r="X492" i="124" s="1"/>
  <c r="T491" i="124"/>
  <c r="Q491" i="124"/>
  <c r="S491" i="124" s="1"/>
  <c r="T490" i="124"/>
  <c r="Q490" i="124"/>
  <c r="T489" i="124"/>
  <c r="Q489" i="124"/>
  <c r="T488" i="124"/>
  <c r="Q488" i="124"/>
  <c r="W488" i="124" s="1"/>
  <c r="X488" i="124" s="1"/>
  <c r="T487" i="124"/>
  <c r="L487" i="124"/>
  <c r="Q487" i="124" s="1"/>
  <c r="W487" i="124" s="1"/>
  <c r="X487" i="124" s="1"/>
  <c r="T486" i="124"/>
  <c r="Q486" i="124"/>
  <c r="U486" i="124" s="1"/>
  <c r="T485" i="124"/>
  <c r="Q485" i="124"/>
  <c r="U485" i="124" s="1"/>
  <c r="T484" i="124"/>
  <c r="Q484" i="124"/>
  <c r="U484" i="124" s="1"/>
  <c r="T483" i="124"/>
  <c r="Q483" i="124"/>
  <c r="U483" i="124" s="1"/>
  <c r="T482" i="124"/>
  <c r="L482" i="124"/>
  <c r="K482" i="124"/>
  <c r="T481" i="124"/>
  <c r="Q481" i="124"/>
  <c r="T480" i="124"/>
  <c r="J480" i="124"/>
  <c r="Q480" i="124" s="1"/>
  <c r="T479" i="124"/>
  <c r="L479" i="124"/>
  <c r="K479" i="124"/>
  <c r="J479" i="124"/>
  <c r="T478" i="124"/>
  <c r="Q478" i="124"/>
  <c r="W478" i="124" s="1"/>
  <c r="X478" i="124" s="1"/>
  <c r="T477" i="124"/>
  <c r="Q477" i="124"/>
  <c r="W477" i="124" s="1"/>
  <c r="X477" i="124" s="1"/>
  <c r="T476" i="124"/>
  <c r="Q476" i="124"/>
  <c r="W476" i="124" s="1"/>
  <c r="X476" i="124" s="1"/>
  <c r="T475" i="124"/>
  <c r="Q475" i="124"/>
  <c r="W475" i="124" s="1"/>
  <c r="X475" i="124" s="1"/>
  <c r="T474" i="124"/>
  <c r="Q474" i="124"/>
  <c r="W474" i="124" s="1"/>
  <c r="X474" i="124" s="1"/>
  <c r="T473" i="124"/>
  <c r="Q473" i="124"/>
  <c r="W473" i="124" s="1"/>
  <c r="X473" i="124" s="1"/>
  <c r="T472" i="124"/>
  <c r="Q472" i="124"/>
  <c r="W472" i="124" s="1"/>
  <c r="X472" i="124" s="1"/>
  <c r="T471" i="124"/>
  <c r="Q471" i="124"/>
  <c r="W471" i="124" s="1"/>
  <c r="X471" i="124" s="1"/>
  <c r="T470" i="124"/>
  <c r="Q470" i="124"/>
  <c r="W470" i="124" s="1"/>
  <c r="X470" i="124" s="1"/>
  <c r="T469" i="124"/>
  <c r="Q469" i="124"/>
  <c r="W469" i="124" s="1"/>
  <c r="X469" i="124" s="1"/>
  <c r="T468" i="124"/>
  <c r="Q468" i="124"/>
  <c r="W468" i="124" s="1"/>
  <c r="X468" i="124" s="1"/>
  <c r="T467" i="124"/>
  <c r="Q467" i="124"/>
  <c r="W467" i="124" s="1"/>
  <c r="X467" i="124" s="1"/>
  <c r="T466" i="124"/>
  <c r="Q466" i="124"/>
  <c r="W466" i="124" s="1"/>
  <c r="X466" i="124" s="1"/>
  <c r="T465" i="124"/>
  <c r="Q465" i="124"/>
  <c r="W465" i="124" s="1"/>
  <c r="X465" i="124" s="1"/>
  <c r="T464" i="124"/>
  <c r="Q464" i="124"/>
  <c r="W464" i="124" s="1"/>
  <c r="X464" i="124" s="1"/>
  <c r="T463" i="124"/>
  <c r="Q463" i="124"/>
  <c r="W463" i="124" s="1"/>
  <c r="X463" i="124" s="1"/>
  <c r="T462" i="124"/>
  <c r="Q462" i="124"/>
  <c r="W462" i="124" s="1"/>
  <c r="X462" i="124" s="1"/>
  <c r="T461" i="124"/>
  <c r="Q461" i="124"/>
  <c r="W461" i="124" s="1"/>
  <c r="X461" i="124" s="1"/>
  <c r="T460" i="124"/>
  <c r="Q460" i="124"/>
  <c r="W460" i="124" s="1"/>
  <c r="X460" i="124" s="1"/>
  <c r="T459" i="124"/>
  <c r="Q459" i="124"/>
  <c r="W459" i="124" s="1"/>
  <c r="X459" i="124" s="1"/>
  <c r="T458" i="124"/>
  <c r="Q458" i="124"/>
  <c r="W458" i="124" s="1"/>
  <c r="X458" i="124" s="1"/>
  <c r="T457" i="124"/>
  <c r="Q457" i="124"/>
  <c r="W457" i="124" s="1"/>
  <c r="X457" i="124" s="1"/>
  <c r="T456" i="124"/>
  <c r="O456" i="124"/>
  <c r="K456" i="124"/>
  <c r="T455" i="124"/>
  <c r="Q455" i="124"/>
  <c r="W455" i="124" s="1"/>
  <c r="X455" i="124" s="1"/>
  <c r="T454" i="124"/>
  <c r="O454" i="124"/>
  <c r="K454" i="124"/>
  <c r="T453" i="124"/>
  <c r="L453" i="124"/>
  <c r="I453" i="124"/>
  <c r="T452" i="124"/>
  <c r="Q452" i="124"/>
  <c r="W452" i="124" s="1"/>
  <c r="X452" i="124" s="1"/>
  <c r="T451" i="124"/>
  <c r="Q451" i="124"/>
  <c r="W451" i="124" s="1"/>
  <c r="X451" i="124" s="1"/>
  <c r="T450" i="124"/>
  <c r="O450" i="124"/>
  <c r="K450" i="124"/>
  <c r="T449" i="124"/>
  <c r="L449" i="124"/>
  <c r="I449" i="124"/>
  <c r="T448" i="124"/>
  <c r="O448" i="124"/>
  <c r="Q448" i="124" s="1"/>
  <c r="T447" i="124"/>
  <c r="Q447" i="124"/>
  <c r="W447" i="124" s="1"/>
  <c r="X447" i="124" s="1"/>
  <c r="T446" i="124"/>
  <c r="Q446" i="124"/>
  <c r="W446" i="124" s="1"/>
  <c r="X446" i="124" s="1"/>
  <c r="T445" i="124"/>
  <c r="K445" i="124"/>
  <c r="Q445" i="124" s="1"/>
  <c r="T444" i="124"/>
  <c r="Q444" i="124"/>
  <c r="W444" i="124" s="1"/>
  <c r="X444" i="124" s="1"/>
  <c r="T443" i="124"/>
  <c r="P443" i="124"/>
  <c r="O443" i="124"/>
  <c r="N443" i="124"/>
  <c r="L443" i="124"/>
  <c r="K443" i="124"/>
  <c r="I443" i="124"/>
  <c r="T442" i="124"/>
  <c r="I442" i="124"/>
  <c r="Q442" i="124" s="1"/>
  <c r="T441" i="124"/>
  <c r="Q441" i="124"/>
  <c r="W441" i="124" s="1"/>
  <c r="X441" i="124" s="1"/>
  <c r="T440" i="124"/>
  <c r="Q440" i="124"/>
  <c r="W440" i="124" s="1"/>
  <c r="X440" i="124" s="1"/>
  <c r="T439" i="124"/>
  <c r="N439" i="124"/>
  <c r="Q439" i="124" s="1"/>
  <c r="T438" i="124"/>
  <c r="N438" i="124"/>
  <c r="Q438" i="124" s="1"/>
  <c r="T437" i="124"/>
  <c r="N437" i="124"/>
  <c r="Q437" i="124" s="1"/>
  <c r="T436" i="124"/>
  <c r="Q436" i="124"/>
  <c r="W436" i="124" s="1"/>
  <c r="X436" i="124" s="1"/>
  <c r="T435" i="124"/>
  <c r="Q435" i="124"/>
  <c r="W435" i="124" s="1"/>
  <c r="X435" i="124" s="1"/>
  <c r="T434" i="124"/>
  <c r="L434" i="124"/>
  <c r="K434" i="124"/>
  <c r="T433" i="124"/>
  <c r="L433" i="124"/>
  <c r="K433" i="124"/>
  <c r="T432" i="124"/>
  <c r="L432" i="124"/>
  <c r="K432" i="124"/>
  <c r="J432" i="124"/>
  <c r="T431" i="124"/>
  <c r="Q431" i="124"/>
  <c r="W431" i="124" s="1"/>
  <c r="X431" i="124" s="1"/>
  <c r="T430" i="124"/>
  <c r="Q430" i="124"/>
  <c r="W430" i="124" s="1"/>
  <c r="X430" i="124" s="1"/>
  <c r="T429" i="124"/>
  <c r="Q429" i="124"/>
  <c r="W429" i="124" s="1"/>
  <c r="X429" i="124" s="1"/>
  <c r="T428" i="124"/>
  <c r="Q428" i="124"/>
  <c r="W428" i="124" s="1"/>
  <c r="X428" i="124" s="1"/>
  <c r="T427" i="124"/>
  <c r="Q427" i="124"/>
  <c r="T426" i="124"/>
  <c r="Q426" i="124"/>
  <c r="W426" i="124" s="1"/>
  <c r="X426" i="124" s="1"/>
  <c r="T425" i="124"/>
  <c r="Q425" i="124"/>
  <c r="W425" i="124" s="1"/>
  <c r="X425" i="124" s="1"/>
  <c r="T424" i="124"/>
  <c r="Q424" i="124"/>
  <c r="W424" i="124" s="1"/>
  <c r="X424" i="124" s="1"/>
  <c r="T423" i="124"/>
  <c r="N423" i="124"/>
  <c r="Q423" i="124" s="1"/>
  <c r="W423" i="124" s="1"/>
  <c r="X423" i="124" s="1"/>
  <c r="T422" i="124"/>
  <c r="N422" i="124"/>
  <c r="Q422" i="124" s="1"/>
  <c r="W422" i="124" s="1"/>
  <c r="X422" i="124" s="1"/>
  <c r="T421" i="124"/>
  <c r="Q421" i="124"/>
  <c r="W421" i="124" s="1"/>
  <c r="X421" i="124" s="1"/>
  <c r="T420" i="124"/>
  <c r="Q420" i="124"/>
  <c r="W420" i="124" s="1"/>
  <c r="X420" i="124" s="1"/>
  <c r="T419" i="124"/>
  <c r="Q419" i="124"/>
  <c r="W419" i="124" s="1"/>
  <c r="X419" i="124" s="1"/>
  <c r="T418" i="124"/>
  <c r="Q418" i="124"/>
  <c r="W418" i="124" s="1"/>
  <c r="X418" i="124" s="1"/>
  <c r="T417" i="124"/>
  <c r="Q417" i="124"/>
  <c r="W417" i="124" s="1"/>
  <c r="X417" i="124" s="1"/>
  <c r="T416" i="124"/>
  <c r="Q416" i="124"/>
  <c r="W416" i="124" s="1"/>
  <c r="X416" i="124" s="1"/>
  <c r="T415" i="124"/>
  <c r="Q415" i="124"/>
  <c r="W415" i="124" s="1"/>
  <c r="X415" i="124" s="1"/>
  <c r="T414" i="124"/>
  <c r="Q414" i="124"/>
  <c r="W414" i="124" s="1"/>
  <c r="X414" i="124" s="1"/>
  <c r="T413" i="124"/>
  <c r="Q413" i="124"/>
  <c r="W413" i="124" s="1"/>
  <c r="X413" i="124" s="1"/>
  <c r="T412" i="124"/>
  <c r="Q412" i="124"/>
  <c r="W412" i="124" s="1"/>
  <c r="X412" i="124" s="1"/>
  <c r="T411" i="124"/>
  <c r="Q411" i="124"/>
  <c r="W411" i="124" s="1"/>
  <c r="X411" i="124" s="1"/>
  <c r="T410" i="124"/>
  <c r="Q410" i="124"/>
  <c r="W410" i="124" s="1"/>
  <c r="X410" i="124" s="1"/>
  <c r="T409" i="124"/>
  <c r="Q409" i="124"/>
  <c r="W409" i="124" s="1"/>
  <c r="X409" i="124" s="1"/>
  <c r="T408" i="124"/>
  <c r="Q408" i="124"/>
  <c r="W408" i="124" s="1"/>
  <c r="X408" i="124" s="1"/>
  <c r="T407" i="124"/>
  <c r="Q407" i="124"/>
  <c r="W407" i="124" s="1"/>
  <c r="X407" i="124" s="1"/>
  <c r="T406" i="124"/>
  <c r="Q406" i="124"/>
  <c r="W406" i="124" s="1"/>
  <c r="X406" i="124" s="1"/>
  <c r="T405" i="124"/>
  <c r="Q405" i="124"/>
  <c r="W405" i="124" s="1"/>
  <c r="X405" i="124" s="1"/>
  <c r="T404" i="124"/>
  <c r="Q404" i="124"/>
  <c r="W404" i="124" s="1"/>
  <c r="X404" i="124" s="1"/>
  <c r="T403" i="124"/>
  <c r="P403" i="124"/>
  <c r="P535" i="124" s="1"/>
  <c r="O403" i="124"/>
  <c r="K403" i="124"/>
  <c r="I403" i="124"/>
  <c r="T402" i="124"/>
  <c r="O402" i="124"/>
  <c r="I402" i="124"/>
  <c r="T401" i="124"/>
  <c r="K401" i="124"/>
  <c r="Q401" i="124" s="1"/>
  <c r="W401" i="124" s="1"/>
  <c r="X401" i="124" s="1"/>
  <c r="T400" i="124"/>
  <c r="Q400" i="124"/>
  <c r="W400" i="124" s="1"/>
  <c r="X400" i="124" s="1"/>
  <c r="T399" i="124"/>
  <c r="Q399" i="124"/>
  <c r="W399" i="124" s="1"/>
  <c r="X399" i="124" s="1"/>
  <c r="T398" i="124"/>
  <c r="Q398" i="124"/>
  <c r="W398" i="124" s="1"/>
  <c r="X398" i="124" s="1"/>
  <c r="T397" i="124"/>
  <c r="Q397" i="124"/>
  <c r="W397" i="124" s="1"/>
  <c r="X397" i="124" s="1"/>
  <c r="T396" i="124"/>
  <c r="Q396" i="124"/>
  <c r="W396" i="124" s="1"/>
  <c r="X396" i="124" s="1"/>
  <c r="T395" i="124"/>
  <c r="Q395" i="124"/>
  <c r="W395" i="124" s="1"/>
  <c r="X395" i="124" s="1"/>
  <c r="T394" i="124"/>
  <c r="O394" i="124"/>
  <c r="K394" i="124"/>
  <c r="T393" i="124"/>
  <c r="I393" i="124"/>
  <c r="T392" i="124"/>
  <c r="Q392" i="124"/>
  <c r="W392" i="124" s="1"/>
  <c r="X392" i="124" s="1"/>
  <c r="T391" i="124"/>
  <c r="Q391" i="124"/>
  <c r="W391" i="124" s="1"/>
  <c r="X391" i="124" s="1"/>
  <c r="T390" i="124"/>
  <c r="Q390" i="124"/>
  <c r="W390" i="124" s="1"/>
  <c r="X390" i="124" s="1"/>
  <c r="T389" i="124"/>
  <c r="Q389" i="124"/>
  <c r="W389" i="124" s="1"/>
  <c r="X389" i="124" s="1"/>
  <c r="T388" i="124"/>
  <c r="Q388" i="124"/>
  <c r="W388" i="124" s="1"/>
  <c r="X388" i="124" s="1"/>
  <c r="T387" i="124"/>
  <c r="Q387" i="124"/>
  <c r="W387" i="124" s="1"/>
  <c r="X387" i="124" s="1"/>
  <c r="T386" i="124"/>
  <c r="Q386" i="124"/>
  <c r="W386" i="124" s="1"/>
  <c r="X386" i="124" s="1"/>
  <c r="T385" i="124"/>
  <c r="Q385" i="124"/>
  <c r="W385" i="124" s="1"/>
  <c r="X385" i="124" s="1"/>
  <c r="T384" i="124"/>
  <c r="Q384" i="124"/>
  <c r="W384" i="124" s="1"/>
  <c r="X384" i="124" s="1"/>
  <c r="T383" i="124"/>
  <c r="Q383" i="124"/>
  <c r="W383" i="124" s="1"/>
  <c r="X383" i="124" s="1"/>
  <c r="T382" i="124"/>
  <c r="Q382" i="124"/>
  <c r="W382" i="124" s="1"/>
  <c r="X382" i="124" s="1"/>
  <c r="T381" i="124"/>
  <c r="Q381" i="124"/>
  <c r="W381" i="124" s="1"/>
  <c r="X381" i="124" s="1"/>
  <c r="T380" i="124"/>
  <c r="Q380" i="124"/>
  <c r="W380" i="124" s="1"/>
  <c r="X380" i="124" s="1"/>
  <c r="T379" i="124"/>
  <c r="Q379" i="124"/>
  <c r="W379" i="124" s="1"/>
  <c r="X379" i="124" s="1"/>
  <c r="T378" i="124"/>
  <c r="Q378" i="124"/>
  <c r="W378" i="124" s="1"/>
  <c r="X378" i="124" s="1"/>
  <c r="T377" i="124"/>
  <c r="N377" i="124"/>
  <c r="L377" i="124"/>
  <c r="T376" i="124"/>
  <c r="Q376" i="124"/>
  <c r="W376" i="124" s="1"/>
  <c r="X376" i="124" s="1"/>
  <c r="T375" i="124"/>
  <c r="Q375" i="124"/>
  <c r="W375" i="124" s="1"/>
  <c r="X375" i="124" s="1"/>
  <c r="T374" i="124"/>
  <c r="Q374" i="124"/>
  <c r="W374" i="124" s="1"/>
  <c r="X374" i="124" s="1"/>
  <c r="T373" i="124"/>
  <c r="J373" i="124"/>
  <c r="Q373" i="124" s="1"/>
  <c r="W373" i="124" s="1"/>
  <c r="X373" i="124" s="1"/>
  <c r="T372" i="124"/>
  <c r="Q372" i="124"/>
  <c r="W372" i="124" s="1"/>
  <c r="X372" i="124" s="1"/>
  <c r="T371" i="124"/>
  <c r="Q371" i="124"/>
  <c r="W371" i="124" s="1"/>
  <c r="X371" i="124" s="1"/>
  <c r="T370" i="124"/>
  <c r="Q370" i="124"/>
  <c r="W370" i="124" s="1"/>
  <c r="X370" i="124" s="1"/>
  <c r="T369" i="124"/>
  <c r="J369" i="124"/>
  <c r="Q369" i="124" s="1"/>
  <c r="T368" i="124"/>
  <c r="Q368" i="124"/>
  <c r="W368" i="124" s="1"/>
  <c r="X368" i="124" s="1"/>
  <c r="T367" i="124"/>
  <c r="J367" i="124"/>
  <c r="Q367" i="124" s="1"/>
  <c r="W367" i="124" s="1"/>
  <c r="X367" i="124" s="1"/>
  <c r="T366" i="124"/>
  <c r="Q366" i="124"/>
  <c r="W366" i="124" s="1"/>
  <c r="X366" i="124" s="1"/>
  <c r="T365" i="124"/>
  <c r="J365" i="124"/>
  <c r="Q365" i="124" s="1"/>
  <c r="T364" i="124"/>
  <c r="Q364" i="124"/>
  <c r="W364" i="124" s="1"/>
  <c r="X364" i="124" s="1"/>
  <c r="T363" i="124"/>
  <c r="Q363" i="124"/>
  <c r="W363" i="124" s="1"/>
  <c r="X363" i="124" s="1"/>
  <c r="T362" i="124"/>
  <c r="Q362" i="124"/>
  <c r="W362" i="124" s="1"/>
  <c r="X362" i="124" s="1"/>
  <c r="T361" i="124"/>
  <c r="Q361" i="124"/>
  <c r="W361" i="124" s="1"/>
  <c r="X361" i="124" s="1"/>
  <c r="T360" i="124"/>
  <c r="L360" i="124"/>
  <c r="Q360" i="124" s="1"/>
  <c r="T359" i="124"/>
  <c r="Q359" i="124"/>
  <c r="W359" i="124" s="1"/>
  <c r="X359" i="124" s="1"/>
  <c r="T358" i="124"/>
  <c r="Q358" i="124"/>
  <c r="W358" i="124" s="1"/>
  <c r="X358" i="124" s="1"/>
  <c r="T357" i="124"/>
  <c r="Q357" i="124"/>
  <c r="W357" i="124" s="1"/>
  <c r="X357" i="124" s="1"/>
  <c r="T356" i="124"/>
  <c r="Q356" i="124"/>
  <c r="W356" i="124" s="1"/>
  <c r="X356" i="124" s="1"/>
  <c r="T355" i="124"/>
  <c r="Q355" i="124"/>
  <c r="W355" i="124" s="1"/>
  <c r="X355" i="124" s="1"/>
  <c r="T354" i="124"/>
  <c r="J354" i="124"/>
  <c r="Q354" i="124" s="1"/>
  <c r="W354" i="124" s="1"/>
  <c r="X354" i="124" s="1"/>
  <c r="T353" i="124"/>
  <c r="Q353" i="124"/>
  <c r="W353" i="124" s="1"/>
  <c r="X353" i="124" s="1"/>
  <c r="T352" i="124"/>
  <c r="Q352" i="124"/>
  <c r="W352" i="124" s="1"/>
  <c r="X352" i="124" s="1"/>
  <c r="T351" i="124"/>
  <c r="Q351" i="124"/>
  <c r="W351" i="124" s="1"/>
  <c r="X351" i="124" s="1"/>
  <c r="T350" i="124"/>
  <c r="Q350" i="124"/>
  <c r="W350" i="124" s="1"/>
  <c r="X350" i="124" s="1"/>
  <c r="T349" i="124"/>
  <c r="Q349" i="124"/>
  <c r="W349" i="124" s="1"/>
  <c r="X349" i="124" s="1"/>
  <c r="T348" i="124"/>
  <c r="Q348" i="124"/>
  <c r="W348" i="124" s="1"/>
  <c r="X348" i="124" s="1"/>
  <c r="T347" i="124"/>
  <c r="Q347" i="124"/>
  <c r="W347" i="124" s="1"/>
  <c r="X347" i="124" s="1"/>
  <c r="T346" i="124"/>
  <c r="Q346" i="124"/>
  <c r="W346" i="124" s="1"/>
  <c r="X346" i="124" s="1"/>
  <c r="T345" i="124"/>
  <c r="Q345" i="124"/>
  <c r="W345" i="124" s="1"/>
  <c r="X345" i="124" s="1"/>
  <c r="T344" i="124"/>
  <c r="Q344" i="124"/>
  <c r="W344" i="124" s="1"/>
  <c r="X344" i="124" s="1"/>
  <c r="T343" i="124"/>
  <c r="Q343" i="124"/>
  <c r="W343" i="124" s="1"/>
  <c r="X343" i="124" s="1"/>
  <c r="T342" i="124"/>
  <c r="Q342" i="124"/>
  <c r="W342" i="124" s="1"/>
  <c r="X342" i="124" s="1"/>
  <c r="T341" i="124"/>
  <c r="Q341" i="124"/>
  <c r="W341" i="124" s="1"/>
  <c r="X341" i="124" s="1"/>
  <c r="T340" i="124"/>
  <c r="Q340" i="124"/>
  <c r="W340" i="124" s="1"/>
  <c r="X340" i="124" s="1"/>
  <c r="T339" i="124"/>
  <c r="Q339" i="124"/>
  <c r="W339" i="124" s="1"/>
  <c r="X339" i="124" s="1"/>
  <c r="T338" i="124"/>
  <c r="Q338" i="124"/>
  <c r="W338" i="124" s="1"/>
  <c r="X338" i="124" s="1"/>
  <c r="T337" i="124"/>
  <c r="Q337" i="124"/>
  <c r="W337" i="124" s="1"/>
  <c r="X337" i="124" s="1"/>
  <c r="T336" i="124"/>
  <c r="Q336" i="124"/>
  <c r="W336" i="124" s="1"/>
  <c r="X336" i="124" s="1"/>
  <c r="T335" i="124"/>
  <c r="Q335" i="124"/>
  <c r="W335" i="124" s="1"/>
  <c r="X335" i="124" s="1"/>
  <c r="T334" i="124"/>
  <c r="Q334" i="124"/>
  <c r="W334" i="124" s="1"/>
  <c r="X334" i="124" s="1"/>
  <c r="T333" i="124"/>
  <c r="Q333" i="124"/>
  <c r="W333" i="124" s="1"/>
  <c r="X333" i="124" s="1"/>
  <c r="T332" i="124"/>
  <c r="Q332" i="124"/>
  <c r="W332" i="124" s="1"/>
  <c r="X332" i="124" s="1"/>
  <c r="T331" i="124"/>
  <c r="Q331" i="124"/>
  <c r="W331" i="124" s="1"/>
  <c r="X331" i="124" s="1"/>
  <c r="T330" i="124"/>
  <c r="Q330" i="124"/>
  <c r="W330" i="124" s="1"/>
  <c r="X330" i="124" s="1"/>
  <c r="T329" i="124"/>
  <c r="Q329" i="124"/>
  <c r="W329" i="124" s="1"/>
  <c r="X329" i="124" s="1"/>
  <c r="T328" i="124"/>
  <c r="Q328" i="124"/>
  <c r="W328" i="124" s="1"/>
  <c r="X328" i="124" s="1"/>
  <c r="T327" i="124"/>
  <c r="Q327" i="124"/>
  <c r="W327" i="124" s="1"/>
  <c r="X327" i="124" s="1"/>
  <c r="Q326" i="124"/>
  <c r="T325" i="124"/>
  <c r="Q325" i="124"/>
  <c r="W325" i="124" s="1"/>
  <c r="X325" i="124" s="1"/>
  <c r="T324" i="124"/>
  <c r="O324" i="124"/>
  <c r="Q324" i="124" s="1"/>
  <c r="T323" i="124"/>
  <c r="Q323" i="124"/>
  <c r="W323" i="124" s="1"/>
  <c r="X323" i="124" s="1"/>
  <c r="T322" i="124"/>
  <c r="Q322" i="124"/>
  <c r="W322" i="124" s="1"/>
  <c r="X322" i="124" s="1"/>
  <c r="T321" i="124"/>
  <c r="Q321" i="124"/>
  <c r="W321" i="124" s="1"/>
  <c r="X321" i="124" s="1"/>
  <c r="T320" i="124"/>
  <c r="Q320" i="124"/>
  <c r="W320" i="124" s="1"/>
  <c r="X320" i="124" s="1"/>
  <c r="T319" i="124"/>
  <c r="Q319" i="124"/>
  <c r="W319" i="124" s="1"/>
  <c r="X319" i="124" s="1"/>
  <c r="T318" i="124"/>
  <c r="Q318" i="124"/>
  <c r="W318" i="124" s="1"/>
  <c r="X318" i="124" s="1"/>
  <c r="T317" i="124"/>
  <c r="Q317" i="124"/>
  <c r="W317" i="124" s="1"/>
  <c r="X317" i="124" s="1"/>
  <c r="T316" i="124"/>
  <c r="Q316" i="124"/>
  <c r="W316" i="124" s="1"/>
  <c r="X316" i="124" s="1"/>
  <c r="T315" i="124"/>
  <c r="Q315" i="124"/>
  <c r="W315" i="124" s="1"/>
  <c r="X315" i="124" s="1"/>
  <c r="T314" i="124"/>
  <c r="Q314" i="124"/>
  <c r="W314" i="124" s="1"/>
  <c r="X314" i="124" s="1"/>
  <c r="T313" i="124"/>
  <c r="Q313" i="124"/>
  <c r="W313" i="124" s="1"/>
  <c r="X313" i="124" s="1"/>
  <c r="T312" i="124"/>
  <c r="Q312" i="124"/>
  <c r="W312" i="124" s="1"/>
  <c r="X312" i="124" s="1"/>
  <c r="T311" i="124"/>
  <c r="Q311" i="124"/>
  <c r="W311" i="124" s="1"/>
  <c r="X311" i="124" s="1"/>
  <c r="T310" i="124"/>
  <c r="Q310" i="124"/>
  <c r="W310" i="124" s="1"/>
  <c r="X310" i="124" s="1"/>
  <c r="T309" i="124"/>
  <c r="Q309" i="124"/>
  <c r="W309" i="124" s="1"/>
  <c r="X309" i="124" s="1"/>
  <c r="T308" i="124"/>
  <c r="Q308" i="124"/>
  <c r="W308" i="124" s="1"/>
  <c r="X308" i="124" s="1"/>
  <c r="T307" i="124"/>
  <c r="Q307" i="124"/>
  <c r="W307" i="124" s="1"/>
  <c r="X307" i="124" s="1"/>
  <c r="T306" i="124"/>
  <c r="Q306" i="124"/>
  <c r="W306" i="124" s="1"/>
  <c r="X306" i="124" s="1"/>
  <c r="T305" i="124"/>
  <c r="Q305" i="124"/>
  <c r="W305" i="124" s="1"/>
  <c r="X305" i="124" s="1"/>
  <c r="T304" i="124"/>
  <c r="Q304" i="124"/>
  <c r="W304" i="124" s="1"/>
  <c r="X304" i="124" s="1"/>
  <c r="T303" i="124"/>
  <c r="Q303" i="124"/>
  <c r="W303" i="124" s="1"/>
  <c r="X303" i="124" s="1"/>
  <c r="T302" i="124"/>
  <c r="Q302" i="124"/>
  <c r="W302" i="124" s="1"/>
  <c r="X302" i="124" s="1"/>
  <c r="T301" i="124"/>
  <c r="Q301" i="124"/>
  <c r="W301" i="124" s="1"/>
  <c r="X301" i="124" s="1"/>
  <c r="T300" i="124"/>
  <c r="Q300" i="124"/>
  <c r="W300" i="124" s="1"/>
  <c r="X300" i="124" s="1"/>
  <c r="T299" i="124"/>
  <c r="Q299" i="124"/>
  <c r="W299" i="124" s="1"/>
  <c r="X299" i="124" s="1"/>
  <c r="T298" i="124"/>
  <c r="Q298" i="124"/>
  <c r="W298" i="124" s="1"/>
  <c r="X298" i="124" s="1"/>
  <c r="T297" i="124"/>
  <c r="Q297" i="124"/>
  <c r="W297" i="124" s="1"/>
  <c r="X297" i="124" s="1"/>
  <c r="T296" i="124"/>
  <c r="Q296" i="124"/>
  <c r="W296" i="124" s="1"/>
  <c r="X296" i="124" s="1"/>
  <c r="T295" i="124"/>
  <c r="Q295" i="124"/>
  <c r="W295" i="124" s="1"/>
  <c r="X295" i="124" s="1"/>
  <c r="T294" i="124"/>
  <c r="Q294" i="124"/>
  <c r="W294" i="124" s="1"/>
  <c r="X294" i="124" s="1"/>
  <c r="T293" i="124"/>
  <c r="Q293" i="124"/>
  <c r="W293" i="124" s="1"/>
  <c r="X293" i="124" s="1"/>
  <c r="T292" i="124"/>
  <c r="Q292" i="124"/>
  <c r="W292" i="124" s="1"/>
  <c r="X292" i="124" s="1"/>
  <c r="T291" i="124"/>
  <c r="Q291" i="124"/>
  <c r="W291" i="124" s="1"/>
  <c r="X291" i="124" s="1"/>
  <c r="T290" i="124"/>
  <c r="Q290" i="124"/>
  <c r="W290" i="124" s="1"/>
  <c r="X290" i="124" s="1"/>
  <c r="T289" i="124"/>
  <c r="Q289" i="124"/>
  <c r="W289" i="124" s="1"/>
  <c r="X289" i="124" s="1"/>
  <c r="T288" i="124"/>
  <c r="Q288" i="124"/>
  <c r="W288" i="124" s="1"/>
  <c r="X288" i="124" s="1"/>
  <c r="T287" i="124"/>
  <c r="Q287" i="124"/>
  <c r="W287" i="124" s="1"/>
  <c r="X287" i="124" s="1"/>
  <c r="T286" i="124"/>
  <c r="Q286" i="124"/>
  <c r="W286" i="124" s="1"/>
  <c r="X286" i="124" s="1"/>
  <c r="T285" i="124"/>
  <c r="Q285" i="124"/>
  <c r="W285" i="124" s="1"/>
  <c r="X285" i="124" s="1"/>
  <c r="T284" i="124"/>
  <c r="K284" i="124"/>
  <c r="Q284" i="124" s="1"/>
  <c r="W284" i="124" s="1"/>
  <c r="X284" i="124" s="1"/>
  <c r="T283" i="124"/>
  <c r="Q283" i="124"/>
  <c r="W283" i="124" s="1"/>
  <c r="X283" i="124" s="1"/>
  <c r="T282" i="124"/>
  <c r="Q282" i="124"/>
  <c r="W282" i="124" s="1"/>
  <c r="X282" i="124" s="1"/>
  <c r="T281" i="124"/>
  <c r="Q281" i="124"/>
  <c r="W281" i="124" s="1"/>
  <c r="X281" i="124" s="1"/>
  <c r="T280" i="124"/>
  <c r="Q280" i="124"/>
  <c r="W280" i="124" s="1"/>
  <c r="X280" i="124" s="1"/>
  <c r="T279" i="124"/>
  <c r="Q279" i="124"/>
  <c r="W279" i="124" s="1"/>
  <c r="X279" i="124" s="1"/>
  <c r="T278" i="124"/>
  <c r="Q278" i="124"/>
  <c r="W278" i="124" s="1"/>
  <c r="X278" i="124" s="1"/>
  <c r="T277" i="124"/>
  <c r="Q277" i="124"/>
  <c r="W277" i="124" s="1"/>
  <c r="X277" i="124" s="1"/>
  <c r="T276" i="124"/>
  <c r="Q276" i="124"/>
  <c r="W276" i="124" s="1"/>
  <c r="X276" i="124" s="1"/>
  <c r="T275" i="124"/>
  <c r="Q275" i="124"/>
  <c r="W275" i="124" s="1"/>
  <c r="X275" i="124" s="1"/>
  <c r="T274" i="124"/>
  <c r="Q274" i="124"/>
  <c r="W274" i="124" s="1"/>
  <c r="X274" i="124" s="1"/>
  <c r="T273" i="124"/>
  <c r="Q273" i="124"/>
  <c r="W273" i="124" s="1"/>
  <c r="X273" i="124" s="1"/>
  <c r="T272" i="124"/>
  <c r="Q272" i="124"/>
  <c r="W272" i="124" s="1"/>
  <c r="X272" i="124" s="1"/>
  <c r="T271" i="124"/>
  <c r="Q271" i="124"/>
  <c r="W271" i="124" s="1"/>
  <c r="X271" i="124" s="1"/>
  <c r="T270" i="124"/>
  <c r="Q270" i="124"/>
  <c r="W270" i="124" s="1"/>
  <c r="X270" i="124" s="1"/>
  <c r="T269" i="124"/>
  <c r="Q269" i="124"/>
  <c r="W269" i="124" s="1"/>
  <c r="X269" i="124" s="1"/>
  <c r="T268" i="124"/>
  <c r="Q268" i="124"/>
  <c r="W268" i="124" s="1"/>
  <c r="X268" i="124" s="1"/>
  <c r="T267" i="124"/>
  <c r="Q267" i="124"/>
  <c r="W267" i="124" s="1"/>
  <c r="X267" i="124" s="1"/>
  <c r="T266" i="124"/>
  <c r="Q266" i="124"/>
  <c r="W266" i="124" s="1"/>
  <c r="X266" i="124" s="1"/>
  <c r="T265" i="124"/>
  <c r="Q265" i="124"/>
  <c r="W265" i="124" s="1"/>
  <c r="X265" i="124" s="1"/>
  <c r="T264" i="124"/>
  <c r="Q264" i="124"/>
  <c r="W264" i="124" s="1"/>
  <c r="X264" i="124" s="1"/>
  <c r="T263" i="124"/>
  <c r="Q263" i="124"/>
  <c r="W263" i="124" s="1"/>
  <c r="X263" i="124" s="1"/>
  <c r="T262" i="124"/>
  <c r="Q262" i="124"/>
  <c r="W262" i="124" s="1"/>
  <c r="X262" i="124" s="1"/>
  <c r="T261" i="124"/>
  <c r="Q261" i="124"/>
  <c r="W261" i="124" s="1"/>
  <c r="X261" i="124" s="1"/>
  <c r="T260" i="124"/>
  <c r="Q260" i="124"/>
  <c r="W260" i="124" s="1"/>
  <c r="X260" i="124" s="1"/>
  <c r="T259" i="124"/>
  <c r="Q259" i="124"/>
  <c r="W259" i="124" s="1"/>
  <c r="X259" i="124" s="1"/>
  <c r="T258" i="124"/>
  <c r="Q258" i="124"/>
  <c r="W258" i="124" s="1"/>
  <c r="X258" i="124" s="1"/>
  <c r="T257" i="124"/>
  <c r="Q257" i="124"/>
  <c r="W257" i="124" s="1"/>
  <c r="X257" i="124" s="1"/>
  <c r="T256" i="124"/>
  <c r="Q256" i="124"/>
  <c r="W256" i="124" s="1"/>
  <c r="X256" i="124" s="1"/>
  <c r="T255" i="124"/>
  <c r="Q255" i="124"/>
  <c r="W255" i="124" s="1"/>
  <c r="X255" i="124" s="1"/>
  <c r="T254" i="124"/>
  <c r="Q254" i="124"/>
  <c r="W254" i="124" s="1"/>
  <c r="X254" i="124" s="1"/>
  <c r="T253" i="124"/>
  <c r="Q253" i="124"/>
  <c r="W253" i="124" s="1"/>
  <c r="X253" i="124" s="1"/>
  <c r="T252" i="124"/>
  <c r="Q252" i="124"/>
  <c r="W252" i="124" s="1"/>
  <c r="X252" i="124" s="1"/>
  <c r="T251" i="124"/>
  <c r="Q251" i="124"/>
  <c r="W251" i="124" s="1"/>
  <c r="X251" i="124" s="1"/>
  <c r="T250" i="124"/>
  <c r="Q250" i="124"/>
  <c r="W250" i="124" s="1"/>
  <c r="X250" i="124" s="1"/>
  <c r="T249" i="124"/>
  <c r="Q249" i="124"/>
  <c r="W249" i="124" s="1"/>
  <c r="X249" i="124" s="1"/>
  <c r="T248" i="124"/>
  <c r="Q248" i="124"/>
  <c r="W248" i="124" s="1"/>
  <c r="X248" i="124" s="1"/>
  <c r="T247" i="124"/>
  <c r="Q247" i="124"/>
  <c r="W247" i="124" s="1"/>
  <c r="X247" i="124" s="1"/>
  <c r="T246" i="124"/>
  <c r="Q246" i="124"/>
  <c r="W246" i="124" s="1"/>
  <c r="X246" i="124" s="1"/>
  <c r="T245" i="124"/>
  <c r="Q245" i="124"/>
  <c r="W245" i="124" s="1"/>
  <c r="X245" i="124" s="1"/>
  <c r="T244" i="124"/>
  <c r="Q244" i="124"/>
  <c r="W244" i="124" s="1"/>
  <c r="X244" i="124" s="1"/>
  <c r="T243" i="124"/>
  <c r="Q243" i="124"/>
  <c r="W243" i="124" s="1"/>
  <c r="X243" i="124" s="1"/>
  <c r="T242" i="124"/>
  <c r="Q242" i="124"/>
  <c r="T241" i="124"/>
  <c r="Q241" i="124"/>
  <c r="W241" i="124" s="1"/>
  <c r="X241" i="124" s="1"/>
  <c r="T240" i="124"/>
  <c r="Q240" i="124"/>
  <c r="T239" i="124"/>
  <c r="Q239" i="124"/>
  <c r="W239" i="124" s="1"/>
  <c r="X239" i="124" s="1"/>
  <c r="T238" i="124"/>
  <c r="Q238" i="124"/>
  <c r="T237" i="124"/>
  <c r="H237" i="124"/>
  <c r="Q237" i="124" s="1"/>
  <c r="W237" i="124" s="1"/>
  <c r="X237" i="124" s="1"/>
  <c r="T236" i="124"/>
  <c r="Q236" i="124"/>
  <c r="W236" i="124" s="1"/>
  <c r="X236" i="124" s="1"/>
  <c r="T235" i="124"/>
  <c r="Q235" i="124"/>
  <c r="W235" i="124" s="1"/>
  <c r="X235" i="124" s="1"/>
  <c r="T234" i="124"/>
  <c r="Q234" i="124"/>
  <c r="W234" i="124" s="1"/>
  <c r="X234" i="124" s="1"/>
  <c r="T233" i="124"/>
  <c r="Q233" i="124"/>
  <c r="W233" i="124" s="1"/>
  <c r="X233" i="124" s="1"/>
  <c r="T232" i="124"/>
  <c r="Q232" i="124"/>
  <c r="W232" i="124" s="1"/>
  <c r="X232" i="124" s="1"/>
  <c r="T231" i="124"/>
  <c r="Q231" i="124"/>
  <c r="W231" i="124" s="1"/>
  <c r="X231" i="124" s="1"/>
  <c r="T230" i="124"/>
  <c r="Q230" i="124"/>
  <c r="W230" i="124" s="1"/>
  <c r="X230" i="124" s="1"/>
  <c r="T229" i="124"/>
  <c r="Q229" i="124"/>
  <c r="W229" i="124" s="1"/>
  <c r="X229" i="124" s="1"/>
  <c r="T228" i="124"/>
  <c r="Q228" i="124"/>
  <c r="W228" i="124" s="1"/>
  <c r="X228" i="124" s="1"/>
  <c r="T227" i="124"/>
  <c r="Q227" i="124"/>
  <c r="W227" i="124" s="1"/>
  <c r="X227" i="124" s="1"/>
  <c r="T226" i="124"/>
  <c r="Q226" i="124"/>
  <c r="W226" i="124" s="1"/>
  <c r="X226" i="124" s="1"/>
  <c r="T225" i="124"/>
  <c r="Q225" i="124"/>
  <c r="W225" i="124" s="1"/>
  <c r="X225" i="124" s="1"/>
  <c r="T224" i="124"/>
  <c r="Q224" i="124"/>
  <c r="W224" i="124" s="1"/>
  <c r="X224" i="124" s="1"/>
  <c r="T223" i="124"/>
  <c r="Q223" i="124"/>
  <c r="W223" i="124" s="1"/>
  <c r="X223" i="124" s="1"/>
  <c r="T222" i="124"/>
  <c r="Q222" i="124"/>
  <c r="W222" i="124" s="1"/>
  <c r="X222" i="124" s="1"/>
  <c r="T221" i="124"/>
  <c r="Q221" i="124"/>
  <c r="W221" i="124" s="1"/>
  <c r="X221" i="124" s="1"/>
  <c r="T220" i="124"/>
  <c r="Q220" i="124"/>
  <c r="W220" i="124" s="1"/>
  <c r="X220" i="124" s="1"/>
  <c r="T219" i="124"/>
  <c r="Q219" i="124"/>
  <c r="W219" i="124" s="1"/>
  <c r="X219" i="124" s="1"/>
  <c r="T218" i="124"/>
  <c r="Q218" i="124"/>
  <c r="W218" i="124" s="1"/>
  <c r="X218" i="124" s="1"/>
  <c r="T217" i="124"/>
  <c r="Q217" i="124"/>
  <c r="W217" i="124" s="1"/>
  <c r="X217" i="124" s="1"/>
  <c r="T216" i="124"/>
  <c r="Q216" i="124"/>
  <c r="W216" i="124" s="1"/>
  <c r="X216" i="124" s="1"/>
  <c r="T215" i="124"/>
  <c r="Q215" i="124"/>
  <c r="W215" i="124" s="1"/>
  <c r="X215" i="124" s="1"/>
  <c r="T214" i="124"/>
  <c r="Q214" i="124"/>
  <c r="W214" i="124" s="1"/>
  <c r="X214" i="124" s="1"/>
  <c r="T213" i="124"/>
  <c r="Q213" i="124"/>
  <c r="W213" i="124" s="1"/>
  <c r="X213" i="124" s="1"/>
  <c r="T212" i="124"/>
  <c r="Q212" i="124"/>
  <c r="W212" i="124" s="1"/>
  <c r="X212" i="124" s="1"/>
  <c r="T211" i="124"/>
  <c r="Q211" i="124"/>
  <c r="W211" i="124" s="1"/>
  <c r="X211" i="124" s="1"/>
  <c r="T210" i="124"/>
  <c r="Q210" i="124"/>
  <c r="W210" i="124" s="1"/>
  <c r="X210" i="124" s="1"/>
  <c r="T209" i="124"/>
  <c r="Q209" i="124"/>
  <c r="W209" i="124" s="1"/>
  <c r="X209" i="124" s="1"/>
  <c r="T208" i="124"/>
  <c r="Q208" i="124"/>
  <c r="W208" i="124" s="1"/>
  <c r="X208" i="124" s="1"/>
  <c r="T207" i="124"/>
  <c r="Q207" i="124"/>
  <c r="W207" i="124" s="1"/>
  <c r="X207" i="124" s="1"/>
  <c r="T206" i="124"/>
  <c r="Q206" i="124"/>
  <c r="W206" i="124" s="1"/>
  <c r="X206" i="124" s="1"/>
  <c r="T205" i="124"/>
  <c r="Q205" i="124"/>
  <c r="W205" i="124" s="1"/>
  <c r="X205" i="124" s="1"/>
  <c r="T204" i="124"/>
  <c r="Q204" i="124"/>
  <c r="W204" i="124" s="1"/>
  <c r="X204" i="124" s="1"/>
  <c r="T203" i="124"/>
  <c r="Q203" i="124"/>
  <c r="W203" i="124" s="1"/>
  <c r="X203" i="124" s="1"/>
  <c r="T202" i="124"/>
  <c r="Q202" i="124"/>
  <c r="W202" i="124" s="1"/>
  <c r="X202" i="124" s="1"/>
  <c r="T201" i="124"/>
  <c r="Q201" i="124"/>
  <c r="W201" i="124" s="1"/>
  <c r="X201" i="124" s="1"/>
  <c r="T200" i="124"/>
  <c r="Q200" i="124"/>
  <c r="W200" i="124" s="1"/>
  <c r="X200" i="124" s="1"/>
  <c r="T199" i="124"/>
  <c r="Q199" i="124"/>
  <c r="W199" i="124" s="1"/>
  <c r="X199" i="124" s="1"/>
  <c r="T198" i="124"/>
  <c r="Q198" i="124"/>
  <c r="W198" i="124" s="1"/>
  <c r="X198" i="124" s="1"/>
  <c r="T197" i="124"/>
  <c r="Q197" i="124"/>
  <c r="W197" i="124" s="1"/>
  <c r="X197" i="124" s="1"/>
  <c r="T196" i="124"/>
  <c r="Q196" i="124"/>
  <c r="W196" i="124" s="1"/>
  <c r="X196" i="124" s="1"/>
  <c r="T195" i="124"/>
  <c r="Q195" i="124"/>
  <c r="W195" i="124" s="1"/>
  <c r="X195" i="124" s="1"/>
  <c r="T194" i="124"/>
  <c r="Q194" i="124"/>
  <c r="W194" i="124" s="1"/>
  <c r="X194" i="124" s="1"/>
  <c r="T193" i="124"/>
  <c r="Q193" i="124"/>
  <c r="W193" i="124" s="1"/>
  <c r="X193" i="124" s="1"/>
  <c r="T192" i="124"/>
  <c r="Q192" i="124"/>
  <c r="W192" i="124" s="1"/>
  <c r="X192" i="124" s="1"/>
  <c r="T191" i="124"/>
  <c r="Q191" i="124"/>
  <c r="W191" i="124" s="1"/>
  <c r="X191" i="124" s="1"/>
  <c r="T190" i="124"/>
  <c r="Q190" i="124"/>
  <c r="W190" i="124" s="1"/>
  <c r="X190" i="124" s="1"/>
  <c r="T189" i="124"/>
  <c r="K189" i="124"/>
  <c r="Q189" i="124" s="1"/>
  <c r="T188" i="124"/>
  <c r="Q188" i="124"/>
  <c r="W188" i="124" s="1"/>
  <c r="X188" i="124" s="1"/>
  <c r="T187" i="124"/>
  <c r="Q187" i="124"/>
  <c r="W187" i="124" s="1"/>
  <c r="X187" i="124" s="1"/>
  <c r="T186" i="124"/>
  <c r="Q186" i="124"/>
  <c r="W186" i="124" s="1"/>
  <c r="X186" i="124" s="1"/>
  <c r="T185" i="124"/>
  <c r="Q185" i="124"/>
  <c r="W185" i="124" s="1"/>
  <c r="X185" i="124" s="1"/>
  <c r="T184" i="124"/>
  <c r="Q184" i="124"/>
  <c r="W184" i="124" s="1"/>
  <c r="X184" i="124" s="1"/>
  <c r="T183" i="124"/>
  <c r="Q183" i="124"/>
  <c r="W183" i="124" s="1"/>
  <c r="X183" i="124" s="1"/>
  <c r="T182" i="124"/>
  <c r="Q182" i="124"/>
  <c r="W182" i="124" s="1"/>
  <c r="X182" i="124" s="1"/>
  <c r="T181" i="124"/>
  <c r="Q181" i="124"/>
  <c r="W181" i="124" s="1"/>
  <c r="X181" i="124" s="1"/>
  <c r="T180" i="124"/>
  <c r="Q180" i="124"/>
  <c r="W180" i="124" s="1"/>
  <c r="X180" i="124" s="1"/>
  <c r="T179" i="124"/>
  <c r="L179" i="124"/>
  <c r="T178" i="124"/>
  <c r="Q178" i="124"/>
  <c r="W178" i="124" s="1"/>
  <c r="X178" i="124" s="1"/>
  <c r="T177" i="124"/>
  <c r="Q177" i="124"/>
  <c r="T176" i="124"/>
  <c r="Q176" i="124"/>
  <c r="W176" i="124" s="1"/>
  <c r="X176" i="124" s="1"/>
  <c r="T175" i="124"/>
  <c r="Q175" i="124"/>
  <c r="T174" i="124"/>
  <c r="Q174" i="124"/>
  <c r="W174" i="124" s="1"/>
  <c r="X174" i="124" s="1"/>
  <c r="T173" i="124"/>
  <c r="Q173" i="124"/>
  <c r="T172" i="124"/>
  <c r="Q172" i="124"/>
  <c r="W172" i="124" s="1"/>
  <c r="X172" i="124" s="1"/>
  <c r="T171" i="124"/>
  <c r="Q171" i="124"/>
  <c r="T170" i="124"/>
  <c r="Q170" i="124"/>
  <c r="W170" i="124" s="1"/>
  <c r="X170" i="124" s="1"/>
  <c r="T169" i="124"/>
  <c r="Q169" i="124"/>
  <c r="T168" i="124"/>
  <c r="Q168" i="124"/>
  <c r="W168" i="124" s="1"/>
  <c r="X168" i="124" s="1"/>
  <c r="T167" i="124"/>
  <c r="Q167" i="124"/>
  <c r="T166" i="124"/>
  <c r="Q166" i="124"/>
  <c r="W166" i="124" s="1"/>
  <c r="X166" i="124" s="1"/>
  <c r="T165" i="124"/>
  <c r="H165" i="124"/>
  <c r="Q165" i="124" s="1"/>
  <c r="T164" i="124"/>
  <c r="Q164" i="124"/>
  <c r="T163" i="124"/>
  <c r="Q163" i="124"/>
  <c r="W163" i="124" s="1"/>
  <c r="X163" i="124" s="1"/>
  <c r="T162" i="124"/>
  <c r="Q162" i="124"/>
  <c r="T161" i="124"/>
  <c r="Q161" i="124"/>
  <c r="W161" i="124" s="1"/>
  <c r="X161" i="124" s="1"/>
  <c r="T160" i="124"/>
  <c r="Q160" i="124"/>
  <c r="T159" i="124"/>
  <c r="Q159" i="124"/>
  <c r="W159" i="124" s="1"/>
  <c r="X159" i="124" s="1"/>
  <c r="T158" i="124"/>
  <c r="Q158" i="124"/>
  <c r="T157" i="124"/>
  <c r="Q157" i="124"/>
  <c r="W157" i="124" s="1"/>
  <c r="X157" i="124" s="1"/>
  <c r="T156" i="124"/>
  <c r="Q156" i="124"/>
  <c r="T155" i="124"/>
  <c r="Q155" i="124"/>
  <c r="W155" i="124" s="1"/>
  <c r="X155" i="124" s="1"/>
  <c r="T154" i="124"/>
  <c r="Q154" i="124"/>
  <c r="T153" i="124"/>
  <c r="Q153" i="124"/>
  <c r="W153" i="124" s="1"/>
  <c r="X153" i="124" s="1"/>
  <c r="T152" i="124"/>
  <c r="Q152" i="124"/>
  <c r="T151" i="124"/>
  <c r="Q151" i="124"/>
  <c r="W151" i="124" s="1"/>
  <c r="X151" i="124" s="1"/>
  <c r="T150" i="124"/>
  <c r="Q150" i="124"/>
  <c r="T149" i="124"/>
  <c r="Q149" i="124"/>
  <c r="W149" i="124" s="1"/>
  <c r="X149" i="124" s="1"/>
  <c r="T148" i="124"/>
  <c r="Q148" i="124"/>
  <c r="T147" i="124"/>
  <c r="Q147" i="124"/>
  <c r="W147" i="124" s="1"/>
  <c r="X147" i="124" s="1"/>
  <c r="T146" i="124"/>
  <c r="Q146" i="124"/>
  <c r="T145" i="124"/>
  <c r="Q145" i="124"/>
  <c r="W145" i="124" s="1"/>
  <c r="X145" i="124" s="1"/>
  <c r="T144" i="124"/>
  <c r="Q144" i="124"/>
  <c r="T143" i="124"/>
  <c r="Q143" i="124"/>
  <c r="W143" i="124" s="1"/>
  <c r="X143" i="124" s="1"/>
  <c r="T142" i="124"/>
  <c r="Q142" i="124"/>
  <c r="T141" i="124"/>
  <c r="Q141" i="124"/>
  <c r="W141" i="124" s="1"/>
  <c r="X141" i="124" s="1"/>
  <c r="T140" i="124"/>
  <c r="Q140" i="124"/>
  <c r="T139" i="124"/>
  <c r="Q139" i="124"/>
  <c r="W139" i="124" s="1"/>
  <c r="X139" i="124" s="1"/>
  <c r="T138" i="124"/>
  <c r="Q138" i="124"/>
  <c r="T137" i="124"/>
  <c r="Q137" i="124"/>
  <c r="W137" i="124" s="1"/>
  <c r="X137" i="124" s="1"/>
  <c r="T136" i="124"/>
  <c r="Q136" i="124"/>
  <c r="T135" i="124"/>
  <c r="Q135" i="124"/>
  <c r="W135" i="124" s="1"/>
  <c r="X135" i="124" s="1"/>
  <c r="T134" i="124"/>
  <c r="Q134" i="124"/>
  <c r="T133" i="124"/>
  <c r="Q133" i="124"/>
  <c r="W133" i="124" s="1"/>
  <c r="X133" i="124" s="1"/>
  <c r="T132" i="124"/>
  <c r="Q132" i="124"/>
  <c r="T131" i="124"/>
  <c r="N131" i="124"/>
  <c r="K131" i="124"/>
  <c r="T130" i="124"/>
  <c r="K130" i="124"/>
  <c r="T129" i="124"/>
  <c r="Q129" i="124"/>
  <c r="W129" i="124" s="1"/>
  <c r="X129" i="124" s="1"/>
  <c r="T128" i="124"/>
  <c r="Q128" i="124"/>
  <c r="W128" i="124" s="1"/>
  <c r="X128" i="124" s="1"/>
  <c r="T127" i="124"/>
  <c r="Q127" i="124"/>
  <c r="W127" i="124" s="1"/>
  <c r="X127" i="124" s="1"/>
  <c r="T126" i="124"/>
  <c r="O126" i="124"/>
  <c r="N126" i="124"/>
  <c r="H126" i="124"/>
  <c r="T125" i="124"/>
  <c r="H125" i="124"/>
  <c r="Q125" i="124" s="1"/>
  <c r="W125" i="124" s="1"/>
  <c r="X125" i="124" s="1"/>
  <c r="T124" i="124"/>
  <c r="Q124" i="124"/>
  <c r="W124" i="124" s="1"/>
  <c r="X124" i="124" s="1"/>
  <c r="T123" i="124"/>
  <c r="Q123" i="124"/>
  <c r="T122" i="124"/>
  <c r="Q122" i="124"/>
  <c r="W122" i="124" s="1"/>
  <c r="X122" i="124" s="1"/>
  <c r="T121" i="124"/>
  <c r="Q121" i="124"/>
  <c r="T120" i="124"/>
  <c r="Q120" i="124"/>
  <c r="W120" i="124" s="1"/>
  <c r="X120" i="124" s="1"/>
  <c r="T119" i="124"/>
  <c r="Q119" i="124"/>
  <c r="T118" i="124"/>
  <c r="Q118" i="124"/>
  <c r="W118" i="124" s="1"/>
  <c r="X118" i="124" s="1"/>
  <c r="T117" i="124"/>
  <c r="Q117" i="124"/>
  <c r="T116" i="124"/>
  <c r="Q116" i="124"/>
  <c r="W116" i="124" s="1"/>
  <c r="X116" i="124" s="1"/>
  <c r="T115" i="124"/>
  <c r="H115" i="124"/>
  <c r="Q115" i="124" s="1"/>
  <c r="T114" i="124"/>
  <c r="Q114" i="124"/>
  <c r="T113" i="124"/>
  <c r="H113" i="124"/>
  <c r="Q113" i="124" s="1"/>
  <c r="W113" i="124" s="1"/>
  <c r="X113" i="124" s="1"/>
  <c r="T112" i="124"/>
  <c r="H112" i="124"/>
  <c r="Q112" i="124" s="1"/>
  <c r="W112" i="124" s="1"/>
  <c r="X112" i="124" s="1"/>
  <c r="T111" i="124"/>
  <c r="J111" i="124"/>
  <c r="Q111" i="124" s="1"/>
  <c r="W111" i="124" s="1"/>
  <c r="X111" i="124" s="1"/>
  <c r="T110" i="124"/>
  <c r="Q110" i="124"/>
  <c r="W110" i="124" s="1"/>
  <c r="X110" i="124" s="1"/>
  <c r="T109" i="124"/>
  <c r="J109" i="124"/>
  <c r="Q109" i="124" s="1"/>
  <c r="T108" i="124"/>
  <c r="Q108" i="124"/>
  <c r="W108" i="124" s="1"/>
  <c r="X108" i="124" s="1"/>
  <c r="T107" i="124"/>
  <c r="Q107" i="124"/>
  <c r="W107" i="124" s="1"/>
  <c r="X107" i="124" s="1"/>
  <c r="T106" i="124"/>
  <c r="Q106" i="124"/>
  <c r="W106" i="124" s="1"/>
  <c r="X106" i="124" s="1"/>
  <c r="T105" i="124"/>
  <c r="H105" i="124"/>
  <c r="Q105" i="124" s="1"/>
  <c r="W105" i="124" s="1"/>
  <c r="X105" i="124" s="1"/>
  <c r="T104" i="124"/>
  <c r="Q104" i="124"/>
  <c r="W104" i="124" s="1"/>
  <c r="X104" i="124" s="1"/>
  <c r="T103" i="124"/>
  <c r="Q103" i="124"/>
  <c r="T102" i="124"/>
  <c r="Q102" i="124"/>
  <c r="W102" i="124" s="1"/>
  <c r="X102" i="124" s="1"/>
  <c r="T101" i="124"/>
  <c r="Q101" i="124"/>
  <c r="T100" i="124"/>
  <c r="Q100" i="124"/>
  <c r="W100" i="124" s="1"/>
  <c r="X100" i="124" s="1"/>
  <c r="T99" i="124"/>
  <c r="Q99" i="124"/>
  <c r="T98" i="124"/>
  <c r="Q98" i="124"/>
  <c r="W98" i="124" s="1"/>
  <c r="X98" i="124" s="1"/>
  <c r="T97" i="124"/>
  <c r="Q97" i="124"/>
  <c r="T96" i="124"/>
  <c r="Q96" i="124"/>
  <c r="W96" i="124" s="1"/>
  <c r="X96" i="124" s="1"/>
  <c r="T95" i="124"/>
  <c r="Q95" i="124"/>
  <c r="T94" i="124"/>
  <c r="Q94" i="124"/>
  <c r="W94" i="124" s="1"/>
  <c r="X94" i="124" s="1"/>
  <c r="T93" i="124"/>
  <c r="J93" i="124"/>
  <c r="Q93" i="124" s="1"/>
  <c r="T92" i="124"/>
  <c r="Q92" i="124"/>
  <c r="W92" i="124" s="1"/>
  <c r="X92" i="124" s="1"/>
  <c r="T91" i="124"/>
  <c r="J91" i="124"/>
  <c r="Q91" i="124" s="1"/>
  <c r="W91" i="124" s="1"/>
  <c r="X91" i="124" s="1"/>
  <c r="T90" i="124"/>
  <c r="Q90" i="124"/>
  <c r="W90" i="124" s="1"/>
  <c r="X90" i="124" s="1"/>
  <c r="T89" i="124"/>
  <c r="Q89" i="124"/>
  <c r="W89" i="124" s="1"/>
  <c r="X89" i="124" s="1"/>
  <c r="T88" i="124"/>
  <c r="H88" i="124"/>
  <c r="Q88" i="124" s="1"/>
  <c r="W88" i="124" s="1"/>
  <c r="X88" i="124" s="1"/>
  <c r="T87" i="124"/>
  <c r="J87" i="124"/>
  <c r="Q87" i="124" s="1"/>
  <c r="W87" i="124" s="1"/>
  <c r="X87" i="124" s="1"/>
  <c r="T86" i="124"/>
  <c r="Q86" i="124"/>
  <c r="W86" i="124" s="1"/>
  <c r="X86" i="124" s="1"/>
  <c r="T85" i="124"/>
  <c r="Q85" i="124"/>
  <c r="W85" i="124" s="1"/>
  <c r="X85" i="124" s="1"/>
  <c r="T84" i="124"/>
  <c r="Q84" i="124"/>
  <c r="W84" i="124" s="1"/>
  <c r="X84" i="124" s="1"/>
  <c r="T83" i="124"/>
  <c r="Q83" i="124"/>
  <c r="W83" i="124" s="1"/>
  <c r="X83" i="124" s="1"/>
  <c r="T82" i="124"/>
  <c r="Q82" i="124"/>
  <c r="W82" i="124" s="1"/>
  <c r="X82" i="124" s="1"/>
  <c r="T81" i="124"/>
  <c r="H81" i="124"/>
  <c r="Q81" i="124" s="1"/>
  <c r="T80" i="124"/>
  <c r="Q80" i="124"/>
  <c r="W80" i="124" s="1"/>
  <c r="X80" i="124" s="1"/>
  <c r="T79" i="124"/>
  <c r="Q79" i="124"/>
  <c r="W79" i="124" s="1"/>
  <c r="X79" i="124" s="1"/>
  <c r="T78" i="124"/>
  <c r="Q78" i="124"/>
  <c r="W78" i="124" s="1"/>
  <c r="X78" i="124" s="1"/>
  <c r="T77" i="124"/>
  <c r="Q77" i="124"/>
  <c r="W77" i="124" s="1"/>
  <c r="X77" i="124" s="1"/>
  <c r="T76" i="124"/>
  <c r="H76" i="124"/>
  <c r="Q76" i="124" s="1"/>
  <c r="T75" i="124"/>
  <c r="Q75" i="124"/>
  <c r="W75" i="124" s="1"/>
  <c r="X75" i="124" s="1"/>
  <c r="T74" i="124"/>
  <c r="Q74" i="124"/>
  <c r="W74" i="124" s="1"/>
  <c r="X74" i="124" s="1"/>
  <c r="T73" i="124"/>
  <c r="Q73" i="124"/>
  <c r="W73" i="124" s="1"/>
  <c r="X73" i="124" s="1"/>
  <c r="T72" i="124"/>
  <c r="Q72" i="124"/>
  <c r="W72" i="124" s="1"/>
  <c r="X72" i="124" s="1"/>
  <c r="T71" i="124"/>
  <c r="J71" i="124"/>
  <c r="J534" i="124" s="1"/>
  <c r="T70" i="124"/>
  <c r="Q70" i="124"/>
  <c r="W70" i="124" s="1"/>
  <c r="X70" i="124" s="1"/>
  <c r="T69" i="124"/>
  <c r="Q69" i="124"/>
  <c r="W69" i="124" s="1"/>
  <c r="X69" i="124" s="1"/>
  <c r="T68" i="124"/>
  <c r="Q68" i="124"/>
  <c r="W68" i="124" s="1"/>
  <c r="X68" i="124" s="1"/>
  <c r="T67" i="124"/>
  <c r="Q67" i="124"/>
  <c r="W67" i="124" s="1"/>
  <c r="X67" i="124" s="1"/>
  <c r="T66" i="124"/>
  <c r="Q66" i="124"/>
  <c r="W66" i="124" s="1"/>
  <c r="X66" i="124" s="1"/>
  <c r="T65" i="124"/>
  <c r="Q65" i="124"/>
  <c r="W65" i="124" s="1"/>
  <c r="X65" i="124" s="1"/>
  <c r="T64" i="124"/>
  <c r="H64" i="124"/>
  <c r="Q64" i="124" s="1"/>
  <c r="T63" i="124"/>
  <c r="Q63" i="124"/>
  <c r="W63" i="124" s="1"/>
  <c r="X63" i="124" s="1"/>
  <c r="T62" i="124"/>
  <c r="Q62" i="124"/>
  <c r="W62" i="124" s="1"/>
  <c r="X62" i="124" s="1"/>
  <c r="T61" i="124"/>
  <c r="Q61" i="124"/>
  <c r="W61" i="124" s="1"/>
  <c r="X61" i="124" s="1"/>
  <c r="T60" i="124"/>
  <c r="Q60" i="124"/>
  <c r="W60" i="124" s="1"/>
  <c r="X60" i="124" s="1"/>
  <c r="T59" i="124"/>
  <c r="Q59" i="124"/>
  <c r="W59" i="124" s="1"/>
  <c r="X59" i="124" s="1"/>
  <c r="T58" i="124"/>
  <c r="H58" i="124"/>
  <c r="Q58" i="124" s="1"/>
  <c r="W58" i="124" s="1"/>
  <c r="X58" i="124" s="1"/>
  <c r="T57" i="124"/>
  <c r="Q57" i="124"/>
  <c r="W57" i="124" s="1"/>
  <c r="X57" i="124" s="1"/>
  <c r="T56" i="124"/>
  <c r="Q56" i="124"/>
  <c r="W56" i="124" s="1"/>
  <c r="X56" i="124" s="1"/>
  <c r="T55" i="124"/>
  <c r="Q55" i="124"/>
  <c r="W55" i="124" s="1"/>
  <c r="X55" i="124" s="1"/>
  <c r="T54" i="124"/>
  <c r="Q54" i="124"/>
  <c r="W54" i="124" s="1"/>
  <c r="X54" i="124" s="1"/>
  <c r="T53" i="124"/>
  <c r="Q53" i="124"/>
  <c r="W53" i="124" s="1"/>
  <c r="X53" i="124" s="1"/>
  <c r="T52" i="124"/>
  <c r="Q52" i="124"/>
  <c r="W52" i="124" s="1"/>
  <c r="X52" i="124" s="1"/>
  <c r="T51" i="124"/>
  <c r="Q51" i="124"/>
  <c r="W51" i="124" s="1"/>
  <c r="X51" i="124" s="1"/>
  <c r="T50" i="124"/>
  <c r="Q50" i="124"/>
  <c r="W50" i="124" s="1"/>
  <c r="X50" i="124" s="1"/>
  <c r="T49" i="124"/>
  <c r="Q49" i="124"/>
  <c r="W49" i="124" s="1"/>
  <c r="X49" i="124" s="1"/>
  <c r="T48" i="124"/>
  <c r="Q48" i="124"/>
  <c r="W48" i="124" s="1"/>
  <c r="X48" i="124" s="1"/>
  <c r="T47" i="124"/>
  <c r="G47" i="124"/>
  <c r="Q47" i="124" s="1"/>
  <c r="W47" i="124" s="1"/>
  <c r="X47" i="124" s="1"/>
  <c r="T46" i="124"/>
  <c r="Q46" i="124"/>
  <c r="W46" i="124" s="1"/>
  <c r="X46" i="124" s="1"/>
  <c r="T45" i="124"/>
  <c r="Q45" i="124"/>
  <c r="W45" i="124" s="1"/>
  <c r="X45" i="124" s="1"/>
  <c r="T44" i="124"/>
  <c r="Q44" i="124"/>
  <c r="W44" i="124" s="1"/>
  <c r="X44" i="124" s="1"/>
  <c r="T43" i="124"/>
  <c r="Q43" i="124"/>
  <c r="W43" i="124" s="1"/>
  <c r="X43" i="124" s="1"/>
  <c r="T42" i="124"/>
  <c r="Q42" i="124"/>
  <c r="W42" i="124" s="1"/>
  <c r="X42" i="124" s="1"/>
  <c r="T41" i="124"/>
  <c r="Q41" i="124"/>
  <c r="W41" i="124" s="1"/>
  <c r="X41" i="124" s="1"/>
  <c r="T40" i="124"/>
  <c r="Q40" i="124"/>
  <c r="W40" i="124" s="1"/>
  <c r="X40" i="124" s="1"/>
  <c r="T39" i="124"/>
  <c r="Q39" i="124"/>
  <c r="W39" i="124" s="1"/>
  <c r="X39" i="124" s="1"/>
  <c r="T38" i="124"/>
  <c r="Q38" i="124"/>
  <c r="W38" i="124" s="1"/>
  <c r="X38" i="124" s="1"/>
  <c r="T37" i="124"/>
  <c r="Q37" i="124"/>
  <c r="W37" i="124" s="1"/>
  <c r="X37" i="124" s="1"/>
  <c r="T36" i="124"/>
  <c r="Q36" i="124"/>
  <c r="W36" i="124" s="1"/>
  <c r="X36" i="124" s="1"/>
  <c r="T35" i="124"/>
  <c r="Q35" i="124"/>
  <c r="W35" i="124" s="1"/>
  <c r="X35" i="124" s="1"/>
  <c r="T34" i="124"/>
  <c r="Q34" i="124"/>
  <c r="W34" i="124" s="1"/>
  <c r="X34" i="124" s="1"/>
  <c r="T33" i="124"/>
  <c r="Q33" i="124"/>
  <c r="W33" i="124" s="1"/>
  <c r="X33" i="124" s="1"/>
  <c r="T32" i="124"/>
  <c r="Q32" i="124"/>
  <c r="W32" i="124" s="1"/>
  <c r="X32" i="124" s="1"/>
  <c r="T31" i="124"/>
  <c r="Q31" i="124"/>
  <c r="W31" i="124" s="1"/>
  <c r="X31" i="124" s="1"/>
  <c r="T30" i="124"/>
  <c r="Q30" i="124"/>
  <c r="W30" i="124" s="1"/>
  <c r="X30" i="124" s="1"/>
  <c r="T29" i="124"/>
  <c r="H29" i="124"/>
  <c r="G29" i="124"/>
  <c r="T28" i="124"/>
  <c r="Q28" i="124"/>
  <c r="W28" i="124" s="1"/>
  <c r="X28" i="124" s="1"/>
  <c r="T27" i="124"/>
  <c r="Q27" i="124"/>
  <c r="W27" i="124" s="1"/>
  <c r="X27" i="124" s="1"/>
  <c r="T26" i="124"/>
  <c r="Q26" i="124"/>
  <c r="W26" i="124" s="1"/>
  <c r="X26" i="124" s="1"/>
  <c r="T25" i="124"/>
  <c r="H25" i="124"/>
  <c r="T24" i="124"/>
  <c r="Q24" i="124"/>
  <c r="W24" i="124" s="1"/>
  <c r="X24" i="124" s="1"/>
  <c r="T23" i="124"/>
  <c r="Q23" i="124"/>
  <c r="W23" i="124" s="1"/>
  <c r="X23" i="124" s="1"/>
  <c r="T22" i="124"/>
  <c r="Q22" i="124"/>
  <c r="W22" i="124" s="1"/>
  <c r="X22" i="124" s="1"/>
  <c r="T21" i="124"/>
  <c r="Q21" i="124"/>
  <c r="W21" i="124" s="1"/>
  <c r="X21" i="124" s="1"/>
  <c r="T20" i="124"/>
  <c r="Q20" i="124"/>
  <c r="W20" i="124" s="1"/>
  <c r="X20" i="124" s="1"/>
  <c r="T19" i="124"/>
  <c r="Q19" i="124"/>
  <c r="W19" i="124" s="1"/>
  <c r="X19" i="124" s="1"/>
  <c r="T18" i="124"/>
  <c r="Q18" i="124"/>
  <c r="W18" i="124" s="1"/>
  <c r="X18" i="124" s="1"/>
  <c r="T17" i="124"/>
  <c r="Q17" i="124"/>
  <c r="W17" i="124" s="1"/>
  <c r="X17" i="124" s="1"/>
  <c r="T16" i="124"/>
  <c r="Q16" i="124"/>
  <c r="W16" i="124" s="1"/>
  <c r="X16" i="124" s="1"/>
  <c r="T15" i="124"/>
  <c r="Q15" i="124"/>
  <c r="W15" i="124" s="1"/>
  <c r="X15" i="124" s="1"/>
  <c r="T14" i="124"/>
  <c r="Q14" i="124"/>
  <c r="W14" i="124" s="1"/>
  <c r="X14" i="124" s="1"/>
  <c r="T13" i="124"/>
  <c r="Q13" i="124"/>
  <c r="W13" i="124" s="1"/>
  <c r="X13" i="124" s="1"/>
  <c r="T12" i="124"/>
  <c r="Q12" i="124"/>
  <c r="W12" i="124" s="1"/>
  <c r="X12" i="124" s="1"/>
  <c r="T11" i="124"/>
  <c r="Q11" i="124"/>
  <c r="W11" i="124" s="1"/>
  <c r="X11" i="124" s="1"/>
  <c r="T10" i="124"/>
  <c r="Q10" i="124"/>
  <c r="W10" i="124" s="1"/>
  <c r="X10" i="124" s="1"/>
  <c r="T9" i="124"/>
  <c r="Q9" i="124"/>
  <c r="W9" i="124" s="1"/>
  <c r="X9" i="124" s="1"/>
  <c r="T8" i="124"/>
  <c r="Q8" i="124"/>
  <c r="W8" i="124" s="1"/>
  <c r="X8" i="124" s="1"/>
  <c r="T7" i="124"/>
  <c r="Q7" i="124"/>
  <c r="W7" i="124" s="1"/>
  <c r="X7" i="124" s="1"/>
  <c r="T6" i="124"/>
  <c r="Q6" i="124"/>
  <c r="W6" i="124" s="1"/>
  <c r="X6" i="124" s="1"/>
  <c r="T5" i="124"/>
  <c r="Q5" i="124"/>
  <c r="W5" i="124" s="1"/>
  <c r="X5" i="124" s="1"/>
  <c r="T4" i="124"/>
  <c r="Q4" i="124"/>
  <c r="W4" i="124" s="1"/>
  <c r="X4" i="124" s="1"/>
  <c r="T3" i="124"/>
  <c r="Q3" i="124"/>
  <c r="O479" i="99"/>
  <c r="N479" i="99"/>
  <c r="M479" i="99"/>
  <c r="K479" i="99"/>
  <c r="H479" i="99"/>
  <c r="G479" i="99"/>
  <c r="F479" i="99"/>
  <c r="S478" i="99"/>
  <c r="P478" i="99"/>
  <c r="V478" i="99" s="1"/>
  <c r="W478" i="99" s="1"/>
  <c r="S477" i="99"/>
  <c r="P477" i="99"/>
  <c r="V477" i="99" s="1"/>
  <c r="W477" i="99" s="1"/>
  <c r="S476" i="99"/>
  <c r="P476" i="99"/>
  <c r="V476" i="99" s="1"/>
  <c r="W476" i="99" s="1"/>
  <c r="S475" i="99"/>
  <c r="P475" i="99"/>
  <c r="V475" i="99" s="1"/>
  <c r="W475" i="99" s="1"/>
  <c r="S474" i="99"/>
  <c r="P474" i="99"/>
  <c r="V474" i="99" s="1"/>
  <c r="W474" i="99" s="1"/>
  <c r="S473" i="99"/>
  <c r="P473" i="99"/>
  <c r="V473" i="99" s="1"/>
  <c r="W473" i="99" s="1"/>
  <c r="S472" i="99"/>
  <c r="P472" i="99"/>
  <c r="V472" i="99" s="1"/>
  <c r="W472" i="99" s="1"/>
  <c r="S471" i="99"/>
  <c r="P471" i="99"/>
  <c r="V471" i="99" s="1"/>
  <c r="W471" i="99" s="1"/>
  <c r="S470" i="99"/>
  <c r="P470" i="99"/>
  <c r="V470" i="99" s="1"/>
  <c r="W470" i="99" s="1"/>
  <c r="S469" i="99"/>
  <c r="P469" i="99"/>
  <c r="V469" i="99" s="1"/>
  <c r="W469" i="99" s="1"/>
  <c r="S468" i="99"/>
  <c r="P468" i="99"/>
  <c r="V468" i="99" s="1"/>
  <c r="W468" i="99" s="1"/>
  <c r="S467" i="99"/>
  <c r="P467" i="99"/>
  <c r="V467" i="99" s="1"/>
  <c r="W467" i="99" s="1"/>
  <c r="S466" i="99"/>
  <c r="P466" i="99"/>
  <c r="V466" i="99" s="1"/>
  <c r="W466" i="99" s="1"/>
  <c r="S465" i="99"/>
  <c r="P465" i="99"/>
  <c r="V465" i="99" s="1"/>
  <c r="W465" i="99" s="1"/>
  <c r="S464" i="99"/>
  <c r="P464" i="99"/>
  <c r="V464" i="99" s="1"/>
  <c r="W464" i="99" s="1"/>
  <c r="S463" i="99"/>
  <c r="P463" i="99"/>
  <c r="V463" i="99" s="1"/>
  <c r="W463" i="99" s="1"/>
  <c r="S462" i="99"/>
  <c r="P462" i="99"/>
  <c r="V462" i="99" s="1"/>
  <c r="W462" i="99" s="1"/>
  <c r="S461" i="99"/>
  <c r="P461" i="99"/>
  <c r="V461" i="99" s="1"/>
  <c r="W461" i="99" s="1"/>
  <c r="S460" i="99"/>
  <c r="P460" i="99"/>
  <c r="V460" i="99" s="1"/>
  <c r="W460" i="99" s="1"/>
  <c r="S459" i="99"/>
  <c r="P459" i="99"/>
  <c r="V459" i="99" s="1"/>
  <c r="W459" i="99" s="1"/>
  <c r="S458" i="99"/>
  <c r="P458" i="99"/>
  <c r="V458" i="99" s="1"/>
  <c r="W458" i="99" s="1"/>
  <c r="S457" i="99"/>
  <c r="P457" i="99"/>
  <c r="V457" i="99" s="1"/>
  <c r="W457" i="99" s="1"/>
  <c r="Q456" i="99"/>
  <c r="S456" i="99" s="1"/>
  <c r="S479" i="99" s="1"/>
  <c r="P456" i="99"/>
  <c r="S455" i="99"/>
  <c r="P455" i="99"/>
  <c r="S454" i="99"/>
  <c r="P454" i="99"/>
  <c r="R454" i="99" s="1"/>
  <c r="S453" i="99"/>
  <c r="P453" i="99"/>
  <c r="S452" i="99"/>
  <c r="P452" i="99"/>
  <c r="V452" i="99" s="1"/>
  <c r="W452" i="99" s="1"/>
  <c r="S451" i="99"/>
  <c r="P451" i="99"/>
  <c r="V451" i="99" s="1"/>
  <c r="W451" i="99" s="1"/>
  <c r="S450" i="99"/>
  <c r="P450" i="99"/>
  <c r="Q449" i="99"/>
  <c r="S449" i="99" s="1"/>
  <c r="P449" i="99"/>
  <c r="T449" i="99" s="1"/>
  <c r="S448" i="99"/>
  <c r="P448" i="99"/>
  <c r="S447" i="99"/>
  <c r="P447" i="99"/>
  <c r="Q446" i="99"/>
  <c r="S446" i="99" s="1"/>
  <c r="I446" i="99"/>
  <c r="P446" i="99" s="1"/>
  <c r="V446" i="99" s="1"/>
  <c r="W446" i="99" s="1"/>
  <c r="S445" i="99"/>
  <c r="P445" i="99"/>
  <c r="T445" i="99" s="1"/>
  <c r="S444" i="99"/>
  <c r="P444" i="99"/>
  <c r="T444" i="99" s="1"/>
  <c r="Q443" i="99"/>
  <c r="S443" i="99" s="1"/>
  <c r="J443" i="99"/>
  <c r="J479" i="99" s="1"/>
  <c r="I443" i="99"/>
  <c r="S442" i="99"/>
  <c r="P442" i="99"/>
  <c r="V442" i="99" s="1"/>
  <c r="W442" i="99" s="1"/>
  <c r="S441" i="99"/>
  <c r="P441" i="99"/>
  <c r="V441" i="99" s="1"/>
  <c r="W441" i="99" s="1"/>
  <c r="S440" i="99"/>
  <c r="P440" i="99"/>
  <c r="V440" i="99" s="1"/>
  <c r="W440" i="99" s="1"/>
  <c r="S439" i="99"/>
  <c r="P439" i="99"/>
  <c r="V439" i="99" s="1"/>
  <c r="W439" i="99" s="1"/>
  <c r="S438" i="99"/>
  <c r="P438" i="99"/>
  <c r="V438" i="99" s="1"/>
  <c r="W438" i="99" s="1"/>
  <c r="S437" i="99"/>
  <c r="P437" i="99"/>
  <c r="V437" i="99" s="1"/>
  <c r="W437" i="99" s="1"/>
  <c r="S436" i="99"/>
  <c r="E436" i="99"/>
  <c r="P436" i="99" s="1"/>
  <c r="S435" i="99"/>
  <c r="E435" i="99"/>
  <c r="P435" i="99" s="1"/>
  <c r="S434" i="99"/>
  <c r="P434" i="99"/>
  <c r="V434" i="99" s="1"/>
  <c r="W434" i="99" s="1"/>
  <c r="S433" i="99"/>
  <c r="E433" i="99"/>
  <c r="P433" i="99" s="1"/>
  <c r="V433" i="99" s="1"/>
  <c r="W433" i="99" s="1"/>
  <c r="S432" i="99"/>
  <c r="P432" i="99"/>
  <c r="V432" i="99" s="1"/>
  <c r="W432" i="99" s="1"/>
  <c r="S431" i="99"/>
  <c r="P431" i="99"/>
  <c r="V431" i="99" s="1"/>
  <c r="W431" i="99" s="1"/>
  <c r="S430" i="99"/>
  <c r="P430" i="99"/>
  <c r="V430" i="99" s="1"/>
  <c r="W430" i="99" s="1"/>
  <c r="S429" i="99"/>
  <c r="P429" i="99"/>
  <c r="V429" i="99" s="1"/>
  <c r="W429" i="99" s="1"/>
  <c r="S428" i="99"/>
  <c r="P428" i="99"/>
  <c r="V428" i="99" s="1"/>
  <c r="W428" i="99" s="1"/>
  <c r="S427" i="99"/>
  <c r="P427" i="99"/>
  <c r="V427" i="99" s="1"/>
  <c r="W427" i="99" s="1"/>
  <c r="S426" i="99"/>
  <c r="P426" i="99"/>
  <c r="V426" i="99" s="1"/>
  <c r="W426" i="99" s="1"/>
  <c r="S425" i="99"/>
  <c r="P425" i="99"/>
  <c r="V425" i="99" s="1"/>
  <c r="W425" i="99" s="1"/>
  <c r="Q424" i="99"/>
  <c r="S424" i="99" s="1"/>
  <c r="P424" i="99"/>
  <c r="V424" i="99" s="1"/>
  <c r="W424" i="99" s="1"/>
  <c r="S423" i="99"/>
  <c r="P423" i="99"/>
  <c r="V423" i="99" s="1"/>
  <c r="W423" i="99" s="1"/>
  <c r="S422" i="99"/>
  <c r="P422" i="99"/>
  <c r="V422" i="99" s="1"/>
  <c r="W422" i="99" s="1"/>
  <c r="Q421" i="99"/>
  <c r="S421" i="99" s="1"/>
  <c r="P421" i="99"/>
  <c r="V421" i="99" s="1"/>
  <c r="W421" i="99" s="1"/>
  <c r="S420" i="99"/>
  <c r="P420" i="99"/>
  <c r="V420" i="99" s="1"/>
  <c r="W420" i="99" s="1"/>
  <c r="S419" i="99"/>
  <c r="P419" i="99"/>
  <c r="V419" i="99" s="1"/>
  <c r="W419" i="99" s="1"/>
  <c r="S418" i="99"/>
  <c r="P418" i="99"/>
  <c r="V418" i="99" s="1"/>
  <c r="W418" i="99" s="1"/>
  <c r="S417" i="99"/>
  <c r="P417" i="99"/>
  <c r="V417" i="99" s="1"/>
  <c r="W417" i="99" s="1"/>
  <c r="S416" i="99"/>
  <c r="P416" i="99"/>
  <c r="V416" i="99" s="1"/>
  <c r="W416" i="99" s="1"/>
  <c r="S415" i="99"/>
  <c r="P415" i="99"/>
  <c r="V415" i="99" s="1"/>
  <c r="W415" i="99" s="1"/>
  <c r="S414" i="99"/>
  <c r="P414" i="99"/>
  <c r="V414" i="99" s="1"/>
  <c r="W414" i="99" s="1"/>
  <c r="S413" i="99"/>
  <c r="P413" i="99"/>
  <c r="V413" i="99" s="1"/>
  <c r="W413" i="99" s="1"/>
  <c r="S412" i="99"/>
  <c r="P412" i="99"/>
  <c r="V412" i="99" s="1"/>
  <c r="W412" i="99" s="1"/>
  <c r="S411" i="99"/>
  <c r="P411" i="99"/>
  <c r="V411" i="99" s="1"/>
  <c r="W411" i="99" s="1"/>
  <c r="S410" i="99"/>
  <c r="P410" i="99"/>
  <c r="V410" i="99" s="1"/>
  <c r="W410" i="99" s="1"/>
  <c r="Q409" i="99"/>
  <c r="S409" i="99" s="1"/>
  <c r="L409" i="99"/>
  <c r="L479" i="99" s="1"/>
  <c r="I409" i="99"/>
  <c r="Q408" i="99"/>
  <c r="S408" i="99" s="1"/>
  <c r="P408" i="99"/>
  <c r="V408" i="99" s="1"/>
  <c r="W408" i="99" s="1"/>
  <c r="S407" i="99"/>
  <c r="P407" i="99"/>
  <c r="V407" i="99" s="1"/>
  <c r="W407" i="99" s="1"/>
  <c r="S406" i="99"/>
  <c r="P406" i="99"/>
  <c r="V406" i="99" s="1"/>
  <c r="W406" i="99" s="1"/>
  <c r="S405" i="99"/>
  <c r="P405" i="99"/>
  <c r="V405" i="99" s="1"/>
  <c r="W405" i="99" s="1"/>
  <c r="Q404" i="99"/>
  <c r="S404" i="99" s="1"/>
  <c r="E404" i="99"/>
  <c r="P404" i="99" s="1"/>
  <c r="Q403" i="99"/>
  <c r="S403" i="99" s="1"/>
  <c r="E403" i="99"/>
  <c r="P403" i="99" s="1"/>
  <c r="V403" i="99" s="1"/>
  <c r="W403" i="99" s="1"/>
  <c r="Q402" i="99"/>
  <c r="S402" i="99" s="1"/>
  <c r="P402" i="99"/>
  <c r="V402" i="99" s="1"/>
  <c r="W402" i="99" s="1"/>
  <c r="Q401" i="99"/>
  <c r="S401" i="99" s="1"/>
  <c r="P401" i="99"/>
  <c r="V401" i="99" s="1"/>
  <c r="W401" i="99" s="1"/>
  <c r="Q400" i="99"/>
  <c r="S400" i="99" s="1"/>
  <c r="P400" i="99"/>
  <c r="V400" i="99" s="1"/>
  <c r="W400" i="99" s="1"/>
  <c r="S399" i="99"/>
  <c r="P399" i="99"/>
  <c r="V399" i="99" s="1"/>
  <c r="W399" i="99" s="1"/>
  <c r="S398" i="99"/>
  <c r="P398" i="99"/>
  <c r="V398" i="99" s="1"/>
  <c r="W398" i="99" s="1"/>
  <c r="S397" i="99"/>
  <c r="P397" i="99"/>
  <c r="V397" i="99" s="1"/>
  <c r="W397" i="99" s="1"/>
  <c r="Q396" i="99"/>
  <c r="S396" i="99" s="1"/>
  <c r="E396" i="99"/>
  <c r="P396" i="99" s="1"/>
  <c r="V396" i="99" s="1"/>
  <c r="W396" i="99" s="1"/>
  <c r="S395" i="99"/>
  <c r="P395" i="99"/>
  <c r="S394" i="99"/>
  <c r="P394" i="99"/>
  <c r="V394" i="99" s="1"/>
  <c r="W394" i="99" s="1"/>
  <c r="S393" i="99"/>
  <c r="P393" i="99"/>
  <c r="V393" i="99" s="1"/>
  <c r="W393" i="99" s="1"/>
  <c r="S392" i="99"/>
  <c r="P392" i="99"/>
  <c r="R392" i="99" s="1"/>
  <c r="S391" i="99"/>
  <c r="P391" i="99"/>
  <c r="V391" i="99" s="1"/>
  <c r="W391" i="99" s="1"/>
  <c r="S390" i="99"/>
  <c r="P390" i="99"/>
  <c r="V390" i="99" s="1"/>
  <c r="W390" i="99" s="1"/>
  <c r="S389" i="99"/>
  <c r="P389" i="99"/>
  <c r="V389" i="99" s="1"/>
  <c r="W389" i="99" s="1"/>
  <c r="S388" i="99"/>
  <c r="P388" i="99"/>
  <c r="V388" i="99" s="1"/>
  <c r="W388" i="99" s="1"/>
  <c r="S387" i="99"/>
  <c r="P387" i="99"/>
  <c r="V387" i="99" s="1"/>
  <c r="W387" i="99" s="1"/>
  <c r="S386" i="99"/>
  <c r="P386" i="99"/>
  <c r="V386" i="99" s="1"/>
  <c r="W386" i="99" s="1"/>
  <c r="Q385" i="99"/>
  <c r="S385" i="99" s="1"/>
  <c r="P385" i="99"/>
  <c r="V385" i="99" s="1"/>
  <c r="W385" i="99" s="1"/>
  <c r="Q384" i="99"/>
  <c r="S384" i="99" s="1"/>
  <c r="E384" i="99"/>
  <c r="P384" i="99" s="1"/>
  <c r="S383" i="99"/>
  <c r="P383" i="99"/>
  <c r="V383" i="99" s="1"/>
  <c r="W383" i="99" s="1"/>
  <c r="S382" i="99"/>
  <c r="P382" i="99"/>
  <c r="R382" i="99" s="1"/>
  <c r="S381" i="99"/>
  <c r="P381" i="99"/>
  <c r="V381" i="99" s="1"/>
  <c r="W381" i="99" s="1"/>
  <c r="S380" i="99"/>
  <c r="P380" i="99"/>
  <c r="V380" i="99" s="1"/>
  <c r="W380" i="99" s="1"/>
  <c r="Q379" i="99"/>
  <c r="S379" i="99" s="1"/>
  <c r="P379" i="99"/>
  <c r="V379" i="99" s="1"/>
  <c r="W379" i="99" s="1"/>
  <c r="S378" i="99"/>
  <c r="P378" i="99"/>
  <c r="V378" i="99" s="1"/>
  <c r="W378" i="99" s="1"/>
  <c r="Q377" i="99"/>
  <c r="S377" i="99" s="1"/>
  <c r="P377" i="99"/>
  <c r="V377" i="99" s="1"/>
  <c r="W377" i="99" s="1"/>
  <c r="Q376" i="99"/>
  <c r="S376" i="99" s="1"/>
  <c r="P376" i="99"/>
  <c r="V376" i="99" s="1"/>
  <c r="W376" i="99" s="1"/>
  <c r="E376" i="99"/>
  <c r="S375" i="99"/>
  <c r="P375" i="99"/>
  <c r="V375" i="99" s="1"/>
  <c r="W375" i="99" s="1"/>
  <c r="Q374" i="99"/>
  <c r="S374" i="99" s="1"/>
  <c r="P374" i="99"/>
  <c r="V374" i="99" s="1"/>
  <c r="W374" i="99" s="1"/>
  <c r="Q373" i="99"/>
  <c r="S373" i="99" s="1"/>
  <c r="P373" i="99"/>
  <c r="V373" i="99" s="1"/>
  <c r="W373" i="99" s="1"/>
  <c r="Q372" i="99"/>
  <c r="S372" i="99" s="1"/>
  <c r="P372" i="99"/>
  <c r="V372" i="99" s="1"/>
  <c r="W372" i="99" s="1"/>
  <c r="V371" i="99"/>
  <c r="W371" i="99" s="1"/>
  <c r="S371" i="99"/>
  <c r="R371" i="99"/>
  <c r="P371" i="99"/>
  <c r="S370" i="99"/>
  <c r="P370" i="99"/>
  <c r="V370" i="99" s="1"/>
  <c r="W370" i="99" s="1"/>
  <c r="V369" i="99"/>
  <c r="W369" i="99" s="1"/>
  <c r="S369" i="99"/>
  <c r="R369" i="99"/>
  <c r="P369" i="99"/>
  <c r="Q368" i="99"/>
  <c r="S368" i="99" s="1"/>
  <c r="P368" i="99"/>
  <c r="V368" i="99" s="1"/>
  <c r="W368" i="99" s="1"/>
  <c r="S367" i="99"/>
  <c r="P367" i="99"/>
  <c r="V367" i="99" s="1"/>
  <c r="W367" i="99" s="1"/>
  <c r="Q366" i="99"/>
  <c r="S366" i="99" s="1"/>
  <c r="P366" i="99"/>
  <c r="V366" i="99" s="1"/>
  <c r="W366" i="99" s="1"/>
  <c r="Q365" i="99"/>
  <c r="S365" i="99" s="1"/>
  <c r="P365" i="99"/>
  <c r="V365" i="99" s="1"/>
  <c r="W365" i="99" s="1"/>
  <c r="V364" i="99"/>
  <c r="W364" i="99" s="1"/>
  <c r="S364" i="99"/>
  <c r="R364" i="99"/>
  <c r="P364" i="99"/>
  <c r="S363" i="99"/>
  <c r="P363" i="99"/>
  <c r="V363" i="99" s="1"/>
  <c r="W363" i="99" s="1"/>
  <c r="V362" i="99"/>
  <c r="W362" i="99" s="1"/>
  <c r="S362" i="99"/>
  <c r="R362" i="99"/>
  <c r="P362" i="99"/>
  <c r="S361" i="99"/>
  <c r="P361" i="99"/>
  <c r="V361" i="99" s="1"/>
  <c r="W361" i="99" s="1"/>
  <c r="V360" i="99"/>
  <c r="W360" i="99" s="1"/>
  <c r="S360" i="99"/>
  <c r="R360" i="99"/>
  <c r="P360" i="99"/>
  <c r="S359" i="99"/>
  <c r="P359" i="99"/>
  <c r="V359" i="99" s="1"/>
  <c r="W359" i="99" s="1"/>
  <c r="V358" i="99"/>
  <c r="W358" i="99" s="1"/>
  <c r="S358" i="99"/>
  <c r="R358" i="99"/>
  <c r="P358" i="99"/>
  <c r="Q357" i="99"/>
  <c r="S357" i="99" s="1"/>
  <c r="P357" i="99"/>
  <c r="V357" i="99" s="1"/>
  <c r="W357" i="99" s="1"/>
  <c r="S356" i="99"/>
  <c r="P356" i="99"/>
  <c r="V356" i="99" s="1"/>
  <c r="W356" i="99" s="1"/>
  <c r="V355" i="99"/>
  <c r="W355" i="99" s="1"/>
  <c r="S355" i="99"/>
  <c r="R355" i="99"/>
  <c r="P355" i="99"/>
  <c r="S354" i="99"/>
  <c r="P354" i="99"/>
  <c r="V354" i="99" s="1"/>
  <c r="W354" i="99" s="1"/>
  <c r="V353" i="99"/>
  <c r="W353" i="99" s="1"/>
  <c r="S353" i="99"/>
  <c r="R353" i="99"/>
  <c r="P353" i="99"/>
  <c r="S352" i="99"/>
  <c r="P352" i="99"/>
  <c r="V352" i="99" s="1"/>
  <c r="W352" i="99" s="1"/>
  <c r="V351" i="99"/>
  <c r="W351" i="99" s="1"/>
  <c r="S351" i="99"/>
  <c r="R351" i="99"/>
  <c r="P351" i="99"/>
  <c r="S350" i="99"/>
  <c r="P350" i="99"/>
  <c r="V350" i="99" s="1"/>
  <c r="W350" i="99" s="1"/>
  <c r="Q349" i="99"/>
  <c r="S349" i="99" s="1"/>
  <c r="I349" i="99"/>
  <c r="P349" i="99" s="1"/>
  <c r="V349" i="99" s="1"/>
  <c r="W349" i="99" s="1"/>
  <c r="S348" i="99"/>
  <c r="P348" i="99"/>
  <c r="V348" i="99" s="1"/>
  <c r="W348" i="99" s="1"/>
  <c r="S347" i="99"/>
  <c r="P347" i="99"/>
  <c r="V347" i="99" s="1"/>
  <c r="W347" i="99" s="1"/>
  <c r="S346" i="99"/>
  <c r="P346" i="99"/>
  <c r="V346" i="99" s="1"/>
  <c r="W346" i="99" s="1"/>
  <c r="S345" i="99"/>
  <c r="P345" i="99"/>
  <c r="S344" i="99"/>
  <c r="P344" i="99"/>
  <c r="V344" i="99" s="1"/>
  <c r="W344" i="99" s="1"/>
  <c r="S343" i="99"/>
  <c r="P343" i="99"/>
  <c r="S342" i="99"/>
  <c r="P342" i="99"/>
  <c r="V342" i="99" s="1"/>
  <c r="W342" i="99" s="1"/>
  <c r="S341" i="99"/>
  <c r="P341" i="99"/>
  <c r="S340" i="99"/>
  <c r="P340" i="99"/>
  <c r="V340" i="99" s="1"/>
  <c r="W340" i="99" s="1"/>
  <c r="S339" i="99"/>
  <c r="P339" i="99"/>
  <c r="S338" i="99"/>
  <c r="P338" i="99"/>
  <c r="V338" i="99" s="1"/>
  <c r="W338" i="99" s="1"/>
  <c r="S337" i="99"/>
  <c r="P337" i="99"/>
  <c r="S336" i="99"/>
  <c r="P336" i="99"/>
  <c r="V336" i="99" s="1"/>
  <c r="W336" i="99" s="1"/>
  <c r="S335" i="99"/>
  <c r="P335" i="99"/>
  <c r="S334" i="99"/>
  <c r="P334" i="99"/>
  <c r="V334" i="99" s="1"/>
  <c r="W334" i="99" s="1"/>
  <c r="S333" i="99"/>
  <c r="P333" i="99"/>
  <c r="S332" i="99"/>
  <c r="P332" i="99"/>
  <c r="V332" i="99" s="1"/>
  <c r="W332" i="99" s="1"/>
  <c r="S331" i="99"/>
  <c r="P331" i="99"/>
  <c r="S330" i="99"/>
  <c r="P330" i="99"/>
  <c r="V330" i="99" s="1"/>
  <c r="W330" i="99" s="1"/>
  <c r="S329" i="99"/>
  <c r="P329" i="99"/>
  <c r="S328" i="99"/>
  <c r="P328" i="99"/>
  <c r="V328" i="99" s="1"/>
  <c r="W328" i="99" s="1"/>
  <c r="S327" i="99"/>
  <c r="P327" i="99"/>
  <c r="S326" i="99"/>
  <c r="P326" i="99"/>
  <c r="V326" i="99" s="1"/>
  <c r="W326" i="99" s="1"/>
  <c r="S325" i="99"/>
  <c r="P325" i="99"/>
  <c r="S324" i="99"/>
  <c r="P324" i="99"/>
  <c r="V324" i="99" s="1"/>
  <c r="W324" i="99" s="1"/>
  <c r="S323" i="99"/>
  <c r="P323" i="99"/>
  <c r="S322" i="99"/>
  <c r="P322" i="99"/>
  <c r="V322" i="99" s="1"/>
  <c r="W322" i="99" s="1"/>
  <c r="S321" i="99"/>
  <c r="P321" i="99"/>
  <c r="S320" i="99"/>
  <c r="P320" i="99"/>
  <c r="V320" i="99" s="1"/>
  <c r="W320" i="99" s="1"/>
  <c r="S319" i="99"/>
  <c r="P319" i="99"/>
  <c r="S318" i="99"/>
  <c r="P318" i="99"/>
  <c r="V318" i="99" s="1"/>
  <c r="W318" i="99" s="1"/>
  <c r="S317" i="99"/>
  <c r="P317" i="99"/>
  <c r="S316" i="99"/>
  <c r="P316" i="99"/>
  <c r="V316" i="99" s="1"/>
  <c r="W316" i="99" s="1"/>
  <c r="S315" i="99"/>
  <c r="P315" i="99"/>
  <c r="S314" i="99"/>
  <c r="P314" i="99"/>
  <c r="V314" i="99" s="1"/>
  <c r="W314" i="99" s="1"/>
  <c r="S313" i="99"/>
  <c r="P313" i="99"/>
  <c r="S312" i="99"/>
  <c r="P312" i="99"/>
  <c r="V312" i="99" s="1"/>
  <c r="W312" i="99" s="1"/>
  <c r="S311" i="99"/>
  <c r="P311" i="99"/>
  <c r="S310" i="99"/>
  <c r="P310" i="99"/>
  <c r="V310" i="99" s="1"/>
  <c r="W310" i="99" s="1"/>
  <c r="S309" i="99"/>
  <c r="P309" i="99"/>
  <c r="S308" i="99"/>
  <c r="P308" i="99"/>
  <c r="V308" i="99" s="1"/>
  <c r="W308" i="99" s="1"/>
  <c r="S307" i="99"/>
  <c r="P307" i="99"/>
  <c r="S306" i="99"/>
  <c r="P306" i="99"/>
  <c r="V306" i="99" s="1"/>
  <c r="W306" i="99" s="1"/>
  <c r="Q305" i="99"/>
  <c r="S305" i="99" s="1"/>
  <c r="P305" i="99"/>
  <c r="V305" i="99" s="1"/>
  <c r="W305" i="99" s="1"/>
  <c r="S304" i="99"/>
  <c r="P304" i="99"/>
  <c r="S303" i="99"/>
  <c r="P303" i="99"/>
  <c r="V303" i="99" s="1"/>
  <c r="W303" i="99" s="1"/>
  <c r="S302" i="99"/>
  <c r="P302" i="99"/>
  <c r="S301" i="99"/>
  <c r="P301" i="99"/>
  <c r="V301" i="99" s="1"/>
  <c r="W301" i="99" s="1"/>
  <c r="S300" i="99"/>
  <c r="P300" i="99"/>
  <c r="S299" i="99"/>
  <c r="P299" i="99"/>
  <c r="V299" i="99" s="1"/>
  <c r="W299" i="99" s="1"/>
  <c r="S298" i="99"/>
  <c r="P298" i="99"/>
  <c r="S297" i="99"/>
  <c r="P297" i="99"/>
  <c r="V297" i="99" s="1"/>
  <c r="W297" i="99" s="1"/>
  <c r="Q296" i="99"/>
  <c r="S296" i="99" s="1"/>
  <c r="P296" i="99"/>
  <c r="V296" i="99" s="1"/>
  <c r="W296" i="99" s="1"/>
  <c r="S295" i="99"/>
  <c r="P295" i="99"/>
  <c r="S294" i="99"/>
  <c r="P294" i="99"/>
  <c r="V294" i="99" s="1"/>
  <c r="W294" i="99" s="1"/>
  <c r="S293" i="99"/>
  <c r="P293" i="99"/>
  <c r="S292" i="99"/>
  <c r="P292" i="99"/>
  <c r="V292" i="99" s="1"/>
  <c r="W292" i="99" s="1"/>
  <c r="Q291" i="99"/>
  <c r="S291" i="99" s="1"/>
  <c r="P291" i="99"/>
  <c r="V291" i="99" s="1"/>
  <c r="W291" i="99" s="1"/>
  <c r="Q290" i="99"/>
  <c r="S290" i="99" s="1"/>
  <c r="P290" i="99"/>
  <c r="V290" i="99" s="1"/>
  <c r="W290" i="99" s="1"/>
  <c r="S289" i="99"/>
  <c r="P289" i="99"/>
  <c r="S288" i="99"/>
  <c r="P288" i="99"/>
  <c r="V288" i="99" s="1"/>
  <c r="W288" i="99" s="1"/>
  <c r="S287" i="99"/>
  <c r="P287" i="99"/>
  <c r="S286" i="99"/>
  <c r="P286" i="99"/>
  <c r="V286" i="99" s="1"/>
  <c r="W286" i="99" s="1"/>
  <c r="S285" i="99"/>
  <c r="E285" i="99"/>
  <c r="P285" i="99" s="1"/>
  <c r="S284" i="99"/>
  <c r="P284" i="99"/>
  <c r="S283" i="99"/>
  <c r="P283" i="99"/>
  <c r="V283" i="99" s="1"/>
  <c r="W283" i="99" s="1"/>
  <c r="S282" i="99"/>
  <c r="P282" i="99"/>
  <c r="S281" i="99"/>
  <c r="P281" i="99"/>
  <c r="V281" i="99" s="1"/>
  <c r="W281" i="99" s="1"/>
  <c r="S280" i="99"/>
  <c r="P280" i="99"/>
  <c r="S279" i="99"/>
  <c r="P279" i="99"/>
  <c r="V279" i="99" s="1"/>
  <c r="W279" i="99" s="1"/>
  <c r="S278" i="99"/>
  <c r="P278" i="99"/>
  <c r="S277" i="99"/>
  <c r="P277" i="99"/>
  <c r="V277" i="99" s="1"/>
  <c r="W277" i="99" s="1"/>
  <c r="S276" i="99"/>
  <c r="P276" i="99"/>
  <c r="S275" i="99"/>
  <c r="P275" i="99"/>
  <c r="V275" i="99" s="1"/>
  <c r="W275" i="99" s="1"/>
  <c r="S274" i="99"/>
  <c r="P274" i="99"/>
  <c r="S273" i="99"/>
  <c r="P273" i="99"/>
  <c r="V273" i="99" s="1"/>
  <c r="W273" i="99" s="1"/>
  <c r="S272" i="99"/>
  <c r="P272" i="99"/>
  <c r="S271" i="99"/>
  <c r="P271" i="99"/>
  <c r="V271" i="99" s="1"/>
  <c r="W271" i="99" s="1"/>
  <c r="S270" i="99"/>
  <c r="P270" i="99"/>
  <c r="S269" i="99"/>
  <c r="P269" i="99"/>
  <c r="V269" i="99" s="1"/>
  <c r="W269" i="99" s="1"/>
  <c r="S268" i="99"/>
  <c r="P268" i="99"/>
  <c r="Q267" i="99"/>
  <c r="S267" i="99" s="1"/>
  <c r="P267" i="99"/>
  <c r="V267" i="99" s="1"/>
  <c r="W267" i="99" s="1"/>
  <c r="Q266" i="99"/>
  <c r="S266" i="99" s="1"/>
  <c r="P266" i="99"/>
  <c r="V266" i="99" s="1"/>
  <c r="W266" i="99" s="1"/>
  <c r="S265" i="99"/>
  <c r="P265" i="99"/>
  <c r="V265" i="99" s="1"/>
  <c r="W265" i="99" s="1"/>
  <c r="S264" i="99"/>
  <c r="P264" i="99"/>
  <c r="S263" i="99"/>
  <c r="P263" i="99"/>
  <c r="V263" i="99" s="1"/>
  <c r="W263" i="99" s="1"/>
  <c r="S262" i="99"/>
  <c r="P262" i="99"/>
  <c r="S261" i="99"/>
  <c r="P261" i="99"/>
  <c r="V261" i="99" s="1"/>
  <c r="W261" i="99" s="1"/>
  <c r="S260" i="99"/>
  <c r="P260" i="99"/>
  <c r="S259" i="99"/>
  <c r="P259" i="99"/>
  <c r="V259" i="99" s="1"/>
  <c r="W259" i="99" s="1"/>
  <c r="S258" i="99"/>
  <c r="P258" i="99"/>
  <c r="S257" i="99"/>
  <c r="P257" i="99"/>
  <c r="V257" i="99" s="1"/>
  <c r="W257" i="99" s="1"/>
  <c r="S256" i="99"/>
  <c r="P256" i="99"/>
  <c r="S255" i="99"/>
  <c r="P255" i="99"/>
  <c r="V255" i="99" s="1"/>
  <c r="W255" i="99" s="1"/>
  <c r="S254" i="99"/>
  <c r="P254" i="99"/>
  <c r="S253" i="99"/>
  <c r="P253" i="99"/>
  <c r="V253" i="99" s="1"/>
  <c r="W253" i="99" s="1"/>
  <c r="S252" i="99"/>
  <c r="E252" i="99"/>
  <c r="P252" i="99" s="1"/>
  <c r="S251" i="99"/>
  <c r="P251" i="99"/>
  <c r="S250" i="99"/>
  <c r="P250" i="99"/>
  <c r="V250" i="99" s="1"/>
  <c r="W250" i="99" s="1"/>
  <c r="S249" i="99"/>
  <c r="P249" i="99"/>
  <c r="S248" i="99"/>
  <c r="P248" i="99"/>
  <c r="V248" i="99" s="1"/>
  <c r="W248" i="99" s="1"/>
  <c r="S247" i="99"/>
  <c r="P247" i="99"/>
  <c r="S246" i="99"/>
  <c r="P246" i="99"/>
  <c r="V246" i="99" s="1"/>
  <c r="W246" i="99" s="1"/>
  <c r="S245" i="99"/>
  <c r="P245" i="99"/>
  <c r="S244" i="99"/>
  <c r="P244" i="99"/>
  <c r="V244" i="99" s="1"/>
  <c r="W244" i="99" s="1"/>
  <c r="S243" i="99"/>
  <c r="P243" i="99"/>
  <c r="S242" i="99"/>
  <c r="P242" i="99"/>
  <c r="V242" i="99" s="1"/>
  <c r="W242" i="99" s="1"/>
  <c r="S241" i="99"/>
  <c r="P241" i="99"/>
  <c r="S240" i="99"/>
  <c r="P240" i="99"/>
  <c r="V240" i="99" s="1"/>
  <c r="W240" i="99" s="1"/>
  <c r="S239" i="99"/>
  <c r="P239" i="99"/>
  <c r="S238" i="99"/>
  <c r="P238" i="99"/>
  <c r="V238" i="99" s="1"/>
  <c r="W238" i="99" s="1"/>
  <c r="S237" i="99"/>
  <c r="P237" i="99"/>
  <c r="S236" i="99"/>
  <c r="P236" i="99"/>
  <c r="V236" i="99" s="1"/>
  <c r="W236" i="99" s="1"/>
  <c r="S235" i="99"/>
  <c r="P235" i="99"/>
  <c r="S234" i="99"/>
  <c r="P234" i="99"/>
  <c r="V234" i="99" s="1"/>
  <c r="W234" i="99" s="1"/>
  <c r="S233" i="99"/>
  <c r="P233" i="99"/>
  <c r="S232" i="99"/>
  <c r="P232" i="99"/>
  <c r="V232" i="99" s="1"/>
  <c r="W232" i="99" s="1"/>
  <c r="S231" i="99"/>
  <c r="P231" i="99"/>
  <c r="S230" i="99"/>
  <c r="P230" i="99"/>
  <c r="V230" i="99" s="1"/>
  <c r="W230" i="99" s="1"/>
  <c r="S229" i="99"/>
  <c r="P229" i="99"/>
  <c r="S228" i="99"/>
  <c r="P228" i="99"/>
  <c r="V228" i="99" s="1"/>
  <c r="W228" i="99" s="1"/>
  <c r="S227" i="99"/>
  <c r="P227" i="99"/>
  <c r="S226" i="99"/>
  <c r="P226" i="99"/>
  <c r="V226" i="99" s="1"/>
  <c r="W226" i="99" s="1"/>
  <c r="S225" i="99"/>
  <c r="P225" i="99"/>
  <c r="S224" i="99"/>
  <c r="P224" i="99"/>
  <c r="V224" i="99" s="1"/>
  <c r="W224" i="99" s="1"/>
  <c r="S223" i="99"/>
  <c r="P223" i="99"/>
  <c r="S222" i="99"/>
  <c r="P222" i="99"/>
  <c r="V222" i="99" s="1"/>
  <c r="W222" i="99" s="1"/>
  <c r="S221" i="99"/>
  <c r="P221" i="99"/>
  <c r="S220" i="99"/>
  <c r="P220" i="99"/>
  <c r="V220" i="99" s="1"/>
  <c r="W220" i="99" s="1"/>
  <c r="S219" i="99"/>
  <c r="P219" i="99"/>
  <c r="S218" i="99"/>
  <c r="P218" i="99"/>
  <c r="V218" i="99" s="1"/>
  <c r="W218" i="99" s="1"/>
  <c r="S217" i="99"/>
  <c r="P217" i="99"/>
  <c r="S216" i="99"/>
  <c r="P216" i="99"/>
  <c r="V216" i="99" s="1"/>
  <c r="W216" i="99" s="1"/>
  <c r="S215" i="99"/>
  <c r="P215" i="99"/>
  <c r="S214" i="99"/>
  <c r="P214" i="99"/>
  <c r="V214" i="99" s="1"/>
  <c r="W214" i="99" s="1"/>
  <c r="S213" i="99"/>
  <c r="P213" i="99"/>
  <c r="S212" i="99"/>
  <c r="P212" i="99"/>
  <c r="V212" i="99" s="1"/>
  <c r="W212" i="99" s="1"/>
  <c r="S211" i="99"/>
  <c r="P211" i="99"/>
  <c r="S210" i="99"/>
  <c r="P210" i="99"/>
  <c r="V210" i="99" s="1"/>
  <c r="W210" i="99" s="1"/>
  <c r="S209" i="99"/>
  <c r="P209" i="99"/>
  <c r="V209" i="99" s="1"/>
  <c r="W209" i="99" s="1"/>
  <c r="S208" i="99"/>
  <c r="P208" i="99"/>
  <c r="V208" i="99" s="1"/>
  <c r="W208" i="99" s="1"/>
  <c r="S207" i="99"/>
  <c r="P207" i="99"/>
  <c r="V207" i="99" s="1"/>
  <c r="W207" i="99" s="1"/>
  <c r="S206" i="99"/>
  <c r="P206" i="99"/>
  <c r="V206" i="99" s="1"/>
  <c r="W206" i="99" s="1"/>
  <c r="S205" i="99"/>
  <c r="P205" i="99"/>
  <c r="V205" i="99" s="1"/>
  <c r="W205" i="99" s="1"/>
  <c r="S204" i="99"/>
  <c r="P204" i="99"/>
  <c r="V204" i="99" s="1"/>
  <c r="W204" i="99" s="1"/>
  <c r="S203" i="99"/>
  <c r="P203" i="99"/>
  <c r="V203" i="99" s="1"/>
  <c r="W203" i="99" s="1"/>
  <c r="S202" i="99"/>
  <c r="P202" i="99"/>
  <c r="V202" i="99" s="1"/>
  <c r="W202" i="99" s="1"/>
  <c r="S201" i="99"/>
  <c r="P201" i="99"/>
  <c r="V201" i="99" s="1"/>
  <c r="W201" i="99" s="1"/>
  <c r="S200" i="99"/>
  <c r="P200" i="99"/>
  <c r="V200" i="99" s="1"/>
  <c r="W200" i="99" s="1"/>
  <c r="S199" i="99"/>
  <c r="P199" i="99"/>
  <c r="V199" i="99" s="1"/>
  <c r="W199" i="99" s="1"/>
  <c r="S198" i="99"/>
  <c r="P198" i="99"/>
  <c r="V198" i="99" s="1"/>
  <c r="W198" i="99" s="1"/>
  <c r="S197" i="99"/>
  <c r="P197" i="99"/>
  <c r="V197" i="99" s="1"/>
  <c r="W197" i="99" s="1"/>
  <c r="S196" i="99"/>
  <c r="P196" i="99"/>
  <c r="V196" i="99" s="1"/>
  <c r="W196" i="99" s="1"/>
  <c r="S195" i="99"/>
  <c r="P195" i="99"/>
  <c r="V195" i="99" s="1"/>
  <c r="W195" i="99" s="1"/>
  <c r="S194" i="99"/>
  <c r="P194" i="99"/>
  <c r="V194" i="99" s="1"/>
  <c r="W194" i="99" s="1"/>
  <c r="S193" i="99"/>
  <c r="P193" i="99"/>
  <c r="V193" i="99" s="1"/>
  <c r="W193" i="99" s="1"/>
  <c r="S192" i="99"/>
  <c r="P192" i="99"/>
  <c r="V192" i="99" s="1"/>
  <c r="W192" i="99" s="1"/>
  <c r="Q191" i="99"/>
  <c r="S191" i="99" s="1"/>
  <c r="P191" i="99"/>
  <c r="V191" i="99" s="1"/>
  <c r="W191" i="99" s="1"/>
  <c r="S190" i="99"/>
  <c r="P190" i="99"/>
  <c r="V190" i="99" s="1"/>
  <c r="W190" i="99" s="1"/>
  <c r="S189" i="99"/>
  <c r="P189" i="99"/>
  <c r="V189" i="99" s="1"/>
  <c r="W189" i="99" s="1"/>
  <c r="S188" i="99"/>
  <c r="P188" i="99"/>
  <c r="V188" i="99" s="1"/>
  <c r="W188" i="99" s="1"/>
  <c r="S187" i="99"/>
  <c r="P187" i="99"/>
  <c r="V187" i="99" s="1"/>
  <c r="W187" i="99" s="1"/>
  <c r="S186" i="99"/>
  <c r="P186" i="99"/>
  <c r="V186" i="99" s="1"/>
  <c r="W186" i="99" s="1"/>
  <c r="S185" i="99"/>
  <c r="P185" i="99"/>
  <c r="V185" i="99" s="1"/>
  <c r="W185" i="99" s="1"/>
  <c r="S184" i="99"/>
  <c r="P184" i="99"/>
  <c r="V184" i="99" s="1"/>
  <c r="W184" i="99" s="1"/>
  <c r="S183" i="99"/>
  <c r="P183" i="99"/>
  <c r="V183" i="99" s="1"/>
  <c r="W183" i="99" s="1"/>
  <c r="S182" i="99"/>
  <c r="E182" i="99"/>
  <c r="P182" i="99" s="1"/>
  <c r="Q181" i="99"/>
  <c r="S181" i="99" s="1"/>
  <c r="P181" i="99"/>
  <c r="V181" i="99" s="1"/>
  <c r="W181" i="99" s="1"/>
  <c r="S180" i="99"/>
  <c r="E180" i="99"/>
  <c r="P180" i="99" s="1"/>
  <c r="Q179" i="99"/>
  <c r="S179" i="99" s="1"/>
  <c r="P179" i="99"/>
  <c r="V179" i="99" s="1"/>
  <c r="W179" i="99" s="1"/>
  <c r="S178" i="99"/>
  <c r="P178" i="99"/>
  <c r="V178" i="99" s="1"/>
  <c r="W178" i="99" s="1"/>
  <c r="Q177" i="99"/>
  <c r="S177" i="99" s="1"/>
  <c r="E177" i="99"/>
  <c r="P177" i="99" s="1"/>
  <c r="S176" i="99"/>
  <c r="E176" i="99"/>
  <c r="P176" i="99" s="1"/>
  <c r="Q175" i="99"/>
  <c r="S175" i="99" s="1"/>
  <c r="P175" i="99"/>
  <c r="V175" i="99" s="1"/>
  <c r="W175" i="99" s="1"/>
  <c r="S174" i="99"/>
  <c r="E174" i="99"/>
  <c r="P174" i="99" s="1"/>
  <c r="Q173" i="99"/>
  <c r="S173" i="99" s="1"/>
  <c r="P173" i="99"/>
  <c r="V173" i="99" s="1"/>
  <c r="W173" i="99" s="1"/>
  <c r="S172" i="99"/>
  <c r="E172" i="99"/>
  <c r="P172" i="99" s="1"/>
  <c r="Q171" i="99"/>
  <c r="S171" i="99" s="1"/>
  <c r="P171" i="99"/>
  <c r="V171" i="99" s="1"/>
  <c r="W171" i="99" s="1"/>
  <c r="S170" i="99"/>
  <c r="E170" i="99"/>
  <c r="P170" i="99" s="1"/>
  <c r="Q169" i="99"/>
  <c r="S169" i="99" s="1"/>
  <c r="P169" i="99"/>
  <c r="V169" i="99" s="1"/>
  <c r="W169" i="99" s="1"/>
  <c r="S168" i="99"/>
  <c r="P168" i="99"/>
  <c r="V168" i="99" s="1"/>
  <c r="W168" i="99" s="1"/>
  <c r="Q167" i="99"/>
  <c r="S167" i="99" s="1"/>
  <c r="E167" i="99"/>
  <c r="P167" i="99" s="1"/>
  <c r="S166" i="99"/>
  <c r="P166" i="99"/>
  <c r="V166" i="99" s="1"/>
  <c r="W166" i="99" s="1"/>
  <c r="Q165" i="99"/>
  <c r="S165" i="99" s="1"/>
  <c r="P165" i="99"/>
  <c r="V165" i="99" s="1"/>
  <c r="W165" i="99" s="1"/>
  <c r="S164" i="99"/>
  <c r="P164" i="99"/>
  <c r="V164" i="99" s="1"/>
  <c r="W164" i="99" s="1"/>
  <c r="S163" i="99"/>
  <c r="P163" i="99"/>
  <c r="V163" i="99" s="1"/>
  <c r="W163" i="99" s="1"/>
  <c r="S162" i="99"/>
  <c r="P162" i="99"/>
  <c r="V162" i="99" s="1"/>
  <c r="W162" i="99" s="1"/>
  <c r="S161" i="99"/>
  <c r="P161" i="99"/>
  <c r="V161" i="99" s="1"/>
  <c r="W161" i="99" s="1"/>
  <c r="S160" i="99"/>
  <c r="P160" i="99"/>
  <c r="V160" i="99" s="1"/>
  <c r="W160" i="99" s="1"/>
  <c r="Q159" i="99"/>
  <c r="S159" i="99" s="1"/>
  <c r="P159" i="99"/>
  <c r="V159" i="99" s="1"/>
  <c r="W159" i="99" s="1"/>
  <c r="S158" i="99"/>
  <c r="P158" i="99"/>
  <c r="V158" i="99" s="1"/>
  <c r="W158" i="99" s="1"/>
  <c r="S157" i="99"/>
  <c r="P157" i="99"/>
  <c r="V157" i="99" s="1"/>
  <c r="W157" i="99" s="1"/>
  <c r="S156" i="99"/>
  <c r="P156" i="99"/>
  <c r="V156" i="99" s="1"/>
  <c r="W156" i="99" s="1"/>
  <c r="S155" i="99"/>
  <c r="P155" i="99"/>
  <c r="V155" i="99" s="1"/>
  <c r="W155" i="99" s="1"/>
  <c r="S154" i="99"/>
  <c r="P154" i="99"/>
  <c r="V154" i="99" s="1"/>
  <c r="W154" i="99" s="1"/>
  <c r="S153" i="99"/>
  <c r="P153" i="99"/>
  <c r="V153" i="99" s="1"/>
  <c r="W153" i="99" s="1"/>
  <c r="S152" i="99"/>
  <c r="P152" i="99"/>
  <c r="V152" i="99" s="1"/>
  <c r="W152" i="99" s="1"/>
  <c r="S151" i="99"/>
  <c r="P151" i="99"/>
  <c r="V151" i="99" s="1"/>
  <c r="W151" i="99" s="1"/>
  <c r="S150" i="99"/>
  <c r="P150" i="99"/>
  <c r="V150" i="99" s="1"/>
  <c r="W150" i="99" s="1"/>
  <c r="S149" i="99"/>
  <c r="P149" i="99"/>
  <c r="V149" i="99" s="1"/>
  <c r="W149" i="99" s="1"/>
  <c r="S148" i="99"/>
  <c r="P148" i="99"/>
  <c r="S147" i="99"/>
  <c r="P147" i="99"/>
  <c r="V147" i="99" s="1"/>
  <c r="W147" i="99" s="1"/>
  <c r="S146" i="99"/>
  <c r="P146" i="99"/>
  <c r="Q145" i="99"/>
  <c r="S145" i="99" s="1"/>
  <c r="P145" i="99"/>
  <c r="V145" i="99" s="1"/>
  <c r="W145" i="99" s="1"/>
  <c r="S144" i="99"/>
  <c r="P144" i="99"/>
  <c r="V144" i="99" s="1"/>
  <c r="W144" i="99" s="1"/>
  <c r="S143" i="99"/>
  <c r="P143" i="99"/>
  <c r="S142" i="99"/>
  <c r="P142" i="99"/>
  <c r="V142" i="99" s="1"/>
  <c r="W142" i="99" s="1"/>
  <c r="S141" i="99"/>
  <c r="P141" i="99"/>
  <c r="S140" i="99"/>
  <c r="P140" i="99"/>
  <c r="V140" i="99" s="1"/>
  <c r="W140" i="99" s="1"/>
  <c r="S139" i="99"/>
  <c r="P139" i="99"/>
  <c r="S138" i="99"/>
  <c r="P138" i="99"/>
  <c r="V138" i="99" s="1"/>
  <c r="W138" i="99" s="1"/>
  <c r="S137" i="99"/>
  <c r="P137" i="99"/>
  <c r="S136" i="99"/>
  <c r="P136" i="99"/>
  <c r="V136" i="99" s="1"/>
  <c r="W136" i="99" s="1"/>
  <c r="S135" i="99"/>
  <c r="P135" i="99"/>
  <c r="S134" i="99"/>
  <c r="P134" i="99"/>
  <c r="V134" i="99" s="1"/>
  <c r="W134" i="99" s="1"/>
  <c r="S133" i="99"/>
  <c r="P133" i="99"/>
  <c r="S132" i="99"/>
  <c r="P132" i="99"/>
  <c r="V132" i="99" s="1"/>
  <c r="W132" i="99" s="1"/>
  <c r="S131" i="99"/>
  <c r="P131" i="99"/>
  <c r="S130" i="99"/>
  <c r="P130" i="99"/>
  <c r="V130" i="99" s="1"/>
  <c r="W130" i="99" s="1"/>
  <c r="S129" i="99"/>
  <c r="P129" i="99"/>
  <c r="S128" i="99"/>
  <c r="P128" i="99"/>
  <c r="V128" i="99" s="1"/>
  <c r="W128" i="99" s="1"/>
  <c r="S127" i="99"/>
  <c r="P127" i="99"/>
  <c r="Q126" i="99"/>
  <c r="S126" i="99" s="1"/>
  <c r="E126" i="99"/>
  <c r="P126" i="99" s="1"/>
  <c r="S125" i="99"/>
  <c r="E125" i="99"/>
  <c r="P125" i="99" s="1"/>
  <c r="S124" i="99"/>
  <c r="P124" i="99"/>
  <c r="S123" i="99"/>
  <c r="P123" i="99"/>
  <c r="V123" i="99" s="1"/>
  <c r="W123" i="99" s="1"/>
  <c r="S122" i="99"/>
  <c r="P122" i="99"/>
  <c r="V122" i="99" s="1"/>
  <c r="W122" i="99" s="1"/>
  <c r="Q121" i="99"/>
  <c r="S121" i="99" s="1"/>
  <c r="I121" i="99"/>
  <c r="I479" i="99" s="1"/>
  <c r="S120" i="99"/>
  <c r="E120" i="99"/>
  <c r="P120" i="99" s="1"/>
  <c r="Q119" i="99"/>
  <c r="S119" i="99" s="1"/>
  <c r="P119" i="99"/>
  <c r="R119" i="99" s="1"/>
  <c r="S118" i="99"/>
  <c r="P118" i="99"/>
  <c r="V118" i="99" s="1"/>
  <c r="W118" i="99" s="1"/>
  <c r="S117" i="99"/>
  <c r="P117" i="99"/>
  <c r="V117" i="99" s="1"/>
  <c r="W117" i="99" s="1"/>
  <c r="S116" i="99"/>
  <c r="P116" i="99"/>
  <c r="V116" i="99" s="1"/>
  <c r="W116" i="99" s="1"/>
  <c r="S115" i="99"/>
  <c r="P115" i="99"/>
  <c r="V115" i="99" s="1"/>
  <c r="W115" i="99" s="1"/>
  <c r="S114" i="99"/>
  <c r="P114" i="99"/>
  <c r="V114" i="99" s="1"/>
  <c r="W114" i="99" s="1"/>
  <c r="Q113" i="99"/>
  <c r="S113" i="99" s="1"/>
  <c r="E113" i="99"/>
  <c r="E479" i="99" s="1"/>
  <c r="S112" i="99"/>
  <c r="P112" i="99"/>
  <c r="V112" i="99" s="1"/>
  <c r="W112" i="99" s="1"/>
  <c r="Q111" i="99"/>
  <c r="S111" i="99" s="1"/>
  <c r="P111" i="99"/>
  <c r="V111" i="99" s="1"/>
  <c r="W111" i="99" s="1"/>
  <c r="S110" i="99"/>
  <c r="P110" i="99"/>
  <c r="V110" i="99" s="1"/>
  <c r="W110" i="99" s="1"/>
  <c r="S109" i="99"/>
  <c r="P109" i="99"/>
  <c r="V109" i="99" s="1"/>
  <c r="W109" i="99" s="1"/>
  <c r="S108" i="99"/>
  <c r="P108" i="99"/>
  <c r="V108" i="99" s="1"/>
  <c r="W108" i="99" s="1"/>
  <c r="Q107" i="99"/>
  <c r="S107" i="99" s="1"/>
  <c r="P107" i="99"/>
  <c r="V107" i="99" s="1"/>
  <c r="W107" i="99" s="1"/>
  <c r="S106" i="99"/>
  <c r="P106" i="99"/>
  <c r="V106" i="99" s="1"/>
  <c r="W106" i="99" s="1"/>
  <c r="S105" i="99"/>
  <c r="P105" i="99"/>
  <c r="V105" i="99" s="1"/>
  <c r="W105" i="99" s="1"/>
  <c r="S104" i="99"/>
  <c r="P104" i="99"/>
  <c r="V104" i="99" s="1"/>
  <c r="W104" i="99" s="1"/>
  <c r="S103" i="99"/>
  <c r="P103" i="99"/>
  <c r="V103" i="99" s="1"/>
  <c r="W103" i="99" s="1"/>
  <c r="S102" i="99"/>
  <c r="P102" i="99"/>
  <c r="V102" i="99" s="1"/>
  <c r="W102" i="99" s="1"/>
  <c r="S101" i="99"/>
  <c r="P101" i="99"/>
  <c r="V101" i="99" s="1"/>
  <c r="W101" i="99" s="1"/>
  <c r="Q100" i="99"/>
  <c r="S100" i="99" s="1"/>
  <c r="P100" i="99"/>
  <c r="V100" i="99" s="1"/>
  <c r="W100" i="99" s="1"/>
  <c r="S99" i="99"/>
  <c r="P99" i="99"/>
  <c r="V99" i="99" s="1"/>
  <c r="W99" i="99" s="1"/>
  <c r="S98" i="99"/>
  <c r="P98" i="99"/>
  <c r="V98" i="99" s="1"/>
  <c r="W98" i="99" s="1"/>
  <c r="S97" i="99"/>
  <c r="P97" i="99"/>
  <c r="V97" i="99" s="1"/>
  <c r="W97" i="99" s="1"/>
  <c r="S96" i="99"/>
  <c r="P96" i="99"/>
  <c r="V96" i="99" s="1"/>
  <c r="W96" i="99" s="1"/>
  <c r="S95" i="99"/>
  <c r="P95" i="99"/>
  <c r="V95" i="99" s="1"/>
  <c r="W95" i="99" s="1"/>
  <c r="S94" i="99"/>
  <c r="P94" i="99"/>
  <c r="V94" i="99" s="1"/>
  <c r="W94" i="99" s="1"/>
  <c r="S93" i="99"/>
  <c r="P93" i="99"/>
  <c r="V93" i="99" s="1"/>
  <c r="W93" i="99" s="1"/>
  <c r="S92" i="99"/>
  <c r="P92" i="99"/>
  <c r="V92" i="99" s="1"/>
  <c r="W92" i="99" s="1"/>
  <c r="S91" i="99"/>
  <c r="P91" i="99"/>
  <c r="V91" i="99" s="1"/>
  <c r="W91" i="99" s="1"/>
  <c r="Q90" i="99"/>
  <c r="S90" i="99" s="1"/>
  <c r="P90" i="99"/>
  <c r="V90" i="99" s="1"/>
  <c r="W90" i="99" s="1"/>
  <c r="S89" i="99"/>
  <c r="P89" i="99"/>
  <c r="V89" i="99" s="1"/>
  <c r="W89" i="99" s="1"/>
  <c r="S88" i="99"/>
  <c r="P88" i="99"/>
  <c r="V88" i="99" s="1"/>
  <c r="W88" i="99" s="1"/>
  <c r="S87" i="99"/>
  <c r="P87" i="99"/>
  <c r="V87" i="99" s="1"/>
  <c r="W87" i="99" s="1"/>
  <c r="S86" i="99"/>
  <c r="P86" i="99"/>
  <c r="V86" i="99" s="1"/>
  <c r="W86" i="99" s="1"/>
  <c r="S85" i="99"/>
  <c r="P85" i="99"/>
  <c r="V85" i="99" s="1"/>
  <c r="W85" i="99" s="1"/>
  <c r="S84" i="99"/>
  <c r="P84" i="99"/>
  <c r="V84" i="99" s="1"/>
  <c r="W84" i="99" s="1"/>
  <c r="S83" i="99"/>
  <c r="P83" i="99"/>
  <c r="V83" i="99" s="1"/>
  <c r="W83" i="99" s="1"/>
  <c r="S82" i="99"/>
  <c r="P82" i="99"/>
  <c r="V82" i="99" s="1"/>
  <c r="W82" i="99" s="1"/>
  <c r="Q81" i="99"/>
  <c r="S81" i="99" s="1"/>
  <c r="P81" i="99"/>
  <c r="V81" i="99" s="1"/>
  <c r="W81" i="99" s="1"/>
  <c r="S80" i="99"/>
  <c r="P80" i="99"/>
  <c r="V80" i="99" s="1"/>
  <c r="W80" i="99" s="1"/>
  <c r="S79" i="99"/>
  <c r="P79" i="99"/>
  <c r="V79" i="99" s="1"/>
  <c r="W79" i="99" s="1"/>
  <c r="Q78" i="99"/>
  <c r="S78" i="99" s="1"/>
  <c r="P78" i="99"/>
  <c r="V78" i="99" s="1"/>
  <c r="W78" i="99" s="1"/>
  <c r="S77" i="99"/>
  <c r="P77" i="99"/>
  <c r="V77" i="99" s="1"/>
  <c r="W77" i="99" s="1"/>
  <c r="Q76" i="99"/>
  <c r="S76" i="99" s="1"/>
  <c r="P76" i="99"/>
  <c r="V76" i="99" s="1"/>
  <c r="W76" i="99" s="1"/>
  <c r="Q75" i="99"/>
  <c r="S75" i="99" s="1"/>
  <c r="P75" i="99"/>
  <c r="V75" i="99" s="1"/>
  <c r="W75" i="99" s="1"/>
  <c r="S74" i="99"/>
  <c r="P74" i="99"/>
  <c r="V74" i="99" s="1"/>
  <c r="W74" i="99" s="1"/>
  <c r="Q73" i="99"/>
  <c r="S73" i="99" s="1"/>
  <c r="P73" i="99"/>
  <c r="V73" i="99" s="1"/>
  <c r="W73" i="99" s="1"/>
  <c r="S72" i="99"/>
  <c r="P72" i="99"/>
  <c r="V72" i="99" s="1"/>
  <c r="W72" i="99" s="1"/>
  <c r="S71" i="99"/>
  <c r="P71" i="99"/>
  <c r="V71" i="99" s="1"/>
  <c r="W71" i="99" s="1"/>
  <c r="S70" i="99"/>
  <c r="P70" i="99"/>
  <c r="V70" i="99" s="1"/>
  <c r="W70" i="99" s="1"/>
  <c r="S69" i="99"/>
  <c r="P69" i="99"/>
  <c r="V69" i="99" s="1"/>
  <c r="W69" i="99" s="1"/>
  <c r="S68" i="99"/>
  <c r="P68" i="99"/>
  <c r="V68" i="99" s="1"/>
  <c r="W68" i="99" s="1"/>
  <c r="S67" i="99"/>
  <c r="P67" i="99"/>
  <c r="V67" i="99" s="1"/>
  <c r="W67" i="99" s="1"/>
  <c r="S66" i="99"/>
  <c r="P66" i="99"/>
  <c r="V66" i="99" s="1"/>
  <c r="W66" i="99" s="1"/>
  <c r="S65" i="99"/>
  <c r="P65" i="99"/>
  <c r="V65" i="99" s="1"/>
  <c r="W65" i="99" s="1"/>
  <c r="S64" i="99"/>
  <c r="P64" i="99"/>
  <c r="V64" i="99" s="1"/>
  <c r="W64" i="99" s="1"/>
  <c r="S63" i="99"/>
  <c r="P63" i="99"/>
  <c r="V63" i="99" s="1"/>
  <c r="W63" i="99" s="1"/>
  <c r="Q62" i="99"/>
  <c r="S62" i="99" s="1"/>
  <c r="P62" i="99"/>
  <c r="V62" i="99" s="1"/>
  <c r="W62" i="99" s="1"/>
  <c r="S61" i="99"/>
  <c r="P61" i="99"/>
  <c r="V61" i="99" s="1"/>
  <c r="W61" i="99" s="1"/>
  <c r="S60" i="99"/>
  <c r="P60" i="99"/>
  <c r="V60" i="99" s="1"/>
  <c r="W60" i="99" s="1"/>
  <c r="Q59" i="99"/>
  <c r="S59" i="99" s="1"/>
  <c r="P59" i="99"/>
  <c r="V59" i="99" s="1"/>
  <c r="W59" i="99" s="1"/>
  <c r="S58" i="99"/>
  <c r="P58" i="99"/>
  <c r="V58" i="99" s="1"/>
  <c r="W58" i="99" s="1"/>
  <c r="S57" i="99"/>
  <c r="P57" i="99"/>
  <c r="V57" i="99" s="1"/>
  <c r="W57" i="99" s="1"/>
  <c r="S56" i="99"/>
  <c r="P56" i="99"/>
  <c r="V56" i="99" s="1"/>
  <c r="W56" i="99" s="1"/>
  <c r="S55" i="99"/>
  <c r="P55" i="99"/>
  <c r="V55" i="99" s="1"/>
  <c r="W55" i="99" s="1"/>
  <c r="Q54" i="99"/>
  <c r="S54" i="99" s="1"/>
  <c r="P54" i="99"/>
  <c r="V54" i="99" s="1"/>
  <c r="W54" i="99" s="1"/>
  <c r="Q53" i="99"/>
  <c r="S53" i="99" s="1"/>
  <c r="P53" i="99"/>
  <c r="V53" i="99" s="1"/>
  <c r="W53" i="99" s="1"/>
  <c r="S52" i="99"/>
  <c r="P52" i="99"/>
  <c r="V52" i="99" s="1"/>
  <c r="W52" i="99" s="1"/>
  <c r="S51" i="99"/>
  <c r="P51" i="99"/>
  <c r="V51" i="99" s="1"/>
  <c r="W51" i="99" s="1"/>
  <c r="S50" i="99"/>
  <c r="P50" i="99"/>
  <c r="V50" i="99" s="1"/>
  <c r="W50" i="99" s="1"/>
  <c r="S49" i="99"/>
  <c r="P49" i="99"/>
  <c r="V49" i="99" s="1"/>
  <c r="W49" i="99" s="1"/>
  <c r="Q48" i="99"/>
  <c r="S48" i="99" s="1"/>
  <c r="P48" i="99"/>
  <c r="V48" i="99" s="1"/>
  <c r="W48" i="99" s="1"/>
  <c r="S47" i="99"/>
  <c r="P47" i="99"/>
  <c r="V47" i="99" s="1"/>
  <c r="W47" i="99" s="1"/>
  <c r="S46" i="99"/>
  <c r="P46" i="99"/>
  <c r="V46" i="99" s="1"/>
  <c r="W46" i="99" s="1"/>
  <c r="S45" i="99"/>
  <c r="P45" i="99"/>
  <c r="V45" i="99" s="1"/>
  <c r="W45" i="99" s="1"/>
  <c r="S44" i="99"/>
  <c r="P44" i="99"/>
  <c r="V44" i="99" s="1"/>
  <c r="W44" i="99" s="1"/>
  <c r="S43" i="99"/>
  <c r="P43" i="99"/>
  <c r="V43" i="99" s="1"/>
  <c r="W43" i="99" s="1"/>
  <c r="S42" i="99"/>
  <c r="P42" i="99"/>
  <c r="V42" i="99" s="1"/>
  <c r="W42" i="99" s="1"/>
  <c r="S41" i="99"/>
  <c r="P41" i="99"/>
  <c r="V41" i="99" s="1"/>
  <c r="W41" i="99" s="1"/>
  <c r="Q40" i="99"/>
  <c r="S40" i="99" s="1"/>
  <c r="P40" i="99"/>
  <c r="R40" i="99" s="1"/>
  <c r="S39" i="99"/>
  <c r="P39" i="99"/>
  <c r="V39" i="99" s="1"/>
  <c r="W39" i="99" s="1"/>
  <c r="S38" i="99"/>
  <c r="P38" i="99"/>
  <c r="V38" i="99" s="1"/>
  <c r="W38" i="99" s="1"/>
  <c r="Q37" i="99"/>
  <c r="S37" i="99" s="1"/>
  <c r="P37" i="99"/>
  <c r="V37" i="99" s="1"/>
  <c r="W37" i="99" s="1"/>
  <c r="S36" i="99"/>
  <c r="P36" i="99"/>
  <c r="V36" i="99" s="1"/>
  <c r="W36" i="99" s="1"/>
  <c r="S35" i="99"/>
  <c r="P35" i="99"/>
  <c r="V35" i="99" s="1"/>
  <c r="W35" i="99" s="1"/>
  <c r="S34" i="99"/>
  <c r="P34" i="99"/>
  <c r="V34" i="99" s="1"/>
  <c r="W34" i="99" s="1"/>
  <c r="S33" i="99"/>
  <c r="P33" i="99"/>
  <c r="V33" i="99" s="1"/>
  <c r="W33" i="99" s="1"/>
  <c r="S32" i="99"/>
  <c r="P32" i="99"/>
  <c r="V32" i="99" s="1"/>
  <c r="W32" i="99" s="1"/>
  <c r="Q31" i="99"/>
  <c r="S31" i="99" s="1"/>
  <c r="P31" i="99"/>
  <c r="V31" i="99" s="1"/>
  <c r="W31" i="99" s="1"/>
  <c r="S30" i="99"/>
  <c r="P30" i="99"/>
  <c r="V30" i="99" s="1"/>
  <c r="W30" i="99" s="1"/>
  <c r="Q29" i="99"/>
  <c r="S29" i="99" s="1"/>
  <c r="P29" i="99"/>
  <c r="V29" i="99" s="1"/>
  <c r="W29" i="99" s="1"/>
  <c r="Q28" i="99"/>
  <c r="S28" i="99" s="1"/>
  <c r="P28" i="99"/>
  <c r="V28" i="99" s="1"/>
  <c r="W28" i="99" s="1"/>
  <c r="S27" i="99"/>
  <c r="P27" i="99"/>
  <c r="V27" i="99" s="1"/>
  <c r="W27" i="99" s="1"/>
  <c r="S26" i="99"/>
  <c r="P26" i="99"/>
  <c r="V26" i="99" s="1"/>
  <c r="W26" i="99" s="1"/>
  <c r="S25" i="99"/>
  <c r="P25" i="99"/>
  <c r="V25" i="99" s="1"/>
  <c r="W25" i="99" s="1"/>
  <c r="Q24" i="99"/>
  <c r="S24" i="99" s="1"/>
  <c r="P24" i="99"/>
  <c r="V24" i="99" s="1"/>
  <c r="W24" i="99" s="1"/>
  <c r="S23" i="99"/>
  <c r="P23" i="99"/>
  <c r="V23" i="99" s="1"/>
  <c r="W23" i="99" s="1"/>
  <c r="S22" i="99"/>
  <c r="P22" i="99"/>
  <c r="V22" i="99" s="1"/>
  <c r="W22" i="99" s="1"/>
  <c r="S21" i="99"/>
  <c r="P21" i="99"/>
  <c r="V21" i="99" s="1"/>
  <c r="W21" i="99" s="1"/>
  <c r="S20" i="99"/>
  <c r="P20" i="99"/>
  <c r="V20" i="99" s="1"/>
  <c r="W20" i="99" s="1"/>
  <c r="Q19" i="99"/>
  <c r="S19" i="99" s="1"/>
  <c r="P19" i="99"/>
  <c r="V19" i="99" s="1"/>
  <c r="W19" i="99" s="1"/>
  <c r="Q18" i="99"/>
  <c r="S18" i="99" s="1"/>
  <c r="P18" i="99"/>
  <c r="V18" i="99" s="1"/>
  <c r="W18" i="99" s="1"/>
  <c r="S17" i="99"/>
  <c r="P17" i="99"/>
  <c r="V17" i="99" s="1"/>
  <c r="W17" i="99" s="1"/>
  <c r="Q16" i="99"/>
  <c r="S16" i="99" s="1"/>
  <c r="P16" i="99"/>
  <c r="V16" i="99" s="1"/>
  <c r="W16" i="99" s="1"/>
  <c r="S15" i="99"/>
  <c r="P15" i="99"/>
  <c r="V15" i="99" s="1"/>
  <c r="W15" i="99" s="1"/>
  <c r="Q14" i="99"/>
  <c r="S14" i="99" s="1"/>
  <c r="P14" i="99"/>
  <c r="V14" i="99" s="1"/>
  <c r="W14" i="99" s="1"/>
  <c r="S13" i="99"/>
  <c r="P13" i="99"/>
  <c r="V13" i="99" s="1"/>
  <c r="W13" i="99" s="1"/>
  <c r="Q12" i="99"/>
  <c r="S12" i="99" s="1"/>
  <c r="P12" i="99"/>
  <c r="V12" i="99" s="1"/>
  <c r="W12" i="99" s="1"/>
  <c r="S11" i="99"/>
  <c r="P11" i="99"/>
  <c r="V11" i="99" s="1"/>
  <c r="W11" i="99" s="1"/>
  <c r="S10" i="99"/>
  <c r="P10" i="99"/>
  <c r="V10" i="99" s="1"/>
  <c r="W10" i="99" s="1"/>
  <c r="S9" i="99"/>
  <c r="P9" i="99"/>
  <c r="V9" i="99" s="1"/>
  <c r="W9" i="99" s="1"/>
  <c r="Q8" i="99"/>
  <c r="S8" i="99" s="1"/>
  <c r="P8" i="99"/>
  <c r="V8" i="99" s="1"/>
  <c r="W8" i="99" s="1"/>
  <c r="S7" i="99"/>
  <c r="P7" i="99"/>
  <c r="V7" i="99" s="1"/>
  <c r="W7" i="99" s="1"/>
  <c r="S6" i="99"/>
  <c r="P6" i="99"/>
  <c r="V6" i="99" s="1"/>
  <c r="W6" i="99" s="1"/>
  <c r="S5" i="99"/>
  <c r="P5" i="99"/>
  <c r="V5" i="99" s="1"/>
  <c r="W5" i="99" s="1"/>
  <c r="Q4" i="99"/>
  <c r="S4" i="99" s="1"/>
  <c r="P4" i="99"/>
  <c r="V4" i="99" s="1"/>
  <c r="W4" i="99" s="1"/>
  <c r="S3" i="99"/>
  <c r="P3" i="99"/>
  <c r="V3" i="99" s="1"/>
  <c r="W3" i="99" s="1"/>
  <c r="T12" i="58" l="1"/>
  <c r="S19" i="44"/>
  <c r="L27" i="50" s="1"/>
  <c r="L42" i="48"/>
  <c r="K42" i="48"/>
  <c r="K47" i="48"/>
  <c r="W29" i="44"/>
  <c r="AO28" i="166"/>
  <c r="AO30" i="166" s="1"/>
  <c r="AN28" i="166"/>
  <c r="AL28" i="166" s="1"/>
  <c r="H81" i="59"/>
  <c r="H80" i="59"/>
  <c r="P47" i="48"/>
  <c r="T28" i="58"/>
  <c r="T30" i="58" s="1"/>
  <c r="G12" i="160" s="1"/>
  <c r="H33" i="59"/>
  <c r="M30" i="44"/>
  <c r="I17" i="160"/>
  <c r="M9" i="174" s="1"/>
  <c r="M15" i="174" s="1"/>
  <c r="M22" i="174" s="1"/>
  <c r="Q21" i="174" s="1"/>
  <c r="I30" i="44"/>
  <c r="V28" i="129"/>
  <c r="H82" i="59"/>
  <c r="S453" i="151"/>
  <c r="S460" i="151"/>
  <c r="H26" i="162"/>
  <c r="H10" i="67"/>
  <c r="AQ2" i="91" s="1"/>
  <c r="AQ28" i="91"/>
  <c r="AQ30" i="91" s="1"/>
  <c r="AB7" i="91" s="1"/>
  <c r="H25" i="82"/>
  <c r="U370" i="151"/>
  <c r="F545" i="154"/>
  <c r="S493" i="154"/>
  <c r="S495" i="154"/>
  <c r="S497" i="154"/>
  <c r="Y497" i="154" s="1"/>
  <c r="S498" i="154"/>
  <c r="Y498" i="154" s="1"/>
  <c r="O535" i="124"/>
  <c r="K535" i="124"/>
  <c r="S180" i="124"/>
  <c r="S182" i="124"/>
  <c r="S184" i="124"/>
  <c r="S186" i="124"/>
  <c r="S188" i="124"/>
  <c r="S191" i="124"/>
  <c r="S193" i="124"/>
  <c r="S195" i="124"/>
  <c r="S197" i="124"/>
  <c r="S199" i="124"/>
  <c r="S201" i="124"/>
  <c r="S203" i="124"/>
  <c r="S205" i="124"/>
  <c r="S207" i="124"/>
  <c r="S209" i="124"/>
  <c r="S211" i="124"/>
  <c r="S213" i="124"/>
  <c r="S215" i="124"/>
  <c r="S217" i="124"/>
  <c r="S219" i="124"/>
  <c r="S221" i="124"/>
  <c r="S223" i="124"/>
  <c r="S225" i="124"/>
  <c r="S227" i="124"/>
  <c r="S229" i="124"/>
  <c r="S231" i="124"/>
  <c r="S233" i="124"/>
  <c r="S235" i="124"/>
  <c r="S374" i="124"/>
  <c r="S376" i="124"/>
  <c r="I535" i="124"/>
  <c r="Q432" i="124"/>
  <c r="Q433" i="124"/>
  <c r="Q443" i="124"/>
  <c r="S444" i="124"/>
  <c r="S447" i="124"/>
  <c r="Q450" i="124"/>
  <c r="S452" i="124"/>
  <c r="Q454" i="124"/>
  <c r="Q479" i="124"/>
  <c r="S488" i="124"/>
  <c r="Q502" i="124"/>
  <c r="K558" i="158"/>
  <c r="Y515" i="158"/>
  <c r="Z515" i="158" s="1"/>
  <c r="R193" i="99"/>
  <c r="R195" i="99"/>
  <c r="R197" i="99"/>
  <c r="R199" i="99"/>
  <c r="R201" i="99"/>
  <c r="R203" i="99"/>
  <c r="R205" i="99"/>
  <c r="R207" i="99"/>
  <c r="R209" i="99"/>
  <c r="V211" i="99"/>
  <c r="W211" i="99" s="1"/>
  <c r="R211" i="99"/>
  <c r="V213" i="99"/>
  <c r="W213" i="99" s="1"/>
  <c r="R213" i="99"/>
  <c r="V215" i="99"/>
  <c r="W215" i="99" s="1"/>
  <c r="R215" i="99"/>
  <c r="V217" i="99"/>
  <c r="W217" i="99" s="1"/>
  <c r="R217" i="99"/>
  <c r="V219" i="99"/>
  <c r="W219" i="99" s="1"/>
  <c r="R219" i="99"/>
  <c r="V221" i="99"/>
  <c r="W221" i="99" s="1"/>
  <c r="R221" i="99"/>
  <c r="V223" i="99"/>
  <c r="W223" i="99" s="1"/>
  <c r="R223" i="99"/>
  <c r="V225" i="99"/>
  <c r="W225" i="99" s="1"/>
  <c r="R225" i="99"/>
  <c r="V227" i="99"/>
  <c r="W227" i="99" s="1"/>
  <c r="R227" i="99"/>
  <c r="V229" i="99"/>
  <c r="W229" i="99" s="1"/>
  <c r="R229" i="99"/>
  <c r="V231" i="99"/>
  <c r="W231" i="99" s="1"/>
  <c r="R231" i="99"/>
  <c r="V233" i="99"/>
  <c r="W233" i="99" s="1"/>
  <c r="R233" i="99"/>
  <c r="V235" i="99"/>
  <c r="W235" i="99" s="1"/>
  <c r="R235" i="99"/>
  <c r="V237" i="99"/>
  <c r="W237" i="99" s="1"/>
  <c r="R237" i="99"/>
  <c r="V239" i="99"/>
  <c r="W239" i="99" s="1"/>
  <c r="R239" i="99"/>
  <c r="V241" i="99"/>
  <c r="W241" i="99" s="1"/>
  <c r="R241" i="99"/>
  <c r="V243" i="99"/>
  <c r="W243" i="99" s="1"/>
  <c r="R243" i="99"/>
  <c r="V245" i="99"/>
  <c r="W245" i="99" s="1"/>
  <c r="R245" i="99"/>
  <c r="V247" i="99"/>
  <c r="W247" i="99" s="1"/>
  <c r="R247" i="99"/>
  <c r="V249" i="99"/>
  <c r="W249" i="99" s="1"/>
  <c r="R249" i="99"/>
  <c r="V251" i="99"/>
  <c r="W251" i="99" s="1"/>
  <c r="R251" i="99"/>
  <c r="V254" i="99"/>
  <c r="W254" i="99" s="1"/>
  <c r="R254" i="99"/>
  <c r="V256" i="99"/>
  <c r="W256" i="99" s="1"/>
  <c r="R256" i="99"/>
  <c r="S48" i="124"/>
  <c r="S50" i="124"/>
  <c r="S52" i="124"/>
  <c r="S54" i="124"/>
  <c r="S56" i="124"/>
  <c r="N534" i="124"/>
  <c r="U68" i="158"/>
  <c r="U69" i="158"/>
  <c r="U70" i="158"/>
  <c r="U71" i="158"/>
  <c r="U72" i="158"/>
  <c r="U73" i="158"/>
  <c r="U74" i="158"/>
  <c r="U75" i="158"/>
  <c r="U512" i="158"/>
  <c r="U513" i="158"/>
  <c r="U514" i="158"/>
  <c r="U515" i="158"/>
  <c r="S3" i="154"/>
  <c r="S4" i="154"/>
  <c r="Y4" i="154" s="1"/>
  <c r="S5" i="154"/>
  <c r="Y5" i="154" s="1"/>
  <c r="S6" i="154"/>
  <c r="Y6" i="154" s="1"/>
  <c r="S7" i="154"/>
  <c r="Y7" i="154" s="1"/>
  <c r="S8" i="154"/>
  <c r="Y8" i="154" s="1"/>
  <c r="S9" i="154"/>
  <c r="Y9" i="154" s="1"/>
  <c r="S10" i="154"/>
  <c r="Y10" i="154" s="1"/>
  <c r="S11" i="154"/>
  <c r="Y11" i="154" s="1"/>
  <c r="S12" i="154"/>
  <c r="Y12" i="154" s="1"/>
  <c r="S13" i="154"/>
  <c r="Y13" i="154" s="1"/>
  <c r="S14" i="154"/>
  <c r="Y14" i="154" s="1"/>
  <c r="S15" i="154"/>
  <c r="Y15" i="154" s="1"/>
  <c r="S16" i="154"/>
  <c r="Y16" i="154" s="1"/>
  <c r="S17" i="154"/>
  <c r="Y17" i="154" s="1"/>
  <c r="S18" i="154"/>
  <c r="Y18" i="154" s="1"/>
  <c r="S19" i="154"/>
  <c r="Y19" i="154" s="1"/>
  <c r="S20" i="154"/>
  <c r="Y20" i="154" s="1"/>
  <c r="S21" i="154"/>
  <c r="Y21" i="154" s="1"/>
  <c r="S22" i="154"/>
  <c r="Y22" i="154" s="1"/>
  <c r="S23" i="154"/>
  <c r="Y23" i="154" s="1"/>
  <c r="S24" i="154"/>
  <c r="Y24" i="154" s="1"/>
  <c r="S25" i="154"/>
  <c r="Y25" i="154" s="1"/>
  <c r="S26" i="154"/>
  <c r="Y26" i="154" s="1"/>
  <c r="S27" i="154"/>
  <c r="Y27" i="154" s="1"/>
  <c r="S28" i="154"/>
  <c r="Y28" i="154" s="1"/>
  <c r="S29" i="154"/>
  <c r="Y29" i="154" s="1"/>
  <c r="S30" i="154"/>
  <c r="Y30" i="154" s="1"/>
  <c r="S31" i="154"/>
  <c r="Y31" i="154" s="1"/>
  <c r="S32" i="154"/>
  <c r="Y32" i="154" s="1"/>
  <c r="S33" i="154"/>
  <c r="Y33" i="154" s="1"/>
  <c r="S34" i="154"/>
  <c r="Y34" i="154" s="1"/>
  <c r="S35" i="154"/>
  <c r="Y35" i="154" s="1"/>
  <c r="S36" i="154"/>
  <c r="Y36" i="154" s="1"/>
  <c r="S37" i="154"/>
  <c r="Y37" i="154" s="1"/>
  <c r="S38" i="154"/>
  <c r="Y38" i="154" s="1"/>
  <c r="S39" i="154"/>
  <c r="Y39" i="154" s="1"/>
  <c r="S40" i="154"/>
  <c r="Y40" i="154" s="1"/>
  <c r="S41" i="154"/>
  <c r="Y41" i="154" s="1"/>
  <c r="S42" i="154"/>
  <c r="Y42" i="154" s="1"/>
  <c r="S43" i="154"/>
  <c r="Y43" i="154" s="1"/>
  <c r="S44" i="154"/>
  <c r="Y44" i="154" s="1"/>
  <c r="S45" i="154"/>
  <c r="Y45" i="154" s="1"/>
  <c r="S46" i="154"/>
  <c r="Y46" i="154" s="1"/>
  <c r="W47" i="154"/>
  <c r="X47" i="154" s="1"/>
  <c r="S47" i="154"/>
  <c r="W48" i="154"/>
  <c r="X48" i="154" s="1"/>
  <c r="S48" i="154"/>
  <c r="W49" i="154"/>
  <c r="X49" i="154" s="1"/>
  <c r="S49" i="154"/>
  <c r="W50" i="154"/>
  <c r="X50" i="154" s="1"/>
  <c r="S50" i="154"/>
  <c r="W51" i="154"/>
  <c r="X51" i="154" s="1"/>
  <c r="S51" i="154"/>
  <c r="W52" i="154"/>
  <c r="X52" i="154" s="1"/>
  <c r="S52" i="154"/>
  <c r="W53" i="154"/>
  <c r="X53" i="154" s="1"/>
  <c r="S53" i="154"/>
  <c r="W54" i="154"/>
  <c r="X54" i="154" s="1"/>
  <c r="S54" i="154"/>
  <c r="W55" i="154"/>
  <c r="X55" i="154" s="1"/>
  <c r="S55" i="154"/>
  <c r="W56" i="154"/>
  <c r="X56" i="154" s="1"/>
  <c r="S56" i="154"/>
  <c r="W57" i="154"/>
  <c r="X57" i="154" s="1"/>
  <c r="S57" i="154"/>
  <c r="W58" i="154"/>
  <c r="X58" i="154" s="1"/>
  <c r="S58" i="154"/>
  <c r="W59" i="154"/>
  <c r="X59" i="154" s="1"/>
  <c r="S59" i="154"/>
  <c r="W60" i="154"/>
  <c r="X60" i="154" s="1"/>
  <c r="S60" i="154"/>
  <c r="W61" i="154"/>
  <c r="X61" i="154" s="1"/>
  <c r="S61" i="154"/>
  <c r="W62" i="154"/>
  <c r="X62" i="154" s="1"/>
  <c r="S62" i="154"/>
  <c r="W63" i="154"/>
  <c r="X63" i="154" s="1"/>
  <c r="S63" i="154"/>
  <c r="W64" i="154"/>
  <c r="X64" i="154" s="1"/>
  <c r="S64" i="154"/>
  <c r="W65" i="154"/>
  <c r="X65" i="154" s="1"/>
  <c r="S65" i="154"/>
  <c r="W66" i="154"/>
  <c r="X66" i="154" s="1"/>
  <c r="S66" i="154"/>
  <c r="W67" i="154"/>
  <c r="X67" i="154" s="1"/>
  <c r="S67" i="154"/>
  <c r="W68" i="154"/>
  <c r="X68" i="154" s="1"/>
  <c r="S68" i="154"/>
  <c r="W69" i="154"/>
  <c r="X69" i="154" s="1"/>
  <c r="S69" i="154"/>
  <c r="W70" i="154"/>
  <c r="X70" i="154" s="1"/>
  <c r="S70" i="154"/>
  <c r="W71" i="154"/>
  <c r="X71" i="154" s="1"/>
  <c r="S71" i="154"/>
  <c r="W72" i="154"/>
  <c r="X72" i="154" s="1"/>
  <c r="S72" i="154"/>
  <c r="W73" i="154"/>
  <c r="X73" i="154" s="1"/>
  <c r="S73" i="154"/>
  <c r="W74" i="154"/>
  <c r="X74" i="154" s="1"/>
  <c r="S74" i="154"/>
  <c r="W75" i="154"/>
  <c r="X75" i="154" s="1"/>
  <c r="S75" i="154"/>
  <c r="W76" i="154"/>
  <c r="X76" i="154" s="1"/>
  <c r="S76" i="154"/>
  <c r="W77" i="154"/>
  <c r="X77" i="154" s="1"/>
  <c r="S77" i="154"/>
  <c r="W78" i="154"/>
  <c r="X78" i="154" s="1"/>
  <c r="S78" i="154"/>
  <c r="W79" i="154"/>
  <c r="X79" i="154" s="1"/>
  <c r="S79" i="154"/>
  <c r="H560" i="151"/>
  <c r="S120" i="151"/>
  <c r="S121" i="151"/>
  <c r="U121" i="151" s="1"/>
  <c r="S130" i="151"/>
  <c r="S188" i="151"/>
  <c r="Y188" i="151" s="1"/>
  <c r="Z188" i="151" s="1"/>
  <c r="S192" i="151"/>
  <c r="Y192" i="151" s="1"/>
  <c r="Z192" i="151" s="1"/>
  <c r="S194" i="151"/>
  <c r="Y194" i="151" s="1"/>
  <c r="Z194" i="151" s="1"/>
  <c r="U509" i="151"/>
  <c r="H242" i="2"/>
  <c r="R40" i="48"/>
  <c r="R42" i="48" s="1"/>
  <c r="R47" i="48" s="1"/>
  <c r="R166" i="99"/>
  <c r="R168" i="99"/>
  <c r="R178" i="99"/>
  <c r="R184" i="99"/>
  <c r="R186" i="99"/>
  <c r="R188" i="99"/>
  <c r="R190" i="99"/>
  <c r="R398" i="99"/>
  <c r="P409" i="99"/>
  <c r="R411" i="99"/>
  <c r="R413" i="99"/>
  <c r="R415" i="99"/>
  <c r="R417" i="99"/>
  <c r="R419" i="99"/>
  <c r="R422" i="99"/>
  <c r="R425" i="99"/>
  <c r="R427" i="99"/>
  <c r="R429" i="99"/>
  <c r="R431" i="99"/>
  <c r="P443" i="99"/>
  <c r="R444" i="99"/>
  <c r="R445" i="99"/>
  <c r="S92" i="124"/>
  <c r="W95" i="124"/>
  <c r="X95" i="124" s="1"/>
  <c r="S95" i="124"/>
  <c r="W97" i="124"/>
  <c r="X97" i="124" s="1"/>
  <c r="S97" i="124"/>
  <c r="W99" i="124"/>
  <c r="X99" i="124" s="1"/>
  <c r="S99" i="124"/>
  <c r="W101" i="124"/>
  <c r="X101" i="124" s="1"/>
  <c r="S101" i="124"/>
  <c r="W103" i="124"/>
  <c r="X103" i="124" s="1"/>
  <c r="S103" i="124"/>
  <c r="U295" i="158"/>
  <c r="U296" i="158"/>
  <c r="U297" i="158"/>
  <c r="U298" i="158"/>
  <c r="U299" i="158"/>
  <c r="U300" i="158"/>
  <c r="U301" i="158"/>
  <c r="U302" i="158"/>
  <c r="U303" i="158"/>
  <c r="U304" i="158"/>
  <c r="U305" i="158"/>
  <c r="U306" i="158"/>
  <c r="U307" i="158"/>
  <c r="U308" i="158"/>
  <c r="U309" i="158"/>
  <c r="U310" i="158"/>
  <c r="U311" i="158"/>
  <c r="U312" i="158"/>
  <c r="U313" i="158"/>
  <c r="U314" i="158"/>
  <c r="U315" i="158"/>
  <c r="U316" i="158"/>
  <c r="U317" i="158"/>
  <c r="U318" i="158"/>
  <c r="U319" i="158"/>
  <c r="U320" i="158"/>
  <c r="U321" i="158"/>
  <c r="U322" i="158"/>
  <c r="U323" i="158"/>
  <c r="U324" i="158"/>
  <c r="U325" i="158"/>
  <c r="U326" i="158"/>
  <c r="U327" i="158"/>
  <c r="U328" i="158"/>
  <c r="U439" i="158"/>
  <c r="U440" i="158"/>
  <c r="U441" i="158"/>
  <c r="U442" i="158"/>
  <c r="U443" i="158"/>
  <c r="U444" i="158"/>
  <c r="U445" i="158"/>
  <c r="U446" i="158"/>
  <c r="U447" i="158"/>
  <c r="U448" i="158"/>
  <c r="Y70" i="151"/>
  <c r="Z70" i="151" s="1"/>
  <c r="S131" i="151"/>
  <c r="Y131" i="151" s="1"/>
  <c r="Z131" i="151" s="1"/>
  <c r="S285" i="124"/>
  <c r="S287" i="124"/>
  <c r="S289" i="124"/>
  <c r="S291" i="124"/>
  <c r="S293" i="124"/>
  <c r="S295" i="124"/>
  <c r="S297" i="124"/>
  <c r="S299" i="124"/>
  <c r="S301" i="124"/>
  <c r="S303" i="124"/>
  <c r="S305" i="124"/>
  <c r="S307" i="124"/>
  <c r="S309" i="124"/>
  <c r="S311" i="124"/>
  <c r="S313" i="124"/>
  <c r="S315" i="124"/>
  <c r="S317" i="124"/>
  <c r="S319" i="124"/>
  <c r="S321" i="124"/>
  <c r="S323" i="124"/>
  <c r="S408" i="154"/>
  <c r="Y408" i="154" s="1"/>
  <c r="S409" i="154"/>
  <c r="Y409" i="154" s="1"/>
  <c r="S412" i="154"/>
  <c r="Y412" i="154" s="1"/>
  <c r="S413" i="154"/>
  <c r="Y413" i="154" s="1"/>
  <c r="S424" i="154"/>
  <c r="Y424" i="154" s="1"/>
  <c r="S425" i="154"/>
  <c r="Y425" i="154" s="1"/>
  <c r="S428" i="154"/>
  <c r="Y428" i="154" s="1"/>
  <c r="AF3" i="91"/>
  <c r="AT15" i="91"/>
  <c r="AW15" i="91"/>
  <c r="M18" i="91"/>
  <c r="M20" i="91"/>
  <c r="AT30" i="91"/>
  <c r="AW30" i="91"/>
  <c r="AW39" i="91" s="1"/>
  <c r="AQ37" i="91"/>
  <c r="AB17" i="91" s="1"/>
  <c r="H247" i="3"/>
  <c r="J247" i="3"/>
  <c r="L247" i="3"/>
  <c r="N247" i="3"/>
  <c r="P247" i="3"/>
  <c r="R247" i="3"/>
  <c r="T247" i="3"/>
  <c r="V247" i="3"/>
  <c r="Y44" i="151"/>
  <c r="Z44" i="151" s="1"/>
  <c r="U119" i="151"/>
  <c r="Q40" i="48"/>
  <c r="Q42" i="48" s="1"/>
  <c r="Q47" i="48" s="1"/>
  <c r="K38" i="161"/>
  <c r="Z204" i="175"/>
  <c r="AA204" i="175" s="1"/>
  <c r="V204" i="175"/>
  <c r="R114" i="99"/>
  <c r="R116" i="99"/>
  <c r="R118" i="99"/>
  <c r="R122" i="99"/>
  <c r="V124" i="99"/>
  <c r="W124" i="99" s="1"/>
  <c r="R124" i="99"/>
  <c r="V127" i="99"/>
  <c r="W127" i="99" s="1"/>
  <c r="R127" i="99"/>
  <c r="V129" i="99"/>
  <c r="W129" i="99" s="1"/>
  <c r="R129" i="99"/>
  <c r="V131" i="99"/>
  <c r="W131" i="99" s="1"/>
  <c r="R131" i="99"/>
  <c r="V133" i="99"/>
  <c r="W133" i="99" s="1"/>
  <c r="R133" i="99"/>
  <c r="V135" i="99"/>
  <c r="W135" i="99" s="1"/>
  <c r="R135" i="99"/>
  <c r="V137" i="99"/>
  <c r="W137" i="99" s="1"/>
  <c r="R137" i="99"/>
  <c r="V139" i="99"/>
  <c r="W139" i="99" s="1"/>
  <c r="R139" i="99"/>
  <c r="V141" i="99"/>
  <c r="W141" i="99" s="1"/>
  <c r="R141" i="99"/>
  <c r="V143" i="99"/>
  <c r="W143" i="99" s="1"/>
  <c r="R143" i="99"/>
  <c r="V146" i="99"/>
  <c r="W146" i="99" s="1"/>
  <c r="R146" i="99"/>
  <c r="V148" i="99"/>
  <c r="W148" i="99" s="1"/>
  <c r="R148" i="99"/>
  <c r="T534" i="124"/>
  <c r="S4" i="124"/>
  <c r="S6" i="124"/>
  <c r="S8" i="124"/>
  <c r="S10" i="124"/>
  <c r="S12" i="124"/>
  <c r="S14" i="124"/>
  <c r="S16" i="124"/>
  <c r="S18" i="124"/>
  <c r="S20" i="124"/>
  <c r="S22" i="124"/>
  <c r="S24" i="124"/>
  <c r="S27" i="124"/>
  <c r="S106" i="124"/>
  <c r="S108" i="124"/>
  <c r="S127" i="124"/>
  <c r="S129" i="124"/>
  <c r="Q394" i="124"/>
  <c r="S395" i="124"/>
  <c r="S397" i="124"/>
  <c r="S399" i="124"/>
  <c r="Q402" i="124"/>
  <c r="Y281" i="158"/>
  <c r="Z281" i="158" s="1"/>
  <c r="U281" i="158"/>
  <c r="Y283" i="158"/>
  <c r="Z283" i="158" s="1"/>
  <c r="U283" i="158"/>
  <c r="Y285" i="158"/>
  <c r="Z285" i="158" s="1"/>
  <c r="U285" i="158"/>
  <c r="Y287" i="158"/>
  <c r="Z287" i="158" s="1"/>
  <c r="U287" i="158"/>
  <c r="Y289" i="158"/>
  <c r="Z289" i="158" s="1"/>
  <c r="U289" i="158"/>
  <c r="Y291" i="158"/>
  <c r="Z291" i="158" s="1"/>
  <c r="U291" i="158"/>
  <c r="R150" i="99"/>
  <c r="R152" i="99"/>
  <c r="R154" i="99"/>
  <c r="R156" i="99"/>
  <c r="R158" i="99"/>
  <c r="R161" i="99"/>
  <c r="R163" i="99"/>
  <c r="R383" i="99"/>
  <c r="R386" i="99"/>
  <c r="R388" i="99"/>
  <c r="R390" i="99"/>
  <c r="R458" i="99"/>
  <c r="R460" i="99"/>
  <c r="R462" i="99"/>
  <c r="R464" i="99"/>
  <c r="R466" i="99"/>
  <c r="R468" i="99"/>
  <c r="R470" i="99"/>
  <c r="R472" i="99"/>
  <c r="R474" i="99"/>
  <c r="R476" i="99"/>
  <c r="R478" i="99"/>
  <c r="S355" i="124"/>
  <c r="S357" i="124"/>
  <c r="S359" i="124"/>
  <c r="S362" i="124"/>
  <c r="S364" i="124"/>
  <c r="Y133" i="158"/>
  <c r="Z133" i="158" s="1"/>
  <c r="Y134" i="158"/>
  <c r="Z134" i="158" s="1"/>
  <c r="Y135" i="158"/>
  <c r="Z135" i="158" s="1"/>
  <c r="U136" i="158"/>
  <c r="U137" i="158"/>
  <c r="U138" i="158"/>
  <c r="U139" i="158"/>
  <c r="U201" i="158"/>
  <c r="U202" i="158"/>
  <c r="U203" i="158"/>
  <c r="U204" i="158"/>
  <c r="U205" i="158"/>
  <c r="U206" i="158"/>
  <c r="U207" i="158"/>
  <c r="U208" i="158"/>
  <c r="U209" i="158"/>
  <c r="U210" i="158"/>
  <c r="U211" i="158"/>
  <c r="U212" i="158"/>
  <c r="U213" i="158"/>
  <c r="U214" i="158"/>
  <c r="U215" i="158"/>
  <c r="U216" i="158"/>
  <c r="U217" i="158"/>
  <c r="U218" i="158"/>
  <c r="U219" i="158"/>
  <c r="U220" i="158"/>
  <c r="U221" i="158"/>
  <c r="U222" i="158"/>
  <c r="U223" i="158"/>
  <c r="U224" i="158"/>
  <c r="U225" i="158"/>
  <c r="U226" i="158"/>
  <c r="U227" i="158"/>
  <c r="U228" i="158"/>
  <c r="U229" i="158"/>
  <c r="U230" i="158"/>
  <c r="U231" i="158"/>
  <c r="U232" i="158"/>
  <c r="U233" i="158"/>
  <c r="U234" i="158"/>
  <c r="U235" i="158"/>
  <c r="U236" i="158"/>
  <c r="U237" i="158"/>
  <c r="U238" i="158"/>
  <c r="U239" i="158"/>
  <c r="U240" i="158"/>
  <c r="U241" i="158"/>
  <c r="U242" i="158"/>
  <c r="U243" i="158"/>
  <c r="U244" i="158"/>
  <c r="U245" i="158"/>
  <c r="U246" i="158"/>
  <c r="U247" i="158"/>
  <c r="U248" i="158"/>
  <c r="U249" i="158"/>
  <c r="U250" i="158"/>
  <c r="U251" i="158"/>
  <c r="U252" i="158"/>
  <c r="U253" i="158"/>
  <c r="U254" i="158"/>
  <c r="U255" i="158"/>
  <c r="U256" i="158"/>
  <c r="U257" i="158"/>
  <c r="U258" i="158"/>
  <c r="U259" i="158"/>
  <c r="U260" i="158"/>
  <c r="U261" i="158"/>
  <c r="U262" i="158"/>
  <c r="U263" i="158"/>
  <c r="U264" i="158"/>
  <c r="U265" i="158"/>
  <c r="U266" i="158"/>
  <c r="U267" i="158"/>
  <c r="U268" i="158"/>
  <c r="U269" i="158"/>
  <c r="U270" i="158"/>
  <c r="U271" i="158"/>
  <c r="U272" i="158"/>
  <c r="U273" i="158"/>
  <c r="U274" i="158"/>
  <c r="U275" i="158"/>
  <c r="U276" i="158"/>
  <c r="U277" i="158"/>
  <c r="U278" i="158"/>
  <c r="U279" i="158"/>
  <c r="U280" i="158"/>
  <c r="Y282" i="158"/>
  <c r="Z282" i="158" s="1"/>
  <c r="U282" i="158"/>
  <c r="Y284" i="158"/>
  <c r="Z284" i="158" s="1"/>
  <c r="U284" i="158"/>
  <c r="Y286" i="158"/>
  <c r="Z286" i="158" s="1"/>
  <c r="U286" i="158"/>
  <c r="Y288" i="158"/>
  <c r="Z288" i="158" s="1"/>
  <c r="U288" i="158"/>
  <c r="Y290" i="158"/>
  <c r="Z290" i="158" s="1"/>
  <c r="U290" i="158"/>
  <c r="Y292" i="158"/>
  <c r="Z292" i="158" s="1"/>
  <c r="U292" i="158"/>
  <c r="U453" i="158"/>
  <c r="U454" i="158"/>
  <c r="U455" i="158"/>
  <c r="U456" i="158"/>
  <c r="U457" i="158"/>
  <c r="U458" i="158"/>
  <c r="S465" i="158"/>
  <c r="S140" i="151"/>
  <c r="Y140" i="151" s="1"/>
  <c r="Z140" i="151" s="1"/>
  <c r="S157" i="151"/>
  <c r="S172" i="151"/>
  <c r="Y172" i="151" s="1"/>
  <c r="Z172" i="151" s="1"/>
  <c r="U183" i="151"/>
  <c r="N42" i="48"/>
  <c r="U293" i="158"/>
  <c r="U294" i="158"/>
  <c r="S385" i="154"/>
  <c r="Y385" i="154" s="1"/>
  <c r="S386" i="154"/>
  <c r="Y386" i="154" s="1"/>
  <c r="S389" i="154"/>
  <c r="Y389" i="154" s="1"/>
  <c r="S390" i="154"/>
  <c r="Y390" i="154" s="1"/>
  <c r="S393" i="154"/>
  <c r="Y393" i="154" s="1"/>
  <c r="S394" i="154"/>
  <c r="Y394" i="154" s="1"/>
  <c r="S398" i="154"/>
  <c r="Y398" i="154" s="1"/>
  <c r="S399" i="154"/>
  <c r="Y399" i="154" s="1"/>
  <c r="S456" i="154"/>
  <c r="Y456" i="154" s="1"/>
  <c r="S457" i="154"/>
  <c r="Y457" i="154" s="1"/>
  <c r="W461" i="154"/>
  <c r="X461" i="154" s="1"/>
  <c r="S462" i="154"/>
  <c r="Y462" i="154" s="1"/>
  <c r="S465" i="154"/>
  <c r="Y465" i="154" s="1"/>
  <c r="S466" i="154"/>
  <c r="Y466" i="154" s="1"/>
  <c r="S469" i="154"/>
  <c r="Y469" i="154" s="1"/>
  <c r="S470" i="154"/>
  <c r="Y470" i="154" s="1"/>
  <c r="S473" i="154"/>
  <c r="Y473" i="154" s="1"/>
  <c r="S474" i="154"/>
  <c r="Y474" i="154" s="1"/>
  <c r="S486" i="154"/>
  <c r="Y486" i="154" s="1"/>
  <c r="S487" i="154"/>
  <c r="Y487" i="154" s="1"/>
  <c r="S48" i="151"/>
  <c r="S82" i="151"/>
  <c r="U82" i="151" s="1"/>
  <c r="S110" i="151"/>
  <c r="U30" i="166"/>
  <c r="J28" i="65"/>
  <c r="L28" i="65" s="1"/>
  <c r="AS15" i="91"/>
  <c r="AV15" i="91"/>
  <c r="AX15" i="91"/>
  <c r="M12" i="91"/>
  <c r="M22" i="91"/>
  <c r="AU30" i="91"/>
  <c r="AS30" i="91"/>
  <c r="AS39" i="91" s="1"/>
  <c r="AV30" i="91"/>
  <c r="G247" i="3"/>
  <c r="I247" i="3"/>
  <c r="K247" i="3"/>
  <c r="M247" i="3"/>
  <c r="O247" i="3"/>
  <c r="Q247" i="3"/>
  <c r="S247" i="3"/>
  <c r="U247" i="3"/>
  <c r="W247" i="3"/>
  <c r="O42" i="48"/>
  <c r="O47" i="48"/>
  <c r="U14" i="151"/>
  <c r="Y42" i="151"/>
  <c r="Z42" i="151" s="1"/>
  <c r="Y68" i="151"/>
  <c r="Z68" i="151" s="1"/>
  <c r="U368" i="151"/>
  <c r="Y504" i="151"/>
  <c r="Z504" i="151" s="1"/>
  <c r="U76" i="151"/>
  <c r="U302" i="151"/>
  <c r="U366" i="151"/>
  <c r="U46" i="151"/>
  <c r="Y72" i="151"/>
  <c r="Z72" i="151" s="1"/>
  <c r="Y74" i="151"/>
  <c r="Z74" i="151" s="1"/>
  <c r="U185" i="151"/>
  <c r="U187" i="151"/>
  <c r="U372" i="151"/>
  <c r="Y176" i="151"/>
  <c r="Z176" i="151" s="1"/>
  <c r="Y178" i="151"/>
  <c r="Z178" i="151" s="1"/>
  <c r="Y180" i="151"/>
  <c r="Z180" i="151" s="1"/>
  <c r="U182" i="151"/>
  <c r="U184" i="151"/>
  <c r="U312" i="151"/>
  <c r="U314" i="151"/>
  <c r="U316" i="151"/>
  <c r="U318" i="151"/>
  <c r="Y363" i="151"/>
  <c r="Z363" i="151" s="1"/>
  <c r="Y481" i="151"/>
  <c r="Z481" i="151" s="1"/>
  <c r="U485" i="151"/>
  <c r="U487" i="151"/>
  <c r="U489" i="151"/>
  <c r="Y505" i="151"/>
  <c r="Z505" i="151" s="1"/>
  <c r="Y41" i="151"/>
  <c r="Z41" i="151" s="1"/>
  <c r="Y43" i="151"/>
  <c r="Z43" i="151" s="1"/>
  <c r="U45" i="151"/>
  <c r="U47" i="151"/>
  <c r="Y67" i="151"/>
  <c r="Z67" i="151" s="1"/>
  <c r="Y69" i="151"/>
  <c r="Z69" i="151" s="1"/>
  <c r="Y71" i="151"/>
  <c r="Z71" i="151" s="1"/>
  <c r="U75" i="151"/>
  <c r="U77" i="151"/>
  <c r="U299" i="151"/>
  <c r="U301" i="151"/>
  <c r="U367" i="151"/>
  <c r="U369" i="151"/>
  <c r="U371" i="151"/>
  <c r="U508" i="151"/>
  <c r="Y175" i="151"/>
  <c r="Z175" i="151" s="1"/>
  <c r="Y177" i="151"/>
  <c r="Z177" i="151" s="1"/>
  <c r="Y179" i="151"/>
  <c r="Z179" i="151" s="1"/>
  <c r="Y181" i="151"/>
  <c r="Z181" i="151" s="1"/>
  <c r="U311" i="151"/>
  <c r="U313" i="151"/>
  <c r="U315" i="151"/>
  <c r="U317" i="151"/>
  <c r="U319" i="151"/>
  <c r="Y362" i="151"/>
  <c r="Z362" i="151" s="1"/>
  <c r="Y364" i="151"/>
  <c r="Z364" i="151" s="1"/>
  <c r="Y482" i="151"/>
  <c r="Z482" i="151" s="1"/>
  <c r="U484" i="151"/>
  <c r="U486" i="151"/>
  <c r="U488" i="151"/>
  <c r="U490" i="151"/>
  <c r="N31" i="57"/>
  <c r="R3" i="99"/>
  <c r="R6" i="99"/>
  <c r="R9" i="99"/>
  <c r="R11" i="99"/>
  <c r="R15" i="99"/>
  <c r="R20" i="99"/>
  <c r="R22" i="99"/>
  <c r="R25" i="99"/>
  <c r="R27" i="99"/>
  <c r="R32" i="99"/>
  <c r="R34" i="99"/>
  <c r="R36" i="99"/>
  <c r="R39" i="99"/>
  <c r="R42" i="99"/>
  <c r="R44" i="99"/>
  <c r="R46" i="99"/>
  <c r="R49" i="99"/>
  <c r="R51" i="99"/>
  <c r="R55" i="99"/>
  <c r="R57" i="99"/>
  <c r="R60" i="99"/>
  <c r="R63" i="99"/>
  <c r="R65" i="99"/>
  <c r="R67" i="99"/>
  <c r="R69" i="99"/>
  <c r="R71" i="99"/>
  <c r="R74" i="99"/>
  <c r="R79" i="99"/>
  <c r="R82" i="99"/>
  <c r="R84" i="99"/>
  <c r="R86" i="99"/>
  <c r="R88" i="99"/>
  <c r="R91" i="99"/>
  <c r="R93" i="99"/>
  <c r="R95" i="99"/>
  <c r="R97" i="99"/>
  <c r="R99" i="99"/>
  <c r="R102" i="99"/>
  <c r="R104" i="99"/>
  <c r="R106" i="99"/>
  <c r="R109" i="99"/>
  <c r="R112" i="99"/>
  <c r="V258" i="99"/>
  <c r="W258" i="99" s="1"/>
  <c r="R258" i="99"/>
  <c r="V260" i="99"/>
  <c r="W260" i="99" s="1"/>
  <c r="R260" i="99"/>
  <c r="V262" i="99"/>
  <c r="W262" i="99" s="1"/>
  <c r="R262" i="99"/>
  <c r="V264" i="99"/>
  <c r="W264" i="99" s="1"/>
  <c r="R264" i="99"/>
  <c r="V268" i="99"/>
  <c r="W268" i="99" s="1"/>
  <c r="R268" i="99"/>
  <c r="V270" i="99"/>
  <c r="W270" i="99" s="1"/>
  <c r="R270" i="99"/>
  <c r="V272" i="99"/>
  <c r="W272" i="99" s="1"/>
  <c r="R272" i="99"/>
  <c r="V274" i="99"/>
  <c r="W274" i="99" s="1"/>
  <c r="R274" i="99"/>
  <c r="V276" i="99"/>
  <c r="W276" i="99" s="1"/>
  <c r="R276" i="99"/>
  <c r="V278" i="99"/>
  <c r="W278" i="99" s="1"/>
  <c r="R278" i="99"/>
  <c r="V280" i="99"/>
  <c r="W280" i="99" s="1"/>
  <c r="R280" i="99"/>
  <c r="V282" i="99"/>
  <c r="W282" i="99" s="1"/>
  <c r="R282" i="99"/>
  <c r="V284" i="99"/>
  <c r="W284" i="99" s="1"/>
  <c r="R284" i="99"/>
  <c r="V287" i="99"/>
  <c r="W287" i="99" s="1"/>
  <c r="R287" i="99"/>
  <c r="V289" i="99"/>
  <c r="W289" i="99" s="1"/>
  <c r="R289" i="99"/>
  <c r="V293" i="99"/>
  <c r="W293" i="99" s="1"/>
  <c r="R293" i="99"/>
  <c r="V295" i="99"/>
  <c r="W295" i="99" s="1"/>
  <c r="R295" i="99"/>
  <c r="V298" i="99"/>
  <c r="W298" i="99" s="1"/>
  <c r="R298" i="99"/>
  <c r="V300" i="99"/>
  <c r="W300" i="99" s="1"/>
  <c r="R300" i="99"/>
  <c r="V302" i="99"/>
  <c r="W302" i="99" s="1"/>
  <c r="R302" i="99"/>
  <c r="V304" i="99"/>
  <c r="W304" i="99" s="1"/>
  <c r="R304" i="99"/>
  <c r="R483" i="99" s="1"/>
  <c r="V307" i="99"/>
  <c r="W307" i="99" s="1"/>
  <c r="R307" i="99"/>
  <c r="V309" i="99"/>
  <c r="W309" i="99" s="1"/>
  <c r="R309" i="99"/>
  <c r="V311" i="99"/>
  <c r="W311" i="99" s="1"/>
  <c r="R311" i="99"/>
  <c r="V313" i="99"/>
  <c r="W313" i="99" s="1"/>
  <c r="R313" i="99"/>
  <c r="V315" i="99"/>
  <c r="W315" i="99" s="1"/>
  <c r="R315" i="99"/>
  <c r="V317" i="99"/>
  <c r="W317" i="99" s="1"/>
  <c r="R317" i="99"/>
  <c r="V319" i="99"/>
  <c r="W319" i="99" s="1"/>
  <c r="R319" i="99"/>
  <c r="V321" i="99"/>
  <c r="W321" i="99" s="1"/>
  <c r="R321" i="99"/>
  <c r="V323" i="99"/>
  <c r="W323" i="99" s="1"/>
  <c r="R323" i="99"/>
  <c r="V325" i="99"/>
  <c r="W325" i="99" s="1"/>
  <c r="R325" i="99"/>
  <c r="V327" i="99"/>
  <c r="W327" i="99" s="1"/>
  <c r="R327" i="99"/>
  <c r="V329" i="99"/>
  <c r="W329" i="99" s="1"/>
  <c r="R329" i="99"/>
  <c r="V331" i="99"/>
  <c r="W331" i="99" s="1"/>
  <c r="R331" i="99"/>
  <c r="V333" i="99"/>
  <c r="W333" i="99" s="1"/>
  <c r="R333" i="99"/>
  <c r="V335" i="99"/>
  <c r="W335" i="99" s="1"/>
  <c r="R335" i="99"/>
  <c r="V337" i="99"/>
  <c r="W337" i="99" s="1"/>
  <c r="R337" i="99"/>
  <c r="V339" i="99"/>
  <c r="W339" i="99" s="1"/>
  <c r="R339" i="99"/>
  <c r="V341" i="99"/>
  <c r="W341" i="99" s="1"/>
  <c r="R341" i="99"/>
  <c r="V343" i="99"/>
  <c r="W343" i="99" s="1"/>
  <c r="R343" i="99"/>
  <c r="V345" i="99"/>
  <c r="W345" i="99" s="1"/>
  <c r="R345" i="99"/>
  <c r="Q479" i="99"/>
  <c r="W114" i="124"/>
  <c r="X114" i="124" s="1"/>
  <c r="S114" i="124"/>
  <c r="W117" i="124"/>
  <c r="X117" i="124" s="1"/>
  <c r="S117" i="124"/>
  <c r="W119" i="124"/>
  <c r="X119" i="124" s="1"/>
  <c r="S119" i="124"/>
  <c r="W121" i="124"/>
  <c r="X121" i="124" s="1"/>
  <c r="S121" i="124"/>
  <c r="W123" i="124"/>
  <c r="X123" i="124" s="1"/>
  <c r="S123" i="124"/>
  <c r="W238" i="124"/>
  <c r="X238" i="124" s="1"/>
  <c r="S238" i="124"/>
  <c r="W240" i="124"/>
  <c r="X240" i="124" s="1"/>
  <c r="S240" i="124"/>
  <c r="W242" i="124"/>
  <c r="X242" i="124" s="1"/>
  <c r="S242" i="124"/>
  <c r="R347" i="99"/>
  <c r="R380" i="99"/>
  <c r="R393" i="99"/>
  <c r="R395" i="99"/>
  <c r="T395" i="99"/>
  <c r="V395" i="99" s="1"/>
  <c r="W395" i="99" s="1"/>
  <c r="R405" i="99"/>
  <c r="R407" i="99"/>
  <c r="R434" i="99"/>
  <c r="R438" i="99"/>
  <c r="R440" i="99"/>
  <c r="R442" i="99"/>
  <c r="V444" i="99"/>
  <c r="W444" i="99" s="1"/>
  <c r="V445" i="99"/>
  <c r="W445" i="99" s="1"/>
  <c r="R450" i="99"/>
  <c r="U450" i="99"/>
  <c r="V450" i="99" s="1"/>
  <c r="W450" i="99" s="1"/>
  <c r="R451" i="99"/>
  <c r="R453" i="99"/>
  <c r="T453" i="99"/>
  <c r="V453" i="99" s="1"/>
  <c r="W453" i="99" s="1"/>
  <c r="H534" i="124"/>
  <c r="G535" i="124"/>
  <c r="S31" i="124"/>
  <c r="S33" i="124"/>
  <c r="S35" i="124"/>
  <c r="S37" i="124"/>
  <c r="S39" i="124"/>
  <c r="S41" i="124"/>
  <c r="S43" i="124"/>
  <c r="S45" i="124"/>
  <c r="S59" i="124"/>
  <c r="S61" i="124"/>
  <c r="S63" i="124"/>
  <c r="S66" i="124"/>
  <c r="S68" i="124"/>
  <c r="S70" i="124"/>
  <c r="S73" i="124"/>
  <c r="S75" i="124"/>
  <c r="S78" i="124"/>
  <c r="S80" i="124"/>
  <c r="S83" i="124"/>
  <c r="S85" i="124"/>
  <c r="S89" i="124"/>
  <c r="W132" i="124"/>
  <c r="X132" i="124" s="1"/>
  <c r="S132" i="124"/>
  <c r="W134" i="124"/>
  <c r="X134" i="124" s="1"/>
  <c r="S134" i="124"/>
  <c r="W136" i="124"/>
  <c r="X136" i="124" s="1"/>
  <c r="S136" i="124"/>
  <c r="W138" i="124"/>
  <c r="X138" i="124" s="1"/>
  <c r="S138" i="124"/>
  <c r="W140" i="124"/>
  <c r="X140" i="124" s="1"/>
  <c r="S140" i="124"/>
  <c r="W142" i="124"/>
  <c r="X142" i="124" s="1"/>
  <c r="S142" i="124"/>
  <c r="W144" i="124"/>
  <c r="X144" i="124" s="1"/>
  <c r="S144" i="124"/>
  <c r="W146" i="124"/>
  <c r="X146" i="124" s="1"/>
  <c r="S146" i="124"/>
  <c r="W148" i="124"/>
  <c r="X148" i="124" s="1"/>
  <c r="S148" i="124"/>
  <c r="W150" i="124"/>
  <c r="X150" i="124" s="1"/>
  <c r="S150" i="124"/>
  <c r="W152" i="124"/>
  <c r="X152" i="124" s="1"/>
  <c r="S152" i="124"/>
  <c r="W154" i="124"/>
  <c r="X154" i="124" s="1"/>
  <c r="S154" i="124"/>
  <c r="W156" i="124"/>
  <c r="X156" i="124" s="1"/>
  <c r="S156" i="124"/>
  <c r="W158" i="124"/>
  <c r="X158" i="124" s="1"/>
  <c r="S158" i="124"/>
  <c r="W160" i="124"/>
  <c r="X160" i="124" s="1"/>
  <c r="S160" i="124"/>
  <c r="W162" i="124"/>
  <c r="X162" i="124" s="1"/>
  <c r="S162" i="124"/>
  <c r="W164" i="124"/>
  <c r="X164" i="124" s="1"/>
  <c r="S164" i="124"/>
  <c r="W167" i="124"/>
  <c r="X167" i="124" s="1"/>
  <c r="S167" i="124"/>
  <c r="W169" i="124"/>
  <c r="X169" i="124" s="1"/>
  <c r="S169" i="124"/>
  <c r="W171" i="124"/>
  <c r="X171" i="124" s="1"/>
  <c r="S171" i="124"/>
  <c r="W173" i="124"/>
  <c r="X173" i="124" s="1"/>
  <c r="S173" i="124"/>
  <c r="W175" i="124"/>
  <c r="X175" i="124" s="1"/>
  <c r="S175" i="124"/>
  <c r="W177" i="124"/>
  <c r="X177" i="124" s="1"/>
  <c r="S177" i="124"/>
  <c r="L534" i="124"/>
  <c r="Q179" i="124"/>
  <c r="W179" i="124" s="1"/>
  <c r="X179" i="124" s="1"/>
  <c r="Q131" i="124"/>
  <c r="S244" i="124"/>
  <c r="S246" i="124"/>
  <c r="S248" i="124"/>
  <c r="S250" i="124"/>
  <c r="S252" i="124"/>
  <c r="S254" i="124"/>
  <c r="S256" i="124"/>
  <c r="S258" i="124"/>
  <c r="S260" i="124"/>
  <c r="S262" i="124"/>
  <c r="S264" i="124"/>
  <c r="S266" i="124"/>
  <c r="S268" i="124"/>
  <c r="S270" i="124"/>
  <c r="S272" i="124"/>
  <c r="S274" i="124"/>
  <c r="S276" i="124"/>
  <c r="S278" i="124"/>
  <c r="S280" i="124"/>
  <c r="S282" i="124"/>
  <c r="S328" i="124"/>
  <c r="S330" i="124"/>
  <c r="N22" i="67" s="1"/>
  <c r="S332" i="124"/>
  <c r="S334" i="124"/>
  <c r="S336" i="124"/>
  <c r="S338" i="124"/>
  <c r="S340" i="124"/>
  <c r="S342" i="124"/>
  <c r="S344" i="124"/>
  <c r="S346" i="124"/>
  <c r="S348" i="124"/>
  <c r="S350" i="124"/>
  <c r="S352" i="124"/>
  <c r="S368" i="124"/>
  <c r="S371" i="124"/>
  <c r="Q377" i="124"/>
  <c r="S378" i="124"/>
  <c r="S380" i="124"/>
  <c r="S382" i="124"/>
  <c r="S384" i="124"/>
  <c r="S386" i="124"/>
  <c r="S388" i="124"/>
  <c r="S390" i="124"/>
  <c r="S392" i="124"/>
  <c r="Q403" i="124"/>
  <c r="S404" i="124"/>
  <c r="S406" i="124"/>
  <c r="S408" i="124"/>
  <c r="S410" i="124"/>
  <c r="S412" i="124"/>
  <c r="S414" i="124"/>
  <c r="S416" i="124"/>
  <c r="S418" i="124"/>
  <c r="S420" i="124"/>
  <c r="S424" i="124"/>
  <c r="L10" i="125" s="1"/>
  <c r="S426" i="124"/>
  <c r="S429" i="124"/>
  <c r="S431" i="124"/>
  <c r="Q434" i="124"/>
  <c r="S436" i="124"/>
  <c r="S441" i="124"/>
  <c r="Q449" i="124"/>
  <c r="Q453" i="124"/>
  <c r="Q456" i="124"/>
  <c r="S458" i="124"/>
  <c r="S460" i="124"/>
  <c r="S462" i="124"/>
  <c r="S464" i="124"/>
  <c r="S466" i="124"/>
  <c r="S468" i="124"/>
  <c r="S470" i="124"/>
  <c r="S472" i="124"/>
  <c r="S474" i="124"/>
  <c r="S476" i="124"/>
  <c r="S478" i="124"/>
  <c r="Q482" i="124"/>
  <c r="S483" i="124"/>
  <c r="S484" i="124"/>
  <c r="S485" i="124"/>
  <c r="S486" i="124"/>
  <c r="S493" i="124"/>
  <c r="S495" i="124"/>
  <c r="S497" i="124"/>
  <c r="S499" i="124"/>
  <c r="S501" i="124"/>
  <c r="Q503" i="124"/>
  <c r="S505" i="124"/>
  <c r="S507" i="124"/>
  <c r="S509" i="124"/>
  <c r="S511" i="124"/>
  <c r="S513" i="124"/>
  <c r="S515" i="124"/>
  <c r="S517" i="124"/>
  <c r="S519" i="124"/>
  <c r="S521" i="124"/>
  <c r="S523" i="124"/>
  <c r="S525" i="124"/>
  <c r="S527" i="124"/>
  <c r="S529" i="124"/>
  <c r="S531" i="124"/>
  <c r="S533" i="124"/>
  <c r="U4" i="158"/>
  <c r="U5" i="158"/>
  <c r="U6" i="158"/>
  <c r="U8" i="158"/>
  <c r="U9" i="158"/>
  <c r="U10" i="158"/>
  <c r="U11" i="158"/>
  <c r="U12" i="158"/>
  <c r="U13" i="158"/>
  <c r="U14" i="158"/>
  <c r="U15" i="158"/>
  <c r="U16" i="158"/>
  <c r="U17" i="158"/>
  <c r="U18" i="158"/>
  <c r="U19" i="158"/>
  <c r="U20" i="158"/>
  <c r="U21" i="158"/>
  <c r="U22" i="158"/>
  <c r="U23" i="158"/>
  <c r="U24" i="158"/>
  <c r="Y25" i="158"/>
  <c r="Z25" i="158" s="1"/>
  <c r="Y26" i="158"/>
  <c r="Z26" i="158" s="1"/>
  <c r="Y27" i="158"/>
  <c r="Z27" i="158" s="1"/>
  <c r="Y28" i="158"/>
  <c r="Z28" i="158" s="1"/>
  <c r="Y29" i="158"/>
  <c r="Z29" i="158" s="1"/>
  <c r="Y30" i="158"/>
  <c r="Z30" i="158" s="1"/>
  <c r="Y31" i="158"/>
  <c r="Z31" i="158" s="1"/>
  <c r="Y32" i="158"/>
  <c r="Z32" i="158" s="1"/>
  <c r="Y33" i="158"/>
  <c r="Z33" i="158" s="1"/>
  <c r="Y34" i="158"/>
  <c r="Z34" i="158" s="1"/>
  <c r="Y35" i="158"/>
  <c r="Z35" i="158" s="1"/>
  <c r="Y36" i="158"/>
  <c r="Z36" i="158" s="1"/>
  <c r="Y37" i="158"/>
  <c r="Z37" i="158" s="1"/>
  <c r="Y38" i="158"/>
  <c r="Z38" i="158" s="1"/>
  <c r="Y39" i="158"/>
  <c r="Z39" i="158" s="1"/>
  <c r="Y40" i="158"/>
  <c r="Z40" i="158" s="1"/>
  <c r="Y41" i="158"/>
  <c r="Z41" i="158" s="1"/>
  <c r="Y42" i="158"/>
  <c r="Z42" i="158" s="1"/>
  <c r="Y43" i="158"/>
  <c r="Z43" i="158" s="1"/>
  <c r="U45" i="158"/>
  <c r="U46" i="158"/>
  <c r="U47" i="158"/>
  <c r="U48" i="158"/>
  <c r="U49" i="158"/>
  <c r="U50" i="158"/>
  <c r="U51" i="158"/>
  <c r="U52" i="158"/>
  <c r="U53" i="158"/>
  <c r="U54" i="158"/>
  <c r="U55" i="158"/>
  <c r="U56" i="158"/>
  <c r="U57" i="158"/>
  <c r="U58" i="158"/>
  <c r="U59" i="158"/>
  <c r="U60" i="158"/>
  <c r="U61" i="158"/>
  <c r="U62" i="158"/>
  <c r="U63" i="158"/>
  <c r="U64" i="158"/>
  <c r="U65" i="158"/>
  <c r="U66" i="158"/>
  <c r="U67" i="158"/>
  <c r="Y77" i="158"/>
  <c r="Z77" i="158" s="1"/>
  <c r="U77" i="158"/>
  <c r="Y80" i="158"/>
  <c r="Z80" i="158" s="1"/>
  <c r="U80" i="158"/>
  <c r="Y82" i="158"/>
  <c r="Z82" i="158" s="1"/>
  <c r="U82" i="158"/>
  <c r="Y84" i="158"/>
  <c r="Z84" i="158" s="1"/>
  <c r="U84" i="158"/>
  <c r="Y86" i="158"/>
  <c r="Z86" i="158" s="1"/>
  <c r="U86" i="158"/>
  <c r="Y88" i="158"/>
  <c r="Z88" i="158" s="1"/>
  <c r="U88" i="158"/>
  <c r="Y90" i="158"/>
  <c r="Z90" i="158" s="1"/>
  <c r="U90" i="158"/>
  <c r="Y92" i="158"/>
  <c r="Z92" i="158" s="1"/>
  <c r="U92" i="158"/>
  <c r="Y94" i="158"/>
  <c r="Z94" i="158" s="1"/>
  <c r="U94" i="158"/>
  <c r="Y96" i="158"/>
  <c r="Z96" i="158" s="1"/>
  <c r="U96" i="158"/>
  <c r="Y98" i="158"/>
  <c r="Z98" i="158" s="1"/>
  <c r="U98" i="158"/>
  <c r="Y100" i="158"/>
  <c r="Z100" i="158" s="1"/>
  <c r="U100" i="158"/>
  <c r="Y102" i="158"/>
  <c r="Z102" i="158" s="1"/>
  <c r="U102" i="158"/>
  <c r="Y104" i="158"/>
  <c r="Z104" i="158" s="1"/>
  <c r="U104" i="158"/>
  <c r="Y106" i="158"/>
  <c r="Z106" i="158" s="1"/>
  <c r="U106" i="158"/>
  <c r="Y108" i="158"/>
  <c r="Z108" i="158" s="1"/>
  <c r="U108" i="158"/>
  <c r="Y110" i="158"/>
  <c r="Z110" i="158" s="1"/>
  <c r="U110" i="158"/>
  <c r="Y112" i="158"/>
  <c r="Z112" i="158" s="1"/>
  <c r="U112" i="158"/>
  <c r="Y114" i="158"/>
  <c r="Z114" i="158" s="1"/>
  <c r="U114" i="158"/>
  <c r="Y116" i="158"/>
  <c r="Z116" i="158" s="1"/>
  <c r="U116" i="158"/>
  <c r="Y118" i="158"/>
  <c r="Z118" i="158" s="1"/>
  <c r="U118" i="158"/>
  <c r="Y120" i="158"/>
  <c r="Z120" i="158" s="1"/>
  <c r="U120" i="158"/>
  <c r="Y122" i="158"/>
  <c r="Z122" i="158" s="1"/>
  <c r="U122" i="158"/>
  <c r="Y124" i="158"/>
  <c r="Z124" i="158" s="1"/>
  <c r="U124" i="158"/>
  <c r="Y126" i="158"/>
  <c r="Z126" i="158" s="1"/>
  <c r="U126" i="158"/>
  <c r="Y128" i="158"/>
  <c r="Z128" i="158" s="1"/>
  <c r="U128" i="158"/>
  <c r="Y130" i="158"/>
  <c r="Z130" i="158" s="1"/>
  <c r="U130" i="158"/>
  <c r="Y158" i="158"/>
  <c r="Z158" i="158" s="1"/>
  <c r="U158" i="158"/>
  <c r="W483" i="124"/>
  <c r="X483" i="124" s="1"/>
  <c r="W484" i="124"/>
  <c r="X484" i="124" s="1"/>
  <c r="W485" i="124"/>
  <c r="X485" i="124" s="1"/>
  <c r="W486" i="124"/>
  <c r="X486" i="124" s="1"/>
  <c r="P534" i="124"/>
  <c r="Y76" i="158"/>
  <c r="Z76" i="158" s="1"/>
  <c r="U76" i="158"/>
  <c r="Y78" i="158"/>
  <c r="Z78" i="158" s="1"/>
  <c r="U78" i="158"/>
  <c r="Y81" i="158"/>
  <c r="Z81" i="158" s="1"/>
  <c r="U81" i="158"/>
  <c r="Y83" i="158"/>
  <c r="Z83" i="158" s="1"/>
  <c r="U83" i="158"/>
  <c r="Y85" i="158"/>
  <c r="Z85" i="158" s="1"/>
  <c r="U85" i="158"/>
  <c r="Y87" i="158"/>
  <c r="Z87" i="158" s="1"/>
  <c r="U87" i="158"/>
  <c r="Y89" i="158"/>
  <c r="Z89" i="158" s="1"/>
  <c r="U89" i="158"/>
  <c r="Y91" i="158"/>
  <c r="Z91" i="158" s="1"/>
  <c r="U91" i="158"/>
  <c r="Y93" i="158"/>
  <c r="Z93" i="158" s="1"/>
  <c r="U93" i="158"/>
  <c r="Y95" i="158"/>
  <c r="Z95" i="158" s="1"/>
  <c r="U95" i="158"/>
  <c r="Y97" i="158"/>
  <c r="Z97" i="158" s="1"/>
  <c r="U97" i="158"/>
  <c r="Y99" i="158"/>
  <c r="Z99" i="158" s="1"/>
  <c r="U99" i="158"/>
  <c r="Y101" i="158"/>
  <c r="Z101" i="158" s="1"/>
  <c r="U101" i="158"/>
  <c r="Y103" i="158"/>
  <c r="Z103" i="158" s="1"/>
  <c r="U103" i="158"/>
  <c r="Y105" i="158"/>
  <c r="Z105" i="158" s="1"/>
  <c r="U105" i="158"/>
  <c r="Y107" i="158"/>
  <c r="Z107" i="158" s="1"/>
  <c r="U107" i="158"/>
  <c r="Y109" i="158"/>
  <c r="Z109" i="158" s="1"/>
  <c r="U109" i="158"/>
  <c r="Y111" i="158"/>
  <c r="Z111" i="158" s="1"/>
  <c r="U111" i="158"/>
  <c r="Y113" i="158"/>
  <c r="Z113" i="158" s="1"/>
  <c r="U113" i="158"/>
  <c r="Y115" i="158"/>
  <c r="Z115" i="158" s="1"/>
  <c r="U115" i="158"/>
  <c r="Y117" i="158"/>
  <c r="Z117" i="158" s="1"/>
  <c r="U117" i="158"/>
  <c r="Y119" i="158"/>
  <c r="Z119" i="158" s="1"/>
  <c r="U119" i="158"/>
  <c r="Y121" i="158"/>
  <c r="Z121" i="158" s="1"/>
  <c r="U121" i="158"/>
  <c r="Y123" i="158"/>
  <c r="Z123" i="158" s="1"/>
  <c r="U123" i="158"/>
  <c r="Y125" i="158"/>
  <c r="Z125" i="158" s="1"/>
  <c r="U125" i="158"/>
  <c r="Y127" i="158"/>
  <c r="Z127" i="158" s="1"/>
  <c r="U127" i="158"/>
  <c r="Y129" i="158"/>
  <c r="Z129" i="158" s="1"/>
  <c r="U129" i="158"/>
  <c r="P559" i="158"/>
  <c r="S132" i="158"/>
  <c r="U159" i="158"/>
  <c r="U160" i="158"/>
  <c r="U161" i="158"/>
  <c r="U162" i="158"/>
  <c r="U163" i="158"/>
  <c r="U164" i="158"/>
  <c r="U165" i="158"/>
  <c r="U166" i="158"/>
  <c r="U167" i="158"/>
  <c r="U168" i="158"/>
  <c r="U169" i="158"/>
  <c r="U170" i="158"/>
  <c r="U171" i="158"/>
  <c r="U172" i="158"/>
  <c r="U173" i="158"/>
  <c r="U174" i="158"/>
  <c r="U175" i="158"/>
  <c r="U176" i="158"/>
  <c r="U177" i="158"/>
  <c r="U178" i="158"/>
  <c r="U179" i="158"/>
  <c r="U180" i="158"/>
  <c r="U181" i="158"/>
  <c r="U193" i="158"/>
  <c r="U194" i="158"/>
  <c r="U195" i="158"/>
  <c r="U196" i="158"/>
  <c r="U197" i="158"/>
  <c r="U198" i="158"/>
  <c r="U199" i="158"/>
  <c r="U200" i="158"/>
  <c r="N545" i="154"/>
  <c r="K544" i="154"/>
  <c r="S383" i="154"/>
  <c r="Y383" i="154" s="1"/>
  <c r="S384" i="154"/>
  <c r="Y384" i="154" s="1"/>
  <c r="S387" i="154"/>
  <c r="Y387" i="154" s="1"/>
  <c r="S388" i="154"/>
  <c r="Y388" i="154" s="1"/>
  <c r="S391" i="154"/>
  <c r="Y391" i="154" s="1"/>
  <c r="S392" i="154"/>
  <c r="Y392" i="154" s="1"/>
  <c r="S395" i="154"/>
  <c r="Y395" i="154" s="1"/>
  <c r="Q396" i="154"/>
  <c r="Q405" i="154"/>
  <c r="Q406" i="154"/>
  <c r="W406" i="154" s="1"/>
  <c r="X406" i="154" s="1"/>
  <c r="S407" i="154"/>
  <c r="Y407" i="154" s="1"/>
  <c r="S410" i="154"/>
  <c r="Y410" i="154" s="1"/>
  <c r="S411" i="154"/>
  <c r="Y411" i="154" s="1"/>
  <c r="S414" i="154"/>
  <c r="Y414" i="154" s="1"/>
  <c r="S426" i="154"/>
  <c r="Y426" i="154" s="1"/>
  <c r="S427" i="154"/>
  <c r="Y427" i="154" s="1"/>
  <c r="Q437" i="154"/>
  <c r="S438" i="154"/>
  <c r="Y438" i="154" s="1"/>
  <c r="Q448" i="154"/>
  <c r="S453" i="154"/>
  <c r="Y453" i="154" s="1"/>
  <c r="S458" i="154"/>
  <c r="Y458" i="154" s="1"/>
  <c r="Y461" i="154"/>
  <c r="S463" i="154"/>
  <c r="Y463" i="154" s="1"/>
  <c r="S464" i="154"/>
  <c r="Y464" i="154" s="1"/>
  <c r="S467" i="154"/>
  <c r="Y467" i="154" s="1"/>
  <c r="S468" i="154"/>
  <c r="Y468" i="154" s="1"/>
  <c r="S471" i="154"/>
  <c r="Y471" i="154" s="1"/>
  <c r="S472" i="154"/>
  <c r="Y472" i="154" s="1"/>
  <c r="S490" i="154"/>
  <c r="W495" i="154"/>
  <c r="X495" i="154" s="1"/>
  <c r="S499" i="154"/>
  <c r="Y17" i="151"/>
  <c r="Z17" i="151" s="1"/>
  <c r="U17" i="151"/>
  <c r="Y19" i="151"/>
  <c r="Z19" i="151" s="1"/>
  <c r="U19" i="151"/>
  <c r="Y21" i="151"/>
  <c r="Z21" i="151" s="1"/>
  <c r="U21" i="151"/>
  <c r="Y23" i="151"/>
  <c r="Z23" i="151" s="1"/>
  <c r="U23" i="151"/>
  <c r="K559" i="151"/>
  <c r="K560" i="151"/>
  <c r="U361" i="151"/>
  <c r="Y361" i="151"/>
  <c r="Z361" i="151" s="1"/>
  <c r="U335" i="158"/>
  <c r="U336" i="158"/>
  <c r="U337" i="158"/>
  <c r="U338" i="158"/>
  <c r="U339" i="158"/>
  <c r="U340" i="158"/>
  <c r="U341" i="158"/>
  <c r="U342" i="158"/>
  <c r="U343" i="158"/>
  <c r="U344" i="158"/>
  <c r="U345" i="158"/>
  <c r="U346" i="158"/>
  <c r="U347" i="158"/>
  <c r="U349" i="158"/>
  <c r="U350" i="158"/>
  <c r="U351" i="158"/>
  <c r="U352" i="158"/>
  <c r="U353" i="158"/>
  <c r="U354" i="158"/>
  <c r="U355" i="158"/>
  <c r="U356" i="158"/>
  <c r="U357" i="158"/>
  <c r="U358" i="158"/>
  <c r="U359" i="158"/>
  <c r="U360" i="158"/>
  <c r="U361" i="158"/>
  <c r="U362" i="158"/>
  <c r="U363" i="158"/>
  <c r="U364" i="158"/>
  <c r="U365" i="158"/>
  <c r="U366" i="158"/>
  <c r="U367" i="158"/>
  <c r="U368" i="158"/>
  <c r="U369" i="158"/>
  <c r="U370" i="158"/>
  <c r="U371" i="158"/>
  <c r="U372" i="158"/>
  <c r="U373" i="158"/>
  <c r="U374" i="158"/>
  <c r="U375" i="158"/>
  <c r="U376" i="158"/>
  <c r="U377" i="158"/>
  <c r="U378" i="158"/>
  <c r="U379" i="158"/>
  <c r="U380" i="158"/>
  <c r="U381" i="158"/>
  <c r="U382" i="158"/>
  <c r="U383" i="158"/>
  <c r="U384" i="158"/>
  <c r="U385" i="158"/>
  <c r="U386" i="158"/>
  <c r="U387" i="158"/>
  <c r="U388" i="158"/>
  <c r="U389" i="158"/>
  <c r="U409" i="158"/>
  <c r="U410" i="158"/>
  <c r="U411" i="158"/>
  <c r="U412" i="158"/>
  <c r="U413" i="158"/>
  <c r="U414" i="158"/>
  <c r="U415" i="158"/>
  <c r="U416" i="158"/>
  <c r="S417" i="158"/>
  <c r="S467" i="158"/>
  <c r="U474" i="158"/>
  <c r="U475" i="158"/>
  <c r="U476" i="158"/>
  <c r="U477" i="158"/>
  <c r="U478" i="158"/>
  <c r="U479" i="158"/>
  <c r="U480" i="158"/>
  <c r="U481" i="158"/>
  <c r="U482" i="158"/>
  <c r="U483" i="158"/>
  <c r="U484" i="158"/>
  <c r="U485" i="158"/>
  <c r="U486" i="158"/>
  <c r="U487" i="158"/>
  <c r="U488" i="158"/>
  <c r="U489" i="158"/>
  <c r="U490" i="158"/>
  <c r="U491" i="158"/>
  <c r="U492" i="158"/>
  <c r="U493" i="158"/>
  <c r="U494" i="158"/>
  <c r="U495" i="158"/>
  <c r="U496" i="158"/>
  <c r="U497" i="158"/>
  <c r="U498" i="158"/>
  <c r="U499" i="158"/>
  <c r="U500" i="158"/>
  <c r="U501" i="158"/>
  <c r="U502" i="158"/>
  <c r="U503" i="158"/>
  <c r="S506" i="158"/>
  <c r="W490" i="154"/>
  <c r="X490" i="154" s="1"/>
  <c r="Y16" i="151"/>
  <c r="Z16" i="151" s="1"/>
  <c r="U16" i="151"/>
  <c r="Y18" i="151"/>
  <c r="Z18" i="151" s="1"/>
  <c r="U18" i="151"/>
  <c r="Y20" i="151"/>
  <c r="Z20" i="151" s="1"/>
  <c r="U20" i="151"/>
  <c r="Y22" i="151"/>
  <c r="Z22" i="151" s="1"/>
  <c r="U22" i="151"/>
  <c r="U66" i="151"/>
  <c r="Y66" i="151"/>
  <c r="Z66" i="151" s="1"/>
  <c r="Y384" i="151"/>
  <c r="Z384" i="151" s="1"/>
  <c r="U384" i="151"/>
  <c r="Y386" i="151"/>
  <c r="Z386" i="151" s="1"/>
  <c r="U386" i="151"/>
  <c r="Y388" i="151"/>
  <c r="Z388" i="151" s="1"/>
  <c r="U388" i="151"/>
  <c r="Y391" i="151"/>
  <c r="Z391" i="151" s="1"/>
  <c r="U391" i="151"/>
  <c r="Y393" i="151"/>
  <c r="Z393" i="151" s="1"/>
  <c r="U393" i="151"/>
  <c r="Y395" i="151"/>
  <c r="Z395" i="151" s="1"/>
  <c r="U395" i="151"/>
  <c r="Y397" i="151"/>
  <c r="Z397" i="151" s="1"/>
  <c r="U397" i="151"/>
  <c r="Y399" i="151"/>
  <c r="Z399" i="151" s="1"/>
  <c r="U399" i="151"/>
  <c r="U410" i="151"/>
  <c r="Y410" i="151"/>
  <c r="Z410" i="151" s="1"/>
  <c r="Y412" i="151"/>
  <c r="Z412" i="151" s="1"/>
  <c r="U412" i="151"/>
  <c r="U423" i="151"/>
  <c r="Y423" i="151"/>
  <c r="Z423" i="151" s="1"/>
  <c r="U425" i="151"/>
  <c r="Y425" i="151"/>
  <c r="Z425" i="151" s="1"/>
  <c r="Y427" i="151"/>
  <c r="Z427" i="151" s="1"/>
  <c r="U427" i="151"/>
  <c r="Y429" i="151"/>
  <c r="Z429" i="151" s="1"/>
  <c r="U429" i="151"/>
  <c r="Y431" i="151"/>
  <c r="Z431" i="151" s="1"/>
  <c r="U431" i="151"/>
  <c r="Y433" i="151"/>
  <c r="Z433" i="151" s="1"/>
  <c r="U433" i="151"/>
  <c r="Y436" i="151"/>
  <c r="Z436" i="151" s="1"/>
  <c r="U436" i="151"/>
  <c r="Y438" i="151"/>
  <c r="Z438" i="151" s="1"/>
  <c r="U438" i="151"/>
  <c r="J559" i="151"/>
  <c r="J560" i="151"/>
  <c r="G560" i="151"/>
  <c r="S73" i="151"/>
  <c r="U73" i="151" s="1"/>
  <c r="S78" i="151"/>
  <c r="Y78" i="151" s="1"/>
  <c r="Z78" i="151" s="1"/>
  <c r="L560" i="151"/>
  <c r="S84" i="151"/>
  <c r="U84" i="151" s="1"/>
  <c r="S85" i="151"/>
  <c r="U85" i="151" s="1"/>
  <c r="U107" i="151"/>
  <c r="U108" i="151"/>
  <c r="S109" i="151"/>
  <c r="U109" i="151" s="1"/>
  <c r="P559" i="151"/>
  <c r="P560" i="151"/>
  <c r="S117" i="151"/>
  <c r="U117" i="151" s="1"/>
  <c r="S118" i="151"/>
  <c r="O560" i="151"/>
  <c r="S135" i="151"/>
  <c r="Y135" i="151" s="1"/>
  <c r="Z135" i="151" s="1"/>
  <c r="Y138" i="151"/>
  <c r="Z138" i="151" s="1"/>
  <c r="Y139" i="151"/>
  <c r="Z139" i="151" s="1"/>
  <c r="U140" i="151"/>
  <c r="U141" i="151"/>
  <c r="U142" i="151"/>
  <c r="U143" i="151"/>
  <c r="U144" i="151"/>
  <c r="U145" i="151"/>
  <c r="U146" i="151"/>
  <c r="U147" i="151"/>
  <c r="U148" i="151"/>
  <c r="U149" i="151"/>
  <c r="U150" i="151"/>
  <c r="S174" i="151"/>
  <c r="U174" i="151" s="1"/>
  <c r="S190" i="151"/>
  <c r="Y190" i="151" s="1"/>
  <c r="Z190" i="151" s="1"/>
  <c r="Y191" i="151"/>
  <c r="Z191" i="151" s="1"/>
  <c r="U192" i="151"/>
  <c r="S196" i="151"/>
  <c r="Y196" i="151" s="1"/>
  <c r="Z196" i="151" s="1"/>
  <c r="S300" i="151"/>
  <c r="Y300" i="151" s="1"/>
  <c r="Z300" i="151" s="1"/>
  <c r="Y329" i="151"/>
  <c r="Z329" i="151" s="1"/>
  <c r="Y330" i="151"/>
  <c r="Z330" i="151" s="1"/>
  <c r="Y331" i="151"/>
  <c r="Z331" i="151" s="1"/>
  <c r="Y332" i="151"/>
  <c r="Z332" i="151" s="1"/>
  <c r="U333" i="151"/>
  <c r="U334" i="151"/>
  <c r="U335" i="151"/>
  <c r="U336" i="151"/>
  <c r="U337" i="151"/>
  <c r="U338" i="151"/>
  <c r="U339" i="151"/>
  <c r="U340" i="151"/>
  <c r="U341" i="151"/>
  <c r="U342" i="151"/>
  <c r="U343" i="151"/>
  <c r="U344" i="151"/>
  <c r="U345" i="151"/>
  <c r="U346" i="151"/>
  <c r="U349" i="151"/>
  <c r="U350" i="151"/>
  <c r="S365" i="151"/>
  <c r="Y380" i="151"/>
  <c r="Z380" i="151" s="1"/>
  <c r="Y381" i="151"/>
  <c r="Z381" i="151" s="1"/>
  <c r="Y382" i="151"/>
  <c r="Z382" i="151" s="1"/>
  <c r="Y383" i="151"/>
  <c r="Z383" i="151" s="1"/>
  <c r="Y385" i="151"/>
  <c r="Z385" i="151" s="1"/>
  <c r="U385" i="151"/>
  <c r="Y387" i="151"/>
  <c r="Z387" i="151" s="1"/>
  <c r="U387" i="151"/>
  <c r="Y389" i="151"/>
  <c r="Z389" i="151" s="1"/>
  <c r="U389" i="151"/>
  <c r="Y392" i="151"/>
  <c r="Z392" i="151" s="1"/>
  <c r="U392" i="151"/>
  <c r="Y394" i="151"/>
  <c r="Z394" i="151" s="1"/>
  <c r="U394" i="151"/>
  <c r="Y396" i="151"/>
  <c r="Z396" i="151" s="1"/>
  <c r="U396" i="151"/>
  <c r="Y398" i="151"/>
  <c r="Z398" i="151" s="1"/>
  <c r="U398" i="151"/>
  <c r="Y411" i="151"/>
  <c r="Z411" i="151" s="1"/>
  <c r="U411" i="151"/>
  <c r="Y413" i="151"/>
  <c r="Z413" i="151" s="1"/>
  <c r="U413" i="151"/>
  <c r="U424" i="151"/>
  <c r="Y424" i="151"/>
  <c r="Z424" i="151" s="1"/>
  <c r="Y426" i="151"/>
  <c r="Z426" i="151" s="1"/>
  <c r="U426" i="151"/>
  <c r="Y428" i="151"/>
  <c r="Z428" i="151" s="1"/>
  <c r="U428" i="151"/>
  <c r="Y430" i="151"/>
  <c r="Z430" i="151" s="1"/>
  <c r="U430" i="151"/>
  <c r="Y432" i="151"/>
  <c r="Z432" i="151" s="1"/>
  <c r="U432" i="151"/>
  <c r="Y434" i="151"/>
  <c r="Z434" i="151" s="1"/>
  <c r="U434" i="151"/>
  <c r="Y437" i="151"/>
  <c r="Z437" i="151" s="1"/>
  <c r="U437" i="151"/>
  <c r="Y439" i="151"/>
  <c r="Z439" i="151" s="1"/>
  <c r="U439" i="151"/>
  <c r="U466" i="151"/>
  <c r="Y466" i="151"/>
  <c r="Z466" i="151" s="1"/>
  <c r="I560" i="151"/>
  <c r="S446" i="151"/>
  <c r="U446" i="151" s="1"/>
  <c r="S449" i="151"/>
  <c r="U449" i="151" s="1"/>
  <c r="S450" i="151"/>
  <c r="Y450" i="151" s="1"/>
  <c r="Z450" i="151" s="1"/>
  <c r="S451" i="151"/>
  <c r="U451" i="151" s="1"/>
  <c r="S452" i="151"/>
  <c r="Q559" i="151"/>
  <c r="U467" i="151"/>
  <c r="U468" i="151"/>
  <c r="U469" i="151"/>
  <c r="U470" i="151"/>
  <c r="U471" i="151"/>
  <c r="S479" i="151"/>
  <c r="U479" i="151" s="1"/>
  <c r="S480" i="151"/>
  <c r="Y480" i="151" s="1"/>
  <c r="Z480" i="151" s="1"/>
  <c r="S483" i="151"/>
  <c r="Y483" i="151" s="1"/>
  <c r="Z483" i="151" s="1"/>
  <c r="S503" i="151"/>
  <c r="U503" i="151" s="1"/>
  <c r="S506" i="151"/>
  <c r="S507" i="151"/>
  <c r="Y507" i="151" s="1"/>
  <c r="Z507" i="151" s="1"/>
  <c r="S510" i="151"/>
  <c r="Y510" i="151" s="1"/>
  <c r="Z510" i="151" s="1"/>
  <c r="S517" i="151"/>
  <c r="Y517" i="151" s="1"/>
  <c r="Z517" i="151" s="1"/>
  <c r="Y523" i="151"/>
  <c r="Z523" i="151" s="1"/>
  <c r="U524" i="151"/>
  <c r="G31" i="57"/>
  <c r="L30" i="44"/>
  <c r="K30" i="44"/>
  <c r="AB11" i="167"/>
  <c r="AB12" i="167"/>
  <c r="AB13" i="167"/>
  <c r="AB14" i="167"/>
  <c r="AL30" i="166"/>
  <c r="M3" i="91"/>
  <c r="AS40" i="91"/>
  <c r="AT39" i="91"/>
  <c r="O15" i="167"/>
  <c r="T30" i="166"/>
  <c r="AF20" i="91"/>
  <c r="AQ23" i="91"/>
  <c r="AW40" i="91"/>
  <c r="R33" i="57"/>
  <c r="I9" i="83" s="1"/>
  <c r="AQ42" i="91" s="1"/>
  <c r="AH29" i="166"/>
  <c r="AJ28" i="166"/>
  <c r="AJ29" i="166"/>
  <c r="AP30" i="166"/>
  <c r="AN30" i="166"/>
  <c r="AM28" i="166"/>
  <c r="AK28" i="166" s="1"/>
  <c r="AI28" i="166" s="1"/>
  <c r="AG28" i="166" s="1"/>
  <c r="H13" i="67"/>
  <c r="S19" i="81"/>
  <c r="AJ17" i="81"/>
  <c r="AH17" i="81" s="1"/>
  <c r="AF17" i="81" s="1"/>
  <c r="AD17" i="81" s="1"/>
  <c r="AK17" i="81"/>
  <c r="J39" i="59"/>
  <c r="H92" i="59"/>
  <c r="K21" i="161"/>
  <c r="I38" i="161"/>
  <c r="J21" i="82"/>
  <c r="J24" i="82" s="1"/>
  <c r="J26" i="82" s="1"/>
  <c r="J28" i="82" s="1"/>
  <c r="U3" i="151"/>
  <c r="Y225" i="151"/>
  <c r="Z225" i="151" s="1"/>
  <c r="U225" i="151"/>
  <c r="Y227" i="151"/>
  <c r="Z227" i="151" s="1"/>
  <c r="U227" i="151"/>
  <c r="Y229" i="151"/>
  <c r="Z229" i="151" s="1"/>
  <c r="U229" i="151"/>
  <c r="Y231" i="151"/>
  <c r="Z231" i="151" s="1"/>
  <c r="U231" i="151"/>
  <c r="Y233" i="151"/>
  <c r="Z233" i="151" s="1"/>
  <c r="U233" i="151"/>
  <c r="Y235" i="151"/>
  <c r="Z235" i="151" s="1"/>
  <c r="U235" i="151"/>
  <c r="Y237" i="151"/>
  <c r="Z237" i="151" s="1"/>
  <c r="U237" i="151"/>
  <c r="Y239" i="151"/>
  <c r="Z239" i="151" s="1"/>
  <c r="U239" i="151"/>
  <c r="Y241" i="151"/>
  <c r="Z241" i="151" s="1"/>
  <c r="U241" i="151"/>
  <c r="Y243" i="151"/>
  <c r="Z243" i="151" s="1"/>
  <c r="U243" i="151"/>
  <c r="Y245" i="151"/>
  <c r="Z245" i="151" s="1"/>
  <c r="U245" i="151"/>
  <c r="Y247" i="151"/>
  <c r="Z247" i="151" s="1"/>
  <c r="U247" i="151"/>
  <c r="Y249" i="151"/>
  <c r="Z249" i="151" s="1"/>
  <c r="U249" i="151"/>
  <c r="Y251" i="151"/>
  <c r="Z251" i="151" s="1"/>
  <c r="U251" i="151"/>
  <c r="Y253" i="151"/>
  <c r="Z253" i="151" s="1"/>
  <c r="U253" i="151"/>
  <c r="Y255" i="151"/>
  <c r="Z255" i="151" s="1"/>
  <c r="U255" i="151"/>
  <c r="Y257" i="151"/>
  <c r="Z257" i="151" s="1"/>
  <c r="U257" i="151"/>
  <c r="Y259" i="151"/>
  <c r="Z259" i="151" s="1"/>
  <c r="U259" i="151"/>
  <c r="U304" i="151"/>
  <c r="Y304" i="151"/>
  <c r="Z304" i="151" s="1"/>
  <c r="Y306" i="151"/>
  <c r="Z306" i="151" s="1"/>
  <c r="U306" i="151"/>
  <c r="Y308" i="151"/>
  <c r="Z308" i="151" s="1"/>
  <c r="U308" i="151"/>
  <c r="U321" i="151"/>
  <c r="Y321" i="151"/>
  <c r="Z321" i="151" s="1"/>
  <c r="Y323" i="151"/>
  <c r="Z323" i="151" s="1"/>
  <c r="U323" i="151"/>
  <c r="Y325" i="151"/>
  <c r="Z325" i="151" s="1"/>
  <c r="U325" i="151"/>
  <c r="Y327" i="151"/>
  <c r="Z327" i="151" s="1"/>
  <c r="U327" i="151"/>
  <c r="U351" i="151"/>
  <c r="Y351" i="151"/>
  <c r="Z351" i="151" s="1"/>
  <c r="U354" i="151"/>
  <c r="Y354" i="151"/>
  <c r="Z354" i="151" s="1"/>
  <c r="Y356" i="151"/>
  <c r="Z356" i="151" s="1"/>
  <c r="U356" i="151"/>
  <c r="Y358" i="151"/>
  <c r="Z358" i="151" s="1"/>
  <c r="U358" i="151"/>
  <c r="Y360" i="151"/>
  <c r="Z360" i="151" s="1"/>
  <c r="U360" i="151"/>
  <c r="Y378" i="151"/>
  <c r="Z378" i="151" s="1"/>
  <c r="U378" i="151"/>
  <c r="U400" i="151"/>
  <c r="Y400" i="151"/>
  <c r="Z400" i="151" s="1"/>
  <c r="U402" i="151"/>
  <c r="Y402" i="151"/>
  <c r="Z402" i="151" s="1"/>
  <c r="U404" i="151"/>
  <c r="Y404" i="151"/>
  <c r="Z404" i="151" s="1"/>
  <c r="U406" i="151"/>
  <c r="Y406" i="151"/>
  <c r="Z406" i="151" s="1"/>
  <c r="Y408" i="151"/>
  <c r="Z408" i="151" s="1"/>
  <c r="U408" i="151"/>
  <c r="Y9" i="151"/>
  <c r="Z9" i="151" s="1"/>
  <c r="Y10" i="151"/>
  <c r="Z10" i="151" s="1"/>
  <c r="Y11" i="151"/>
  <c r="Z11" i="151" s="1"/>
  <c r="Y12" i="151"/>
  <c r="Z12" i="151" s="1"/>
  <c r="U27" i="151"/>
  <c r="U28" i="151"/>
  <c r="U29" i="151"/>
  <c r="U31" i="151"/>
  <c r="U32" i="151"/>
  <c r="U33" i="151"/>
  <c r="U34" i="151"/>
  <c r="U35" i="151"/>
  <c r="U36" i="151"/>
  <c r="U37" i="151"/>
  <c r="U38" i="151"/>
  <c r="U39" i="151"/>
  <c r="U40" i="151"/>
  <c r="Y49" i="151"/>
  <c r="Z49" i="151" s="1"/>
  <c r="U50" i="151"/>
  <c r="U51" i="151"/>
  <c r="U52" i="151"/>
  <c r="U53" i="151"/>
  <c r="U54" i="151"/>
  <c r="U55" i="151"/>
  <c r="U56" i="151"/>
  <c r="U57" i="151"/>
  <c r="U58" i="151"/>
  <c r="U59" i="151"/>
  <c r="U63" i="151"/>
  <c r="U64" i="151"/>
  <c r="U65" i="151"/>
  <c r="Y80" i="151"/>
  <c r="Z80" i="151" s="1"/>
  <c r="Y81" i="151"/>
  <c r="Z81" i="151" s="1"/>
  <c r="Y83" i="151"/>
  <c r="Z83" i="151" s="1"/>
  <c r="Y86" i="151"/>
  <c r="Z86" i="151" s="1"/>
  <c r="Y87" i="151"/>
  <c r="Z87" i="151" s="1"/>
  <c r="U93" i="151"/>
  <c r="U94" i="151"/>
  <c r="U116" i="151"/>
  <c r="U137" i="151"/>
  <c r="Y151" i="151"/>
  <c r="Z151" i="151" s="1"/>
  <c r="Y152" i="151"/>
  <c r="Z152" i="151" s="1"/>
  <c r="U153" i="151"/>
  <c r="U154" i="151"/>
  <c r="U155" i="151"/>
  <c r="U156" i="151"/>
  <c r="U173" i="151"/>
  <c r="U189" i="151"/>
  <c r="Y193" i="151"/>
  <c r="Z193" i="151" s="1"/>
  <c r="U195" i="151"/>
  <c r="U197" i="151"/>
  <c r="U198" i="151"/>
  <c r="U199" i="151"/>
  <c r="U200" i="151"/>
  <c r="U201" i="151"/>
  <c r="U202" i="151"/>
  <c r="U203" i="151"/>
  <c r="U204" i="151"/>
  <c r="U205" i="151"/>
  <c r="U206" i="151"/>
  <c r="U207" i="151"/>
  <c r="U208" i="151"/>
  <c r="U209" i="151"/>
  <c r="U210" i="151"/>
  <c r="U211" i="151"/>
  <c r="U212" i="151"/>
  <c r="U213" i="151"/>
  <c r="U214" i="151"/>
  <c r="U215" i="151"/>
  <c r="U216" i="151"/>
  <c r="U217" i="151"/>
  <c r="U218" i="151"/>
  <c r="U219" i="151"/>
  <c r="U220" i="151"/>
  <c r="U221" i="151"/>
  <c r="U222" i="151"/>
  <c r="U223" i="151"/>
  <c r="U224" i="151"/>
  <c r="Y226" i="151"/>
  <c r="Z226" i="151" s="1"/>
  <c r="U226" i="151"/>
  <c r="Y228" i="151"/>
  <c r="Z228" i="151" s="1"/>
  <c r="U228" i="151"/>
  <c r="Y230" i="151"/>
  <c r="Z230" i="151" s="1"/>
  <c r="U230" i="151"/>
  <c r="Y232" i="151"/>
  <c r="Z232" i="151" s="1"/>
  <c r="U232" i="151"/>
  <c r="Y234" i="151"/>
  <c r="Z234" i="151" s="1"/>
  <c r="U234" i="151"/>
  <c r="Y236" i="151"/>
  <c r="Z236" i="151" s="1"/>
  <c r="U236" i="151"/>
  <c r="Y238" i="151"/>
  <c r="Z238" i="151" s="1"/>
  <c r="U238" i="151"/>
  <c r="Y240" i="151"/>
  <c r="Z240" i="151" s="1"/>
  <c r="U240" i="151"/>
  <c r="Y242" i="151"/>
  <c r="Z242" i="151" s="1"/>
  <c r="U242" i="151"/>
  <c r="Y244" i="151"/>
  <c r="Z244" i="151" s="1"/>
  <c r="U244" i="151"/>
  <c r="Y246" i="151"/>
  <c r="Z246" i="151" s="1"/>
  <c r="U246" i="151"/>
  <c r="Y248" i="151"/>
  <c r="Z248" i="151" s="1"/>
  <c r="U248" i="151"/>
  <c r="Y250" i="151"/>
  <c r="Z250" i="151" s="1"/>
  <c r="U250" i="151"/>
  <c r="Y252" i="151"/>
  <c r="Z252" i="151" s="1"/>
  <c r="U252" i="151"/>
  <c r="Y254" i="151"/>
  <c r="Z254" i="151" s="1"/>
  <c r="U254" i="151"/>
  <c r="Y256" i="151"/>
  <c r="Z256" i="151" s="1"/>
  <c r="U256" i="151"/>
  <c r="Y258" i="151"/>
  <c r="Z258" i="151" s="1"/>
  <c r="U258" i="151"/>
  <c r="U303" i="151"/>
  <c r="Y303" i="151"/>
  <c r="Z303" i="151" s="1"/>
  <c r="Y305" i="151"/>
  <c r="Z305" i="151" s="1"/>
  <c r="U305" i="151"/>
  <c r="Y307" i="151"/>
  <c r="Z307" i="151" s="1"/>
  <c r="U307" i="151"/>
  <c r="U320" i="151"/>
  <c r="Y320" i="151"/>
  <c r="Z320" i="151" s="1"/>
  <c r="Y322" i="151"/>
  <c r="Z322" i="151" s="1"/>
  <c r="U322" i="151"/>
  <c r="Y324" i="151"/>
  <c r="Z324" i="151" s="1"/>
  <c r="U324" i="151"/>
  <c r="Y326" i="151"/>
  <c r="Z326" i="151" s="1"/>
  <c r="U326" i="151"/>
  <c r="Y328" i="151"/>
  <c r="Z328" i="151" s="1"/>
  <c r="U328" i="151"/>
  <c r="U353" i="151"/>
  <c r="Y353" i="151"/>
  <c r="Z353" i="151" s="1"/>
  <c r="U355" i="151"/>
  <c r="Y355" i="151"/>
  <c r="Z355" i="151" s="1"/>
  <c r="Y357" i="151"/>
  <c r="Z357" i="151" s="1"/>
  <c r="U357" i="151"/>
  <c r="Y359" i="151"/>
  <c r="Z359" i="151" s="1"/>
  <c r="U359" i="151"/>
  <c r="Y377" i="151"/>
  <c r="Z377" i="151" s="1"/>
  <c r="U377" i="151"/>
  <c r="Y379" i="151"/>
  <c r="Z379" i="151" s="1"/>
  <c r="U379" i="151"/>
  <c r="U401" i="151"/>
  <c r="Y401" i="151"/>
  <c r="Z401" i="151" s="1"/>
  <c r="U403" i="151"/>
  <c r="Y403" i="151"/>
  <c r="Z403" i="151" s="1"/>
  <c r="U405" i="151"/>
  <c r="Y405" i="151"/>
  <c r="Z405" i="151" s="1"/>
  <c r="Y407" i="151"/>
  <c r="Z407" i="151" s="1"/>
  <c r="U407" i="151"/>
  <c r="Y409" i="151"/>
  <c r="Z409" i="151" s="1"/>
  <c r="U409" i="151"/>
  <c r="Y415" i="151"/>
  <c r="Z415" i="151" s="1"/>
  <c r="U415" i="151"/>
  <c r="Y420" i="151"/>
  <c r="Z420" i="151" s="1"/>
  <c r="U420" i="151"/>
  <c r="Y422" i="151"/>
  <c r="Z422" i="151" s="1"/>
  <c r="U422" i="151"/>
  <c r="U441" i="151"/>
  <c r="Y441" i="151"/>
  <c r="Z441" i="151" s="1"/>
  <c r="U443" i="151"/>
  <c r="Y443" i="151"/>
  <c r="Z443" i="151" s="1"/>
  <c r="U445" i="151"/>
  <c r="Y445" i="151"/>
  <c r="Z445" i="151" s="1"/>
  <c r="U448" i="151"/>
  <c r="Y448" i="151"/>
  <c r="Z448" i="151" s="1"/>
  <c r="U454" i="151"/>
  <c r="Y454" i="151"/>
  <c r="Z454" i="151" s="1"/>
  <c r="U456" i="151"/>
  <c r="Y456" i="151"/>
  <c r="Z456" i="151" s="1"/>
  <c r="U458" i="151"/>
  <c r="Y458" i="151"/>
  <c r="Z458" i="151" s="1"/>
  <c r="U461" i="151"/>
  <c r="Y461" i="151"/>
  <c r="Z461" i="151" s="1"/>
  <c r="U463" i="151"/>
  <c r="Y463" i="151"/>
  <c r="Z463" i="151" s="1"/>
  <c r="Y465" i="151"/>
  <c r="Z465" i="151" s="1"/>
  <c r="U465" i="151"/>
  <c r="U473" i="151"/>
  <c r="Y473" i="151"/>
  <c r="Z473" i="151" s="1"/>
  <c r="U475" i="151"/>
  <c r="Y475" i="151"/>
  <c r="Z475" i="151" s="1"/>
  <c r="U477" i="151"/>
  <c r="Y477" i="151"/>
  <c r="Z477" i="151" s="1"/>
  <c r="U491" i="151"/>
  <c r="Y491" i="151"/>
  <c r="Z491" i="151" s="1"/>
  <c r="Y493" i="151"/>
  <c r="Z493" i="151" s="1"/>
  <c r="U493" i="151"/>
  <c r="Y495" i="151"/>
  <c r="Z495" i="151" s="1"/>
  <c r="U495" i="151"/>
  <c r="Y497" i="151"/>
  <c r="Z497" i="151" s="1"/>
  <c r="U497" i="151"/>
  <c r="Y499" i="151"/>
  <c r="Z499" i="151" s="1"/>
  <c r="U499" i="151"/>
  <c r="Y501" i="151"/>
  <c r="Z501" i="151" s="1"/>
  <c r="U501" i="151"/>
  <c r="Y522" i="151"/>
  <c r="Z522" i="151" s="1"/>
  <c r="U522" i="151"/>
  <c r="Y526" i="151"/>
  <c r="Z526" i="151" s="1"/>
  <c r="U526" i="151"/>
  <c r="Y528" i="151"/>
  <c r="Z528" i="151" s="1"/>
  <c r="U528" i="151"/>
  <c r="Y530" i="151"/>
  <c r="Z530" i="151" s="1"/>
  <c r="U530" i="151"/>
  <c r="Y532" i="151"/>
  <c r="Z532" i="151" s="1"/>
  <c r="U532" i="151"/>
  <c r="Y534" i="151"/>
  <c r="Z534" i="151" s="1"/>
  <c r="U534" i="151"/>
  <c r="Y536" i="151"/>
  <c r="Z536" i="151" s="1"/>
  <c r="U536" i="151"/>
  <c r="Y538" i="151"/>
  <c r="Z538" i="151" s="1"/>
  <c r="U538" i="151"/>
  <c r="Y540" i="151"/>
  <c r="Z540" i="151" s="1"/>
  <c r="U540" i="151"/>
  <c r="Y542" i="151"/>
  <c r="Z542" i="151" s="1"/>
  <c r="U542" i="151"/>
  <c r="Y544" i="151"/>
  <c r="Z544" i="151" s="1"/>
  <c r="U544" i="151"/>
  <c r="Y546" i="151"/>
  <c r="Z546" i="151" s="1"/>
  <c r="U546" i="151"/>
  <c r="Y548" i="151"/>
  <c r="Z548" i="151" s="1"/>
  <c r="U548" i="151"/>
  <c r="Y550" i="151"/>
  <c r="Z550" i="151" s="1"/>
  <c r="U550" i="151"/>
  <c r="Y552" i="151"/>
  <c r="Z552" i="151" s="1"/>
  <c r="U552" i="151"/>
  <c r="Y554" i="151"/>
  <c r="Z554" i="151" s="1"/>
  <c r="U554" i="151"/>
  <c r="Y556" i="151"/>
  <c r="Z556" i="151" s="1"/>
  <c r="U556" i="151"/>
  <c r="Y558" i="151"/>
  <c r="Z558" i="151" s="1"/>
  <c r="U558" i="151"/>
  <c r="U414" i="151"/>
  <c r="Y414" i="151"/>
  <c r="Z414" i="151" s="1"/>
  <c r="Y416" i="151"/>
  <c r="Z416" i="151" s="1"/>
  <c r="U416" i="151"/>
  <c r="Y421" i="151"/>
  <c r="Z421" i="151" s="1"/>
  <c r="U421" i="151"/>
  <c r="U440" i="151"/>
  <c r="Y440" i="151"/>
  <c r="Z440" i="151" s="1"/>
  <c r="U442" i="151"/>
  <c r="Y442" i="151"/>
  <c r="Z442" i="151" s="1"/>
  <c r="U444" i="151"/>
  <c r="Y444" i="151"/>
  <c r="Z444" i="151" s="1"/>
  <c r="U447" i="151"/>
  <c r="Y447" i="151"/>
  <c r="Z447" i="151" s="1"/>
  <c r="U455" i="151"/>
  <c r="Y455" i="151"/>
  <c r="Z455" i="151" s="1"/>
  <c r="U457" i="151"/>
  <c r="Y457" i="151"/>
  <c r="Z457" i="151" s="1"/>
  <c r="U459" i="151"/>
  <c r="Y459" i="151"/>
  <c r="Z459" i="151" s="1"/>
  <c r="U462" i="151"/>
  <c r="Y462" i="151"/>
  <c r="Z462" i="151" s="1"/>
  <c r="U464" i="151"/>
  <c r="Y464" i="151"/>
  <c r="Z464" i="151" s="1"/>
  <c r="U472" i="151"/>
  <c r="Y472" i="151"/>
  <c r="Z472" i="151" s="1"/>
  <c r="U474" i="151"/>
  <c r="Y474" i="151"/>
  <c r="Z474" i="151" s="1"/>
  <c r="U476" i="151"/>
  <c r="Y476" i="151"/>
  <c r="Z476" i="151" s="1"/>
  <c r="Y478" i="151"/>
  <c r="Z478" i="151" s="1"/>
  <c r="U478" i="151"/>
  <c r="Y492" i="151"/>
  <c r="Z492" i="151" s="1"/>
  <c r="U492" i="151"/>
  <c r="Y494" i="151"/>
  <c r="Z494" i="151" s="1"/>
  <c r="U494" i="151"/>
  <c r="Y496" i="151"/>
  <c r="Z496" i="151" s="1"/>
  <c r="U496" i="151"/>
  <c r="Y498" i="151"/>
  <c r="Z498" i="151" s="1"/>
  <c r="U498" i="151"/>
  <c r="Y500" i="151"/>
  <c r="Z500" i="151" s="1"/>
  <c r="U500" i="151"/>
  <c r="Y502" i="151"/>
  <c r="Z502" i="151" s="1"/>
  <c r="U502" i="151"/>
  <c r="U525" i="151"/>
  <c r="Y525" i="151"/>
  <c r="Z525" i="151" s="1"/>
  <c r="Y527" i="151"/>
  <c r="Z527" i="151" s="1"/>
  <c r="U527" i="151"/>
  <c r="Y529" i="151"/>
  <c r="Z529" i="151" s="1"/>
  <c r="U529" i="151"/>
  <c r="Y531" i="151"/>
  <c r="Z531" i="151" s="1"/>
  <c r="U531" i="151"/>
  <c r="Y533" i="151"/>
  <c r="Z533" i="151" s="1"/>
  <c r="U533" i="151"/>
  <c r="Y535" i="151"/>
  <c r="Z535" i="151" s="1"/>
  <c r="U535" i="151"/>
  <c r="Y537" i="151"/>
  <c r="Z537" i="151" s="1"/>
  <c r="U537" i="151"/>
  <c r="Y539" i="151"/>
  <c r="Z539" i="151" s="1"/>
  <c r="U539" i="151"/>
  <c r="Y541" i="151"/>
  <c r="Z541" i="151" s="1"/>
  <c r="U541" i="151"/>
  <c r="Y543" i="151"/>
  <c r="Z543" i="151" s="1"/>
  <c r="U543" i="151"/>
  <c r="Y545" i="151"/>
  <c r="Z545" i="151" s="1"/>
  <c r="U545" i="151"/>
  <c r="Y547" i="151"/>
  <c r="Z547" i="151" s="1"/>
  <c r="U547" i="151"/>
  <c r="Y549" i="151"/>
  <c r="Z549" i="151" s="1"/>
  <c r="U549" i="151"/>
  <c r="Y551" i="151"/>
  <c r="Z551" i="151" s="1"/>
  <c r="U551" i="151"/>
  <c r="Y553" i="151"/>
  <c r="Z553" i="151" s="1"/>
  <c r="U553" i="151"/>
  <c r="Y555" i="151"/>
  <c r="Z555" i="151" s="1"/>
  <c r="U555" i="151"/>
  <c r="Y557" i="151"/>
  <c r="Z557" i="151" s="1"/>
  <c r="U557" i="151"/>
  <c r="S435" i="151"/>
  <c r="Y435" i="151" s="1"/>
  <c r="Z435" i="151" s="1"/>
  <c r="AK19" i="81"/>
  <c r="AM19" i="81"/>
  <c r="AO19" i="81"/>
  <c r="J29" i="81"/>
  <c r="J31" i="81" s="1"/>
  <c r="H21" i="82"/>
  <c r="H24" i="82" s="1"/>
  <c r="H26" i="82" s="1"/>
  <c r="I18" i="65"/>
  <c r="Z73" i="175"/>
  <c r="AA73" i="175" s="1"/>
  <c r="Z552" i="175"/>
  <c r="AA552" i="175" s="1"/>
  <c r="Z554" i="175"/>
  <c r="AA554" i="175" s="1"/>
  <c r="Z161" i="175"/>
  <c r="AA161" i="175" s="1"/>
  <c r="Z111" i="175"/>
  <c r="AA111" i="175" s="1"/>
  <c r="Z115" i="175"/>
  <c r="AA115" i="175" s="1"/>
  <c r="Z222" i="175"/>
  <c r="AA222" i="175" s="1"/>
  <c r="Z85" i="175"/>
  <c r="AA85" i="175" s="1"/>
  <c r="Z122" i="175"/>
  <c r="AA122" i="175" s="1"/>
  <c r="Z156" i="175"/>
  <c r="AA156" i="175" s="1"/>
  <c r="Z62" i="175"/>
  <c r="AA62" i="175" s="1"/>
  <c r="Z77" i="175"/>
  <c r="AA77" i="175" s="1"/>
  <c r="Z54" i="175"/>
  <c r="AA54" i="175" s="1"/>
  <c r="Z134" i="175"/>
  <c r="AA134" i="175" s="1"/>
  <c r="Z320" i="175"/>
  <c r="AA320" i="175" s="1"/>
  <c r="Z322" i="175"/>
  <c r="AA322" i="175" s="1"/>
  <c r="Z324" i="175"/>
  <c r="AA324" i="175" s="1"/>
  <c r="Z326" i="175"/>
  <c r="AA326" i="175" s="1"/>
  <c r="Z135" i="175"/>
  <c r="AA135" i="175" s="1"/>
  <c r="Z330" i="175"/>
  <c r="AA330" i="175" s="1"/>
  <c r="Z332" i="175"/>
  <c r="AA332" i="175" s="1"/>
  <c r="Z334" i="175"/>
  <c r="AA334" i="175" s="1"/>
  <c r="Z80" i="175"/>
  <c r="AA80" i="175" s="1"/>
  <c r="Z338" i="175"/>
  <c r="AA338" i="175" s="1"/>
  <c r="Z340" i="175"/>
  <c r="AA340" i="175" s="1"/>
  <c r="Z342" i="175"/>
  <c r="AA342" i="175" s="1"/>
  <c r="Z344" i="175"/>
  <c r="AA344" i="175" s="1"/>
  <c r="Z346" i="175"/>
  <c r="AA346" i="175" s="1"/>
  <c r="Z348" i="175"/>
  <c r="AA348" i="175" s="1"/>
  <c r="Z350" i="175"/>
  <c r="AA350" i="175" s="1"/>
  <c r="Z352" i="175"/>
  <c r="AA352" i="175" s="1"/>
  <c r="Z354" i="175"/>
  <c r="AA354" i="175" s="1"/>
  <c r="Z356" i="175"/>
  <c r="AA356" i="175" s="1"/>
  <c r="Z358" i="175"/>
  <c r="AA358" i="175" s="1"/>
  <c r="Z223" i="175"/>
  <c r="AA223" i="175" s="1"/>
  <c r="Z362" i="175"/>
  <c r="AA362" i="175" s="1"/>
  <c r="Z366" i="175"/>
  <c r="AA366" i="175" s="1"/>
  <c r="Z368" i="175"/>
  <c r="AA368" i="175" s="1"/>
  <c r="Z370" i="175"/>
  <c r="AA370" i="175" s="1"/>
  <c r="Z373" i="175"/>
  <c r="AA373" i="175" s="1"/>
  <c r="Z375" i="175"/>
  <c r="AA375" i="175" s="1"/>
  <c r="Z537" i="175"/>
  <c r="AA537" i="175" s="1"/>
  <c r="Z553" i="175"/>
  <c r="AA553" i="175" s="1"/>
  <c r="Z555" i="175"/>
  <c r="AA555" i="175" s="1"/>
  <c r="Z110" i="175"/>
  <c r="AA110" i="175" s="1"/>
  <c r="Z174" i="175"/>
  <c r="AA174" i="175" s="1"/>
  <c r="Z119" i="175"/>
  <c r="AA119" i="175" s="1"/>
  <c r="Z121" i="175"/>
  <c r="AA121" i="175" s="1"/>
  <c r="Z568" i="175"/>
  <c r="AA568" i="175" s="1"/>
  <c r="Z125" i="175"/>
  <c r="AA125" i="175" s="1"/>
  <c r="Z81" i="175"/>
  <c r="AA81" i="175" s="1"/>
  <c r="Z86" i="175"/>
  <c r="AA86" i="175" s="1"/>
  <c r="Z57" i="175"/>
  <c r="AA57" i="175" s="1"/>
  <c r="Z126" i="175"/>
  <c r="AA126" i="175" s="1"/>
  <c r="Z317" i="175"/>
  <c r="AA317" i="175" s="1"/>
  <c r="Z319" i="175"/>
  <c r="AA319" i="175" s="1"/>
  <c r="Z321" i="175"/>
  <c r="AA321" i="175" s="1"/>
  <c r="Z323" i="175"/>
  <c r="AA323" i="175" s="1"/>
  <c r="Z325" i="175"/>
  <c r="AA325" i="175" s="1"/>
  <c r="Z327" i="175"/>
  <c r="AA327" i="175" s="1"/>
  <c r="Z329" i="175"/>
  <c r="AA329" i="175" s="1"/>
  <c r="Z331" i="175"/>
  <c r="AA331" i="175" s="1"/>
  <c r="Z333" i="175"/>
  <c r="AA333" i="175" s="1"/>
  <c r="Z335" i="175"/>
  <c r="AA335" i="175" s="1"/>
  <c r="Z337" i="175"/>
  <c r="AA337" i="175" s="1"/>
  <c r="Z339" i="175"/>
  <c r="AA339" i="175" s="1"/>
  <c r="Z138" i="175"/>
  <c r="AA138" i="175" s="1"/>
  <c r="Z343" i="175"/>
  <c r="AA343" i="175" s="1"/>
  <c r="Z345" i="175"/>
  <c r="AA345" i="175" s="1"/>
  <c r="Z347" i="175"/>
  <c r="AA347" i="175" s="1"/>
  <c r="Z349" i="175"/>
  <c r="AA349" i="175" s="1"/>
  <c r="Z351" i="175"/>
  <c r="AA351" i="175" s="1"/>
  <c r="Z353" i="175"/>
  <c r="AA353" i="175" s="1"/>
  <c r="Z355" i="175"/>
  <c r="AA355" i="175" s="1"/>
  <c r="Z6" i="175"/>
  <c r="AA6" i="175" s="1"/>
  <c r="Z359" i="175"/>
  <c r="AA359" i="175" s="1"/>
  <c r="Z361" i="175"/>
  <c r="AA361" i="175" s="1"/>
  <c r="Z365" i="175"/>
  <c r="AA365" i="175" s="1"/>
  <c r="Z367" i="175"/>
  <c r="AA367" i="175" s="1"/>
  <c r="Z369" i="175"/>
  <c r="AA369" i="175" s="1"/>
  <c r="Z372" i="175"/>
  <c r="AA372" i="175" s="1"/>
  <c r="Z374" i="175"/>
  <c r="AA374" i="175" s="1"/>
  <c r="Z376" i="175"/>
  <c r="AA376" i="175" s="1"/>
  <c r="Z430" i="175"/>
  <c r="AA430" i="175" s="1"/>
  <c r="Z539" i="175"/>
  <c r="AA539" i="175" s="1"/>
  <c r="Z281" i="175"/>
  <c r="AA281" i="175" s="1"/>
  <c r="Z282" i="175"/>
  <c r="AA282" i="175" s="1"/>
  <c r="Z437" i="175"/>
  <c r="AA437" i="175" s="1"/>
  <c r="Z446" i="175"/>
  <c r="AA446" i="175" s="1"/>
  <c r="Z283" i="175"/>
  <c r="AA283" i="175" s="1"/>
  <c r="Z132" i="175"/>
  <c r="AA132" i="175" s="1"/>
  <c r="Z284" i="175"/>
  <c r="AA284" i="175" s="1"/>
  <c r="Z288" i="175"/>
  <c r="AA288" i="175" s="1"/>
  <c r="Z289" i="175"/>
  <c r="AA289" i="175" s="1"/>
  <c r="Z449" i="175"/>
  <c r="AA449" i="175" s="1"/>
  <c r="Z292" i="175"/>
  <c r="AA292" i="175" s="1"/>
  <c r="Z294" i="175"/>
  <c r="AA294" i="175" s="1"/>
  <c r="Z462" i="175"/>
  <c r="AA462" i="175" s="1"/>
  <c r="Z162" i="175"/>
  <c r="AA162" i="175" s="1"/>
  <c r="Z469" i="175"/>
  <c r="AA469" i="175" s="1"/>
  <c r="Z470" i="175"/>
  <c r="AA470" i="175" s="1"/>
  <c r="Z472" i="175"/>
  <c r="AA472" i="175" s="1"/>
  <c r="Z473" i="175"/>
  <c r="AA473" i="175" s="1"/>
  <c r="Z303" i="175"/>
  <c r="AA303" i="175" s="1"/>
  <c r="Z478" i="175"/>
  <c r="AA478" i="175" s="1"/>
  <c r="Z305" i="175"/>
  <c r="AA305" i="175" s="1"/>
  <c r="Z531" i="175"/>
  <c r="AA531" i="175" s="1"/>
  <c r="Z64" i="175"/>
  <c r="AA64" i="175" s="1"/>
  <c r="Z83" i="175"/>
  <c r="AA83" i="175" s="1"/>
  <c r="Z451" i="175"/>
  <c r="AA451" i="175" s="1"/>
  <c r="Z139" i="175"/>
  <c r="AA139" i="175" s="1"/>
  <c r="Z37" i="175"/>
  <c r="AA37" i="175" s="1"/>
  <c r="Z67" i="175"/>
  <c r="AA67" i="175" s="1"/>
  <c r="Z25" i="175"/>
  <c r="AA25" i="175" s="1"/>
  <c r="Z166" i="175"/>
  <c r="AA166" i="175" s="1"/>
  <c r="Z42" i="175"/>
  <c r="AA42" i="175" s="1"/>
  <c r="Z116" i="175"/>
  <c r="AA116" i="175" s="1"/>
  <c r="Z34" i="175"/>
  <c r="AA34" i="175" s="1"/>
  <c r="N36" i="51"/>
  <c r="Z279" i="175"/>
  <c r="AA279" i="175" s="1"/>
  <c r="Z280" i="175"/>
  <c r="AA280" i="175" s="1"/>
  <c r="Z431" i="175"/>
  <c r="AA431" i="175" s="1"/>
  <c r="Z432" i="175"/>
  <c r="AA432" i="175" s="1"/>
  <c r="Z448" i="175"/>
  <c r="AA448" i="175" s="1"/>
  <c r="Z440" i="175"/>
  <c r="AA440" i="175" s="1"/>
  <c r="Z91" i="175"/>
  <c r="AA91" i="175" s="1"/>
  <c r="Z287" i="175"/>
  <c r="AA287" i="175" s="1"/>
  <c r="Z460" i="175"/>
  <c r="AA460" i="175" s="1"/>
  <c r="Z290" i="175"/>
  <c r="AA290" i="175" s="1"/>
  <c r="Z291" i="175"/>
  <c r="AA291" i="175" s="1"/>
  <c r="Z293" i="175"/>
  <c r="AA293" i="175" s="1"/>
  <c r="Z295" i="175"/>
  <c r="AA295" i="175" s="1"/>
  <c r="Z297" i="175"/>
  <c r="AA297" i="175" s="1"/>
  <c r="Z298" i="175"/>
  <c r="AA298" i="175" s="1"/>
  <c r="Z165" i="175"/>
  <c r="AA165" i="175" s="1"/>
  <c r="Z299" i="175"/>
  <c r="AA299" i="175" s="1"/>
  <c r="Z471" i="175"/>
  <c r="AA471" i="175" s="1"/>
  <c r="Z300" i="175"/>
  <c r="AA300" i="175" s="1"/>
  <c r="Z301" i="175"/>
  <c r="AA301" i="175" s="1"/>
  <c r="Z474" i="175"/>
  <c r="AA474" i="175" s="1"/>
  <c r="Z304" i="175"/>
  <c r="AA304" i="175" s="1"/>
  <c r="Z498" i="175"/>
  <c r="AA498" i="175" s="1"/>
  <c r="Z234" i="175"/>
  <c r="AA234" i="175" s="1"/>
  <c r="Z230" i="175"/>
  <c r="AA230" i="175" s="1"/>
  <c r="Z233" i="175"/>
  <c r="AA233" i="175" s="1"/>
  <c r="Z306" i="175"/>
  <c r="AA306" i="175" s="1"/>
  <c r="Z155" i="175"/>
  <c r="AA155" i="175" s="1"/>
  <c r="Z66" i="175"/>
  <c r="AA66" i="175" s="1"/>
  <c r="Z24" i="175"/>
  <c r="AA24" i="175" s="1"/>
  <c r="Z26" i="175"/>
  <c r="AA26" i="175" s="1"/>
  <c r="Z40" i="175"/>
  <c r="AA40" i="175" s="1"/>
  <c r="Z112" i="175"/>
  <c r="AA112" i="175" s="1"/>
  <c r="Z167" i="175"/>
  <c r="AA167" i="175" s="1"/>
  <c r="Z87" i="175"/>
  <c r="AA87" i="175" s="1"/>
  <c r="Z118" i="175"/>
  <c r="AA118" i="175" s="1"/>
  <c r="Z131" i="175"/>
  <c r="AA131" i="175" s="1"/>
  <c r="Z149" i="175"/>
  <c r="AA149" i="175" s="1"/>
  <c r="Z71" i="175"/>
  <c r="AA71" i="175" s="1"/>
  <c r="Z130" i="175"/>
  <c r="AA130" i="175" s="1"/>
  <c r="Z33" i="175"/>
  <c r="AA33" i="175" s="1"/>
  <c r="Z158" i="175"/>
  <c r="AA158" i="175" s="1"/>
  <c r="Z58" i="175"/>
  <c r="AA58" i="175" s="1"/>
  <c r="Z90" i="175"/>
  <c r="AA90" i="175" s="1"/>
  <c r="Z454" i="175"/>
  <c r="AA454" i="175" s="1"/>
  <c r="Z455" i="175"/>
  <c r="AA455" i="175" s="1"/>
  <c r="Z456" i="175"/>
  <c r="AA456" i="175" s="1"/>
  <c r="Z175" i="175"/>
  <c r="AA175" i="175" s="1"/>
  <c r="Z457" i="175"/>
  <c r="AA457" i="175" s="1"/>
  <c r="Z178" i="175"/>
  <c r="AA178" i="175" s="1"/>
  <c r="Z114" i="175"/>
  <c r="AA114" i="175" s="1"/>
  <c r="Z32" i="175"/>
  <c r="AA32" i="175" s="1"/>
  <c r="Z113" i="175"/>
  <c r="AA113" i="175" s="1"/>
  <c r="Z464" i="175"/>
  <c r="AA464" i="175" s="1"/>
  <c r="Z182" i="175"/>
  <c r="AA182" i="175" s="1"/>
  <c r="Z60" i="175"/>
  <c r="AA60" i="175" s="1"/>
  <c r="Z48" i="175"/>
  <c r="AA48" i="175" s="1"/>
  <c r="Z47" i="175"/>
  <c r="AA47" i="175" s="1"/>
  <c r="Z59" i="175"/>
  <c r="AA59" i="175" s="1"/>
  <c r="Z21" i="175"/>
  <c r="AA21" i="175" s="1"/>
  <c r="Z39" i="175"/>
  <c r="AA39" i="175" s="1"/>
  <c r="Z51" i="175"/>
  <c r="AA51" i="175" s="1"/>
  <c r="Z56" i="175"/>
  <c r="AA56" i="175" s="1"/>
  <c r="Z184" i="175"/>
  <c r="AA184" i="175" s="1"/>
  <c r="Z145" i="175"/>
  <c r="AA145" i="175" s="1"/>
  <c r="Z188" i="175"/>
  <c r="AA188" i="175" s="1"/>
  <c r="Z468" i="175"/>
  <c r="AA468" i="175" s="1"/>
  <c r="Z189" i="175"/>
  <c r="AA189" i="175" s="1"/>
  <c r="Z192" i="175"/>
  <c r="AA192" i="175" s="1"/>
  <c r="Z477" i="175"/>
  <c r="AA477" i="175" s="1"/>
  <c r="Z195" i="175"/>
  <c r="AA195" i="175" s="1"/>
  <c r="Z197" i="175"/>
  <c r="AA197" i="175" s="1"/>
  <c r="Z201" i="175"/>
  <c r="AA201" i="175" s="1"/>
  <c r="Z480" i="175"/>
  <c r="AA480" i="175" s="1"/>
  <c r="Z124" i="175"/>
  <c r="AA124" i="175" s="1"/>
  <c r="Z484" i="175"/>
  <c r="AA484" i="175" s="1"/>
  <c r="Z31" i="175"/>
  <c r="AA31" i="175" s="1"/>
  <c r="Z452" i="175"/>
  <c r="AA452" i="175" s="1"/>
  <c r="Z168" i="175"/>
  <c r="AA168" i="175" s="1"/>
  <c r="Z169" i="175"/>
  <c r="AA169" i="175" s="1"/>
  <c r="Z127" i="175"/>
  <c r="AA127" i="175" s="1"/>
  <c r="Z96" i="175"/>
  <c r="AA96" i="175" s="1"/>
  <c r="Z453" i="175"/>
  <c r="AA453" i="175" s="1"/>
  <c r="Z157" i="175"/>
  <c r="AA157" i="175" s="1"/>
  <c r="Z170" i="175"/>
  <c r="AA170" i="175" s="1"/>
  <c r="Z171" i="175"/>
  <c r="AA171" i="175" s="1"/>
  <c r="Z133" i="175"/>
  <c r="AA133" i="175" s="1"/>
  <c r="Z129" i="175"/>
  <c r="AA129" i="175" s="1"/>
  <c r="Z154" i="175"/>
  <c r="AA154" i="175" s="1"/>
  <c r="Z173" i="175"/>
  <c r="AA173" i="175" s="1"/>
  <c r="Z150" i="175"/>
  <c r="AA150" i="175" s="1"/>
  <c r="Z177" i="175"/>
  <c r="AA177" i="175" s="1"/>
  <c r="Z36" i="175"/>
  <c r="AA36" i="175" s="1"/>
  <c r="Z35" i="175"/>
  <c r="AA35" i="175" s="1"/>
  <c r="Z179" i="175"/>
  <c r="AA179" i="175" s="1"/>
  <c r="Z458" i="175"/>
  <c r="AA458" i="175" s="1"/>
  <c r="Z79" i="175"/>
  <c r="AA79" i="175" s="1"/>
  <c r="Z572" i="175"/>
  <c r="AA572" i="175" s="1"/>
  <c r="Z441" i="175"/>
  <c r="AA441" i="175" s="1"/>
  <c r="Z439" i="175"/>
  <c r="AA439" i="175" s="1"/>
  <c r="Z569" i="175"/>
  <c r="AA569" i="175" s="1"/>
  <c r="Z19" i="175"/>
  <c r="AA19" i="175" s="1"/>
  <c r="Z38" i="175"/>
  <c r="AA38" i="175" s="1"/>
  <c r="Z443" i="175"/>
  <c r="AA443" i="175" s="1"/>
  <c r="O13" i="150"/>
  <c r="Z49" i="175"/>
  <c r="AA49" i="175" s="1"/>
  <c r="Z465" i="175"/>
  <c r="AA465" i="175" s="1"/>
  <c r="Z123" i="175"/>
  <c r="AA123" i="175" s="1"/>
  <c r="Z187" i="175"/>
  <c r="AA187" i="175" s="1"/>
  <c r="Z466" i="175"/>
  <c r="AA466" i="175" s="1"/>
  <c r="Z475" i="175"/>
  <c r="AA475" i="175" s="1"/>
  <c r="Z476" i="175"/>
  <c r="AA476" i="175" s="1"/>
  <c r="Z193" i="175"/>
  <c r="AA193" i="175" s="1"/>
  <c r="Z120" i="175"/>
  <c r="AA120" i="175" s="1"/>
  <c r="Z136" i="175"/>
  <c r="AA136" i="175" s="1"/>
  <c r="Z199" i="175"/>
  <c r="AA199" i="175" s="1"/>
  <c r="Z479" i="175"/>
  <c r="AA479" i="175" s="1"/>
  <c r="Z202" i="175"/>
  <c r="AA202" i="175" s="1"/>
  <c r="Z481" i="175"/>
  <c r="AA481" i="175" s="1"/>
  <c r="Z159" i="175"/>
  <c r="AA159" i="175" s="1"/>
  <c r="H18" i="162"/>
  <c r="S27" i="49"/>
  <c r="Z378" i="175"/>
  <c r="AA378" i="175" s="1"/>
  <c r="Z380" i="175"/>
  <c r="AA380" i="175" s="1"/>
  <c r="Z382" i="175"/>
  <c r="AA382" i="175" s="1"/>
  <c r="Z384" i="175"/>
  <c r="AA384" i="175" s="1"/>
  <c r="Z386" i="175"/>
  <c r="AA386" i="175" s="1"/>
  <c r="Z388" i="175"/>
  <c r="AA388" i="175" s="1"/>
  <c r="Z390" i="175"/>
  <c r="AA390" i="175" s="1"/>
  <c r="Z392" i="175"/>
  <c r="AA392" i="175" s="1"/>
  <c r="Z394" i="175"/>
  <c r="AA394" i="175" s="1"/>
  <c r="Z396" i="175"/>
  <c r="AA396" i="175" s="1"/>
  <c r="Z398" i="175"/>
  <c r="AA398" i="175" s="1"/>
  <c r="Z400" i="175"/>
  <c r="AA400" i="175" s="1"/>
  <c r="Z402" i="175"/>
  <c r="AA402" i="175" s="1"/>
  <c r="Z404" i="175"/>
  <c r="AA404" i="175" s="1"/>
  <c r="Z406" i="175"/>
  <c r="AA406" i="175" s="1"/>
  <c r="Z408" i="175"/>
  <c r="AA408" i="175" s="1"/>
  <c r="Z410" i="175"/>
  <c r="AA410" i="175" s="1"/>
  <c r="L26" i="106"/>
  <c r="G12" i="161" s="1"/>
  <c r="B11" i="196" s="1"/>
  <c r="D11" i="196" s="1"/>
  <c r="G11" i="196" s="1"/>
  <c r="I11" i="196" s="1"/>
  <c r="Z63" i="175"/>
  <c r="AA63" i="175" s="1"/>
  <c r="Z414" i="175"/>
  <c r="AA414" i="175" s="1"/>
  <c r="Z45" i="175"/>
  <c r="AA45" i="175" s="1"/>
  <c r="Z418" i="175"/>
  <c r="AA418" i="175" s="1"/>
  <c r="Z82" i="175"/>
  <c r="AA82" i="175" s="1"/>
  <c r="Z422" i="175"/>
  <c r="AA422" i="175" s="1"/>
  <c r="Z424" i="175"/>
  <c r="AA424" i="175" s="1"/>
  <c r="Z426" i="175"/>
  <c r="AA426" i="175" s="1"/>
  <c r="Z428" i="175"/>
  <c r="AA428" i="175" s="1"/>
  <c r="Z137" i="175"/>
  <c r="AA137" i="175" s="1"/>
  <c r="Z65" i="175"/>
  <c r="AA65" i="175" s="1"/>
  <c r="Z434" i="175"/>
  <c r="AA434" i="175" s="1"/>
  <c r="L8" i="50"/>
  <c r="L19" i="50" s="1"/>
  <c r="Z436" i="175"/>
  <c r="AA436" i="175" s="1"/>
  <c r="H15" i="81"/>
  <c r="Z185" i="175"/>
  <c r="AA185" i="175" s="1"/>
  <c r="Z186" i="175"/>
  <c r="AA186" i="175" s="1"/>
  <c r="Z191" i="175"/>
  <c r="AA191" i="175" s="1"/>
  <c r="Z194" i="175"/>
  <c r="AA194" i="175" s="1"/>
  <c r="Z226" i="175"/>
  <c r="AA226" i="175" s="1"/>
  <c r="Z84" i="175"/>
  <c r="AA84" i="175" s="1"/>
  <c r="Z72" i="175"/>
  <c r="AA72" i="175" s="1"/>
  <c r="Z206" i="175"/>
  <c r="AA206" i="175" s="1"/>
  <c r="Z229" i="175"/>
  <c r="AA229" i="175" s="1"/>
  <c r="Z227" i="175"/>
  <c r="AA227" i="175" s="1"/>
  <c r="Z377" i="175"/>
  <c r="AA377" i="175" s="1"/>
  <c r="Z379" i="175"/>
  <c r="AA379" i="175" s="1"/>
  <c r="Z381" i="175"/>
  <c r="AA381" i="175" s="1"/>
  <c r="Z383" i="175"/>
  <c r="AA383" i="175" s="1"/>
  <c r="Z385" i="175"/>
  <c r="AA385" i="175" s="1"/>
  <c r="Z387" i="175"/>
  <c r="AA387" i="175" s="1"/>
  <c r="Z389" i="175"/>
  <c r="AA389" i="175" s="1"/>
  <c r="Z391" i="175"/>
  <c r="AA391" i="175" s="1"/>
  <c r="Z393" i="175"/>
  <c r="AA393" i="175" s="1"/>
  <c r="Z395" i="175"/>
  <c r="AA395" i="175" s="1"/>
  <c r="Z397" i="175"/>
  <c r="AA397" i="175" s="1"/>
  <c r="Z399" i="175"/>
  <c r="AA399" i="175" s="1"/>
  <c r="Z401" i="175"/>
  <c r="AA401" i="175" s="1"/>
  <c r="Z403" i="175"/>
  <c r="AA403" i="175" s="1"/>
  <c r="Z405" i="175"/>
  <c r="AA405" i="175" s="1"/>
  <c r="Z407" i="175"/>
  <c r="AA407" i="175" s="1"/>
  <c r="Z409" i="175"/>
  <c r="AA409" i="175" s="1"/>
  <c r="Z52" i="175"/>
  <c r="AA52" i="175" s="1"/>
  <c r="Z75" i="175"/>
  <c r="AA75" i="175" s="1"/>
  <c r="Z415" i="175"/>
  <c r="AA415" i="175" s="1"/>
  <c r="J8" i="166"/>
  <c r="Z417" i="175"/>
  <c r="AA417" i="175" s="1"/>
  <c r="Z419" i="175"/>
  <c r="AA419" i="175" s="1"/>
  <c r="Z421" i="175"/>
  <c r="AA421" i="175" s="1"/>
  <c r="Z117" i="175"/>
  <c r="AA117" i="175" s="1"/>
  <c r="Z425" i="175"/>
  <c r="AA425" i="175" s="1"/>
  <c r="Z70" i="175"/>
  <c r="AA70" i="175" s="1"/>
  <c r="Z89" i="175"/>
  <c r="AA89" i="175" s="1"/>
  <c r="Z61" i="175"/>
  <c r="AA61" i="175" s="1"/>
  <c r="Z433" i="175"/>
  <c r="AA433" i="175" s="1"/>
  <c r="Z435" i="175"/>
  <c r="AA435" i="175" s="1"/>
  <c r="Z152" i="175"/>
  <c r="AA152" i="175" s="1"/>
  <c r="Z225" i="175"/>
  <c r="AA225" i="175" s="1"/>
  <c r="Z190" i="175"/>
  <c r="AA190" i="175" s="1"/>
  <c r="Z444" i="175"/>
  <c r="AA444" i="175" s="1"/>
  <c r="Z196" i="175"/>
  <c r="AA196" i="175" s="1"/>
  <c r="Z4" i="175"/>
  <c r="AA4" i="175" s="1"/>
  <c r="Z94" i="175"/>
  <c r="AA94" i="175" s="1"/>
  <c r="Z142" i="175"/>
  <c r="AA142" i="175" s="1"/>
  <c r="Z10" i="175"/>
  <c r="AA10" i="175" s="1"/>
  <c r="Z461" i="175"/>
  <c r="AA461" i="175" s="1"/>
  <c r="Z463" i="175"/>
  <c r="AA463" i="175" s="1"/>
  <c r="V384" i="99"/>
  <c r="W384" i="99" s="1"/>
  <c r="R384" i="99"/>
  <c r="W93" i="124"/>
  <c r="X93" i="124" s="1"/>
  <c r="S93" i="124"/>
  <c r="W115" i="124"/>
  <c r="X115" i="124" s="1"/>
  <c r="S115" i="124"/>
  <c r="W165" i="124"/>
  <c r="X165" i="124" s="1"/>
  <c r="S165" i="124"/>
  <c r="W369" i="124"/>
  <c r="X369" i="124" s="1"/>
  <c r="S369" i="124"/>
  <c r="W394" i="124"/>
  <c r="X394" i="124" s="1"/>
  <c r="S394" i="124"/>
  <c r="W402" i="124"/>
  <c r="X402" i="124" s="1"/>
  <c r="S402" i="124"/>
  <c r="W432" i="124"/>
  <c r="X432" i="124" s="1"/>
  <c r="S432" i="124"/>
  <c r="W433" i="124"/>
  <c r="X433" i="124" s="1"/>
  <c r="S433" i="124"/>
  <c r="W437" i="124"/>
  <c r="X437" i="124" s="1"/>
  <c r="S437" i="124"/>
  <c r="W438" i="124"/>
  <c r="X438" i="124" s="1"/>
  <c r="S438" i="124"/>
  <c r="W439" i="124"/>
  <c r="X439" i="124" s="1"/>
  <c r="S439" i="124"/>
  <c r="W442" i="124"/>
  <c r="X442" i="124" s="1"/>
  <c r="S442" i="124"/>
  <c r="W443" i="124"/>
  <c r="X443" i="124" s="1"/>
  <c r="S443" i="124"/>
  <c r="W450" i="124"/>
  <c r="X450" i="124" s="1"/>
  <c r="S450" i="124"/>
  <c r="W454" i="124"/>
  <c r="X454" i="124" s="1"/>
  <c r="S454" i="124"/>
  <c r="V479" i="124"/>
  <c r="S479" i="124"/>
  <c r="W479" i="124"/>
  <c r="X479" i="124" s="1"/>
  <c r="W502" i="124"/>
  <c r="X502" i="124" s="1"/>
  <c r="S502" i="124"/>
  <c r="V120" i="99"/>
  <c r="W120" i="99" s="1"/>
  <c r="R120" i="99"/>
  <c r="V125" i="99"/>
  <c r="W125" i="99" s="1"/>
  <c r="R125" i="99"/>
  <c r="V126" i="99"/>
  <c r="W126" i="99" s="1"/>
  <c r="R126" i="99"/>
  <c r="V167" i="99"/>
  <c r="W167" i="99" s="1"/>
  <c r="R167" i="99"/>
  <c r="V170" i="99"/>
  <c r="W170" i="99" s="1"/>
  <c r="R170" i="99"/>
  <c r="V172" i="99"/>
  <c r="W172" i="99" s="1"/>
  <c r="R172" i="99"/>
  <c r="V174" i="99"/>
  <c r="W174" i="99" s="1"/>
  <c r="R174" i="99"/>
  <c r="R176" i="99"/>
  <c r="V176" i="99"/>
  <c r="W176" i="99" s="1"/>
  <c r="V177" i="99"/>
  <c r="W177" i="99" s="1"/>
  <c r="R177" i="99"/>
  <c r="V180" i="99"/>
  <c r="W180" i="99" s="1"/>
  <c r="R180" i="99"/>
  <c r="V182" i="99"/>
  <c r="W182" i="99" s="1"/>
  <c r="R182" i="99"/>
  <c r="V252" i="99"/>
  <c r="W252" i="99" s="1"/>
  <c r="R252" i="99"/>
  <c r="V285" i="99"/>
  <c r="W285" i="99" s="1"/>
  <c r="R285" i="99"/>
  <c r="V404" i="99"/>
  <c r="W404" i="99" s="1"/>
  <c r="R404" i="99"/>
  <c r="V409" i="99"/>
  <c r="W409" i="99" s="1"/>
  <c r="R409" i="99"/>
  <c r="V435" i="99"/>
  <c r="W435" i="99" s="1"/>
  <c r="R435" i="99"/>
  <c r="V436" i="99"/>
  <c r="W436" i="99" s="1"/>
  <c r="R436" i="99"/>
  <c r="U443" i="99"/>
  <c r="R443" i="99"/>
  <c r="V443" i="99"/>
  <c r="W443" i="99" s="1"/>
  <c r="W64" i="124"/>
  <c r="X64" i="124" s="1"/>
  <c r="S64" i="124"/>
  <c r="W76" i="124"/>
  <c r="X76" i="124" s="1"/>
  <c r="S76" i="124"/>
  <c r="W81" i="124"/>
  <c r="X81" i="124" s="1"/>
  <c r="S81" i="124"/>
  <c r="W109" i="124"/>
  <c r="X109" i="124" s="1"/>
  <c r="S109" i="124"/>
  <c r="W131" i="124"/>
  <c r="X131" i="124" s="1"/>
  <c r="S131" i="124"/>
  <c r="W189" i="124"/>
  <c r="X189" i="124" s="1"/>
  <c r="S189" i="124"/>
  <c r="W324" i="124"/>
  <c r="X324" i="124" s="1"/>
  <c r="S324" i="124"/>
  <c r="W360" i="124"/>
  <c r="X360" i="124" s="1"/>
  <c r="S360" i="124"/>
  <c r="W365" i="124"/>
  <c r="X365" i="124" s="1"/>
  <c r="S365" i="124"/>
  <c r="W377" i="124"/>
  <c r="X377" i="124" s="1"/>
  <c r="S377" i="124"/>
  <c r="W403" i="124"/>
  <c r="X403" i="124" s="1"/>
  <c r="S403" i="124"/>
  <c r="W434" i="124"/>
  <c r="X434" i="124" s="1"/>
  <c r="S434" i="124"/>
  <c r="W445" i="124"/>
  <c r="X445" i="124" s="1"/>
  <c r="S445" i="124"/>
  <c r="W448" i="124"/>
  <c r="X448" i="124" s="1"/>
  <c r="S448" i="124"/>
  <c r="W449" i="124"/>
  <c r="X449" i="124" s="1"/>
  <c r="S449" i="124"/>
  <c r="W453" i="124"/>
  <c r="X453" i="124" s="1"/>
  <c r="S453" i="124"/>
  <c r="W456" i="124"/>
  <c r="X456" i="124" s="1"/>
  <c r="S456" i="124"/>
  <c r="W482" i="124"/>
  <c r="X482" i="124" s="1"/>
  <c r="S482" i="124"/>
  <c r="W503" i="124"/>
  <c r="X503" i="124" s="1"/>
  <c r="S503" i="124"/>
  <c r="R4" i="99"/>
  <c r="R12" i="99"/>
  <c r="R16" i="99"/>
  <c r="R29" i="99"/>
  <c r="R37" i="99"/>
  <c r="V40" i="99"/>
  <c r="W40" i="99" s="1"/>
  <c r="R75" i="99"/>
  <c r="R100" i="99"/>
  <c r="R107" i="99"/>
  <c r="V119" i="99"/>
  <c r="W119" i="99" s="1"/>
  <c r="R173" i="99"/>
  <c r="R175" i="99"/>
  <c r="R179" i="99"/>
  <c r="R181" i="99"/>
  <c r="R191" i="99"/>
  <c r="R290" i="99"/>
  <c r="R5" i="99"/>
  <c r="R7" i="99"/>
  <c r="R8" i="99"/>
  <c r="R10" i="99"/>
  <c r="R13" i="99"/>
  <c r="R14" i="99"/>
  <c r="R17" i="99"/>
  <c r="R18" i="99"/>
  <c r="R19" i="99"/>
  <c r="R21" i="99"/>
  <c r="R23" i="99"/>
  <c r="R24" i="99"/>
  <c r="R26" i="99"/>
  <c r="R30" i="99"/>
  <c r="R31" i="99"/>
  <c r="R33" i="99"/>
  <c r="R35" i="99"/>
  <c r="R38" i="99"/>
  <c r="R41" i="99"/>
  <c r="R43" i="99"/>
  <c r="R45" i="99"/>
  <c r="R47" i="99"/>
  <c r="R48" i="99"/>
  <c r="R50" i="99"/>
  <c r="R52" i="99"/>
  <c r="R53" i="99"/>
  <c r="R54" i="99"/>
  <c r="R56" i="99"/>
  <c r="R58" i="99"/>
  <c r="R59" i="99"/>
  <c r="R61" i="99"/>
  <c r="R62" i="99"/>
  <c r="R64" i="99"/>
  <c r="R66" i="99"/>
  <c r="R68" i="99"/>
  <c r="R70" i="99"/>
  <c r="R72" i="99"/>
  <c r="R73" i="99"/>
  <c r="R77" i="99"/>
  <c r="R78" i="99"/>
  <c r="R80" i="99"/>
  <c r="R81" i="99"/>
  <c r="R83" i="99"/>
  <c r="R85" i="99"/>
  <c r="R87" i="99"/>
  <c r="R89" i="99"/>
  <c r="R90" i="99"/>
  <c r="R92" i="99"/>
  <c r="R94" i="99"/>
  <c r="R96" i="99"/>
  <c r="R98" i="99"/>
  <c r="R101" i="99"/>
  <c r="R103" i="99"/>
  <c r="R105" i="99"/>
  <c r="R108" i="99"/>
  <c r="R110" i="99"/>
  <c r="R111" i="99"/>
  <c r="P113" i="99"/>
  <c r="R115" i="99"/>
  <c r="R117" i="99"/>
  <c r="P121" i="99"/>
  <c r="R123" i="99"/>
  <c r="R128" i="99"/>
  <c r="R130" i="99"/>
  <c r="R132" i="99"/>
  <c r="R134" i="99"/>
  <c r="R136" i="99"/>
  <c r="R138" i="99"/>
  <c r="R140" i="99"/>
  <c r="R142" i="99"/>
  <c r="R144" i="99"/>
  <c r="R145" i="99"/>
  <c r="R147" i="99"/>
  <c r="R149" i="99"/>
  <c r="R151" i="99"/>
  <c r="R153" i="99"/>
  <c r="R155" i="99"/>
  <c r="R157" i="99"/>
  <c r="R160" i="99"/>
  <c r="R162" i="99"/>
  <c r="R164" i="99"/>
  <c r="R165" i="99"/>
  <c r="R183" i="99"/>
  <c r="R185" i="99"/>
  <c r="R187" i="99"/>
  <c r="R189" i="99"/>
  <c r="R192" i="99"/>
  <c r="R194" i="99"/>
  <c r="R196" i="99"/>
  <c r="R198" i="99"/>
  <c r="R200" i="99"/>
  <c r="R202" i="99"/>
  <c r="R204" i="99"/>
  <c r="R206" i="99"/>
  <c r="R208" i="99"/>
  <c r="R210" i="99"/>
  <c r="R212" i="99"/>
  <c r="R214" i="99"/>
  <c r="R216" i="99"/>
  <c r="R218" i="99"/>
  <c r="R220" i="99"/>
  <c r="R222" i="99"/>
  <c r="R224" i="99"/>
  <c r="R226" i="99"/>
  <c r="R228" i="99"/>
  <c r="R230" i="99"/>
  <c r="R232" i="99"/>
  <c r="R234" i="99"/>
  <c r="R236" i="99"/>
  <c r="R238" i="99"/>
  <c r="R240" i="99"/>
  <c r="R242" i="99"/>
  <c r="R244" i="99"/>
  <c r="R246" i="99"/>
  <c r="R248" i="99"/>
  <c r="R250" i="99"/>
  <c r="R253" i="99"/>
  <c r="R255" i="99"/>
  <c r="R257" i="99"/>
  <c r="R259" i="99"/>
  <c r="R261" i="99"/>
  <c r="R263" i="99"/>
  <c r="R265" i="99"/>
  <c r="R266" i="99"/>
  <c r="R267" i="99"/>
  <c r="R269" i="99"/>
  <c r="R271" i="99"/>
  <c r="R273" i="99"/>
  <c r="R275" i="99"/>
  <c r="R277" i="99"/>
  <c r="R279" i="99"/>
  <c r="R281" i="99"/>
  <c r="R283" i="99"/>
  <c r="R286" i="99"/>
  <c r="R288" i="99"/>
  <c r="R292" i="99"/>
  <c r="R294" i="99"/>
  <c r="R297" i="99"/>
  <c r="R299" i="99"/>
  <c r="R301" i="99"/>
  <c r="R303" i="99"/>
  <c r="R306" i="99"/>
  <c r="R308" i="99"/>
  <c r="R310" i="99"/>
  <c r="R312" i="99"/>
  <c r="R314" i="99"/>
  <c r="R316" i="99"/>
  <c r="R318" i="99"/>
  <c r="R320" i="99"/>
  <c r="R322" i="99"/>
  <c r="R324" i="99"/>
  <c r="R326" i="99"/>
  <c r="R328" i="99"/>
  <c r="R330" i="99"/>
  <c r="R332" i="99"/>
  <c r="R334" i="99"/>
  <c r="R336" i="99"/>
  <c r="R338" i="99"/>
  <c r="R340" i="99"/>
  <c r="R342" i="99"/>
  <c r="R344" i="99"/>
  <c r="R346" i="99"/>
  <c r="R348" i="99"/>
  <c r="R350" i="99"/>
  <c r="R352" i="99"/>
  <c r="R354" i="99"/>
  <c r="R356" i="99"/>
  <c r="R357" i="99"/>
  <c r="R359" i="99"/>
  <c r="R361" i="99"/>
  <c r="R363" i="99"/>
  <c r="R367" i="99"/>
  <c r="R368" i="99"/>
  <c r="R370" i="99"/>
  <c r="R375" i="99"/>
  <c r="R378" i="99"/>
  <c r="R379" i="99"/>
  <c r="R381" i="99"/>
  <c r="R385" i="99"/>
  <c r="R387" i="99"/>
  <c r="R389" i="99"/>
  <c r="R391" i="99"/>
  <c r="R394" i="99"/>
  <c r="R397" i="99"/>
  <c r="R399" i="99"/>
  <c r="R400" i="99"/>
  <c r="R401" i="99"/>
  <c r="R402" i="99"/>
  <c r="R406" i="99"/>
  <c r="R410" i="99"/>
  <c r="R412" i="99"/>
  <c r="R414" i="99"/>
  <c r="R416" i="99"/>
  <c r="R418" i="99"/>
  <c r="R420" i="99"/>
  <c r="R421" i="99"/>
  <c r="R423" i="99"/>
  <c r="R424" i="99"/>
  <c r="R426" i="99"/>
  <c r="R428" i="99"/>
  <c r="R430" i="99"/>
  <c r="R432" i="99"/>
  <c r="R433" i="99"/>
  <c r="R437" i="99"/>
  <c r="R439" i="99"/>
  <c r="R441" i="99"/>
  <c r="R447" i="99"/>
  <c r="T447" i="99"/>
  <c r="V447" i="99" s="1"/>
  <c r="W447" i="99" s="1"/>
  <c r="R448" i="99"/>
  <c r="T448" i="99"/>
  <c r="U382" i="99" s="1"/>
  <c r="V449" i="99"/>
  <c r="W449" i="99" s="1"/>
  <c r="R452" i="99"/>
  <c r="R455" i="99"/>
  <c r="R457" i="99"/>
  <c r="R459" i="99"/>
  <c r="R461" i="99"/>
  <c r="R463" i="99"/>
  <c r="R465" i="99"/>
  <c r="R467" i="99"/>
  <c r="R469" i="99"/>
  <c r="R471" i="99"/>
  <c r="R473" i="99"/>
  <c r="R475" i="99"/>
  <c r="R477" i="99"/>
  <c r="P479" i="99"/>
  <c r="S3" i="124"/>
  <c r="W3" i="124"/>
  <c r="S5" i="124"/>
  <c r="S7" i="124"/>
  <c r="S9" i="124"/>
  <c r="S11" i="124"/>
  <c r="S13" i="124"/>
  <c r="S15" i="124"/>
  <c r="S17" i="124"/>
  <c r="S19" i="124"/>
  <c r="S21" i="124"/>
  <c r="S23" i="124"/>
  <c r="Q25" i="124"/>
  <c r="S26" i="124"/>
  <c r="S28" i="124"/>
  <c r="Q29" i="124"/>
  <c r="S30" i="124"/>
  <c r="S32" i="124"/>
  <c r="S34" i="124"/>
  <c r="S36" i="124"/>
  <c r="S38" i="124"/>
  <c r="S40" i="124"/>
  <c r="S42" i="124"/>
  <c r="S44" i="124"/>
  <c r="S46" i="124"/>
  <c r="S47" i="124"/>
  <c r="S49" i="124"/>
  <c r="S51" i="124"/>
  <c r="S53" i="124"/>
  <c r="S55" i="124"/>
  <c r="S57" i="124"/>
  <c r="S58" i="124"/>
  <c r="S60" i="124"/>
  <c r="S62" i="124"/>
  <c r="S65" i="124"/>
  <c r="S67" i="124"/>
  <c r="S69" i="124"/>
  <c r="Q71" i="124"/>
  <c r="S72" i="124"/>
  <c r="S74" i="124"/>
  <c r="S77" i="124"/>
  <c r="S79" i="124"/>
  <c r="S82" i="124"/>
  <c r="S84" i="124"/>
  <c r="S86" i="124"/>
  <c r="S87" i="124"/>
  <c r="S88" i="124"/>
  <c r="S90" i="124"/>
  <c r="S91" i="124"/>
  <c r="S94" i="124"/>
  <c r="S96" i="124"/>
  <c r="S98" i="124"/>
  <c r="S100" i="124"/>
  <c r="S102" i="124"/>
  <c r="S104" i="124"/>
  <c r="S105" i="124"/>
  <c r="S107" i="124"/>
  <c r="S110" i="124"/>
  <c r="S111" i="124"/>
  <c r="S112" i="124"/>
  <c r="S113" i="124"/>
  <c r="S116" i="124"/>
  <c r="S118" i="124"/>
  <c r="S120" i="124"/>
  <c r="S122" i="124"/>
  <c r="S124" i="124"/>
  <c r="S125" i="124"/>
  <c r="S128" i="124"/>
  <c r="Q130" i="124"/>
  <c r="S133" i="124"/>
  <c r="S135" i="124"/>
  <c r="S137" i="124"/>
  <c r="S139" i="124"/>
  <c r="S141" i="124"/>
  <c r="S143" i="124"/>
  <c r="S145" i="124"/>
  <c r="S147" i="124"/>
  <c r="S149" i="124"/>
  <c r="S151" i="124"/>
  <c r="S153" i="124"/>
  <c r="S155" i="124"/>
  <c r="S157" i="124"/>
  <c r="S159" i="124"/>
  <c r="S161" i="124"/>
  <c r="S163" i="124"/>
  <c r="S166" i="124"/>
  <c r="S168" i="124"/>
  <c r="S170" i="124"/>
  <c r="S172" i="124"/>
  <c r="S174" i="124"/>
  <c r="S176" i="124"/>
  <c r="S178" i="124"/>
  <c r="S179" i="124"/>
  <c r="S181" i="124"/>
  <c r="S183" i="124"/>
  <c r="S185" i="124"/>
  <c r="S187" i="124"/>
  <c r="S190" i="124"/>
  <c r="S192" i="124"/>
  <c r="S194" i="124"/>
  <c r="S196" i="124"/>
  <c r="S198" i="124"/>
  <c r="S200" i="124"/>
  <c r="S202" i="124"/>
  <c r="S204" i="124"/>
  <c r="S206" i="124"/>
  <c r="S208" i="124"/>
  <c r="S210" i="124"/>
  <c r="S212" i="124"/>
  <c r="S214" i="124"/>
  <c r="S216" i="124"/>
  <c r="S218" i="124"/>
  <c r="S220" i="124"/>
  <c r="S222" i="124"/>
  <c r="S224" i="124"/>
  <c r="S226" i="124"/>
  <c r="S228" i="124"/>
  <c r="S230" i="124"/>
  <c r="S232" i="124"/>
  <c r="S234" i="124"/>
  <c r="S236" i="124"/>
  <c r="S237" i="124"/>
  <c r="S239" i="124"/>
  <c r="S241" i="124"/>
  <c r="S243" i="124"/>
  <c r="S245" i="124"/>
  <c r="S247" i="124"/>
  <c r="S249" i="124"/>
  <c r="S251" i="124"/>
  <c r="S253" i="124"/>
  <c r="S255" i="124"/>
  <c r="S257" i="124"/>
  <c r="S259" i="124"/>
  <c r="S261" i="124"/>
  <c r="S263" i="124"/>
  <c r="S265" i="124"/>
  <c r="S267" i="124"/>
  <c r="S269" i="124"/>
  <c r="S271" i="124"/>
  <c r="S273" i="124"/>
  <c r="S275" i="124"/>
  <c r="S277" i="124"/>
  <c r="S279" i="124"/>
  <c r="S281" i="124"/>
  <c r="S283" i="124"/>
  <c r="S284" i="124"/>
  <c r="S286" i="124"/>
  <c r="S288" i="124"/>
  <c r="S290" i="124"/>
  <c r="S292" i="124"/>
  <c r="S294" i="124"/>
  <c r="S296" i="124"/>
  <c r="S298" i="124"/>
  <c r="S300" i="124"/>
  <c r="S302" i="124"/>
  <c r="S304" i="124"/>
  <c r="S306" i="124"/>
  <c r="S308" i="124"/>
  <c r="S310" i="124"/>
  <c r="S312" i="124"/>
  <c r="S314" i="124"/>
  <c r="S316" i="124"/>
  <c r="S318" i="124"/>
  <c r="S320" i="124"/>
  <c r="S322" i="124"/>
  <c r="S325" i="124"/>
  <c r="S327" i="124"/>
  <c r="S329" i="124"/>
  <c r="S331" i="124"/>
  <c r="S333" i="124"/>
  <c r="S335" i="124"/>
  <c r="S337" i="124"/>
  <c r="S339" i="124"/>
  <c r="S341" i="124"/>
  <c r="S343" i="124"/>
  <c r="S345" i="124"/>
  <c r="S347" i="124"/>
  <c r="S349" i="124"/>
  <c r="S351" i="124"/>
  <c r="S353" i="124"/>
  <c r="S354" i="124"/>
  <c r="S356" i="124"/>
  <c r="S358" i="124"/>
  <c r="S361" i="124"/>
  <c r="S363" i="124"/>
  <c r="S366" i="124"/>
  <c r="S367" i="124"/>
  <c r="S370" i="124"/>
  <c r="S372" i="124"/>
  <c r="S373" i="124"/>
  <c r="S375" i="124"/>
  <c r="S379" i="124"/>
  <c r="S381" i="124"/>
  <c r="S383" i="124"/>
  <c r="S385" i="124"/>
  <c r="S387" i="124"/>
  <c r="S389" i="124"/>
  <c r="S391" i="124"/>
  <c r="Q393" i="124"/>
  <c r="S396" i="124"/>
  <c r="S398" i="124"/>
  <c r="S400" i="124"/>
  <c r="S401" i="124"/>
  <c r="S405" i="124"/>
  <c r="S407" i="124"/>
  <c r="S409" i="124"/>
  <c r="S411" i="124"/>
  <c r="S413" i="124"/>
  <c r="S415" i="124"/>
  <c r="S417" i="124"/>
  <c r="S419" i="124"/>
  <c r="S421" i="124"/>
  <c r="S422" i="124"/>
  <c r="S423" i="124"/>
  <c r="S425" i="124"/>
  <c r="S427" i="124"/>
  <c r="U427" i="124"/>
  <c r="S428" i="124"/>
  <c r="S430" i="124"/>
  <c r="S435" i="124"/>
  <c r="S440" i="124"/>
  <c r="S446" i="124"/>
  <c r="S451" i="124"/>
  <c r="S455" i="124"/>
  <c r="S457" i="124"/>
  <c r="S459" i="124"/>
  <c r="S461" i="124"/>
  <c r="S463" i="124"/>
  <c r="S465" i="124"/>
  <c r="S467" i="124"/>
  <c r="S469" i="124"/>
  <c r="S471" i="124"/>
  <c r="S473" i="124"/>
  <c r="S475" i="124"/>
  <c r="S477" i="124"/>
  <c r="S480" i="124"/>
  <c r="U480" i="124"/>
  <c r="V491" i="124" s="1"/>
  <c r="S481" i="124"/>
  <c r="U481" i="124"/>
  <c r="W481" i="124" s="1"/>
  <c r="X481" i="124" s="1"/>
  <c r="S487" i="124"/>
  <c r="S489" i="124"/>
  <c r="U489" i="124"/>
  <c r="S490" i="124"/>
  <c r="S492" i="124"/>
  <c r="S494" i="124"/>
  <c r="S496" i="124"/>
  <c r="S498" i="124"/>
  <c r="S500" i="124"/>
  <c r="S504" i="124"/>
  <c r="S506" i="124"/>
  <c r="S508" i="124"/>
  <c r="S510" i="124"/>
  <c r="S512" i="124"/>
  <c r="S514" i="124"/>
  <c r="S516" i="124"/>
  <c r="S518" i="124"/>
  <c r="S520" i="124"/>
  <c r="S522" i="124"/>
  <c r="S524" i="124"/>
  <c r="S526" i="124"/>
  <c r="S528" i="124"/>
  <c r="S530" i="124"/>
  <c r="S532" i="124"/>
  <c r="G534" i="124"/>
  <c r="I534" i="124"/>
  <c r="K534" i="124"/>
  <c r="O534" i="124"/>
  <c r="H535" i="124"/>
  <c r="J535" i="124"/>
  <c r="L535" i="124"/>
  <c r="N535" i="124"/>
  <c r="T535" i="124"/>
  <c r="M558" i="158"/>
  <c r="M559" i="158"/>
  <c r="Y140" i="158"/>
  <c r="Z140" i="158" s="1"/>
  <c r="Y141" i="158"/>
  <c r="Z141" i="158" s="1"/>
  <c r="Y142" i="158"/>
  <c r="Z142" i="158" s="1"/>
  <c r="Y143" i="158"/>
  <c r="Z143" i="158" s="1"/>
  <c r="Y144" i="158"/>
  <c r="Z144" i="158" s="1"/>
  <c r="Y145" i="158"/>
  <c r="Z145" i="158" s="1"/>
  <c r="Y146" i="158"/>
  <c r="Z146" i="158" s="1"/>
  <c r="Y147" i="158"/>
  <c r="Z147" i="158" s="1"/>
  <c r="Y148" i="158"/>
  <c r="Z148" i="158" s="1"/>
  <c r="Y149" i="158"/>
  <c r="Z149" i="158" s="1"/>
  <c r="Y150" i="158"/>
  <c r="Z150" i="158" s="1"/>
  <c r="Y151" i="158"/>
  <c r="Z151" i="158" s="1"/>
  <c r="Y152" i="158"/>
  <c r="Z152" i="158" s="1"/>
  <c r="Y153" i="158"/>
  <c r="Z153" i="158" s="1"/>
  <c r="Y154" i="158"/>
  <c r="Z154" i="158" s="1"/>
  <c r="Y155" i="158"/>
  <c r="Z155" i="158" s="1"/>
  <c r="Y156" i="158"/>
  <c r="Z156" i="158" s="1"/>
  <c r="Y182" i="158"/>
  <c r="Z182" i="158" s="1"/>
  <c r="Y183" i="158"/>
  <c r="Z183" i="158" s="1"/>
  <c r="Y184" i="158"/>
  <c r="Z184" i="158" s="1"/>
  <c r="Y185" i="158"/>
  <c r="Z185" i="158" s="1"/>
  <c r="Y186" i="158"/>
  <c r="Z186" i="158" s="1"/>
  <c r="Y187" i="158"/>
  <c r="Z187" i="158" s="1"/>
  <c r="Y188" i="158"/>
  <c r="Z188" i="158" s="1"/>
  <c r="Y189" i="158"/>
  <c r="Z189" i="158" s="1"/>
  <c r="Y190" i="158"/>
  <c r="Z190" i="158" s="1"/>
  <c r="Y191" i="158"/>
  <c r="Z191" i="158" s="1"/>
  <c r="U192" i="158"/>
  <c r="U334" i="158"/>
  <c r="Y334" i="158"/>
  <c r="Z334" i="158" s="1"/>
  <c r="U408" i="158"/>
  <c r="Y408" i="158"/>
  <c r="Z408" i="158" s="1"/>
  <c r="Y417" i="158"/>
  <c r="Z417" i="158" s="1"/>
  <c r="U417" i="158"/>
  <c r="U436" i="158"/>
  <c r="Y436" i="158"/>
  <c r="Z436" i="158" s="1"/>
  <c r="U450" i="158"/>
  <c r="Y450" i="158"/>
  <c r="Z450" i="158" s="1"/>
  <c r="Y467" i="158"/>
  <c r="Z467" i="158" s="1"/>
  <c r="U467" i="158"/>
  <c r="Y506" i="158"/>
  <c r="Z506" i="158" s="1"/>
  <c r="U506" i="158"/>
  <c r="W104" i="154"/>
  <c r="X104" i="154" s="1"/>
  <c r="S104" i="154"/>
  <c r="W300" i="154"/>
  <c r="X300" i="154" s="1"/>
  <c r="S300" i="154"/>
  <c r="U110" i="151"/>
  <c r="Y110" i="151"/>
  <c r="Z110" i="151" s="1"/>
  <c r="U157" i="151"/>
  <c r="Y157" i="151"/>
  <c r="Z157" i="151" s="1"/>
  <c r="R28" i="99"/>
  <c r="R76" i="99"/>
  <c r="R159" i="99"/>
  <c r="R169" i="99"/>
  <c r="R171" i="99"/>
  <c r="R291" i="99"/>
  <c r="R296" i="99"/>
  <c r="R305" i="99"/>
  <c r="R349" i="99"/>
  <c r="R365" i="99"/>
  <c r="R366" i="99"/>
  <c r="R372" i="99"/>
  <c r="R373" i="99"/>
  <c r="R374" i="99"/>
  <c r="R376" i="99"/>
  <c r="R377" i="99"/>
  <c r="R396" i="99"/>
  <c r="R403" i="99"/>
  <c r="R408" i="99"/>
  <c r="R446" i="99"/>
  <c r="R449" i="99"/>
  <c r="R456" i="99"/>
  <c r="R479" i="99" s="1"/>
  <c r="Q126" i="124"/>
  <c r="AP32" i="91"/>
  <c r="W22" i="67"/>
  <c r="Y3" i="158"/>
  <c r="N559" i="158"/>
  <c r="N558" i="158"/>
  <c r="S157" i="158"/>
  <c r="U438" i="158"/>
  <c r="Y438" i="158"/>
  <c r="Z438" i="158" s="1"/>
  <c r="U452" i="158"/>
  <c r="Y452" i="158"/>
  <c r="Z452" i="158" s="1"/>
  <c r="Y465" i="158"/>
  <c r="Z465" i="158" s="1"/>
  <c r="U465" i="158"/>
  <c r="Y473" i="158"/>
  <c r="Z473" i="158" s="1"/>
  <c r="U473" i="158"/>
  <c r="U508" i="158"/>
  <c r="Y508" i="158"/>
  <c r="Z508" i="158" s="1"/>
  <c r="U511" i="158"/>
  <c r="Y511" i="158"/>
  <c r="Z511" i="158" s="1"/>
  <c r="W101" i="154"/>
  <c r="X101" i="154" s="1"/>
  <c r="S101" i="154"/>
  <c r="W126" i="154"/>
  <c r="X126" i="154" s="1"/>
  <c r="S126" i="154"/>
  <c r="W437" i="154"/>
  <c r="X437" i="154" s="1"/>
  <c r="S437" i="154"/>
  <c r="W448" i="154"/>
  <c r="X448" i="154" s="1"/>
  <c r="S448" i="154"/>
  <c r="U48" i="151"/>
  <c r="Y48" i="151"/>
  <c r="Z48" i="151" s="1"/>
  <c r="Y85" i="151"/>
  <c r="Z85" i="151" s="1"/>
  <c r="U120" i="151"/>
  <c r="Y120" i="151"/>
  <c r="Z120" i="151" s="1"/>
  <c r="Y121" i="151"/>
  <c r="Z121" i="151" s="1"/>
  <c r="U130" i="151"/>
  <c r="Y130" i="151"/>
  <c r="Z130" i="151" s="1"/>
  <c r="S131" i="158"/>
  <c r="U329" i="158"/>
  <c r="U330" i="158"/>
  <c r="U331" i="158"/>
  <c r="U332" i="158"/>
  <c r="U333" i="158"/>
  <c r="U390" i="158"/>
  <c r="U391" i="158"/>
  <c r="U392" i="158"/>
  <c r="U393" i="158"/>
  <c r="U394" i="158"/>
  <c r="U395" i="158"/>
  <c r="U396" i="158"/>
  <c r="U397" i="158"/>
  <c r="U398" i="158"/>
  <c r="U399" i="158"/>
  <c r="U400" i="158"/>
  <c r="U401" i="158"/>
  <c r="U402" i="158"/>
  <c r="U403" i="158"/>
  <c r="U404" i="158"/>
  <c r="U405" i="158"/>
  <c r="U406" i="158"/>
  <c r="U407" i="158"/>
  <c r="U418" i="158"/>
  <c r="U419" i="158"/>
  <c r="U420" i="158"/>
  <c r="U421" i="158"/>
  <c r="U422" i="158"/>
  <c r="U423" i="158"/>
  <c r="U424" i="158"/>
  <c r="U425" i="158"/>
  <c r="U426" i="158"/>
  <c r="U427" i="158"/>
  <c r="U428" i="158"/>
  <c r="U429" i="158"/>
  <c r="U430" i="158"/>
  <c r="U431" i="158"/>
  <c r="U432" i="158"/>
  <c r="U433" i="158"/>
  <c r="U434" i="158"/>
  <c r="I435" i="158"/>
  <c r="U437" i="158"/>
  <c r="U449" i="158"/>
  <c r="U451" i="158"/>
  <c r="U459" i="158"/>
  <c r="U460" i="158"/>
  <c r="U461" i="158"/>
  <c r="U462" i="158"/>
  <c r="U463" i="158"/>
  <c r="U464" i="158"/>
  <c r="U466" i="158"/>
  <c r="U468" i="158"/>
  <c r="U469" i="158"/>
  <c r="U470" i="158"/>
  <c r="U471" i="158"/>
  <c r="U472" i="158"/>
  <c r="U504" i="158"/>
  <c r="U505" i="158"/>
  <c r="U507" i="158"/>
  <c r="U509" i="158"/>
  <c r="U510" i="158"/>
  <c r="U516" i="158"/>
  <c r="U517" i="158"/>
  <c r="U518" i="158"/>
  <c r="U519" i="158"/>
  <c r="U520" i="158"/>
  <c r="U521" i="158"/>
  <c r="U522" i="158"/>
  <c r="U523" i="158"/>
  <c r="U524" i="158"/>
  <c r="U525" i="158"/>
  <c r="U526" i="158"/>
  <c r="U527" i="158"/>
  <c r="U528" i="158"/>
  <c r="U529" i="158"/>
  <c r="U530" i="158"/>
  <c r="U531" i="158"/>
  <c r="U532" i="158"/>
  <c r="U533" i="158"/>
  <c r="U534" i="158"/>
  <c r="U535" i="158"/>
  <c r="U536" i="158"/>
  <c r="U537" i="158"/>
  <c r="U538" i="158"/>
  <c r="U539" i="158"/>
  <c r="U540" i="158"/>
  <c r="U541" i="158"/>
  <c r="U542" i="158"/>
  <c r="U543" i="158"/>
  <c r="U544" i="158"/>
  <c r="U545" i="158"/>
  <c r="U546" i="158"/>
  <c r="U547" i="158"/>
  <c r="U548" i="158"/>
  <c r="U549" i="158"/>
  <c r="U550" i="158"/>
  <c r="U551" i="158"/>
  <c r="U552" i="158"/>
  <c r="U553" i="158"/>
  <c r="U554" i="158"/>
  <c r="U555" i="158"/>
  <c r="U556" i="158"/>
  <c r="U557" i="158"/>
  <c r="P558" i="158"/>
  <c r="T558" i="158"/>
  <c r="K559" i="158"/>
  <c r="T545" i="154"/>
  <c r="T544" i="154"/>
  <c r="X3" i="154"/>
  <c r="L545" i="154"/>
  <c r="L544" i="154"/>
  <c r="S80" i="154"/>
  <c r="Y80" i="154" s="1"/>
  <c r="S81" i="154"/>
  <c r="Y81" i="154" s="1"/>
  <c r="S82" i="154"/>
  <c r="Y82" i="154" s="1"/>
  <c r="S83" i="154"/>
  <c r="Y83" i="154" s="1"/>
  <c r="S84" i="154"/>
  <c r="Y84" i="154" s="1"/>
  <c r="S85" i="154"/>
  <c r="Y85" i="154" s="1"/>
  <c r="S86" i="154"/>
  <c r="Y86" i="154" s="1"/>
  <c r="S87" i="154"/>
  <c r="Y87" i="154" s="1"/>
  <c r="S88" i="154"/>
  <c r="Y88" i="154" s="1"/>
  <c r="S89" i="154"/>
  <c r="Y89" i="154" s="1"/>
  <c r="S90" i="154"/>
  <c r="Y90" i="154" s="1"/>
  <c r="S91" i="154"/>
  <c r="Y91" i="154" s="1"/>
  <c r="S92" i="154"/>
  <c r="Y92" i="154" s="1"/>
  <c r="S93" i="154"/>
  <c r="Y93" i="154" s="1"/>
  <c r="S94" i="154"/>
  <c r="Y94" i="154" s="1"/>
  <c r="S95" i="154"/>
  <c r="Y95" i="154" s="1"/>
  <c r="S96" i="154"/>
  <c r="Y96" i="154" s="1"/>
  <c r="S97" i="154"/>
  <c r="Y97" i="154" s="1"/>
  <c r="S98" i="154"/>
  <c r="Y98" i="154" s="1"/>
  <c r="S99" i="154"/>
  <c r="Y99" i="154" s="1"/>
  <c r="S100" i="154"/>
  <c r="Y100" i="154" s="1"/>
  <c r="S102" i="154"/>
  <c r="Y102" i="154" s="1"/>
  <c r="S103" i="154"/>
  <c r="Y103" i="154" s="1"/>
  <c r="S105" i="154"/>
  <c r="Y105" i="154" s="1"/>
  <c r="S106" i="154"/>
  <c r="Y106" i="154" s="1"/>
  <c r="S107" i="154"/>
  <c r="Y107" i="154" s="1"/>
  <c r="S108" i="154"/>
  <c r="Y108" i="154" s="1"/>
  <c r="S109" i="154"/>
  <c r="Y109" i="154" s="1"/>
  <c r="S110" i="154"/>
  <c r="Y110" i="154" s="1"/>
  <c r="S111" i="154"/>
  <c r="Y111" i="154" s="1"/>
  <c r="S112" i="154"/>
  <c r="Y112" i="154" s="1"/>
  <c r="S113" i="154"/>
  <c r="Y113" i="154" s="1"/>
  <c r="S114" i="154"/>
  <c r="Y114" i="154" s="1"/>
  <c r="S115" i="154"/>
  <c r="Y115" i="154" s="1"/>
  <c r="S116" i="154"/>
  <c r="Y116" i="154" s="1"/>
  <c r="S117" i="154"/>
  <c r="Y117" i="154" s="1"/>
  <c r="S118" i="154"/>
  <c r="Y118" i="154" s="1"/>
  <c r="S119" i="154"/>
  <c r="Y119" i="154" s="1"/>
  <c r="S120" i="154"/>
  <c r="Y120" i="154" s="1"/>
  <c r="S121" i="154"/>
  <c r="Y121" i="154" s="1"/>
  <c r="S122" i="154"/>
  <c r="Y122" i="154" s="1"/>
  <c r="S123" i="154"/>
  <c r="Y123" i="154" s="1"/>
  <c r="S124" i="154"/>
  <c r="Y124" i="154" s="1"/>
  <c r="S125" i="154"/>
  <c r="Y125" i="154" s="1"/>
  <c r="S129" i="154"/>
  <c r="Y129" i="154" s="1"/>
  <c r="Q130" i="154"/>
  <c r="S131" i="154"/>
  <c r="Y131" i="154" s="1"/>
  <c r="S132" i="154"/>
  <c r="Y132" i="154" s="1"/>
  <c r="S133" i="154"/>
  <c r="Y133" i="154" s="1"/>
  <c r="S134" i="154"/>
  <c r="Y134" i="154" s="1"/>
  <c r="S135" i="154"/>
  <c r="Y135" i="154" s="1"/>
  <c r="S136" i="154"/>
  <c r="Y136" i="154" s="1"/>
  <c r="S137" i="154"/>
  <c r="Y137" i="154" s="1"/>
  <c r="S138" i="154"/>
  <c r="Y138" i="154" s="1"/>
  <c r="S139" i="154"/>
  <c r="Y139" i="154" s="1"/>
  <c r="S140" i="154"/>
  <c r="Y140" i="154" s="1"/>
  <c r="S141" i="154"/>
  <c r="Y141" i="154" s="1"/>
  <c r="S142" i="154"/>
  <c r="Y142" i="154" s="1"/>
  <c r="S143" i="154"/>
  <c r="Y143" i="154" s="1"/>
  <c r="S144" i="154"/>
  <c r="Y144" i="154" s="1"/>
  <c r="S145" i="154"/>
  <c r="Y145" i="154" s="1"/>
  <c r="S146" i="154"/>
  <c r="Y146" i="154" s="1"/>
  <c r="S147" i="154"/>
  <c r="Y147" i="154" s="1"/>
  <c r="S148" i="154"/>
  <c r="Y148" i="154" s="1"/>
  <c r="S149" i="154"/>
  <c r="Y149" i="154" s="1"/>
  <c r="S150" i="154"/>
  <c r="Y150" i="154" s="1"/>
  <c r="S151" i="154"/>
  <c r="Y151" i="154" s="1"/>
  <c r="S152" i="154"/>
  <c r="Y152" i="154" s="1"/>
  <c r="S153" i="154"/>
  <c r="Y153" i="154" s="1"/>
  <c r="S154" i="154"/>
  <c r="Y154" i="154" s="1"/>
  <c r="S155" i="154"/>
  <c r="Y155" i="154" s="1"/>
  <c r="S156" i="154"/>
  <c r="Y156" i="154" s="1"/>
  <c r="S157" i="154"/>
  <c r="Y157" i="154" s="1"/>
  <c r="S158" i="154"/>
  <c r="Y158" i="154" s="1"/>
  <c r="S159" i="154"/>
  <c r="Y159" i="154" s="1"/>
  <c r="W160" i="154"/>
  <c r="X160" i="154" s="1"/>
  <c r="S160" i="154"/>
  <c r="W162" i="154"/>
  <c r="X162" i="154" s="1"/>
  <c r="S162" i="154"/>
  <c r="W164" i="154"/>
  <c r="X164" i="154" s="1"/>
  <c r="S164" i="154"/>
  <c r="W166" i="154"/>
  <c r="X166" i="154" s="1"/>
  <c r="S166" i="154"/>
  <c r="W168" i="154"/>
  <c r="X168" i="154" s="1"/>
  <c r="S168" i="154"/>
  <c r="W170" i="154"/>
  <c r="X170" i="154" s="1"/>
  <c r="S170" i="154"/>
  <c r="W172" i="154"/>
  <c r="X172" i="154" s="1"/>
  <c r="S172" i="154"/>
  <c r="W174" i="154"/>
  <c r="X174" i="154" s="1"/>
  <c r="S174" i="154"/>
  <c r="W176" i="154"/>
  <c r="X176" i="154" s="1"/>
  <c r="S176" i="154"/>
  <c r="W178" i="154"/>
  <c r="X178" i="154" s="1"/>
  <c r="S178" i="154"/>
  <c r="W180" i="154"/>
  <c r="X180" i="154" s="1"/>
  <c r="S180" i="154"/>
  <c r="W182" i="154"/>
  <c r="X182" i="154" s="1"/>
  <c r="S182" i="154"/>
  <c r="W184" i="154"/>
  <c r="X184" i="154" s="1"/>
  <c r="S184" i="154"/>
  <c r="S185" i="154"/>
  <c r="Y185" i="154" s="1"/>
  <c r="W187" i="154"/>
  <c r="X187" i="154" s="1"/>
  <c r="S187" i="154"/>
  <c r="W189" i="154"/>
  <c r="X189" i="154" s="1"/>
  <c r="S189" i="154"/>
  <c r="W191" i="154"/>
  <c r="X191" i="154" s="1"/>
  <c r="S191" i="154"/>
  <c r="W193" i="154"/>
  <c r="X193" i="154" s="1"/>
  <c r="S193" i="154"/>
  <c r="W195" i="154"/>
  <c r="X195" i="154" s="1"/>
  <c r="S195" i="154"/>
  <c r="W197" i="154"/>
  <c r="X197" i="154" s="1"/>
  <c r="S197" i="154"/>
  <c r="W199" i="154"/>
  <c r="X199" i="154" s="1"/>
  <c r="S199" i="154"/>
  <c r="W201" i="154"/>
  <c r="X201" i="154" s="1"/>
  <c r="S201" i="154"/>
  <c r="W203" i="154"/>
  <c r="X203" i="154" s="1"/>
  <c r="S203" i="154"/>
  <c r="W205" i="154"/>
  <c r="X205" i="154" s="1"/>
  <c r="S205" i="154"/>
  <c r="W207" i="154"/>
  <c r="X207" i="154" s="1"/>
  <c r="S207" i="154"/>
  <c r="W209" i="154"/>
  <c r="X209" i="154" s="1"/>
  <c r="S209" i="154"/>
  <c r="W211" i="154"/>
  <c r="X211" i="154" s="1"/>
  <c r="S211" i="154"/>
  <c r="W213" i="154"/>
  <c r="X213" i="154" s="1"/>
  <c r="S213" i="154"/>
  <c r="W215" i="154"/>
  <c r="X215" i="154" s="1"/>
  <c r="S215" i="154"/>
  <c r="W217" i="154"/>
  <c r="X217" i="154" s="1"/>
  <c r="S217" i="154"/>
  <c r="W219" i="154"/>
  <c r="X219" i="154" s="1"/>
  <c r="S219" i="154"/>
  <c r="W221" i="154"/>
  <c r="X221" i="154" s="1"/>
  <c r="S221" i="154"/>
  <c r="W223" i="154"/>
  <c r="X223" i="154" s="1"/>
  <c r="S223" i="154"/>
  <c r="W225" i="154"/>
  <c r="X225" i="154" s="1"/>
  <c r="S225" i="154"/>
  <c r="W227" i="154"/>
  <c r="X227" i="154" s="1"/>
  <c r="S227" i="154"/>
  <c r="W229" i="154"/>
  <c r="X229" i="154" s="1"/>
  <c r="S229" i="154"/>
  <c r="W231" i="154"/>
  <c r="X231" i="154" s="1"/>
  <c r="S231" i="154"/>
  <c r="W233" i="154"/>
  <c r="X233" i="154" s="1"/>
  <c r="S233" i="154"/>
  <c r="W235" i="154"/>
  <c r="X235" i="154" s="1"/>
  <c r="S235" i="154"/>
  <c r="W237" i="154"/>
  <c r="X237" i="154" s="1"/>
  <c r="S237" i="154"/>
  <c r="W239" i="154"/>
  <c r="X239" i="154" s="1"/>
  <c r="S239" i="154"/>
  <c r="W241" i="154"/>
  <c r="X241" i="154" s="1"/>
  <c r="S241" i="154"/>
  <c r="W243" i="154"/>
  <c r="X243" i="154" s="1"/>
  <c r="S243" i="154"/>
  <c r="W245" i="154"/>
  <c r="X245" i="154" s="1"/>
  <c r="S245" i="154"/>
  <c r="W247" i="154"/>
  <c r="X247" i="154" s="1"/>
  <c r="S247" i="154"/>
  <c r="W249" i="154"/>
  <c r="X249" i="154" s="1"/>
  <c r="S249" i="154"/>
  <c r="W251" i="154"/>
  <c r="X251" i="154" s="1"/>
  <c r="S251" i="154"/>
  <c r="W253" i="154"/>
  <c r="X253" i="154" s="1"/>
  <c r="S253" i="154"/>
  <c r="W255" i="154"/>
  <c r="X255" i="154" s="1"/>
  <c r="S255" i="154"/>
  <c r="W257" i="154"/>
  <c r="X257" i="154" s="1"/>
  <c r="S257" i="154"/>
  <c r="W259" i="154"/>
  <c r="X259" i="154" s="1"/>
  <c r="S259" i="154"/>
  <c r="W261" i="154"/>
  <c r="X261" i="154" s="1"/>
  <c r="S261" i="154"/>
  <c r="W263" i="154"/>
  <c r="X263" i="154" s="1"/>
  <c r="S263" i="154"/>
  <c r="W265" i="154"/>
  <c r="X265" i="154" s="1"/>
  <c r="S265" i="154"/>
  <c r="W267" i="154"/>
  <c r="X267" i="154" s="1"/>
  <c r="S267" i="154"/>
  <c r="W269" i="154"/>
  <c r="X269" i="154" s="1"/>
  <c r="S269" i="154"/>
  <c r="W271" i="154"/>
  <c r="X271" i="154" s="1"/>
  <c r="S271" i="154"/>
  <c r="W273" i="154"/>
  <c r="X273" i="154" s="1"/>
  <c r="S273" i="154"/>
  <c r="W275" i="154"/>
  <c r="X275" i="154" s="1"/>
  <c r="S275" i="154"/>
  <c r="W277" i="154"/>
  <c r="X277" i="154" s="1"/>
  <c r="S277" i="154"/>
  <c r="W279" i="154"/>
  <c r="X279" i="154" s="1"/>
  <c r="S279" i="154"/>
  <c r="W281" i="154"/>
  <c r="X281" i="154" s="1"/>
  <c r="S281" i="154"/>
  <c r="W283" i="154"/>
  <c r="X283" i="154" s="1"/>
  <c r="S283" i="154"/>
  <c r="W285" i="154"/>
  <c r="X285" i="154" s="1"/>
  <c r="S285" i="154"/>
  <c r="W287" i="154"/>
  <c r="X287" i="154" s="1"/>
  <c r="S287" i="154"/>
  <c r="W289" i="154"/>
  <c r="X289" i="154" s="1"/>
  <c r="S289" i="154"/>
  <c r="W291" i="154"/>
  <c r="X291" i="154" s="1"/>
  <c r="S291" i="154"/>
  <c r="W293" i="154"/>
  <c r="X293" i="154" s="1"/>
  <c r="S293" i="154"/>
  <c r="W295" i="154"/>
  <c r="X295" i="154" s="1"/>
  <c r="S295" i="154"/>
  <c r="W297" i="154"/>
  <c r="X297" i="154" s="1"/>
  <c r="S297" i="154"/>
  <c r="W299" i="154"/>
  <c r="X299" i="154" s="1"/>
  <c r="S299" i="154"/>
  <c r="W301" i="154"/>
  <c r="X301" i="154" s="1"/>
  <c r="S301" i="154"/>
  <c r="W303" i="154"/>
  <c r="X303" i="154" s="1"/>
  <c r="S303" i="154"/>
  <c r="W305" i="154"/>
  <c r="X305" i="154" s="1"/>
  <c r="S305" i="154"/>
  <c r="W307" i="154"/>
  <c r="X307" i="154" s="1"/>
  <c r="S307" i="154"/>
  <c r="W309" i="154"/>
  <c r="X309" i="154" s="1"/>
  <c r="S309" i="154"/>
  <c r="W311" i="154"/>
  <c r="X311" i="154" s="1"/>
  <c r="S311" i="154"/>
  <c r="W313" i="154"/>
  <c r="X313" i="154" s="1"/>
  <c r="S313" i="154"/>
  <c r="W315" i="154"/>
  <c r="X315" i="154" s="1"/>
  <c r="S315" i="154"/>
  <c r="W317" i="154"/>
  <c r="X317" i="154" s="1"/>
  <c r="S317" i="154"/>
  <c r="W319" i="154"/>
  <c r="X319" i="154" s="1"/>
  <c r="S319" i="154"/>
  <c r="W321" i="154"/>
  <c r="X321" i="154" s="1"/>
  <c r="S321" i="154"/>
  <c r="W323" i="154"/>
  <c r="X323" i="154" s="1"/>
  <c r="S323" i="154"/>
  <c r="W325" i="154"/>
  <c r="X325" i="154" s="1"/>
  <c r="S325" i="154"/>
  <c r="W327" i="154"/>
  <c r="X327" i="154" s="1"/>
  <c r="S327" i="154"/>
  <c r="W329" i="154"/>
  <c r="X329" i="154" s="1"/>
  <c r="S329" i="154"/>
  <c r="W331" i="154"/>
  <c r="X331" i="154" s="1"/>
  <c r="S331" i="154"/>
  <c r="W333" i="154"/>
  <c r="X333" i="154" s="1"/>
  <c r="S333" i="154"/>
  <c r="W335" i="154"/>
  <c r="X335" i="154" s="1"/>
  <c r="S335" i="154"/>
  <c r="W337" i="154"/>
  <c r="X337" i="154" s="1"/>
  <c r="S337" i="154"/>
  <c r="W339" i="154"/>
  <c r="X339" i="154" s="1"/>
  <c r="S339" i="154"/>
  <c r="W341" i="154"/>
  <c r="X341" i="154" s="1"/>
  <c r="S341" i="154"/>
  <c r="W343" i="154"/>
  <c r="X343" i="154" s="1"/>
  <c r="S343" i="154"/>
  <c r="W345" i="154"/>
  <c r="X345" i="154" s="1"/>
  <c r="S345" i="154"/>
  <c r="W347" i="154"/>
  <c r="X347" i="154" s="1"/>
  <c r="S347" i="154"/>
  <c r="W349" i="154"/>
  <c r="X349" i="154" s="1"/>
  <c r="S349" i="154"/>
  <c r="W351" i="154"/>
  <c r="X351" i="154" s="1"/>
  <c r="S351" i="154"/>
  <c r="W353" i="154"/>
  <c r="X353" i="154" s="1"/>
  <c r="S353" i="154"/>
  <c r="W355" i="154"/>
  <c r="X355" i="154" s="1"/>
  <c r="S355" i="154"/>
  <c r="W357" i="154"/>
  <c r="X357" i="154" s="1"/>
  <c r="S357" i="154"/>
  <c r="W359" i="154"/>
  <c r="X359" i="154" s="1"/>
  <c r="S359" i="154"/>
  <c r="W361" i="154"/>
  <c r="X361" i="154" s="1"/>
  <c r="S361" i="154"/>
  <c r="W363" i="154"/>
  <c r="X363" i="154" s="1"/>
  <c r="S363" i="154"/>
  <c r="W365" i="154"/>
  <c r="X365" i="154" s="1"/>
  <c r="S365" i="154"/>
  <c r="W367" i="154"/>
  <c r="X367" i="154" s="1"/>
  <c r="S367" i="154"/>
  <c r="W369" i="154"/>
  <c r="X369" i="154" s="1"/>
  <c r="S369" i="154"/>
  <c r="W371" i="154"/>
  <c r="X371" i="154" s="1"/>
  <c r="S371" i="154"/>
  <c r="W373" i="154"/>
  <c r="X373" i="154" s="1"/>
  <c r="S373" i="154"/>
  <c r="W375" i="154"/>
  <c r="X375" i="154" s="1"/>
  <c r="S375" i="154"/>
  <c r="W377" i="154"/>
  <c r="X377" i="154" s="1"/>
  <c r="S377" i="154"/>
  <c r="W379" i="154"/>
  <c r="X379" i="154" s="1"/>
  <c r="S379" i="154"/>
  <c r="W381" i="154"/>
  <c r="X381" i="154" s="1"/>
  <c r="S381" i="154"/>
  <c r="S382" i="154"/>
  <c r="Y382" i="154" s="1"/>
  <c r="W396" i="154"/>
  <c r="X396" i="154" s="1"/>
  <c r="S396" i="154"/>
  <c r="S397" i="154"/>
  <c r="Y397" i="154" s="1"/>
  <c r="W401" i="154"/>
  <c r="X401" i="154" s="1"/>
  <c r="S401" i="154"/>
  <c r="W403" i="154"/>
  <c r="X403" i="154" s="1"/>
  <c r="S403" i="154"/>
  <c r="W416" i="154"/>
  <c r="X416" i="154" s="1"/>
  <c r="S416" i="154"/>
  <c r="W418" i="154"/>
  <c r="X418" i="154" s="1"/>
  <c r="S418" i="154"/>
  <c r="W420" i="154"/>
  <c r="X420" i="154" s="1"/>
  <c r="S420" i="154"/>
  <c r="W422" i="154"/>
  <c r="X422" i="154" s="1"/>
  <c r="S422" i="154"/>
  <c r="W430" i="154"/>
  <c r="X430" i="154" s="1"/>
  <c r="S430" i="154"/>
  <c r="U432" i="154"/>
  <c r="S432" i="154"/>
  <c r="W432" i="154"/>
  <c r="X432" i="154" s="1"/>
  <c r="W434" i="154"/>
  <c r="X434" i="154" s="1"/>
  <c r="S434" i="154"/>
  <c r="W436" i="154"/>
  <c r="X436" i="154" s="1"/>
  <c r="S436" i="154"/>
  <c r="W439" i="154"/>
  <c r="X439" i="154" s="1"/>
  <c r="S439" i="154"/>
  <c r="W441" i="154"/>
  <c r="X441" i="154" s="1"/>
  <c r="S441" i="154"/>
  <c r="W443" i="154"/>
  <c r="X443" i="154" s="1"/>
  <c r="S443" i="154"/>
  <c r="W445" i="154"/>
  <c r="X445" i="154" s="1"/>
  <c r="S445" i="154"/>
  <c r="W447" i="154"/>
  <c r="X447" i="154" s="1"/>
  <c r="S447" i="154"/>
  <c r="W449" i="154"/>
  <c r="X449" i="154" s="1"/>
  <c r="S449" i="154"/>
  <c r="W451" i="154"/>
  <c r="X451" i="154" s="1"/>
  <c r="S451" i="154"/>
  <c r="W454" i="154"/>
  <c r="X454" i="154" s="1"/>
  <c r="S454" i="154"/>
  <c r="S455" i="154"/>
  <c r="Y455" i="154" s="1"/>
  <c r="W459" i="154"/>
  <c r="X459" i="154" s="1"/>
  <c r="S459" i="154"/>
  <c r="W476" i="154"/>
  <c r="X476" i="154" s="1"/>
  <c r="S476" i="154"/>
  <c r="W478" i="154"/>
  <c r="X478" i="154" s="1"/>
  <c r="S478" i="154"/>
  <c r="W480" i="154"/>
  <c r="X480" i="154" s="1"/>
  <c r="S480" i="154"/>
  <c r="W482" i="154"/>
  <c r="X482" i="154" s="1"/>
  <c r="S482" i="154"/>
  <c r="W484" i="154"/>
  <c r="X484" i="154" s="1"/>
  <c r="S484" i="154"/>
  <c r="S485" i="154"/>
  <c r="Y485" i="154" s="1"/>
  <c r="Q488" i="154"/>
  <c r="Y490" i="154"/>
  <c r="U491" i="154"/>
  <c r="S491" i="154"/>
  <c r="W491" i="154"/>
  <c r="X491" i="154" s="1"/>
  <c r="Q492" i="154"/>
  <c r="W493" i="154"/>
  <c r="X493" i="154" s="1"/>
  <c r="Y493" i="154" s="1"/>
  <c r="Y495" i="154"/>
  <c r="U496" i="154"/>
  <c r="S496" i="154"/>
  <c r="W496" i="154"/>
  <c r="X496" i="154" s="1"/>
  <c r="W499" i="154"/>
  <c r="X499" i="154" s="1"/>
  <c r="Y499" i="154" s="1"/>
  <c r="W502" i="154"/>
  <c r="X502" i="154" s="1"/>
  <c r="S502" i="154"/>
  <c r="W504" i="154"/>
  <c r="X504" i="154" s="1"/>
  <c r="S504" i="154"/>
  <c r="W506" i="154"/>
  <c r="X506" i="154" s="1"/>
  <c r="S506" i="154"/>
  <c r="W508" i="154"/>
  <c r="X508" i="154" s="1"/>
  <c r="S508" i="154"/>
  <c r="W510" i="154"/>
  <c r="X510" i="154" s="1"/>
  <c r="S510" i="154"/>
  <c r="W512" i="154"/>
  <c r="X512" i="154" s="1"/>
  <c r="S512" i="154"/>
  <c r="W514" i="154"/>
  <c r="X514" i="154" s="1"/>
  <c r="S514" i="154"/>
  <c r="W516" i="154"/>
  <c r="X516" i="154" s="1"/>
  <c r="S516" i="154"/>
  <c r="W518" i="154"/>
  <c r="X518" i="154" s="1"/>
  <c r="S518" i="154"/>
  <c r="W520" i="154"/>
  <c r="X520" i="154" s="1"/>
  <c r="S520" i="154"/>
  <c r="W522" i="154"/>
  <c r="X522" i="154" s="1"/>
  <c r="S522" i="154"/>
  <c r="W524" i="154"/>
  <c r="X524" i="154" s="1"/>
  <c r="S524" i="154"/>
  <c r="W526" i="154"/>
  <c r="X526" i="154" s="1"/>
  <c r="S526" i="154"/>
  <c r="W528" i="154"/>
  <c r="X528" i="154" s="1"/>
  <c r="S528" i="154"/>
  <c r="W530" i="154"/>
  <c r="X530" i="154" s="1"/>
  <c r="S530" i="154"/>
  <c r="W532" i="154"/>
  <c r="X532" i="154" s="1"/>
  <c r="S532" i="154"/>
  <c r="W534" i="154"/>
  <c r="X534" i="154" s="1"/>
  <c r="S534" i="154"/>
  <c r="W536" i="154"/>
  <c r="X536" i="154" s="1"/>
  <c r="S536" i="154"/>
  <c r="W538" i="154"/>
  <c r="X538" i="154" s="1"/>
  <c r="S538" i="154"/>
  <c r="W540" i="154"/>
  <c r="X540" i="154" s="1"/>
  <c r="S540" i="154"/>
  <c r="W542" i="154"/>
  <c r="X542" i="154" s="1"/>
  <c r="S542" i="154"/>
  <c r="W543" i="154"/>
  <c r="X543" i="154" s="1"/>
  <c r="Y543" i="154" s="1"/>
  <c r="M544" i="154"/>
  <c r="K545" i="154"/>
  <c r="Y3" i="151"/>
  <c r="Z3" i="151" s="1"/>
  <c r="Y4" i="151"/>
  <c r="Z4" i="151" s="1"/>
  <c r="Y5" i="151"/>
  <c r="Z5" i="151" s="1"/>
  <c r="Y6" i="151"/>
  <c r="Z6" i="151" s="1"/>
  <c r="Y7" i="151"/>
  <c r="Z7" i="151" s="1"/>
  <c r="H559" i="151"/>
  <c r="S13" i="151"/>
  <c r="S15" i="151"/>
  <c r="Y24" i="151"/>
  <c r="Z24" i="151" s="1"/>
  <c r="U25" i="151"/>
  <c r="Y60" i="151"/>
  <c r="Z60" i="151" s="1"/>
  <c r="Y61" i="151"/>
  <c r="Z61" i="151" s="1"/>
  <c r="U62" i="151"/>
  <c r="Y88" i="151"/>
  <c r="Z88" i="151" s="1"/>
  <c r="U88" i="151"/>
  <c r="U90" i="151"/>
  <c r="Y90" i="151"/>
  <c r="Z90" i="151" s="1"/>
  <c r="Y92" i="151"/>
  <c r="Z92" i="151" s="1"/>
  <c r="U92" i="151"/>
  <c r="U95" i="151"/>
  <c r="Y95" i="151"/>
  <c r="Z95" i="151" s="1"/>
  <c r="U97" i="151"/>
  <c r="Y97" i="151"/>
  <c r="Z97" i="151" s="1"/>
  <c r="U99" i="151"/>
  <c r="Y99" i="151"/>
  <c r="Z99" i="151" s="1"/>
  <c r="U101" i="151"/>
  <c r="Y101" i="151"/>
  <c r="Z101" i="151" s="1"/>
  <c r="U103" i="151"/>
  <c r="Y103" i="151"/>
  <c r="Z103" i="151" s="1"/>
  <c r="U105" i="151"/>
  <c r="Y105" i="151"/>
  <c r="Z105" i="151" s="1"/>
  <c r="U112" i="151"/>
  <c r="Y112" i="151"/>
  <c r="Z112" i="151" s="1"/>
  <c r="U114" i="151"/>
  <c r="Y114" i="151"/>
  <c r="Z114" i="151" s="1"/>
  <c r="Y117" i="151"/>
  <c r="Z117" i="151" s="1"/>
  <c r="U123" i="151"/>
  <c r="Y123" i="151"/>
  <c r="Z123" i="151" s="1"/>
  <c r="U125" i="151"/>
  <c r="Y125" i="151"/>
  <c r="Z125" i="151" s="1"/>
  <c r="U127" i="151"/>
  <c r="Y127" i="151"/>
  <c r="Z127" i="151" s="1"/>
  <c r="U129" i="151"/>
  <c r="Y129" i="151"/>
  <c r="Z129" i="151" s="1"/>
  <c r="U131" i="151"/>
  <c r="U133" i="151"/>
  <c r="Y133" i="151"/>
  <c r="Z133" i="151" s="1"/>
  <c r="U158" i="151"/>
  <c r="Y158" i="151"/>
  <c r="Z158" i="151" s="1"/>
  <c r="U160" i="151"/>
  <c r="Y160" i="151"/>
  <c r="Z160" i="151" s="1"/>
  <c r="U162" i="151"/>
  <c r="Y162" i="151"/>
  <c r="Z162" i="151" s="1"/>
  <c r="U164" i="151"/>
  <c r="Y164" i="151"/>
  <c r="Z164" i="151" s="1"/>
  <c r="U166" i="151"/>
  <c r="Y166" i="151"/>
  <c r="Z166" i="151" s="1"/>
  <c r="U168" i="151"/>
  <c r="Y168" i="151"/>
  <c r="Z168" i="151" s="1"/>
  <c r="U170" i="151"/>
  <c r="Y170" i="151"/>
  <c r="Z170" i="151" s="1"/>
  <c r="S435" i="158"/>
  <c r="V473" i="158"/>
  <c r="Y3" i="154"/>
  <c r="J545" i="154"/>
  <c r="J544" i="154"/>
  <c r="W161" i="154"/>
  <c r="X161" i="154" s="1"/>
  <c r="S161" i="154"/>
  <c r="W163" i="154"/>
  <c r="X163" i="154" s="1"/>
  <c r="S163" i="154"/>
  <c r="W165" i="154"/>
  <c r="X165" i="154" s="1"/>
  <c r="S165" i="154"/>
  <c r="W167" i="154"/>
  <c r="X167" i="154" s="1"/>
  <c r="S167" i="154"/>
  <c r="W169" i="154"/>
  <c r="X169" i="154" s="1"/>
  <c r="S169" i="154"/>
  <c r="W171" i="154"/>
  <c r="X171" i="154" s="1"/>
  <c r="S171" i="154"/>
  <c r="W173" i="154"/>
  <c r="X173" i="154" s="1"/>
  <c r="S173" i="154"/>
  <c r="W175" i="154"/>
  <c r="X175" i="154" s="1"/>
  <c r="S175" i="154"/>
  <c r="W177" i="154"/>
  <c r="X177" i="154" s="1"/>
  <c r="S177" i="154"/>
  <c r="W179" i="154"/>
  <c r="X179" i="154" s="1"/>
  <c r="S179" i="154"/>
  <c r="W181" i="154"/>
  <c r="X181" i="154" s="1"/>
  <c r="S181" i="154"/>
  <c r="W183" i="154"/>
  <c r="X183" i="154" s="1"/>
  <c r="S183" i="154"/>
  <c r="W186" i="154"/>
  <c r="X186" i="154" s="1"/>
  <c r="S186" i="154"/>
  <c r="W188" i="154"/>
  <c r="X188" i="154" s="1"/>
  <c r="S188" i="154"/>
  <c r="W190" i="154"/>
  <c r="X190" i="154" s="1"/>
  <c r="S190" i="154"/>
  <c r="W192" i="154"/>
  <c r="X192" i="154" s="1"/>
  <c r="S192" i="154"/>
  <c r="W194" i="154"/>
  <c r="X194" i="154" s="1"/>
  <c r="S194" i="154"/>
  <c r="W196" i="154"/>
  <c r="X196" i="154" s="1"/>
  <c r="S196" i="154"/>
  <c r="W198" i="154"/>
  <c r="X198" i="154" s="1"/>
  <c r="S198" i="154"/>
  <c r="W200" i="154"/>
  <c r="X200" i="154" s="1"/>
  <c r="S200" i="154"/>
  <c r="W202" i="154"/>
  <c r="X202" i="154" s="1"/>
  <c r="S202" i="154"/>
  <c r="W204" i="154"/>
  <c r="X204" i="154" s="1"/>
  <c r="S204" i="154"/>
  <c r="W206" i="154"/>
  <c r="X206" i="154" s="1"/>
  <c r="S206" i="154"/>
  <c r="W208" i="154"/>
  <c r="X208" i="154" s="1"/>
  <c r="S208" i="154"/>
  <c r="W210" i="154"/>
  <c r="X210" i="154" s="1"/>
  <c r="S210" i="154"/>
  <c r="W212" i="154"/>
  <c r="X212" i="154" s="1"/>
  <c r="S212" i="154"/>
  <c r="W214" i="154"/>
  <c r="X214" i="154" s="1"/>
  <c r="S214" i="154"/>
  <c r="W216" i="154"/>
  <c r="X216" i="154" s="1"/>
  <c r="S216" i="154"/>
  <c r="W218" i="154"/>
  <c r="X218" i="154" s="1"/>
  <c r="S218" i="154"/>
  <c r="W220" i="154"/>
  <c r="X220" i="154" s="1"/>
  <c r="S220" i="154"/>
  <c r="W222" i="154"/>
  <c r="X222" i="154" s="1"/>
  <c r="S222" i="154"/>
  <c r="W224" i="154"/>
  <c r="X224" i="154" s="1"/>
  <c r="S224" i="154"/>
  <c r="W226" i="154"/>
  <c r="X226" i="154" s="1"/>
  <c r="S226" i="154"/>
  <c r="W228" i="154"/>
  <c r="X228" i="154" s="1"/>
  <c r="S228" i="154"/>
  <c r="W230" i="154"/>
  <c r="X230" i="154" s="1"/>
  <c r="S230" i="154"/>
  <c r="W232" i="154"/>
  <c r="X232" i="154" s="1"/>
  <c r="S232" i="154"/>
  <c r="W234" i="154"/>
  <c r="X234" i="154" s="1"/>
  <c r="S234" i="154"/>
  <c r="W236" i="154"/>
  <c r="X236" i="154" s="1"/>
  <c r="S236" i="154"/>
  <c r="W238" i="154"/>
  <c r="X238" i="154" s="1"/>
  <c r="S238" i="154"/>
  <c r="W240" i="154"/>
  <c r="X240" i="154" s="1"/>
  <c r="S240" i="154"/>
  <c r="W242" i="154"/>
  <c r="X242" i="154" s="1"/>
  <c r="S242" i="154"/>
  <c r="W244" i="154"/>
  <c r="X244" i="154" s="1"/>
  <c r="S244" i="154"/>
  <c r="W246" i="154"/>
  <c r="X246" i="154" s="1"/>
  <c r="S246" i="154"/>
  <c r="W248" i="154"/>
  <c r="X248" i="154" s="1"/>
  <c r="S248" i="154"/>
  <c r="W250" i="154"/>
  <c r="X250" i="154" s="1"/>
  <c r="S250" i="154"/>
  <c r="W252" i="154"/>
  <c r="X252" i="154" s="1"/>
  <c r="S252" i="154"/>
  <c r="W254" i="154"/>
  <c r="X254" i="154" s="1"/>
  <c r="S254" i="154"/>
  <c r="W256" i="154"/>
  <c r="X256" i="154" s="1"/>
  <c r="S256" i="154"/>
  <c r="W258" i="154"/>
  <c r="X258" i="154" s="1"/>
  <c r="S258" i="154"/>
  <c r="W260" i="154"/>
  <c r="X260" i="154" s="1"/>
  <c r="S260" i="154"/>
  <c r="W262" i="154"/>
  <c r="X262" i="154" s="1"/>
  <c r="S262" i="154"/>
  <c r="W264" i="154"/>
  <c r="X264" i="154" s="1"/>
  <c r="S264" i="154"/>
  <c r="W266" i="154"/>
  <c r="X266" i="154" s="1"/>
  <c r="S266" i="154"/>
  <c r="W268" i="154"/>
  <c r="X268" i="154" s="1"/>
  <c r="S268" i="154"/>
  <c r="W270" i="154"/>
  <c r="X270" i="154" s="1"/>
  <c r="S270" i="154"/>
  <c r="W272" i="154"/>
  <c r="X272" i="154" s="1"/>
  <c r="S272" i="154"/>
  <c r="W274" i="154"/>
  <c r="X274" i="154" s="1"/>
  <c r="S274" i="154"/>
  <c r="W276" i="154"/>
  <c r="X276" i="154" s="1"/>
  <c r="S276" i="154"/>
  <c r="W278" i="154"/>
  <c r="X278" i="154" s="1"/>
  <c r="S278" i="154"/>
  <c r="W280" i="154"/>
  <c r="X280" i="154" s="1"/>
  <c r="S280" i="154"/>
  <c r="W282" i="154"/>
  <c r="X282" i="154" s="1"/>
  <c r="S282" i="154"/>
  <c r="W284" i="154"/>
  <c r="X284" i="154" s="1"/>
  <c r="S284" i="154"/>
  <c r="W286" i="154"/>
  <c r="X286" i="154" s="1"/>
  <c r="S286" i="154"/>
  <c r="W288" i="154"/>
  <c r="X288" i="154" s="1"/>
  <c r="S288" i="154"/>
  <c r="W290" i="154"/>
  <c r="X290" i="154" s="1"/>
  <c r="S290" i="154"/>
  <c r="W292" i="154"/>
  <c r="X292" i="154" s="1"/>
  <c r="S292" i="154"/>
  <c r="W294" i="154"/>
  <c r="X294" i="154" s="1"/>
  <c r="S294" i="154"/>
  <c r="W296" i="154"/>
  <c r="X296" i="154" s="1"/>
  <c r="S296" i="154"/>
  <c r="W298" i="154"/>
  <c r="X298" i="154" s="1"/>
  <c r="S298" i="154"/>
  <c r="W302" i="154"/>
  <c r="X302" i="154" s="1"/>
  <c r="S302" i="154"/>
  <c r="W304" i="154"/>
  <c r="X304" i="154" s="1"/>
  <c r="S304" i="154"/>
  <c r="W306" i="154"/>
  <c r="X306" i="154" s="1"/>
  <c r="S306" i="154"/>
  <c r="W308" i="154"/>
  <c r="X308" i="154" s="1"/>
  <c r="S308" i="154"/>
  <c r="W310" i="154"/>
  <c r="X310" i="154" s="1"/>
  <c r="S310" i="154"/>
  <c r="W312" i="154"/>
  <c r="X312" i="154" s="1"/>
  <c r="S312" i="154"/>
  <c r="W314" i="154"/>
  <c r="X314" i="154" s="1"/>
  <c r="S314" i="154"/>
  <c r="W316" i="154"/>
  <c r="X316" i="154" s="1"/>
  <c r="S316" i="154"/>
  <c r="W318" i="154"/>
  <c r="X318" i="154" s="1"/>
  <c r="S318" i="154"/>
  <c r="W320" i="154"/>
  <c r="X320" i="154" s="1"/>
  <c r="S320" i="154"/>
  <c r="W322" i="154"/>
  <c r="X322" i="154" s="1"/>
  <c r="S322" i="154"/>
  <c r="W324" i="154"/>
  <c r="X324" i="154" s="1"/>
  <c r="S324" i="154"/>
  <c r="W326" i="154"/>
  <c r="X326" i="154" s="1"/>
  <c r="S326" i="154"/>
  <c r="W328" i="154"/>
  <c r="X328" i="154" s="1"/>
  <c r="S328" i="154"/>
  <c r="W330" i="154"/>
  <c r="X330" i="154" s="1"/>
  <c r="S330" i="154"/>
  <c r="W332" i="154"/>
  <c r="X332" i="154" s="1"/>
  <c r="S332" i="154"/>
  <c r="W334" i="154"/>
  <c r="X334" i="154" s="1"/>
  <c r="S334" i="154"/>
  <c r="W336" i="154"/>
  <c r="X336" i="154" s="1"/>
  <c r="S336" i="154"/>
  <c r="W338" i="154"/>
  <c r="X338" i="154" s="1"/>
  <c r="S338" i="154"/>
  <c r="W340" i="154"/>
  <c r="X340" i="154" s="1"/>
  <c r="S340" i="154"/>
  <c r="W342" i="154"/>
  <c r="X342" i="154" s="1"/>
  <c r="S342" i="154"/>
  <c r="W344" i="154"/>
  <c r="X344" i="154" s="1"/>
  <c r="S344" i="154"/>
  <c r="W346" i="154"/>
  <c r="X346" i="154" s="1"/>
  <c r="S346" i="154"/>
  <c r="W348" i="154"/>
  <c r="X348" i="154" s="1"/>
  <c r="S348" i="154"/>
  <c r="W350" i="154"/>
  <c r="X350" i="154" s="1"/>
  <c r="S350" i="154"/>
  <c r="W352" i="154"/>
  <c r="X352" i="154" s="1"/>
  <c r="S352" i="154"/>
  <c r="W354" i="154"/>
  <c r="X354" i="154" s="1"/>
  <c r="S354" i="154"/>
  <c r="W356" i="154"/>
  <c r="X356" i="154" s="1"/>
  <c r="S356" i="154"/>
  <c r="W358" i="154"/>
  <c r="X358" i="154" s="1"/>
  <c r="S358" i="154"/>
  <c r="W360" i="154"/>
  <c r="X360" i="154" s="1"/>
  <c r="S360" i="154"/>
  <c r="W362" i="154"/>
  <c r="X362" i="154" s="1"/>
  <c r="S362" i="154"/>
  <c r="W364" i="154"/>
  <c r="X364" i="154" s="1"/>
  <c r="S364" i="154"/>
  <c r="W366" i="154"/>
  <c r="X366" i="154" s="1"/>
  <c r="S366" i="154"/>
  <c r="W368" i="154"/>
  <c r="X368" i="154" s="1"/>
  <c r="S368" i="154"/>
  <c r="W370" i="154"/>
  <c r="X370" i="154" s="1"/>
  <c r="S370" i="154"/>
  <c r="W372" i="154"/>
  <c r="X372" i="154" s="1"/>
  <c r="S372" i="154"/>
  <c r="W374" i="154"/>
  <c r="X374" i="154" s="1"/>
  <c r="S374" i="154"/>
  <c r="W376" i="154"/>
  <c r="X376" i="154" s="1"/>
  <c r="S376" i="154"/>
  <c r="W378" i="154"/>
  <c r="X378" i="154" s="1"/>
  <c r="S378" i="154"/>
  <c r="Q380" i="154"/>
  <c r="W400" i="154"/>
  <c r="X400" i="154" s="1"/>
  <c r="S400" i="154"/>
  <c r="W402" i="154"/>
  <c r="X402" i="154" s="1"/>
  <c r="S402" i="154"/>
  <c r="W404" i="154"/>
  <c r="X404" i="154" s="1"/>
  <c r="S404" i="154"/>
  <c r="S406" i="154"/>
  <c r="Y406" i="154" s="1"/>
  <c r="W417" i="154"/>
  <c r="X417" i="154" s="1"/>
  <c r="S417" i="154"/>
  <c r="W419" i="154"/>
  <c r="X419" i="154" s="1"/>
  <c r="S419" i="154"/>
  <c r="W421" i="154"/>
  <c r="X421" i="154" s="1"/>
  <c r="S421" i="154"/>
  <c r="W423" i="154"/>
  <c r="X423" i="154" s="1"/>
  <c r="S423" i="154"/>
  <c r="W431" i="154"/>
  <c r="X431" i="154" s="1"/>
  <c r="S431" i="154"/>
  <c r="W433" i="154"/>
  <c r="X433" i="154" s="1"/>
  <c r="S433" i="154"/>
  <c r="W435" i="154"/>
  <c r="X435" i="154" s="1"/>
  <c r="S435" i="154"/>
  <c r="W440" i="154"/>
  <c r="X440" i="154" s="1"/>
  <c r="S440" i="154"/>
  <c r="W442" i="154"/>
  <c r="X442" i="154" s="1"/>
  <c r="S442" i="154"/>
  <c r="W444" i="154"/>
  <c r="X444" i="154" s="1"/>
  <c r="S444" i="154"/>
  <c r="W446" i="154"/>
  <c r="X446" i="154" s="1"/>
  <c r="S446" i="154"/>
  <c r="W450" i="154"/>
  <c r="X450" i="154" s="1"/>
  <c r="S450" i="154"/>
  <c r="W452" i="154"/>
  <c r="X452" i="154" s="1"/>
  <c r="S452" i="154"/>
  <c r="W460" i="154"/>
  <c r="X460" i="154" s="1"/>
  <c r="S460" i="154"/>
  <c r="W475" i="154"/>
  <c r="X475" i="154" s="1"/>
  <c r="S475" i="154"/>
  <c r="W477" i="154"/>
  <c r="X477" i="154" s="1"/>
  <c r="S477" i="154"/>
  <c r="W479" i="154"/>
  <c r="X479" i="154" s="1"/>
  <c r="S479" i="154"/>
  <c r="W481" i="154"/>
  <c r="X481" i="154" s="1"/>
  <c r="S481" i="154"/>
  <c r="W483" i="154"/>
  <c r="X483" i="154" s="1"/>
  <c r="S483" i="154"/>
  <c r="U494" i="154"/>
  <c r="S494" i="154"/>
  <c r="W494" i="154"/>
  <c r="X494" i="154" s="1"/>
  <c r="W503" i="154"/>
  <c r="X503" i="154" s="1"/>
  <c r="S503" i="154"/>
  <c r="W505" i="154"/>
  <c r="X505" i="154" s="1"/>
  <c r="S505" i="154"/>
  <c r="W507" i="154"/>
  <c r="X507" i="154" s="1"/>
  <c r="S507" i="154"/>
  <c r="W509" i="154"/>
  <c r="X509" i="154" s="1"/>
  <c r="S509" i="154"/>
  <c r="W511" i="154"/>
  <c r="X511" i="154" s="1"/>
  <c r="S511" i="154"/>
  <c r="W513" i="154"/>
  <c r="X513" i="154" s="1"/>
  <c r="S513" i="154"/>
  <c r="W515" i="154"/>
  <c r="X515" i="154" s="1"/>
  <c r="S515" i="154"/>
  <c r="W517" i="154"/>
  <c r="X517" i="154" s="1"/>
  <c r="S517" i="154"/>
  <c r="W519" i="154"/>
  <c r="X519" i="154" s="1"/>
  <c r="S519" i="154"/>
  <c r="W521" i="154"/>
  <c r="X521" i="154" s="1"/>
  <c r="S521" i="154"/>
  <c r="W523" i="154"/>
  <c r="X523" i="154" s="1"/>
  <c r="S523" i="154"/>
  <c r="W525" i="154"/>
  <c r="X525" i="154" s="1"/>
  <c r="S525" i="154"/>
  <c r="W527" i="154"/>
  <c r="X527" i="154" s="1"/>
  <c r="S527" i="154"/>
  <c r="W529" i="154"/>
  <c r="X529" i="154" s="1"/>
  <c r="S529" i="154"/>
  <c r="W531" i="154"/>
  <c r="X531" i="154" s="1"/>
  <c r="S531" i="154"/>
  <c r="W533" i="154"/>
  <c r="X533" i="154" s="1"/>
  <c r="S533" i="154"/>
  <c r="W535" i="154"/>
  <c r="X535" i="154" s="1"/>
  <c r="S535" i="154"/>
  <c r="W537" i="154"/>
  <c r="X537" i="154" s="1"/>
  <c r="S537" i="154"/>
  <c r="W539" i="154"/>
  <c r="X539" i="154" s="1"/>
  <c r="S539" i="154"/>
  <c r="W541" i="154"/>
  <c r="X541" i="154" s="1"/>
  <c r="S541" i="154"/>
  <c r="U30" i="151"/>
  <c r="U78" i="151"/>
  <c r="U89" i="151"/>
  <c r="Y89" i="151"/>
  <c r="Z89" i="151" s="1"/>
  <c r="U91" i="151"/>
  <c r="Y91" i="151"/>
  <c r="Z91" i="151" s="1"/>
  <c r="U96" i="151"/>
  <c r="Y96" i="151"/>
  <c r="Z96" i="151" s="1"/>
  <c r="U98" i="151"/>
  <c r="Y98" i="151"/>
  <c r="Z98" i="151" s="1"/>
  <c r="U100" i="151"/>
  <c r="Y100" i="151"/>
  <c r="Z100" i="151" s="1"/>
  <c r="U102" i="151"/>
  <c r="Y102" i="151"/>
  <c r="Z102" i="151" s="1"/>
  <c r="U104" i="151"/>
  <c r="Y104" i="151"/>
  <c r="Z104" i="151" s="1"/>
  <c r="Y106" i="151"/>
  <c r="Z106" i="151" s="1"/>
  <c r="U106" i="151"/>
  <c r="U111" i="151"/>
  <c r="Y111" i="151"/>
  <c r="Z111" i="151" s="1"/>
  <c r="U113" i="151"/>
  <c r="Y113" i="151"/>
  <c r="Z113" i="151" s="1"/>
  <c r="Y115" i="151"/>
  <c r="Z115" i="151" s="1"/>
  <c r="U115" i="151"/>
  <c r="U122" i="151"/>
  <c r="Y122" i="151"/>
  <c r="Z122" i="151" s="1"/>
  <c r="U124" i="151"/>
  <c r="Y124" i="151"/>
  <c r="Z124" i="151" s="1"/>
  <c r="U126" i="151"/>
  <c r="Y126" i="151"/>
  <c r="Z126" i="151" s="1"/>
  <c r="U128" i="151"/>
  <c r="Y128" i="151"/>
  <c r="Z128" i="151" s="1"/>
  <c r="U132" i="151"/>
  <c r="Y132" i="151"/>
  <c r="Z132" i="151" s="1"/>
  <c r="U134" i="151"/>
  <c r="Y134" i="151"/>
  <c r="Z134" i="151" s="1"/>
  <c r="U159" i="151"/>
  <c r="Y159" i="151"/>
  <c r="Z159" i="151" s="1"/>
  <c r="U161" i="151"/>
  <c r="Y161" i="151"/>
  <c r="Z161" i="151" s="1"/>
  <c r="U163" i="151"/>
  <c r="Y163" i="151"/>
  <c r="Z163" i="151" s="1"/>
  <c r="U165" i="151"/>
  <c r="Y165" i="151"/>
  <c r="Z165" i="151" s="1"/>
  <c r="U167" i="151"/>
  <c r="Y167" i="151"/>
  <c r="Z167" i="151" s="1"/>
  <c r="U169" i="151"/>
  <c r="Y169" i="151"/>
  <c r="Z169" i="151" s="1"/>
  <c r="U171" i="151"/>
  <c r="Y171" i="151"/>
  <c r="Z171" i="151" s="1"/>
  <c r="U188" i="151"/>
  <c r="U194" i="151"/>
  <c r="U190" i="151"/>
  <c r="U347" i="151"/>
  <c r="Y451" i="151"/>
  <c r="Z451" i="151" s="1"/>
  <c r="U480" i="151"/>
  <c r="Y503" i="151"/>
  <c r="Z503" i="151" s="1"/>
  <c r="F544" i="154"/>
  <c r="N544" i="154"/>
  <c r="G559" i="151"/>
  <c r="S26" i="151"/>
  <c r="I559" i="151"/>
  <c r="L559" i="151"/>
  <c r="N559" i="151"/>
  <c r="S136" i="151"/>
  <c r="S186" i="151"/>
  <c r="Y260" i="151"/>
  <c r="Z260" i="151" s="1"/>
  <c r="Y261" i="151"/>
  <c r="Z261" i="151" s="1"/>
  <c r="Y262" i="151"/>
  <c r="Z262" i="151" s="1"/>
  <c r="Y263" i="151"/>
  <c r="Z263" i="151" s="1"/>
  <c r="Y264" i="151"/>
  <c r="Z264" i="151" s="1"/>
  <c r="Y265" i="151"/>
  <c r="Z265" i="151" s="1"/>
  <c r="Y266" i="151"/>
  <c r="Z266" i="151" s="1"/>
  <c r="Y267" i="151"/>
  <c r="Z267" i="151" s="1"/>
  <c r="Y268" i="151"/>
  <c r="Z268" i="151" s="1"/>
  <c r="Y269" i="151"/>
  <c r="Z269" i="151" s="1"/>
  <c r="Y270" i="151"/>
  <c r="Z270" i="151" s="1"/>
  <c r="Y271" i="151"/>
  <c r="Z271" i="151" s="1"/>
  <c r="Y272" i="151"/>
  <c r="Z272" i="151" s="1"/>
  <c r="Y273" i="151"/>
  <c r="Z273" i="151" s="1"/>
  <c r="Y274" i="151"/>
  <c r="Z274" i="151" s="1"/>
  <c r="Y275" i="151"/>
  <c r="Z275" i="151" s="1"/>
  <c r="Y276" i="151"/>
  <c r="Z276" i="151" s="1"/>
  <c r="Y277" i="151"/>
  <c r="Z277" i="151" s="1"/>
  <c r="Y278" i="151"/>
  <c r="Z278" i="151" s="1"/>
  <c r="Y279" i="151"/>
  <c r="Z279" i="151" s="1"/>
  <c r="Y280" i="151"/>
  <c r="Z280" i="151" s="1"/>
  <c r="Y281" i="151"/>
  <c r="Z281" i="151" s="1"/>
  <c r="Y282" i="151"/>
  <c r="Z282" i="151" s="1"/>
  <c r="Y283" i="151"/>
  <c r="Z283" i="151" s="1"/>
  <c r="Y284" i="151"/>
  <c r="Z284" i="151" s="1"/>
  <c r="Y285" i="151"/>
  <c r="Z285" i="151" s="1"/>
  <c r="Y286" i="151"/>
  <c r="Z286" i="151" s="1"/>
  <c r="Y287" i="151"/>
  <c r="Z287" i="151" s="1"/>
  <c r="Y288" i="151"/>
  <c r="Z288" i="151" s="1"/>
  <c r="Y289" i="151"/>
  <c r="Z289" i="151" s="1"/>
  <c r="Y290" i="151"/>
  <c r="Z290" i="151" s="1"/>
  <c r="Y291" i="151"/>
  <c r="Z291" i="151" s="1"/>
  <c r="Y292" i="151"/>
  <c r="Z292" i="151" s="1"/>
  <c r="Y293" i="151"/>
  <c r="Z293" i="151" s="1"/>
  <c r="Y294" i="151"/>
  <c r="Z294" i="151" s="1"/>
  <c r="Y295" i="151"/>
  <c r="Z295" i="151" s="1"/>
  <c r="U296" i="151"/>
  <c r="Y297" i="151"/>
  <c r="Z297" i="151" s="1"/>
  <c r="U298" i="151"/>
  <c r="U30" i="44"/>
  <c r="Y309" i="151"/>
  <c r="Z309" i="151" s="1"/>
  <c r="U310" i="151"/>
  <c r="U352" i="151"/>
  <c r="Y352" i="151"/>
  <c r="Z352" i="151" s="1"/>
  <c r="Y446" i="151"/>
  <c r="Z446" i="151" s="1"/>
  <c r="U453" i="151"/>
  <c r="Y453" i="151"/>
  <c r="Z453" i="151" s="1"/>
  <c r="U460" i="151"/>
  <c r="Y460" i="151"/>
  <c r="Z460" i="151" s="1"/>
  <c r="O559" i="151"/>
  <c r="Y373" i="151"/>
  <c r="Z373" i="151" s="1"/>
  <c r="Y374" i="151"/>
  <c r="Z374" i="151" s="1"/>
  <c r="Y375" i="151"/>
  <c r="Z375" i="151" s="1"/>
  <c r="U376" i="151"/>
  <c r="S390" i="151"/>
  <c r="Y417" i="151"/>
  <c r="Z417" i="151" s="1"/>
  <c r="Y418" i="151"/>
  <c r="Z418" i="151" s="1"/>
  <c r="U419" i="151"/>
  <c r="E25" i="83"/>
  <c r="G26" i="83" s="1"/>
  <c r="N100" i="59"/>
  <c r="N105" i="59"/>
  <c r="Y512" i="151"/>
  <c r="Z512" i="151" s="1"/>
  <c r="Y513" i="151"/>
  <c r="Z513" i="151" s="1"/>
  <c r="Y514" i="151"/>
  <c r="Z514" i="151" s="1"/>
  <c r="Y515" i="151"/>
  <c r="Z515" i="151" s="1"/>
  <c r="Y516" i="151"/>
  <c r="Z516" i="151" s="1"/>
  <c r="S518" i="151"/>
  <c r="S519" i="151"/>
  <c r="S520" i="151"/>
  <c r="S521" i="151"/>
  <c r="Z442" i="175"/>
  <c r="AA442" i="175" s="1"/>
  <c r="Z143" i="175"/>
  <c r="AA143" i="175" s="1"/>
  <c r="Z450" i="175"/>
  <c r="AA450" i="175" s="1"/>
  <c r="Z23" i="175"/>
  <c r="AA23" i="175" s="1"/>
  <c r="Z41" i="175"/>
  <c r="AA41" i="175" s="1"/>
  <c r="Z46" i="175"/>
  <c r="AA46" i="175" s="1"/>
  <c r="Z13" i="175"/>
  <c r="AA13" i="175" s="1"/>
  <c r="Z18" i="175"/>
  <c r="AA18" i="175" s="1"/>
  <c r="Z16" i="175"/>
  <c r="AA16" i="175" s="1"/>
  <c r="Z207" i="175"/>
  <c r="AA207" i="175" s="1"/>
  <c r="Z198" i="175"/>
  <c r="AA198" i="175" s="1"/>
  <c r="Z313" i="175"/>
  <c r="AA313" i="175" s="1"/>
  <c r="Z315" i="175"/>
  <c r="AA315" i="175" s="1"/>
  <c r="Z310" i="175"/>
  <c r="AA310" i="175" s="1"/>
  <c r="Z312" i="175"/>
  <c r="AA312" i="175" s="1"/>
  <c r="Z318" i="175"/>
  <c r="AA318" i="175" s="1"/>
  <c r="Z92" i="175"/>
  <c r="AA92" i="175" s="1"/>
  <c r="Z180" i="175"/>
  <c r="AA180" i="175" s="1"/>
  <c r="Z341" i="175"/>
  <c r="AA341" i="175" s="1"/>
  <c r="Z218" i="175"/>
  <c r="AA218" i="175" s="1"/>
  <c r="Z416" i="175"/>
  <c r="AA416" i="175" s="1"/>
  <c r="Z507" i="175"/>
  <c r="AA507" i="175" s="1"/>
  <c r="Z509" i="175"/>
  <c r="AA509" i="175" s="1"/>
  <c r="Z511" i="175"/>
  <c r="AA511" i="175" s="1"/>
  <c r="Z513" i="175"/>
  <c r="AA513" i="175" s="1"/>
  <c r="Z515" i="175"/>
  <c r="AA515" i="175" s="1"/>
  <c r="Z517" i="175"/>
  <c r="AA517" i="175" s="1"/>
  <c r="Z519" i="175"/>
  <c r="AA519" i="175" s="1"/>
  <c r="Z520" i="175"/>
  <c r="AA520" i="175" s="1"/>
  <c r="Z522" i="175"/>
  <c r="AA522" i="175" s="1"/>
  <c r="Z524" i="175"/>
  <c r="AA524" i="175" s="1"/>
  <c r="Z29" i="175"/>
  <c r="AA29" i="175" s="1"/>
  <c r="K17" i="57"/>
  <c r="Z528" i="175"/>
  <c r="AA528" i="175" s="1"/>
  <c r="Z530" i="175"/>
  <c r="AA530" i="175" s="1"/>
  <c r="Z211" i="175"/>
  <c r="AA211" i="175" s="1"/>
  <c r="Z534" i="175"/>
  <c r="AA534" i="175" s="1"/>
  <c r="Z109" i="175"/>
  <c r="AA109" i="175" s="1"/>
  <c r="Z160" i="175"/>
  <c r="AA160" i="175" s="1"/>
  <c r="Z148" i="175"/>
  <c r="AA148" i="175" s="1"/>
  <c r="Z543" i="175"/>
  <c r="AA543" i="175" s="1"/>
  <c r="Z545" i="175"/>
  <c r="AA545" i="175" s="1"/>
  <c r="Z547" i="175"/>
  <c r="AA547" i="175" s="1"/>
  <c r="Z549" i="175"/>
  <c r="AA549" i="175" s="1"/>
  <c r="Z551" i="175"/>
  <c r="AA551" i="175" s="1"/>
  <c r="Z147" i="175"/>
  <c r="AA147" i="175" s="1"/>
  <c r="Z153" i="175"/>
  <c r="AA153" i="175" s="1"/>
  <c r="Z557" i="175"/>
  <c r="AA557" i="175" s="1"/>
  <c r="Z559" i="175"/>
  <c r="AA559" i="175" s="1"/>
  <c r="Z561" i="175"/>
  <c r="AA561" i="175" s="1"/>
  <c r="Z563" i="175"/>
  <c r="AA563" i="175" s="1"/>
  <c r="Z565" i="175"/>
  <c r="AA565" i="175" s="1"/>
  <c r="Z567" i="175"/>
  <c r="AA567" i="175" s="1"/>
  <c r="Z164" i="175"/>
  <c r="AA164" i="175" s="1"/>
  <c r="Z571" i="175"/>
  <c r="AA571" i="175" s="1"/>
  <c r="Z573" i="175"/>
  <c r="AA573" i="175" s="1"/>
  <c r="Z575" i="175"/>
  <c r="AA575" i="175" s="1"/>
  <c r="Z578" i="175"/>
  <c r="AA578" i="175" s="1"/>
  <c r="Y511" i="151"/>
  <c r="Z445" i="175"/>
  <c r="Z50" i="175"/>
  <c r="AA50" i="175" s="1"/>
  <c r="Z17" i="175"/>
  <c r="AA17" i="175" s="1"/>
  <c r="Z28" i="175"/>
  <c r="AA28" i="175" s="1"/>
  <c r="Z44" i="175"/>
  <c r="AA44" i="175" s="1"/>
  <c r="Z12" i="175"/>
  <c r="AA12" i="175" s="1"/>
  <c r="Z14" i="175"/>
  <c r="AA14" i="175" s="1"/>
  <c r="Z15" i="175"/>
  <c r="AA15" i="175" s="1"/>
  <c r="Z20" i="175"/>
  <c r="AA20" i="175" s="1"/>
  <c r="Z209" i="175"/>
  <c r="AA209" i="175" s="1"/>
  <c r="Z200" i="175"/>
  <c r="AA200" i="175" s="1"/>
  <c r="Z314" i="175"/>
  <c r="AA314" i="175" s="1"/>
  <c r="Z307" i="175"/>
  <c r="AA307" i="175" s="1"/>
  <c r="Z311" i="175"/>
  <c r="AA311" i="175" s="1"/>
  <c r="Z316" i="175"/>
  <c r="AA316" i="175" s="1"/>
  <c r="Z328" i="175"/>
  <c r="AA328" i="175" s="1"/>
  <c r="Z76" i="175"/>
  <c r="AA76" i="175" s="1"/>
  <c r="Z336" i="175"/>
  <c r="AA336" i="175" s="1"/>
  <c r="Z217" i="175"/>
  <c r="AA217" i="175" s="1"/>
  <c r="Z413" i="175"/>
  <c r="AA413" i="175" s="1"/>
  <c r="Z183" i="175"/>
  <c r="AA183" i="175" s="1"/>
  <c r="Z508" i="175"/>
  <c r="AA508" i="175" s="1"/>
  <c r="Z144" i="175"/>
  <c r="AA144" i="175" s="1"/>
  <c r="Z512" i="175"/>
  <c r="AA512" i="175" s="1"/>
  <c r="Z514" i="175"/>
  <c r="AA514" i="175" s="1"/>
  <c r="Z516" i="175"/>
  <c r="AA516" i="175" s="1"/>
  <c r="Z518" i="175"/>
  <c r="AA518" i="175" s="1"/>
  <c r="Z521" i="175"/>
  <c r="AA521" i="175" s="1"/>
  <c r="Z523" i="175"/>
  <c r="AA523" i="175" s="1"/>
  <c r="Z525" i="175"/>
  <c r="AA525" i="175" s="1"/>
  <c r="Z527" i="175"/>
  <c r="AA527" i="175" s="1"/>
  <c r="K30" i="57"/>
  <c r="I16" i="182" s="1"/>
  <c r="Z529" i="175"/>
  <c r="AA529" i="175" s="1"/>
  <c r="Z69" i="175"/>
  <c r="AA69" i="175" s="1"/>
  <c r="Z533" i="175"/>
  <c r="AA533" i="175" s="1"/>
  <c r="Z535" i="175"/>
  <c r="AA535" i="175" s="1"/>
  <c r="Z176" i="175"/>
  <c r="AA176" i="175" s="1"/>
  <c r="Z141" i="175"/>
  <c r="AA141" i="175" s="1"/>
  <c r="Z542" i="175"/>
  <c r="AA542" i="175" s="1"/>
  <c r="Z544" i="175"/>
  <c r="AA544" i="175" s="1"/>
  <c r="Z546" i="175"/>
  <c r="AA546" i="175" s="1"/>
  <c r="Z548" i="175"/>
  <c r="AA548" i="175" s="1"/>
  <c r="Z550" i="175"/>
  <c r="AA550" i="175" s="1"/>
  <c r="Z146" i="175"/>
  <c r="AA146" i="175" s="1"/>
  <c r="Z151" i="175"/>
  <c r="AA151" i="175" s="1"/>
  <c r="Z556" i="175"/>
  <c r="AA556" i="175" s="1"/>
  <c r="Z558" i="175"/>
  <c r="AA558" i="175" s="1"/>
  <c r="Z560" i="175"/>
  <c r="AA560" i="175" s="1"/>
  <c r="Z562" i="175"/>
  <c r="AA562" i="175" s="1"/>
  <c r="Z564" i="175"/>
  <c r="AA564" i="175" s="1"/>
  <c r="Z566" i="175"/>
  <c r="AA566" i="175" s="1"/>
  <c r="Z163" i="175"/>
  <c r="AA163" i="175" s="1"/>
  <c r="Z570" i="175"/>
  <c r="AA570" i="175" s="1"/>
  <c r="Z172" i="175"/>
  <c r="AA172" i="175" s="1"/>
  <c r="Z574" i="175"/>
  <c r="AA574" i="175" s="1"/>
  <c r="Z576" i="175"/>
  <c r="AA576" i="175" s="1"/>
  <c r="Z577" i="175"/>
  <c r="AA577" i="175" s="1"/>
  <c r="S18" i="67"/>
  <c r="H67" i="59"/>
  <c r="AQ7" i="91"/>
  <c r="AD3" i="91"/>
  <c r="AB3" i="91"/>
  <c r="AQ13" i="91"/>
  <c r="P19" i="67"/>
  <c r="H20" i="67"/>
  <c r="U35" i="67"/>
  <c r="N30" i="58"/>
  <c r="I10" i="83" s="1"/>
  <c r="H19" i="59"/>
  <c r="H39" i="59"/>
  <c r="AB10" i="167"/>
  <c r="AB15" i="167" s="1"/>
  <c r="J13" i="106"/>
  <c r="J14" i="106" s="1"/>
  <c r="T31" i="166"/>
  <c r="K14" i="174"/>
  <c r="G10" i="160"/>
  <c r="H20" i="59"/>
  <c r="H51" i="59"/>
  <c r="H49" i="59" s="1"/>
  <c r="H69" i="59"/>
  <c r="H94" i="59"/>
  <c r="K18" i="167"/>
  <c r="K19" i="167" s="1"/>
  <c r="H13" i="106"/>
  <c r="H14" i="106" s="1"/>
  <c r="L13" i="106"/>
  <c r="L14" i="106" s="1"/>
  <c r="L11" i="125"/>
  <c r="X40" i="129"/>
  <c r="T26" i="129"/>
  <c r="AD18" i="81"/>
  <c r="AD19" i="81" s="1"/>
  <c r="AF18" i="81"/>
  <c r="AF19" i="81" s="1"/>
  <c r="AH18" i="81"/>
  <c r="AH19" i="81" s="1"/>
  <c r="AJ18" i="81"/>
  <c r="AJ19" i="81" s="1"/>
  <c r="AY40" i="91"/>
  <c r="AG29" i="166"/>
  <c r="AG30" i="166" s="1"/>
  <c r="AI29" i="166"/>
  <c r="AI30" i="166" s="1"/>
  <c r="AK29" i="166"/>
  <c r="AK30" i="166" s="1"/>
  <c r="AM29" i="166"/>
  <c r="AM30" i="166" s="1"/>
  <c r="AR15" i="91"/>
  <c r="AU39" i="91"/>
  <c r="AU40" i="91" s="1"/>
  <c r="I28" i="65"/>
  <c r="I48" i="65"/>
  <c r="AB9" i="91"/>
  <c r="O14" i="91"/>
  <c r="M14" i="91" s="1"/>
  <c r="AX40" i="91"/>
  <c r="AV39" i="91"/>
  <c r="AV40" i="91" s="1"/>
  <c r="U40" i="91"/>
  <c r="W40" i="91" s="1"/>
  <c r="W38" i="91"/>
  <c r="AT40" i="91"/>
  <c r="J11" i="65"/>
  <c r="L11" i="65" s="1"/>
  <c r="J42" i="65"/>
  <c r="L42" i="65" s="1"/>
  <c r="N18" i="51" l="1"/>
  <c r="B19" i="196" s="1"/>
  <c r="D19" i="196" s="1"/>
  <c r="G19" i="196" s="1"/>
  <c r="I19" i="196" s="1"/>
  <c r="I55" i="65"/>
  <c r="I58" i="65" s="1"/>
  <c r="N42" i="51"/>
  <c r="N12" i="51" s="1"/>
  <c r="G28" i="150"/>
  <c r="J28" i="150" s="1"/>
  <c r="J32" i="150" s="1"/>
  <c r="H18" i="59"/>
  <c r="I11" i="83"/>
  <c r="I13" i="83" s="1"/>
  <c r="J18" i="65"/>
  <c r="L18" i="65" s="1"/>
  <c r="J48" i="65"/>
  <c r="M16" i="167"/>
  <c r="F12" i="181"/>
  <c r="N25" i="51"/>
  <c r="Q25" i="51" s="1"/>
  <c r="Y483" i="154"/>
  <c r="Y481" i="154"/>
  <c r="Y479" i="154"/>
  <c r="Y477" i="154"/>
  <c r="Y475" i="154"/>
  <c r="Y460" i="154"/>
  <c r="Y452" i="154"/>
  <c r="Y450" i="154"/>
  <c r="Y446" i="154"/>
  <c r="Y444" i="154"/>
  <c r="Y442" i="154"/>
  <c r="Y440" i="154"/>
  <c r="Y435" i="154"/>
  <c r="Y433" i="154"/>
  <c r="Y431" i="154"/>
  <c r="Y378" i="154"/>
  <c r="Y376" i="154"/>
  <c r="Y374" i="154"/>
  <c r="Y372" i="154"/>
  <c r="Y370" i="154"/>
  <c r="Y368" i="154"/>
  <c r="Y366" i="154"/>
  <c r="Y364" i="154"/>
  <c r="Y362" i="154"/>
  <c r="Y360" i="154"/>
  <c r="Y358" i="154"/>
  <c r="Y356" i="154"/>
  <c r="Y354" i="154"/>
  <c r="Y352" i="154"/>
  <c r="Y350" i="154"/>
  <c r="Y348" i="154"/>
  <c r="Y346" i="154"/>
  <c r="Y344" i="154"/>
  <c r="Y342" i="154"/>
  <c r="Y340" i="154"/>
  <c r="Y338" i="154"/>
  <c r="Y336" i="154"/>
  <c r="Y334" i="154"/>
  <c r="U172" i="151"/>
  <c r="Y82" i="151"/>
  <c r="Z82" i="151" s="1"/>
  <c r="Y73" i="151"/>
  <c r="Z73" i="151" s="1"/>
  <c r="U435" i="151"/>
  <c r="Y449" i="151"/>
  <c r="Z449" i="151" s="1"/>
  <c r="U483" i="151"/>
  <c r="Y479" i="151"/>
  <c r="Z479" i="151" s="1"/>
  <c r="O16" i="150"/>
  <c r="I24" i="150"/>
  <c r="Y332" i="154"/>
  <c r="Y330" i="154"/>
  <c r="Y328" i="154"/>
  <c r="Y326" i="154"/>
  <c r="Y324" i="154"/>
  <c r="Y322" i="154"/>
  <c r="Y320" i="154"/>
  <c r="Y318" i="154"/>
  <c r="Y316" i="154"/>
  <c r="Y314" i="154"/>
  <c r="Y312" i="154"/>
  <c r="Y310" i="154"/>
  <c r="Y308" i="154"/>
  <c r="Y306" i="154"/>
  <c r="Y304" i="154"/>
  <c r="Y302" i="154"/>
  <c r="Y298" i="154"/>
  <c r="Y296" i="154"/>
  <c r="Y294" i="154"/>
  <c r="Y292" i="154"/>
  <c r="Y290" i="154"/>
  <c r="Y288" i="154"/>
  <c r="Y286" i="154"/>
  <c r="Y284" i="154"/>
  <c r="Y282" i="154"/>
  <c r="Y280" i="154"/>
  <c r="Y278" i="154"/>
  <c r="Y276" i="154"/>
  <c r="Y274" i="154"/>
  <c r="Y272" i="154"/>
  <c r="Y270" i="154"/>
  <c r="Y268" i="154"/>
  <c r="Y266" i="154"/>
  <c r="Y264" i="154"/>
  <c r="Y262" i="154"/>
  <c r="Y260" i="154"/>
  <c r="Y258" i="154"/>
  <c r="Y256" i="154"/>
  <c r="Y254" i="154"/>
  <c r="Y252" i="154"/>
  <c r="Y250" i="154"/>
  <c r="Y248" i="154"/>
  <c r="Y246" i="154"/>
  <c r="Y244" i="154"/>
  <c r="Y242" i="154"/>
  <c r="Y240" i="154"/>
  <c r="Y238" i="154"/>
  <c r="Y236" i="154"/>
  <c r="Y234" i="154"/>
  <c r="Y232" i="154"/>
  <c r="Y230" i="154"/>
  <c r="Y228" i="154"/>
  <c r="Y226" i="154"/>
  <c r="Y224" i="154"/>
  <c r="Y222" i="154"/>
  <c r="Y220" i="154"/>
  <c r="Y218" i="154"/>
  <c r="Y216" i="154"/>
  <c r="Y214" i="154"/>
  <c r="Y212" i="154"/>
  <c r="Y210" i="154"/>
  <c r="Y208" i="154"/>
  <c r="Y206" i="154"/>
  <c r="Y204" i="154"/>
  <c r="Y202" i="154"/>
  <c r="Y200" i="154"/>
  <c r="Y198" i="154"/>
  <c r="Y196" i="154"/>
  <c r="Y194" i="154"/>
  <c r="Y192" i="154"/>
  <c r="Y190" i="154"/>
  <c r="Y188" i="154"/>
  <c r="Y186" i="154"/>
  <c r="Y183" i="154"/>
  <c r="Y181" i="154"/>
  <c r="Y179" i="154"/>
  <c r="Y177" i="154"/>
  <c r="Y175" i="154"/>
  <c r="Y173" i="154"/>
  <c r="Y171" i="154"/>
  <c r="Y169" i="154"/>
  <c r="Y167" i="154"/>
  <c r="Y165" i="154"/>
  <c r="Y163" i="154"/>
  <c r="Y161" i="154"/>
  <c r="I25" i="83"/>
  <c r="I26" i="83" s="1"/>
  <c r="R482" i="99"/>
  <c r="Y79" i="154"/>
  <c r="Y78" i="154"/>
  <c r="Y77" i="154"/>
  <c r="Y76" i="154"/>
  <c r="Y75" i="154"/>
  <c r="Y74" i="154"/>
  <c r="Y73" i="154"/>
  <c r="Y72" i="154"/>
  <c r="Y71" i="154"/>
  <c r="Y70" i="154"/>
  <c r="Y69" i="154"/>
  <c r="Y68" i="154"/>
  <c r="Y67" i="154"/>
  <c r="Y66" i="154"/>
  <c r="Y65" i="154"/>
  <c r="Y64" i="154"/>
  <c r="Y63" i="154"/>
  <c r="Y62" i="154"/>
  <c r="Y61" i="154"/>
  <c r="Y60" i="154"/>
  <c r="Y59" i="154"/>
  <c r="Y58" i="154"/>
  <c r="Y57" i="154"/>
  <c r="Y56" i="154"/>
  <c r="Y55" i="154"/>
  <c r="Y54" i="154"/>
  <c r="Y53" i="154"/>
  <c r="Y52" i="154"/>
  <c r="Y51" i="154"/>
  <c r="Y50" i="154"/>
  <c r="Y49" i="154"/>
  <c r="Y48" i="154"/>
  <c r="Y47" i="154"/>
  <c r="L33" i="44"/>
  <c r="L38" i="44"/>
  <c r="Y496" i="154"/>
  <c r="Y491" i="154"/>
  <c r="Y454" i="154"/>
  <c r="Y451" i="154"/>
  <c r="Y449" i="154"/>
  <c r="Y447" i="154"/>
  <c r="Y445" i="154"/>
  <c r="Y443" i="154"/>
  <c r="Y441" i="154"/>
  <c r="Y439" i="154"/>
  <c r="Y436" i="154"/>
  <c r="Y434" i="154"/>
  <c r="Y396" i="154"/>
  <c r="Y184" i="154"/>
  <c r="Y182" i="154"/>
  <c r="Y180" i="154"/>
  <c r="Y178" i="154"/>
  <c r="Y176" i="154"/>
  <c r="Y174" i="154"/>
  <c r="Y172" i="154"/>
  <c r="Y170" i="154"/>
  <c r="Y168" i="154"/>
  <c r="Y166" i="154"/>
  <c r="Y164" i="154"/>
  <c r="Y162" i="154"/>
  <c r="Y160" i="154"/>
  <c r="N24" i="54"/>
  <c r="N48" i="50"/>
  <c r="U510" i="151"/>
  <c r="U300" i="151"/>
  <c r="J10" i="83"/>
  <c r="G10" i="83" s="1"/>
  <c r="AP43" i="91" s="1"/>
  <c r="J32" i="44"/>
  <c r="J34" i="44" s="1"/>
  <c r="T32" i="44"/>
  <c r="T34" i="44" s="1"/>
  <c r="U450" i="151"/>
  <c r="G42" i="57"/>
  <c r="K40" i="57" s="1"/>
  <c r="AC18" i="167"/>
  <c r="O17" i="167"/>
  <c r="AC14" i="167"/>
  <c r="J10" i="160"/>
  <c r="F17" i="67"/>
  <c r="S17" i="67" s="1"/>
  <c r="U517" i="151"/>
  <c r="O18" i="167"/>
  <c r="G18" i="167" s="1"/>
  <c r="U135" i="151"/>
  <c r="AC17" i="167"/>
  <c r="Y84" i="151"/>
  <c r="Z84" i="151" s="1"/>
  <c r="AC11" i="167"/>
  <c r="Y109" i="151"/>
  <c r="Z109" i="151" s="1"/>
  <c r="Y174" i="151"/>
  <c r="Z174" i="151" s="1"/>
  <c r="U507" i="151"/>
  <c r="U196" i="151"/>
  <c r="N27" i="51"/>
  <c r="S560" i="151"/>
  <c r="AB6" i="91"/>
  <c r="AB4" i="91"/>
  <c r="Y506" i="151"/>
  <c r="Z506" i="151" s="1"/>
  <c r="U506" i="151"/>
  <c r="W405" i="154"/>
  <c r="X405" i="154" s="1"/>
  <c r="S405" i="154"/>
  <c r="U132" i="158"/>
  <c r="Y132" i="158"/>
  <c r="Z132" i="158" s="1"/>
  <c r="K31" i="57"/>
  <c r="Y541" i="154"/>
  <c r="Y539" i="154"/>
  <c r="Y537" i="154"/>
  <c r="Y535" i="154"/>
  <c r="Y533" i="154"/>
  <c r="Y531" i="154"/>
  <c r="Y529" i="154"/>
  <c r="Y527" i="154"/>
  <c r="Y525" i="154"/>
  <c r="Y523" i="154"/>
  <c r="Y521" i="154"/>
  <c r="Y519" i="154"/>
  <c r="Y517" i="154"/>
  <c r="Y515" i="154"/>
  <c r="Y513" i="154"/>
  <c r="Y511" i="154"/>
  <c r="Y509" i="154"/>
  <c r="Y507" i="154"/>
  <c r="Y505" i="154"/>
  <c r="Y503" i="154"/>
  <c r="Y422" i="154"/>
  <c r="Y420" i="154"/>
  <c r="Y418" i="154"/>
  <c r="Y416" i="154"/>
  <c r="Y448" i="154"/>
  <c r="Y437" i="154"/>
  <c r="Y126" i="154"/>
  <c r="Y101" i="154"/>
  <c r="V490" i="124"/>
  <c r="AJ30" i="166"/>
  <c r="Y452" i="151"/>
  <c r="Z452" i="151" s="1"/>
  <c r="U452" i="151"/>
  <c r="Y365" i="151"/>
  <c r="Z365" i="151" s="1"/>
  <c r="U365" i="151"/>
  <c r="AC12" i="167" s="1"/>
  <c r="AC10" i="167"/>
  <c r="Y118" i="151"/>
  <c r="Z118" i="151" s="1"/>
  <c r="U118" i="151"/>
  <c r="AF29" i="166"/>
  <c r="AH28" i="166"/>
  <c r="AF28" i="166" s="1"/>
  <c r="AG18" i="81"/>
  <c r="AI17" i="81"/>
  <c r="E32" i="44"/>
  <c r="E34" i="44" s="1"/>
  <c r="AQ39" i="91"/>
  <c r="AC13" i="167"/>
  <c r="S559" i="151"/>
  <c r="O12" i="150"/>
  <c r="O11" i="150"/>
  <c r="R13" i="81"/>
  <c r="J28" i="166"/>
  <c r="J11" i="166"/>
  <c r="H12" i="166" s="1"/>
  <c r="H17" i="81"/>
  <c r="H16" i="81"/>
  <c r="B10" i="196"/>
  <c r="D10" i="196" s="1"/>
  <c r="G10" i="196" s="1"/>
  <c r="U32" i="44"/>
  <c r="N13" i="106"/>
  <c r="N14" i="106" s="1"/>
  <c r="G11" i="161" s="1"/>
  <c r="B14" i="196" s="1"/>
  <c r="D14" i="196" s="1"/>
  <c r="Q11" i="150"/>
  <c r="K32" i="44"/>
  <c r="K34" i="44" s="1"/>
  <c r="H86" i="59"/>
  <c r="N55" i="57"/>
  <c r="K32" i="57" s="1"/>
  <c r="G32" i="44"/>
  <c r="G34" i="44" s="1"/>
  <c r="I32" i="44"/>
  <c r="I34" i="44" s="1"/>
  <c r="M32" i="44"/>
  <c r="M34" i="44" s="1"/>
  <c r="S32" i="44"/>
  <c r="U392" i="99"/>
  <c r="V392" i="99" s="1"/>
  <c r="W392" i="99" s="1"/>
  <c r="V382" i="99"/>
  <c r="W382" i="99" s="1"/>
  <c r="AR40" i="91"/>
  <c r="AH23" i="91"/>
  <c r="AF22" i="91" s="1"/>
  <c r="AH19" i="91"/>
  <c r="AF18" i="91" s="1"/>
  <c r="AH15" i="91"/>
  <c r="AF14" i="91" s="1"/>
  <c r="AH10" i="91"/>
  <c r="AF9" i="91" s="1"/>
  <c r="AH8" i="91"/>
  <c r="AF7" i="91" s="1"/>
  <c r="T28" i="129"/>
  <c r="H31" i="81"/>
  <c r="AQ15" i="91"/>
  <c r="AB5" i="91"/>
  <c r="Z5" i="91" s="1"/>
  <c r="U43" i="67"/>
  <c r="U39" i="67"/>
  <c r="N26" i="51"/>
  <c r="Y520" i="151"/>
  <c r="Z520" i="151" s="1"/>
  <c r="U520" i="151"/>
  <c r="Y518" i="151"/>
  <c r="Z518" i="151" s="1"/>
  <c r="U518" i="151"/>
  <c r="Y390" i="151"/>
  <c r="Z390" i="151" s="1"/>
  <c r="U390" i="151"/>
  <c r="G17" i="167"/>
  <c r="AB17" i="167"/>
  <c r="Y136" i="151"/>
  <c r="Z136" i="151" s="1"/>
  <c r="U136" i="151"/>
  <c r="Y26" i="151"/>
  <c r="Z26" i="151" s="1"/>
  <c r="U26" i="151"/>
  <c r="Y435" i="158"/>
  <c r="Z435" i="158" s="1"/>
  <c r="U435" i="158"/>
  <c r="Y15" i="151"/>
  <c r="Z15" i="151" s="1"/>
  <c r="U15" i="151"/>
  <c r="W492" i="154"/>
  <c r="X492" i="154" s="1"/>
  <c r="S492" i="154"/>
  <c r="Y131" i="158"/>
  <c r="Z131" i="158" s="1"/>
  <c r="U131" i="158"/>
  <c r="Y157" i="158"/>
  <c r="Z157" i="158" s="1"/>
  <c r="U157" i="158"/>
  <c r="S559" i="158"/>
  <c r="W393" i="124"/>
  <c r="X393" i="124" s="1"/>
  <c r="S393" i="124"/>
  <c r="W130" i="124"/>
  <c r="X130" i="124" s="1"/>
  <c r="S130" i="124"/>
  <c r="W25" i="124"/>
  <c r="X25" i="124" s="1"/>
  <c r="S25" i="124"/>
  <c r="V113" i="99"/>
  <c r="W113" i="99" s="1"/>
  <c r="R113" i="99"/>
  <c r="W489" i="124"/>
  <c r="X489" i="124" s="1"/>
  <c r="W480" i="124"/>
  <c r="X480" i="124" s="1"/>
  <c r="V448" i="99"/>
  <c r="W448" i="99" s="1"/>
  <c r="W427" i="124"/>
  <c r="X427" i="124" s="1"/>
  <c r="U454" i="99"/>
  <c r="Z511" i="151"/>
  <c r="K14" i="150"/>
  <c r="Z3" i="91"/>
  <c r="AB21" i="91"/>
  <c r="AB18" i="91"/>
  <c r="AB13" i="91"/>
  <c r="AQ44" i="91"/>
  <c r="AA445" i="175"/>
  <c r="Y521" i="151"/>
  <c r="Z521" i="151" s="1"/>
  <c r="U521" i="151"/>
  <c r="Y519" i="151"/>
  <c r="Z519" i="151" s="1"/>
  <c r="U519" i="151"/>
  <c r="S30" i="44"/>
  <c r="AB18" i="167"/>
  <c r="Y186" i="151"/>
  <c r="Z186" i="151" s="1"/>
  <c r="U186" i="151"/>
  <c r="Y494" i="154"/>
  <c r="Y423" i="154"/>
  <c r="Y421" i="154"/>
  <c r="Y419" i="154"/>
  <c r="Y417" i="154"/>
  <c r="Y404" i="154"/>
  <c r="Y402" i="154"/>
  <c r="Y400" i="154"/>
  <c r="W380" i="154"/>
  <c r="X380" i="154" s="1"/>
  <c r="S380" i="154"/>
  <c r="V559" i="158"/>
  <c r="V558" i="158"/>
  <c r="Y13" i="151"/>
  <c r="Z13" i="151" s="1"/>
  <c r="U13" i="151"/>
  <c r="Q545" i="154"/>
  <c r="Q547" i="154" s="1"/>
  <c r="Y542" i="154"/>
  <c r="Y540" i="154"/>
  <c r="Y538" i="154"/>
  <c r="Y536" i="154"/>
  <c r="Y534" i="154"/>
  <c r="Y532" i="154"/>
  <c r="Y530" i="154"/>
  <c r="Y528" i="154"/>
  <c r="Y526" i="154"/>
  <c r="Y524" i="154"/>
  <c r="Y522" i="154"/>
  <c r="Y520" i="154"/>
  <c r="Y518" i="154"/>
  <c r="Y516" i="154"/>
  <c r="Y514" i="154"/>
  <c r="Y512" i="154"/>
  <c r="Y510" i="154"/>
  <c r="Y508" i="154"/>
  <c r="Y506" i="154"/>
  <c r="Y504" i="154"/>
  <c r="Y502" i="154"/>
  <c r="V488" i="154"/>
  <c r="V500" i="154" s="1"/>
  <c r="S488" i="154"/>
  <c r="Y484" i="154"/>
  <c r="Y482" i="154"/>
  <c r="Y480" i="154"/>
  <c r="Y478" i="154"/>
  <c r="Y476" i="154"/>
  <c r="Y459" i="154"/>
  <c r="Y432" i="154"/>
  <c r="Y430" i="154"/>
  <c r="Y403" i="154"/>
  <c r="Y401" i="154"/>
  <c r="Y381" i="154"/>
  <c r="Y379" i="154"/>
  <c r="Y377" i="154"/>
  <c r="Y375" i="154"/>
  <c r="Y373" i="154"/>
  <c r="Y371" i="154"/>
  <c r="Y369" i="154"/>
  <c r="Y367" i="154"/>
  <c r="Y365" i="154"/>
  <c r="Y363" i="154"/>
  <c r="Y361" i="154"/>
  <c r="Y359" i="154"/>
  <c r="Y357" i="154"/>
  <c r="Y355" i="154"/>
  <c r="Y353" i="154"/>
  <c r="Y351" i="154"/>
  <c r="Y349" i="154"/>
  <c r="Y347" i="154"/>
  <c r="Y345" i="154"/>
  <c r="Y343" i="154"/>
  <c r="Y341" i="154"/>
  <c r="Y339" i="154"/>
  <c r="Y337" i="154"/>
  <c r="Y335" i="154"/>
  <c r="Y333" i="154"/>
  <c r="Y331" i="154"/>
  <c r="Y329" i="154"/>
  <c r="Y327" i="154"/>
  <c r="Y325" i="154"/>
  <c r="Y323" i="154"/>
  <c r="Y321" i="154"/>
  <c r="Y319" i="154"/>
  <c r="Y317" i="154"/>
  <c r="Y315" i="154"/>
  <c r="Y313" i="154"/>
  <c r="Y311" i="154"/>
  <c r="Y309" i="154"/>
  <c r="Y307" i="154"/>
  <c r="Y305" i="154"/>
  <c r="Y303" i="154"/>
  <c r="Y301" i="154"/>
  <c r="Y299" i="154"/>
  <c r="Y297" i="154"/>
  <c r="Y295" i="154"/>
  <c r="Y293" i="154"/>
  <c r="Y291" i="154"/>
  <c r="Y289" i="154"/>
  <c r="Y287" i="154"/>
  <c r="Y285" i="154"/>
  <c r="Y283" i="154"/>
  <c r="Y281" i="154"/>
  <c r="Y279" i="154"/>
  <c r="Y277" i="154"/>
  <c r="Y275" i="154"/>
  <c r="Y273" i="154"/>
  <c r="Y271" i="154"/>
  <c r="Y269" i="154"/>
  <c r="Y267" i="154"/>
  <c r="Y265" i="154"/>
  <c r="Y263" i="154"/>
  <c r="Y261" i="154"/>
  <c r="Y259" i="154"/>
  <c r="Y257" i="154"/>
  <c r="Y255" i="154"/>
  <c r="Y253" i="154"/>
  <c r="Y251" i="154"/>
  <c r="Y249" i="154"/>
  <c r="Y247" i="154"/>
  <c r="Y245" i="154"/>
  <c r="Y243" i="154"/>
  <c r="Y241" i="154"/>
  <c r="Y239" i="154"/>
  <c r="Y237" i="154"/>
  <c r="Y235" i="154"/>
  <c r="Y233" i="154"/>
  <c r="Y231" i="154"/>
  <c r="Y229" i="154"/>
  <c r="Y227" i="154"/>
  <c r="Y225" i="154"/>
  <c r="Y223" i="154"/>
  <c r="Y221" i="154"/>
  <c r="Y219" i="154"/>
  <c r="Y217" i="154"/>
  <c r="Y215" i="154"/>
  <c r="Y213" i="154"/>
  <c r="Y211" i="154"/>
  <c r="Y209" i="154"/>
  <c r="Y207" i="154"/>
  <c r="Y205" i="154"/>
  <c r="Y203" i="154"/>
  <c r="Y201" i="154"/>
  <c r="Y199" i="154"/>
  <c r="Y197" i="154"/>
  <c r="Y195" i="154"/>
  <c r="Y193" i="154"/>
  <c r="Y191" i="154"/>
  <c r="Y189" i="154"/>
  <c r="Y187" i="154"/>
  <c r="W130" i="154"/>
  <c r="S130" i="154"/>
  <c r="S544" i="154" s="1"/>
  <c r="I558" i="158"/>
  <c r="I559" i="158"/>
  <c r="Z3" i="158"/>
  <c r="S558" i="158"/>
  <c r="W126" i="124"/>
  <c r="X126" i="124" s="1"/>
  <c r="S126" i="124"/>
  <c r="Y300" i="154"/>
  <c r="Y104" i="154"/>
  <c r="Q544" i="154"/>
  <c r="Q534" i="124"/>
  <c r="U491" i="124"/>
  <c r="W491" i="124" s="1"/>
  <c r="X491" i="124" s="1"/>
  <c r="U490" i="124"/>
  <c r="W71" i="124"/>
  <c r="X71" i="124" s="1"/>
  <c r="S71" i="124"/>
  <c r="W29" i="124"/>
  <c r="X29" i="124" s="1"/>
  <c r="S29" i="124"/>
  <c r="X3" i="124"/>
  <c r="V121" i="99"/>
  <c r="W121" i="99" s="1"/>
  <c r="R121" i="99"/>
  <c r="R481" i="99" s="1"/>
  <c r="V534" i="124"/>
  <c r="Q535" i="124"/>
  <c r="N16" i="51" l="1"/>
  <c r="G36" i="161"/>
  <c r="F25" i="181"/>
  <c r="P25" i="181" s="1"/>
  <c r="L48" i="65"/>
  <c r="J55" i="65"/>
  <c r="J58" i="65" s="1"/>
  <c r="R11" i="58"/>
  <c r="V11" i="58" s="1"/>
  <c r="X11" i="58" s="1"/>
  <c r="I17" i="182"/>
  <c r="I19" i="182" s="1"/>
  <c r="K24" i="150"/>
  <c r="S34" i="44"/>
  <c r="U33" i="44"/>
  <c r="U34" i="44"/>
  <c r="Q39" i="44"/>
  <c r="O10" i="150"/>
  <c r="M7" i="150"/>
  <c r="K41" i="57"/>
  <c r="P13" i="161"/>
  <c r="L8" i="164"/>
  <c r="L10" i="164" s="1"/>
  <c r="I10" i="164"/>
  <c r="J29" i="150"/>
  <c r="K28" i="150"/>
  <c r="M9" i="54"/>
  <c r="I33" i="44"/>
  <c r="I38" i="44"/>
  <c r="E33" i="44"/>
  <c r="E38" i="44"/>
  <c r="J33" i="44"/>
  <c r="J38" i="44"/>
  <c r="M33" i="44"/>
  <c r="M38" i="44"/>
  <c r="G33" i="44"/>
  <c r="G38" i="44"/>
  <c r="K33" i="44"/>
  <c r="K38" i="44"/>
  <c r="T33" i="44"/>
  <c r="T38" i="44"/>
  <c r="U38" i="44"/>
  <c r="AP9" i="91"/>
  <c r="S534" i="124"/>
  <c r="Y558" i="158"/>
  <c r="J11" i="160"/>
  <c r="J12" i="160" s="1"/>
  <c r="S535" i="124"/>
  <c r="AH30" i="166"/>
  <c r="Y405" i="154"/>
  <c r="I14" i="83"/>
  <c r="AQ47" i="91" s="1"/>
  <c r="N103" i="59"/>
  <c r="U534" i="124"/>
  <c r="Y492" i="154"/>
  <c r="AC15" i="167"/>
  <c r="AF30" i="166"/>
  <c r="AE18" i="81"/>
  <c r="AG17" i="81"/>
  <c r="AI19" i="81"/>
  <c r="F19" i="181"/>
  <c r="Q27" i="51"/>
  <c r="S27" i="51" s="1"/>
  <c r="O20" i="174" s="1"/>
  <c r="AQ40" i="91"/>
  <c r="F32" i="150"/>
  <c r="Z559" i="151"/>
  <c r="U560" i="151"/>
  <c r="U559" i="151"/>
  <c r="Y559" i="151"/>
  <c r="F12" i="67"/>
  <c r="AP4" i="91" s="1"/>
  <c r="G17" i="161"/>
  <c r="B8" i="196" s="1"/>
  <c r="D8" i="196" s="1"/>
  <c r="G8" i="196" s="1"/>
  <c r="I8" i="196" s="1"/>
  <c r="J30" i="166"/>
  <c r="H19" i="81"/>
  <c r="R19" i="81" s="1"/>
  <c r="F16" i="67"/>
  <c r="S33" i="44"/>
  <c r="O32" i="44"/>
  <c r="W490" i="124"/>
  <c r="Z558" i="158"/>
  <c r="AC3" i="158"/>
  <c r="S545" i="154"/>
  <c r="W488" i="154"/>
  <c r="X488" i="154" s="1"/>
  <c r="Y488" i="154" s="1"/>
  <c r="Y380" i="154"/>
  <c r="T456" i="99"/>
  <c r="T479" i="99" s="1"/>
  <c r="T454" i="99"/>
  <c r="V454" i="99" s="1"/>
  <c r="W454" i="99" s="1"/>
  <c r="T455" i="99"/>
  <c r="U559" i="158"/>
  <c r="U558" i="158"/>
  <c r="N17" i="67"/>
  <c r="AB23" i="91"/>
  <c r="AB19" i="91"/>
  <c r="Z18" i="91" s="1"/>
  <c r="AB15" i="91"/>
  <c r="AB8" i="91"/>
  <c r="Z7" i="91" s="1"/>
  <c r="AB10" i="91"/>
  <c r="Z9" i="91" s="1"/>
  <c r="X130" i="154"/>
  <c r="Y130" i="154" s="1"/>
  <c r="U501" i="154"/>
  <c r="V415" i="154"/>
  <c r="W500" i="154"/>
  <c r="X500" i="154" s="1"/>
  <c r="Y500" i="154" s="1"/>
  <c r="AQ46" i="91"/>
  <c r="AB22" i="91"/>
  <c r="AB20" i="91"/>
  <c r="Z20" i="91" s="1"/>
  <c r="K33" i="57"/>
  <c r="R10" i="58"/>
  <c r="O16" i="167"/>
  <c r="AC16" i="167"/>
  <c r="L55" i="65" l="1"/>
  <c r="J28" i="181"/>
  <c r="G9" i="160"/>
  <c r="G11" i="160" s="1"/>
  <c r="G13" i="160" s="1"/>
  <c r="G15" i="160" s="1"/>
  <c r="E10" i="178"/>
  <c r="L58" i="65"/>
  <c r="W32" i="44"/>
  <c r="G10" i="161" s="1"/>
  <c r="B12" i="196" s="1"/>
  <c r="D12" i="196" s="1"/>
  <c r="G12" i="196" s="1"/>
  <c r="J12" i="196" s="1"/>
  <c r="J30" i="196" s="1"/>
  <c r="O34" i="44"/>
  <c r="J33" i="150"/>
  <c r="Z22" i="91"/>
  <c r="K17" i="174"/>
  <c r="K39" i="161"/>
  <c r="K40" i="161" s="1"/>
  <c r="AC19" i="167"/>
  <c r="O33" i="44"/>
  <c r="O38" i="44"/>
  <c r="AQ48" i="91"/>
  <c r="AQ49" i="91" s="1"/>
  <c r="AQ50" i="91" s="1"/>
  <c r="I15" i="83"/>
  <c r="I17" i="83" s="1"/>
  <c r="I21" i="83" s="1"/>
  <c r="I27" i="83" s="1"/>
  <c r="AE17" i="81"/>
  <c r="AE19" i="81" s="1"/>
  <c r="AG19" i="81"/>
  <c r="Q7" i="150"/>
  <c r="I32" i="150"/>
  <c r="K32" i="150"/>
  <c r="S12" i="67"/>
  <c r="U37" i="67" s="1"/>
  <c r="H28" i="82"/>
  <c r="G19" i="161"/>
  <c r="K36" i="174" s="1"/>
  <c r="F10" i="67"/>
  <c r="G16" i="161"/>
  <c r="F13" i="67"/>
  <c r="S16" i="67"/>
  <c r="AP12" i="91"/>
  <c r="Y20" i="167"/>
  <c r="R12" i="58"/>
  <c r="V12" i="58" s="1"/>
  <c r="V10" i="58"/>
  <c r="X10" i="58" s="1"/>
  <c r="V429" i="154"/>
  <c r="W429" i="154" s="1"/>
  <c r="X429" i="154" s="1"/>
  <c r="Y429" i="154" s="1"/>
  <c r="W415" i="154"/>
  <c r="AP27" i="91"/>
  <c r="W17" i="67"/>
  <c r="AB16" i="167"/>
  <c r="O19" i="167"/>
  <c r="G9" i="83"/>
  <c r="W501" i="154"/>
  <c r="X501" i="154" s="1"/>
  <c r="Y501" i="154" s="1"/>
  <c r="U544" i="154"/>
  <c r="V455" i="99"/>
  <c r="W455" i="99" s="1"/>
  <c r="U456" i="99"/>
  <c r="X490" i="124"/>
  <c r="X534" i="124" s="1"/>
  <c r="W534" i="124"/>
  <c r="E12" i="178" l="1"/>
  <c r="F10" i="178"/>
  <c r="G10" i="178" s="1"/>
  <c r="K18" i="174"/>
  <c r="B7" i="196"/>
  <c r="D7" i="196" s="1"/>
  <c r="I39" i="161"/>
  <c r="G14" i="161"/>
  <c r="E16" i="161"/>
  <c r="I23" i="83"/>
  <c r="V544" i="154"/>
  <c r="M14" i="150"/>
  <c r="AP2" i="91"/>
  <c r="U3" i="91" s="1"/>
  <c r="S10" i="67"/>
  <c r="S13" i="67"/>
  <c r="U38" i="67" s="1"/>
  <c r="AP5" i="91"/>
  <c r="F19" i="67"/>
  <c r="AP11" i="91" s="1"/>
  <c r="U479" i="99"/>
  <c r="V456" i="99"/>
  <c r="I28" i="83"/>
  <c r="P25" i="67"/>
  <c r="P26" i="67" s="1"/>
  <c r="AQ51" i="91"/>
  <c r="AQ52" i="91" s="1"/>
  <c r="F26" i="150"/>
  <c r="AB12" i="91"/>
  <c r="AP42" i="91"/>
  <c r="G11" i="83"/>
  <c r="G13" i="83" s="1"/>
  <c r="AB19" i="167"/>
  <c r="AB20" i="167"/>
  <c r="AC20" i="167" s="1"/>
  <c r="X415" i="154"/>
  <c r="W544" i="154"/>
  <c r="E13" i="178" l="1"/>
  <c r="F12" i="178"/>
  <c r="G12" i="178" s="1"/>
  <c r="G7" i="196"/>
  <c r="S19" i="67"/>
  <c r="U40" i="67" s="1"/>
  <c r="F20" i="67"/>
  <c r="S20" i="67" s="1"/>
  <c r="U41" i="67" s="1"/>
  <c r="J34" i="150"/>
  <c r="AP44" i="91"/>
  <c r="U21" i="91"/>
  <c r="U18" i="91"/>
  <c r="U13" i="91"/>
  <c r="F34" i="150"/>
  <c r="V479" i="99"/>
  <c r="W456" i="99"/>
  <c r="W479" i="99" s="1"/>
  <c r="Y415" i="154"/>
  <c r="X544" i="154"/>
  <c r="Y544" i="154" s="1"/>
  <c r="AB16" i="91"/>
  <c r="Z16" i="91" s="1"/>
  <c r="Z12" i="91"/>
  <c r="AB14" i="91"/>
  <c r="Z14" i="91" s="1"/>
  <c r="AQ53" i="91"/>
  <c r="E21" i="192" l="1"/>
  <c r="E12" i="190"/>
  <c r="F12" i="190" s="1"/>
  <c r="G12" i="190" s="1"/>
  <c r="F13" i="178"/>
  <c r="G13" i="178" s="1"/>
  <c r="I7" i="196"/>
  <c r="G17" i="160"/>
  <c r="AP13" i="91"/>
  <c r="U22" i="91"/>
  <c r="AP46" i="91"/>
  <c r="U20" i="91"/>
  <c r="S20" i="91" s="1"/>
  <c r="E10" i="193" l="1"/>
  <c r="F21" i="192"/>
  <c r="G21" i="192" s="1"/>
  <c r="L18" i="164"/>
  <c r="K9" i="174"/>
  <c r="K15" i="174" s="1"/>
  <c r="F11" i="193" l="1"/>
  <c r="G11" i="193" s="1"/>
  <c r="F13" i="193"/>
  <c r="G13" i="193" s="1"/>
  <c r="F12" i="193"/>
  <c r="G12" i="193" s="1"/>
  <c r="F10" i="193"/>
  <c r="G10" i="193" s="1"/>
  <c r="I20" i="164"/>
  <c r="L20" i="164"/>
  <c r="Z22" i="175"/>
  <c r="G27" i="161" l="1"/>
  <c r="G28" i="161" s="1"/>
  <c r="K38" i="174" s="1"/>
  <c r="AA22" i="175"/>
  <c r="M47" i="48" l="1"/>
  <c r="Q15" i="44" s="1"/>
  <c r="Q19" i="44" l="1"/>
  <c r="Q30" i="44" s="1"/>
  <c r="W15" i="44"/>
  <c r="G16" i="167"/>
  <c r="G19" i="167" s="1"/>
  <c r="Q33" i="44" l="1"/>
  <c r="Q38" i="44"/>
  <c r="Q34" i="44"/>
  <c r="W30" i="44"/>
  <c r="K26" i="174"/>
  <c r="H29" i="162" s="1"/>
  <c r="W19" i="44"/>
  <c r="K21" i="167"/>
  <c r="I25" i="167"/>
  <c r="G14" i="83"/>
  <c r="I579" i="175"/>
  <c r="T8" i="175"/>
  <c r="V8" i="175" s="1"/>
  <c r="T9" i="175"/>
  <c r="V9" i="175" s="1"/>
  <c r="T7" i="175"/>
  <c r="V7" i="175" s="1"/>
  <c r="V5" i="175"/>
  <c r="W34" i="44" l="1"/>
  <c r="W38" i="44"/>
  <c r="W33" i="44"/>
  <c r="AP47" i="91"/>
  <c r="AP48" i="91" s="1"/>
  <c r="AP49" i="91" s="1"/>
  <c r="G15" i="83"/>
  <c r="T579" i="175"/>
  <c r="Z5" i="175"/>
  <c r="AA5" i="175" s="1"/>
  <c r="V579" i="175"/>
  <c r="M24" i="54"/>
  <c r="Z7" i="175"/>
  <c r="AA7" i="175" s="1"/>
  <c r="Z9" i="175"/>
  <c r="AA9" i="175" s="1"/>
  <c r="Z8" i="175"/>
  <c r="AA8" i="175" s="1"/>
  <c r="M22" i="54" l="1"/>
  <c r="M26" i="54"/>
  <c r="G16" i="83"/>
  <c r="G22" i="83" s="1"/>
  <c r="AP50" i="91"/>
  <c r="AP51" i="91" s="1"/>
  <c r="AP52" i="91" s="1"/>
  <c r="AP53" i="91" s="1"/>
  <c r="Q8" i="150"/>
  <c r="M27" i="54"/>
  <c r="O8" i="150"/>
  <c r="I25" i="150" s="1"/>
  <c r="M8" i="54"/>
  <c r="M10" i="54" s="1"/>
  <c r="K25" i="150" l="1"/>
  <c r="I26" i="150"/>
  <c r="M8" i="150"/>
  <c r="M9" i="150" s="1"/>
  <c r="M17" i="150" s="1"/>
  <c r="G17" i="83"/>
  <c r="G21" i="83" s="1"/>
  <c r="O9" i="150"/>
  <c r="O17" i="150" s="1"/>
  <c r="G31" i="161"/>
  <c r="B17" i="196" s="1"/>
  <c r="D17" i="196" s="1"/>
  <c r="N16" i="67"/>
  <c r="G17" i="196" l="1"/>
  <c r="U12" i="91"/>
  <c r="U14" i="91" s="1"/>
  <c r="G27" i="83"/>
  <c r="N25" i="67" s="1"/>
  <c r="G23" i="83"/>
  <c r="N19" i="67"/>
  <c r="W16" i="67"/>
  <c r="U47" i="67" s="1"/>
  <c r="AP25" i="91"/>
  <c r="K26" i="150"/>
  <c r="G33" i="161"/>
  <c r="P31" i="161"/>
  <c r="S12" i="91" l="1"/>
  <c r="U16" i="91"/>
  <c r="W25" i="67"/>
  <c r="AP36" i="91"/>
  <c r="N26" i="67"/>
  <c r="W19" i="67"/>
  <c r="U48" i="67" s="1"/>
  <c r="AP28" i="91"/>
  <c r="I34" i="150"/>
  <c r="K34" i="150"/>
  <c r="AP37" i="91" l="1"/>
  <c r="W26" i="67"/>
  <c r="U49" i="67" s="1"/>
  <c r="U9" i="91" l="1"/>
  <c r="U17" i="91"/>
  <c r="S16" i="91" s="1"/>
  <c r="F28" i="181"/>
  <c r="J13" i="51"/>
  <c r="J16" i="51" s="1"/>
  <c r="G76" i="51"/>
  <c r="N76" i="51"/>
  <c r="I76" i="51"/>
  <c r="P76" i="51"/>
  <c r="P30" i="51" s="1"/>
  <c r="H76" i="51"/>
  <c r="J76" i="51"/>
  <c r="N20" i="51" s="1"/>
  <c r="N30" i="51" s="1"/>
  <c r="J20" i="51" l="1"/>
  <c r="J30" i="51" s="1"/>
  <c r="J31" i="51" s="1"/>
  <c r="N10" i="67"/>
  <c r="N31" i="51"/>
  <c r="S30" i="51"/>
  <c r="T30" i="51" s="1"/>
  <c r="Q18" i="174" s="1"/>
  <c r="P31" i="51"/>
  <c r="P10" i="67"/>
  <c r="P14" i="67" s="1"/>
  <c r="P20" i="67" s="1"/>
  <c r="P27" i="67" s="1"/>
  <c r="G35" i="161" l="1"/>
  <c r="P28" i="181"/>
  <c r="AP19" i="91"/>
  <c r="W10" i="67"/>
  <c r="U45" i="67" s="1"/>
  <c r="N14" i="67"/>
  <c r="AP23" i="91" l="1"/>
  <c r="N20" i="67"/>
  <c r="W14" i="67"/>
  <c r="B18" i="196"/>
  <c r="D18" i="196" s="1"/>
  <c r="G37" i="161"/>
  <c r="G38" i="161" s="1"/>
  <c r="P35" i="161"/>
  <c r="G18" i="196" l="1"/>
  <c r="N27" i="67"/>
  <c r="AP30" i="91"/>
  <c r="U7" i="91" s="1"/>
  <c r="W20" i="67"/>
  <c r="K35" i="174"/>
  <c r="K37" i="174" s="1"/>
  <c r="K39" i="174" s="1"/>
  <c r="G39" i="161"/>
  <c r="U4" i="91"/>
  <c r="U6" i="91"/>
  <c r="AP39" i="91" l="1"/>
  <c r="W27" i="67"/>
  <c r="I17" i="196"/>
  <c r="J25" i="43"/>
  <c r="J26" i="43" s="1"/>
  <c r="L25" i="43"/>
  <c r="L26" i="43" s="1"/>
  <c r="G18" i="161" l="1"/>
  <c r="F11" i="67"/>
  <c r="I18" i="161"/>
  <c r="H11" i="67"/>
  <c r="H14" i="67" s="1"/>
  <c r="H27" i="67" s="1"/>
  <c r="I30" i="67" l="1"/>
  <c r="P28" i="67"/>
  <c r="C9" i="196"/>
  <c r="I20" i="161"/>
  <c r="I21" i="161" s="1"/>
  <c r="I40" i="161" s="1"/>
  <c r="F14" i="67"/>
  <c r="S11" i="67"/>
  <c r="U36" i="67" s="1"/>
  <c r="U50" i="67" s="1"/>
  <c r="U52" i="67" s="1"/>
  <c r="AP3" i="91"/>
  <c r="W3" i="91" s="1"/>
  <c r="S3" i="91" s="1"/>
  <c r="P18" i="161"/>
  <c r="P19" i="161" s="1"/>
  <c r="K16" i="174"/>
  <c r="K22" i="174" s="1"/>
  <c r="H10" i="162" s="1"/>
  <c r="H12" i="162" s="1"/>
  <c r="H19" i="162" s="1"/>
  <c r="H22" i="162" s="1"/>
  <c r="H25" i="162" s="1"/>
  <c r="H27" i="162" s="1"/>
  <c r="H30" i="162" s="1"/>
  <c r="O21" i="174" s="1"/>
  <c r="G20" i="161"/>
  <c r="G21" i="161" s="1"/>
  <c r="G40" i="161" s="1"/>
  <c r="B9" i="196"/>
  <c r="D9" i="196" l="1"/>
  <c r="AP7" i="91"/>
  <c r="S14" i="67"/>
  <c r="F27" i="67"/>
  <c r="S27" i="67" l="1"/>
  <c r="N28" i="67"/>
  <c r="H30" i="67"/>
  <c r="AP15" i="91"/>
  <c r="U5" i="91"/>
  <c r="S5" i="91" s="1"/>
  <c r="G9" i="196"/>
  <c r="D30" i="196"/>
  <c r="AP40" i="91" l="1"/>
  <c r="U15" i="91"/>
  <c r="S14" i="91" s="1"/>
  <c r="U10" i="91"/>
  <c r="S9" i="91" s="1"/>
  <c r="U19" i="91"/>
  <c r="S18" i="91" s="1"/>
  <c r="U23" i="91"/>
  <c r="S22" i="91" s="1"/>
  <c r="U8" i="91"/>
  <c r="S7" i="91" s="1"/>
  <c r="G30" i="196"/>
  <c r="I9" i="196"/>
  <c r="I30" i="196" s="1"/>
  <c r="I31" i="196" s="1"/>
</calcChain>
</file>

<file path=xl/comments1.xml><?xml version="1.0" encoding="utf-8"?>
<comments xmlns="http://schemas.openxmlformats.org/spreadsheetml/2006/main">
  <authors>
    <author>memarian-a</author>
  </authors>
  <commentList>
    <comment ref="J2" authorId="0">
      <text>
        <r>
          <rPr>
            <b/>
            <sz val="9"/>
            <color indexed="81"/>
            <rFont val="Tahoma"/>
            <family val="2"/>
          </rPr>
          <t>memarian-a:</t>
        </r>
        <r>
          <rPr>
            <sz val="9"/>
            <color indexed="81"/>
            <rFont val="Tahoma"/>
            <family val="2"/>
          </rPr>
          <t xml:space="preserve">
 تا سند95001365 </t>
        </r>
      </text>
    </comment>
    <comment ref="L2"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10.xml><?xml version="1.0" encoding="utf-8"?>
<comments xmlns="http://schemas.openxmlformats.org/spreadsheetml/2006/main">
  <authors>
    <author>moradi-n</author>
    <author>memarian-a</author>
  </authors>
  <commentList>
    <comment ref="P11" authorId="0">
      <text>
        <r>
          <rPr>
            <b/>
            <sz val="9"/>
            <color indexed="81"/>
            <rFont val="Tahoma"/>
            <family val="2"/>
          </rPr>
          <t>moradi-n:</t>
        </r>
        <r>
          <rPr>
            <sz val="9"/>
            <color indexed="81"/>
            <rFont val="Tahoma"/>
            <family val="2"/>
          </rPr>
          <t xml:space="preserve">
مبلغ 16542بابت تعدیل سود سهام تکالیف مجمع اضافه گردید.</t>
        </r>
      </text>
    </comment>
    <comment ref="P19" authorId="1">
      <text>
        <r>
          <rPr>
            <b/>
            <sz val="9"/>
            <color indexed="81"/>
            <rFont val="Tahoma"/>
            <family val="2"/>
          </rPr>
          <t>memarian-a:</t>
        </r>
        <r>
          <rPr>
            <sz val="9"/>
            <color indexed="81"/>
            <rFont val="Tahoma"/>
            <family val="2"/>
          </rPr>
          <t xml:space="preserve">
تعديل اعمال شده
3218
درآمد ضايعات
</t>
        </r>
      </text>
    </comment>
    <comment ref="S19" authorId="1">
      <text>
        <r>
          <rPr>
            <b/>
            <sz val="9"/>
            <color indexed="81"/>
            <rFont val="Tahoma"/>
            <family val="2"/>
          </rPr>
          <t>memarian-a:</t>
        </r>
        <r>
          <rPr>
            <sz val="9"/>
            <color indexed="81"/>
            <rFont val="Tahoma"/>
            <family val="2"/>
          </rPr>
          <t xml:space="preserve">
تعديل اعمال شده
3218
درآمد ضايعات
</t>
        </r>
      </text>
    </comment>
  </commentList>
</comments>
</file>

<file path=xl/comments11.xml><?xml version="1.0" encoding="utf-8"?>
<comments xmlns="http://schemas.openxmlformats.org/spreadsheetml/2006/main">
  <authors>
    <author>moradi-n</author>
  </authors>
  <commentList>
    <comment ref="P28" authorId="0">
      <text>
        <r>
          <rPr>
            <b/>
            <sz val="9"/>
            <color indexed="81"/>
            <rFont val="Tahoma"/>
            <family val="2"/>
          </rPr>
          <t>moradi-n:</t>
        </r>
        <r>
          <rPr>
            <sz val="9"/>
            <color indexed="81"/>
            <rFont val="Tahoma"/>
            <family val="2"/>
          </rPr>
          <t xml:space="preserve">
تعدیل سنواتی نقدی</t>
        </r>
      </text>
    </comment>
    <comment ref="P29" authorId="0">
      <text>
        <r>
          <rPr>
            <b/>
            <sz val="9"/>
            <color indexed="81"/>
            <rFont val="Tahoma"/>
            <family val="2"/>
          </rPr>
          <t>moradi-n:</t>
        </r>
        <r>
          <rPr>
            <sz val="9"/>
            <color indexed="81"/>
            <rFont val="Tahoma"/>
            <family val="2"/>
          </rPr>
          <t xml:space="preserve">
تعدیل سنواتی
628948
</t>
        </r>
      </text>
    </comment>
  </commentList>
</comments>
</file>

<file path=xl/comments12.xml><?xml version="1.0" encoding="utf-8"?>
<comments xmlns="http://schemas.openxmlformats.org/spreadsheetml/2006/main">
  <authors>
    <author>memarian-a</author>
    <author>مهرک جباری</author>
  </authors>
  <commentList>
    <comment ref="K7" authorId="0">
      <text>
        <r>
          <rPr>
            <b/>
            <sz val="9"/>
            <color indexed="81"/>
            <rFont val="Tahoma"/>
            <family val="2"/>
          </rPr>
          <t>memarian-a:</t>
        </r>
        <r>
          <rPr>
            <sz val="9"/>
            <color indexed="81"/>
            <rFont val="Tahoma"/>
            <family val="2"/>
          </rPr>
          <t xml:space="preserve">
گردش بدهكار منهاي سندهاي ملي مهندسي
</t>
        </r>
      </text>
    </comment>
    <comment ref="L7" authorId="1">
      <text>
        <r>
          <rPr>
            <b/>
            <sz val="9"/>
            <color indexed="81"/>
            <rFont val="Tahoma"/>
            <family val="2"/>
          </rPr>
          <t>مهرک جباری:</t>
        </r>
        <r>
          <rPr>
            <sz val="9"/>
            <color indexed="81"/>
            <rFont val="Tahoma"/>
            <family val="2"/>
          </rPr>
          <t xml:space="preserve">
مانده فی مابین منهای فروش کالاوخدمات
</t>
        </r>
      </text>
    </comment>
    <comment ref="K11" authorId="0">
      <text>
        <r>
          <rPr>
            <b/>
            <sz val="9"/>
            <color indexed="81"/>
            <rFont val="Tahoma"/>
            <family val="2"/>
          </rPr>
          <t>memarian-a:</t>
        </r>
        <r>
          <rPr>
            <sz val="9"/>
            <color indexed="81"/>
            <rFont val="Tahoma"/>
            <family val="2"/>
          </rPr>
          <t xml:space="preserve">
گردش بدهكار
</t>
        </r>
      </text>
    </comment>
    <comment ref="L16" authorId="0">
      <text>
        <r>
          <rPr>
            <b/>
            <sz val="16"/>
            <color indexed="81"/>
            <rFont val="Tahoma"/>
            <family val="2"/>
          </rPr>
          <t>memarian-a:</t>
        </r>
        <r>
          <rPr>
            <sz val="16"/>
            <color indexed="81"/>
            <rFont val="Tahoma"/>
            <family val="2"/>
          </rPr>
          <t xml:space="preserve">
كد يك</t>
        </r>
      </text>
    </comment>
    <comment ref="F24" authorId="0">
      <text>
        <r>
          <rPr>
            <b/>
            <sz val="9"/>
            <color indexed="81"/>
            <rFont val="Tahoma"/>
            <family val="2"/>
          </rPr>
          <t>memarian-a:</t>
        </r>
        <r>
          <rPr>
            <sz val="9"/>
            <color indexed="81"/>
            <rFont val="Tahoma"/>
            <family val="2"/>
          </rPr>
          <t xml:space="preserve">
گردش بدهكار منهاي سندهاي ملي مهندسي
</t>
        </r>
      </text>
    </comment>
  </commentList>
</comments>
</file>

<file path=xl/comments2.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3.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4.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5.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6.xml><?xml version="1.0" encoding="utf-8"?>
<comments xmlns="http://schemas.openxmlformats.org/spreadsheetml/2006/main">
  <authors>
    <author>مهرک جباری</author>
  </authors>
  <commentList>
    <comment ref="Q19" authorId="0">
      <text>
        <r>
          <rPr>
            <b/>
            <sz val="9"/>
            <color indexed="81"/>
            <rFont val="Tahoma"/>
            <family val="2"/>
          </rPr>
          <t>مهرک جباری:</t>
        </r>
        <r>
          <rPr>
            <sz val="9"/>
            <color indexed="81"/>
            <rFont val="Tahoma"/>
            <family val="2"/>
          </rPr>
          <t xml:space="preserve">
2میلیون ریال مغایرت دارد
</t>
        </r>
      </text>
    </comment>
  </commentList>
</comments>
</file>

<file path=xl/comments7.xml><?xml version="1.0" encoding="utf-8"?>
<comments xmlns="http://schemas.openxmlformats.org/spreadsheetml/2006/main">
  <authors>
    <author>moradi-n</author>
  </authors>
  <commentList>
    <comment ref="Q11" authorId="0">
      <text>
        <r>
          <rPr>
            <b/>
            <sz val="9"/>
            <color indexed="81"/>
            <rFont val="Tahoma"/>
            <family val="2"/>
          </rPr>
          <t>moradi-n:</t>
        </r>
        <r>
          <rPr>
            <sz val="9"/>
            <color indexed="81"/>
            <rFont val="Tahoma"/>
            <family val="2"/>
          </rPr>
          <t xml:space="preserve">
تعدیل استهلاک اعمال گردیده
</t>
        </r>
      </text>
    </comment>
    <comment ref="Q12" authorId="0">
      <text>
        <r>
          <rPr>
            <b/>
            <sz val="9"/>
            <color indexed="81"/>
            <rFont val="Tahoma"/>
            <family val="2"/>
          </rPr>
          <t>moradi-n:</t>
        </r>
        <r>
          <rPr>
            <sz val="9"/>
            <color indexed="81"/>
            <rFont val="Tahoma"/>
            <family val="2"/>
          </rPr>
          <t xml:space="preserve">
تعدیل استهلاک اعمال گردیده</t>
        </r>
      </text>
    </comment>
    <comment ref="Q14" authorId="0">
      <text>
        <r>
          <rPr>
            <b/>
            <sz val="9"/>
            <color indexed="81"/>
            <rFont val="Tahoma"/>
            <family val="2"/>
          </rPr>
          <t>moradi-n:</t>
        </r>
        <r>
          <rPr>
            <sz val="9"/>
            <color indexed="81"/>
            <rFont val="Tahoma"/>
            <family val="2"/>
          </rPr>
          <t xml:space="preserve">
تعدیل استهلاک اعمال گردیده</t>
        </r>
      </text>
    </comment>
  </commentList>
</comments>
</file>

<file path=xl/comments8.xml><?xml version="1.0" encoding="utf-8"?>
<comments xmlns="http://schemas.openxmlformats.org/spreadsheetml/2006/main">
  <authors>
    <author>diba-p</author>
  </authors>
  <commentList>
    <comment ref="Q27" authorId="0">
      <text>
        <r>
          <rPr>
            <b/>
            <sz val="9"/>
            <color indexed="81"/>
            <rFont val="Tahoma"/>
            <family val="2"/>
          </rPr>
          <t>diba-p:</t>
        </r>
        <r>
          <rPr>
            <sz val="9"/>
            <color indexed="81"/>
            <rFont val="Tahoma"/>
            <family val="2"/>
          </rPr>
          <t xml:space="preserve">
هرچي با نامه و اعلاميه و اطلاعيه متقل شده به خط لوله</t>
        </r>
      </text>
    </comment>
    <comment ref="Q28" authorId="0">
      <text>
        <r>
          <rPr>
            <b/>
            <sz val="9"/>
            <color indexed="81"/>
            <rFont val="Tahoma"/>
            <family val="2"/>
          </rPr>
          <t>diba-p:</t>
        </r>
        <r>
          <rPr>
            <sz val="9"/>
            <color indexed="81"/>
            <rFont val="Tahoma"/>
            <family val="2"/>
          </rPr>
          <t xml:space="preserve">
مبالغي كه از محل 5 درصد برگشت شده به پالابش پخش
</t>
        </r>
      </text>
    </comment>
  </commentList>
</comments>
</file>

<file path=xl/comments9.xml><?xml version="1.0" encoding="utf-8"?>
<comments xmlns="http://schemas.openxmlformats.org/spreadsheetml/2006/main">
  <authors>
    <author>زائری امیرانی حسین</author>
    <author>moradi-n</author>
  </authors>
  <commentList>
    <comment ref="J34" authorId="0">
      <text>
        <r>
          <rPr>
            <b/>
            <sz val="9"/>
            <color indexed="81"/>
            <rFont val="Tahoma"/>
            <family val="2"/>
          </rPr>
          <t>زائری امیرانی حسین:</t>
        </r>
        <r>
          <rPr>
            <sz val="9"/>
            <color indexed="81"/>
            <rFont val="Tahoma"/>
            <family val="2"/>
          </rPr>
          <t xml:space="preserve">
</t>
        </r>
      </text>
    </comment>
    <comment ref="L60" authorId="1">
      <text>
        <r>
          <rPr>
            <b/>
            <sz val="9"/>
            <color indexed="81"/>
            <rFont val="Tahoma"/>
            <family val="2"/>
          </rPr>
          <t>moradi-n:</t>
        </r>
        <r>
          <rPr>
            <sz val="9"/>
            <color indexed="81"/>
            <rFont val="Tahoma"/>
            <family val="2"/>
          </rPr>
          <t xml:space="preserve">
مبلغ 16542بابت تعدیل سود سهام تکالیف مجمع اضافه گردید.</t>
        </r>
      </text>
    </comment>
  </commentList>
</comments>
</file>

<file path=xl/sharedStrings.xml><?xml version="1.0" encoding="utf-8"?>
<sst xmlns="http://schemas.openxmlformats.org/spreadsheetml/2006/main" count="9734" uniqueCount="2705">
  <si>
    <t>06603620</t>
  </si>
  <si>
    <t>وام تحصيلي كارمندان 170</t>
  </si>
  <si>
    <t>06603630</t>
  </si>
  <si>
    <t>06603632</t>
  </si>
  <si>
    <t>06603932</t>
  </si>
  <si>
    <t>06603935</t>
  </si>
  <si>
    <t>06605606</t>
  </si>
  <si>
    <t>06605613</t>
  </si>
  <si>
    <t>06605614</t>
  </si>
  <si>
    <t>06606560</t>
  </si>
  <si>
    <t>ذخيره پاداش پايان خدمت</t>
  </si>
  <si>
    <t>06606603</t>
  </si>
  <si>
    <t>06606604</t>
  </si>
  <si>
    <t>اجرائيات دادگستري</t>
  </si>
  <si>
    <t>06606609</t>
  </si>
  <si>
    <t>06606611</t>
  </si>
  <si>
    <t xml:space="preserve">ذخيره مزاياي پايان خدمت كاركنان  </t>
  </si>
  <si>
    <t>دانشگاه صنعت نفت</t>
  </si>
  <si>
    <t>90006401</t>
  </si>
  <si>
    <t>90006421</t>
  </si>
  <si>
    <t>حساب پش دريافت بابت جبران هزينه</t>
  </si>
  <si>
    <t>90006513</t>
  </si>
  <si>
    <t>واسطه پرداخت هزينه هاي سال قبل</t>
  </si>
  <si>
    <t>90006584</t>
  </si>
  <si>
    <t>احداث شبكه راديويي وفيبر نوري</t>
  </si>
  <si>
    <t>سپرده دريافتي ح مزايده ومناقصه جاري</t>
  </si>
  <si>
    <t>90007001</t>
  </si>
  <si>
    <t>موجودي نقدي صندوق</t>
  </si>
  <si>
    <t>90007021</t>
  </si>
  <si>
    <t>وجوه درراه</t>
  </si>
  <si>
    <t>90007081</t>
  </si>
  <si>
    <t>تنخواه گردان</t>
  </si>
  <si>
    <t>90007097</t>
  </si>
  <si>
    <t>گشايش اعتبارات اسنادي سرمايه اي</t>
  </si>
  <si>
    <t>90007098</t>
  </si>
  <si>
    <t>گشايش  اعتبارات اسنادي  جاري</t>
  </si>
  <si>
    <t>90007100</t>
  </si>
  <si>
    <t>كنترل موجودي هاي بانكي ـريال</t>
  </si>
  <si>
    <t>90007511</t>
  </si>
  <si>
    <t>06606620</t>
  </si>
  <si>
    <t>06606625</t>
  </si>
  <si>
    <t>بدهي به دانشگاهها</t>
  </si>
  <si>
    <t>06606631</t>
  </si>
  <si>
    <t>06606638</t>
  </si>
  <si>
    <t>06608003</t>
  </si>
  <si>
    <t>06608644</t>
  </si>
  <si>
    <t>پرداخت /كسوراقلام متفرقه</t>
  </si>
  <si>
    <t>06608661</t>
  </si>
  <si>
    <t>09202000</t>
  </si>
  <si>
    <t>وزارت نيرو</t>
  </si>
  <si>
    <t>09290021</t>
  </si>
  <si>
    <t>09290031</t>
  </si>
  <si>
    <t>09290061</t>
  </si>
  <si>
    <t>09290081</t>
  </si>
  <si>
    <t>09290086</t>
  </si>
  <si>
    <t>09290121</t>
  </si>
  <si>
    <t>09290132</t>
  </si>
  <si>
    <t>09290161</t>
  </si>
  <si>
    <t>09290181</t>
  </si>
  <si>
    <t>09290201</t>
  </si>
  <si>
    <t>09290301</t>
  </si>
  <si>
    <t>رديف</t>
  </si>
  <si>
    <t>شرح</t>
  </si>
  <si>
    <t>90005322</t>
  </si>
  <si>
    <t>شركت بهينه سازي مصرف سوخت</t>
  </si>
  <si>
    <t>09294191</t>
  </si>
  <si>
    <t>شركت پايانه ها ومخازن پتروشيمي</t>
  </si>
  <si>
    <t>شركت گاز استان يزد</t>
  </si>
  <si>
    <t>باشگاه نفت</t>
  </si>
  <si>
    <t>90005381</t>
  </si>
  <si>
    <t>پيش پرداخت اجاره بها</t>
  </si>
  <si>
    <t>90005828</t>
  </si>
  <si>
    <t>علي الحساب سرمايه اي ـدستي</t>
  </si>
  <si>
    <t>90005829</t>
  </si>
  <si>
    <t>علي الحساب هاي پرداختي</t>
  </si>
  <si>
    <t>90005845</t>
  </si>
  <si>
    <t>09506336</t>
  </si>
  <si>
    <t>تفاوت بين رسيدارسال انتقالات جاري</t>
  </si>
  <si>
    <t>كالاي درراه مكانيزه ـسرمايه اي خارجي</t>
  </si>
  <si>
    <t>09502736</t>
  </si>
  <si>
    <t>كالاي درراه مكانيزه ـجاري ـداخلي</t>
  </si>
  <si>
    <t xml:space="preserve">    داراييها</t>
  </si>
  <si>
    <t>تسويه حساب نهائي كارگران اخراجي</t>
  </si>
  <si>
    <t>06508113</t>
  </si>
  <si>
    <t>06508770</t>
  </si>
  <si>
    <t>دستمزدخالص</t>
  </si>
  <si>
    <t>06508830</t>
  </si>
  <si>
    <t>06508921</t>
  </si>
  <si>
    <t>خسارت وارده به اموال شركت</t>
  </si>
  <si>
    <t>06508952</t>
  </si>
  <si>
    <t>06603111</t>
  </si>
  <si>
    <t>معافيت  استفاده كننده گان از تسهيلات بانكي - شمال</t>
  </si>
  <si>
    <t>06603601</t>
  </si>
  <si>
    <t>06603603</t>
  </si>
  <si>
    <t>موجودي مواد و كالا</t>
  </si>
  <si>
    <t>كالاي در راه مكانيزه جاري</t>
  </si>
  <si>
    <t xml:space="preserve"> حسابهاي پرداختني تجاري</t>
  </si>
  <si>
    <t>90009625</t>
  </si>
  <si>
    <t>كنترل كالاي در راه مكانيزه سرمايه اي</t>
  </si>
  <si>
    <t>كنترل كالاي در راه مكانيزه جاري</t>
  </si>
  <si>
    <t>90009629</t>
  </si>
  <si>
    <t>90009647</t>
  </si>
  <si>
    <t>كنترل انتقال كالا بين انبار اصلي</t>
  </si>
  <si>
    <t xml:space="preserve">ماليات </t>
  </si>
  <si>
    <t>كنترل اموال غيرمنقول ـمانده</t>
  </si>
  <si>
    <t>90002131</t>
  </si>
  <si>
    <t>كنترل اموال منقول كلاس3 ـمانده</t>
  </si>
  <si>
    <t>90002141</t>
  </si>
  <si>
    <t>شركت بهره برداري نفت وگازكارون</t>
  </si>
  <si>
    <t>09290861</t>
  </si>
  <si>
    <t>09290891</t>
  </si>
  <si>
    <t>هزينه كمك نقدي كارمندان</t>
  </si>
  <si>
    <t>90002001</t>
  </si>
  <si>
    <t>كنترل زمين ـمانده</t>
  </si>
  <si>
    <t>90002101</t>
  </si>
  <si>
    <t>شركت مهندسي وتوسعه گاز</t>
  </si>
  <si>
    <t>09301020</t>
  </si>
  <si>
    <t>پس اندازصندوق قرض الحسنه</t>
  </si>
  <si>
    <t>موجودي روغن براي مصرف</t>
  </si>
  <si>
    <t>90004827</t>
  </si>
  <si>
    <t>موجودي سايرفراوردهها</t>
  </si>
  <si>
    <t>90004828</t>
  </si>
  <si>
    <t>طلب پخش بابت برداشت فراورده ازخط</t>
  </si>
  <si>
    <t>90004880</t>
  </si>
  <si>
    <t>كالاي واگذاري به موسسات بطوراماني</t>
  </si>
  <si>
    <t>90005316</t>
  </si>
  <si>
    <t>ودايع اب وبرق وتلفن</t>
  </si>
  <si>
    <t>06506394</t>
  </si>
  <si>
    <t>06506440</t>
  </si>
  <si>
    <t>دستمزدخالص مطالبه نشده</t>
  </si>
  <si>
    <t>06506450</t>
  </si>
  <si>
    <t>كنترل بن قابل توزيع به كارگران</t>
  </si>
  <si>
    <t>06506550</t>
  </si>
  <si>
    <t>ذخيره مرخصي</t>
  </si>
  <si>
    <t>06506560</t>
  </si>
  <si>
    <t>ذخيره پاداش پايان خدمت كارگران</t>
  </si>
  <si>
    <t>06506960</t>
  </si>
  <si>
    <t>پژوهشگاه صنعت نفت</t>
  </si>
  <si>
    <t>شركت كالاي نفت تهران ـ انبار</t>
  </si>
  <si>
    <t>امور صندوقهاي بازنشستگي و پس انداز ورفاه كاركنان نفت</t>
  </si>
  <si>
    <t>شركت ملي پخش فراورده ها</t>
  </si>
  <si>
    <t>داراييهاي غير جاري :</t>
  </si>
  <si>
    <t>جمع بدهيهاي جاري</t>
  </si>
  <si>
    <t>جمع داراييهاي غير جاري</t>
  </si>
  <si>
    <t xml:space="preserve">جمع بدهيهاي غير جاري </t>
  </si>
  <si>
    <t>90004801</t>
  </si>
  <si>
    <t xml:space="preserve">اندوخته قانوني </t>
  </si>
  <si>
    <t>اندوخته مخصوص</t>
  </si>
  <si>
    <t>كنترل اموال منقول كلاس4 ـمانده</t>
  </si>
  <si>
    <t>90002161</t>
  </si>
  <si>
    <t>كنترل اموال منقول كلاس6 ـمانده</t>
  </si>
  <si>
    <t>90002301</t>
  </si>
  <si>
    <t>شركت پالايش نفت تهران</t>
  </si>
  <si>
    <t>شركت ملي مهندسي وساختمان</t>
  </si>
  <si>
    <t>شركت ملي صنايع پتروشيمي</t>
  </si>
  <si>
    <t>شركت خدمات عمومي بهداشت و درمان نفت</t>
  </si>
  <si>
    <t>شركت پالايش نفت اصفهان</t>
  </si>
  <si>
    <t>09290941</t>
  </si>
  <si>
    <t>09290951</t>
  </si>
  <si>
    <t>شركت پالايش نفت كرمانشاه</t>
  </si>
  <si>
    <t>كنترل اسناددريافتي</t>
  </si>
  <si>
    <t>وام اتـومبيـل كارمنـدان</t>
  </si>
  <si>
    <t>09290691</t>
  </si>
  <si>
    <t>09504536</t>
  </si>
  <si>
    <t>واسطانتقال كالابين رمزسازماني جاري</t>
  </si>
  <si>
    <t>09504736</t>
  </si>
  <si>
    <t>واسطانتقال كالابين انباراصلي فرعي ج</t>
  </si>
  <si>
    <t>09505536</t>
  </si>
  <si>
    <t>حسابجاري شركت نفت مناطق مركزي</t>
  </si>
  <si>
    <t>حسابجاري پتروشيمي تبريز</t>
  </si>
  <si>
    <t>شركت بهره برداري نفت و گاز زاگرس</t>
  </si>
  <si>
    <t>شركت بهره برداري نفت و گاز غرب</t>
  </si>
  <si>
    <t>حسابجاري  نفت  و گاز گچساران</t>
  </si>
  <si>
    <t>حسابجاري شركت نفت وگازمسجدسليمان</t>
  </si>
  <si>
    <t>شركت پالايش نفت لاوان</t>
  </si>
  <si>
    <t>حسابجاري شركت ملي نفت ـ بين الملل</t>
  </si>
  <si>
    <t>ماليات بر درامد دستمزدكارگران</t>
  </si>
  <si>
    <t>هزينه اب و برق منزل سازماني اراك</t>
  </si>
  <si>
    <t xml:space="preserve">      8درصد بيمه نگهداري شده</t>
  </si>
  <si>
    <t>وام مددكاري به كارمندان ايراني ـ شاهرود</t>
  </si>
  <si>
    <t>پرداخت باز خريـد مرخـصي ـ ايرانـي</t>
  </si>
  <si>
    <t>ذخيره مرخصـي سالانه ـ ايرانـي</t>
  </si>
  <si>
    <t>پرداخت سود سهام شركت سرمايه گذاري</t>
  </si>
  <si>
    <t>وام تملك مسكن به كارمندان</t>
  </si>
  <si>
    <t>06603608</t>
  </si>
  <si>
    <t>سپرده حسن انجام كارجاري ـدستي</t>
  </si>
  <si>
    <t>90006813</t>
  </si>
  <si>
    <t>حق بيمه متفرقه جاري</t>
  </si>
  <si>
    <t>90006831</t>
  </si>
  <si>
    <t xml:space="preserve">       5درصدبيمه سيستم پيمانكاران جاري</t>
  </si>
  <si>
    <t>90006852</t>
  </si>
  <si>
    <t>سپرده حسن  انجام تعهدـجاري</t>
  </si>
  <si>
    <t>90006891</t>
  </si>
  <si>
    <t xml:space="preserve">كارت اعتباري نفت </t>
  </si>
  <si>
    <t xml:space="preserve">حسابهاي پرداختني بلند مدت </t>
  </si>
  <si>
    <t xml:space="preserve">سرمايه </t>
  </si>
  <si>
    <t>04684020</t>
  </si>
  <si>
    <t>خط لوله نفتخام مارون / اصفهان پ بند</t>
  </si>
  <si>
    <t>توسعه دفتر مدير منطقه شمال درتلمبه خانه ساري</t>
  </si>
  <si>
    <t>04613214</t>
  </si>
  <si>
    <t>ملي مهندسي</t>
  </si>
  <si>
    <t>90006411</t>
  </si>
  <si>
    <t>اندوخته ها</t>
  </si>
  <si>
    <t>تسويـه حساب نهـائي كارمندان</t>
  </si>
  <si>
    <t>علي الحساب حقوق كارمندان ايراني</t>
  </si>
  <si>
    <t>ادارات مركزي شركت نفت</t>
  </si>
  <si>
    <t>مديريت اكتشاف نفت</t>
  </si>
  <si>
    <t>شركت پالايش نفت ابادان</t>
  </si>
  <si>
    <t>09290971</t>
  </si>
  <si>
    <t>شركت پالايش نفت اراك</t>
  </si>
  <si>
    <t>09294121</t>
  </si>
  <si>
    <t>شركت پتروشيمي مارون</t>
  </si>
  <si>
    <t>06508220</t>
  </si>
  <si>
    <t xml:space="preserve">كنترل دستمزد ناخالص </t>
  </si>
  <si>
    <t>09806120</t>
  </si>
  <si>
    <t>ماليات پيمانكاران متفرقه 5/5درصد</t>
  </si>
  <si>
    <t>06603605</t>
  </si>
  <si>
    <t>وام شركتي به كارمندان</t>
  </si>
  <si>
    <t xml:space="preserve">وام درماني </t>
  </si>
  <si>
    <t xml:space="preserve">وام  قرض  الحسنه </t>
  </si>
  <si>
    <t>06603615</t>
  </si>
  <si>
    <t>وام مخصوص</t>
  </si>
  <si>
    <t>06603616</t>
  </si>
  <si>
    <t>وام آموزشي</t>
  </si>
  <si>
    <t>06603622</t>
  </si>
  <si>
    <t>سود ناخالص</t>
  </si>
  <si>
    <t>خريد از كارت اعتباري</t>
  </si>
  <si>
    <t>چكهاي ابطالي</t>
  </si>
  <si>
    <t>بستانكاران متفرقه</t>
  </si>
  <si>
    <t>دريافتهاي معلق</t>
  </si>
  <si>
    <t>قسط وام اضطراري كارگري</t>
  </si>
  <si>
    <t>رفسنجان ـ لوله كشي اب شهرك رفسنجان</t>
  </si>
  <si>
    <t>نصب سيستمهاي راديو ديجيتال شبكه ها</t>
  </si>
  <si>
    <t>شن ريزي مسيرخط26 اينچ بندرعباس/رفسنجان</t>
  </si>
  <si>
    <t>ساخت دو دستگاه ماشين لوله خم كن</t>
  </si>
  <si>
    <t>09294051</t>
  </si>
  <si>
    <t>حسابجاري شركت خوارزمي بندرامام</t>
  </si>
  <si>
    <t>09294061</t>
  </si>
  <si>
    <t>حسابجاري شركت فراورش بندرامام</t>
  </si>
  <si>
    <t>09298211</t>
  </si>
  <si>
    <t>حسابجاري شركت گازاستان لرستان</t>
  </si>
  <si>
    <t>09298241</t>
  </si>
  <si>
    <t>حسابجاري شركت گازاستان كرمانشاه</t>
  </si>
  <si>
    <t>سود سهام پرداختني</t>
  </si>
  <si>
    <t>افزايش / كاهش</t>
  </si>
  <si>
    <t>09803809</t>
  </si>
  <si>
    <t>طلب كالاي لندن</t>
  </si>
  <si>
    <t>09811800</t>
  </si>
  <si>
    <t>كالاي در راه مهندسي وساختمان</t>
  </si>
  <si>
    <t>09811801</t>
  </si>
  <si>
    <t>04607013</t>
  </si>
  <si>
    <t>حصاركشي ايستگاه مخابراتي پاسيو قطب آباد</t>
  </si>
  <si>
    <t>04607215</t>
  </si>
  <si>
    <t>شركت ملي نفتكش ايران</t>
  </si>
  <si>
    <t>09290381</t>
  </si>
  <si>
    <t>شركت پايانه هاي صادرات مواد نفتي</t>
  </si>
  <si>
    <t>09290461</t>
  </si>
  <si>
    <t>شركت پتروشيمي ذكرياي رازي</t>
  </si>
  <si>
    <t>شركت پتروشيمي آبادان</t>
  </si>
  <si>
    <t>شركت پتروشيمي ايران و ژاپن</t>
  </si>
  <si>
    <t>09290611</t>
  </si>
  <si>
    <t>شركت بازرگاني پتروشيمي</t>
  </si>
  <si>
    <t>09290631</t>
  </si>
  <si>
    <t>شركت عمليات غير صنعتي پتروشيمي</t>
  </si>
  <si>
    <t>09290751</t>
  </si>
  <si>
    <t>شركت پتروشيمي بيستون</t>
  </si>
  <si>
    <t>09291001</t>
  </si>
  <si>
    <t>شركت مهندسي وتوسعه نفت</t>
  </si>
  <si>
    <t>شركت منطقه ويژه اقتصادي انرژي پارس</t>
  </si>
  <si>
    <t>09292501</t>
  </si>
  <si>
    <t>09293021</t>
  </si>
  <si>
    <t xml:space="preserve">شركت پيرا حفاري </t>
  </si>
  <si>
    <t>09294041</t>
  </si>
  <si>
    <t>شركت بسپاران بندر امام</t>
  </si>
  <si>
    <t>09294131</t>
  </si>
  <si>
    <t>09298101</t>
  </si>
  <si>
    <t>شركت پتروشيمي پارس</t>
  </si>
  <si>
    <t>09306404</t>
  </si>
  <si>
    <t>كمك به آسايشگاه كهريزك</t>
  </si>
  <si>
    <t>بيمه سيستم پيمانكاران سرمايه اي</t>
  </si>
  <si>
    <t>90006741</t>
  </si>
  <si>
    <t>تعديل موجودافزاناشي ازشمارش جاري</t>
  </si>
  <si>
    <t>09506136</t>
  </si>
  <si>
    <t>ادعاي غرامت</t>
  </si>
  <si>
    <t>4-1-</t>
  </si>
  <si>
    <t>شركت خدمات  رفاهي  نفت</t>
  </si>
  <si>
    <t>استهلاك اموال منقول كلاس3 مانده</t>
  </si>
  <si>
    <t>90002341</t>
  </si>
  <si>
    <t>استهلاك اموال منقول كلاس4 مانده</t>
  </si>
  <si>
    <t>90002361</t>
  </si>
  <si>
    <t>استهلاك اموال منقول كلاس6 مانده</t>
  </si>
  <si>
    <t>90003001</t>
  </si>
  <si>
    <t>خسارت وارده به خطر</t>
  </si>
  <si>
    <t>09309997</t>
  </si>
  <si>
    <t>09501936</t>
  </si>
  <si>
    <t>كالاي درراه غيرمكانيزه ـجاري ـخارجي</t>
  </si>
  <si>
    <t>09502536</t>
  </si>
  <si>
    <t>كالاي درراه مكانيزه  ـجاري  ـخارجي</t>
  </si>
  <si>
    <t>09502636</t>
  </si>
  <si>
    <t>09290701</t>
  </si>
  <si>
    <t>پتروشيمي خوزستان</t>
  </si>
  <si>
    <t>09290731</t>
  </si>
  <si>
    <t>شركت سهامي پتروشيمي تندگويان</t>
  </si>
  <si>
    <t>09290741</t>
  </si>
  <si>
    <t>شركت پتروشيمي فن اوران</t>
  </si>
  <si>
    <t>09290781</t>
  </si>
  <si>
    <t>09290791</t>
  </si>
  <si>
    <t>حسابجاري شركت نفت وگازاغاجاري</t>
  </si>
  <si>
    <t>09290801</t>
  </si>
  <si>
    <t>حسابجاري شركت ملي گاز</t>
  </si>
  <si>
    <t>09290831</t>
  </si>
  <si>
    <t>واسطه تفاوت  انتقال  كالا ـ جاري</t>
  </si>
  <si>
    <t>09507336</t>
  </si>
  <si>
    <t>واسطانتقال كالابرگشتي به انبارجاري</t>
  </si>
  <si>
    <t>واسطه اختلاف  مقداري  ـ جاري</t>
  </si>
  <si>
    <t>واسطه انتقال شماره طبقه بندي ـجاري</t>
  </si>
  <si>
    <t>09508536</t>
  </si>
  <si>
    <t>حساب اقلام پذيرفته نشده ـجاري</t>
  </si>
  <si>
    <t>هزينه  ها ي جانبي</t>
  </si>
  <si>
    <t>09513800</t>
  </si>
  <si>
    <t>پيش پرداخت خريدهاي جاري ازكالاتهر</t>
  </si>
  <si>
    <t>09513813</t>
  </si>
  <si>
    <t>پيش پرداخت خريدهاي جاري مستقيم</t>
  </si>
  <si>
    <t>09513900</t>
  </si>
  <si>
    <t>پيش پرداخت خريدهاي سرمايه اي ازكا</t>
  </si>
  <si>
    <t>09513913</t>
  </si>
  <si>
    <t>پيش پرداخت خريدهاي مستقيم</t>
  </si>
  <si>
    <t>90001001</t>
  </si>
  <si>
    <t>حساب  سرمايه</t>
  </si>
  <si>
    <t>90001021</t>
  </si>
  <si>
    <t>حساب  اندوخته  قانوني</t>
  </si>
  <si>
    <t>90001031</t>
  </si>
  <si>
    <t>حساب  اندوخته  مخصوص</t>
  </si>
  <si>
    <t>09508336</t>
  </si>
  <si>
    <t>تفاوت قيمت كالاي انتقالي جاري</t>
  </si>
  <si>
    <t>09290901</t>
  </si>
  <si>
    <t>09290904</t>
  </si>
  <si>
    <t>مشتريان كانالهاي مخابراتي</t>
  </si>
  <si>
    <t>09290911</t>
  </si>
  <si>
    <t>04607315</t>
  </si>
  <si>
    <t>جايگزيني سيستم فرسوده وي اچ اف خطوط</t>
  </si>
  <si>
    <t>04607316</t>
  </si>
  <si>
    <t>شركت ملي پالايش و پخش</t>
  </si>
  <si>
    <t>09290981</t>
  </si>
  <si>
    <t>شركت پالايش نفت بندرعباس</t>
  </si>
  <si>
    <t>09291401</t>
  </si>
  <si>
    <t>شركت صادرات گاز</t>
  </si>
  <si>
    <t>09293011</t>
  </si>
  <si>
    <t>شركت خدمات ترابري وپشتيباني نفت</t>
  </si>
  <si>
    <t>09293041</t>
  </si>
  <si>
    <t>داراييهاي نامشهود</t>
  </si>
  <si>
    <t>ترازنامه</t>
  </si>
  <si>
    <t>پيش پرداخت بپيمانكاران سرمايه اي</t>
  </si>
  <si>
    <t>90005981</t>
  </si>
  <si>
    <t>پيش پرداخت پيمانكاران جاري</t>
  </si>
  <si>
    <t>90006001</t>
  </si>
  <si>
    <t>ماليات سيستم پيمانكاران سرمايه اي</t>
  </si>
  <si>
    <t>90006011</t>
  </si>
  <si>
    <t>ماليات  سيستم  پيمانكاران  جاري</t>
  </si>
  <si>
    <t>90006012</t>
  </si>
  <si>
    <t>شركت بهره برداري نفت وگاز شرق</t>
  </si>
  <si>
    <t>09290351</t>
  </si>
  <si>
    <t>هزينه نگهداري منازل سازماني ـبدهكار</t>
  </si>
  <si>
    <t>ماليات بردرامد</t>
  </si>
  <si>
    <t>ريال</t>
  </si>
  <si>
    <t>موجودي نقد</t>
  </si>
  <si>
    <t>ذخيره ماليات</t>
  </si>
  <si>
    <t>سفارشات و پيش پرداختها</t>
  </si>
  <si>
    <t>بدهيهاي غير جاري :</t>
  </si>
  <si>
    <t>داراييهاي ثابت مشهود</t>
  </si>
  <si>
    <t>حقوق صاحبان سهام :</t>
  </si>
  <si>
    <t>جمع حقوق صاحبان سهام</t>
  </si>
  <si>
    <t>جمع بدهيها و حقوق صاحبان سهام</t>
  </si>
  <si>
    <t xml:space="preserve">سود و زيان 
انباشته </t>
  </si>
  <si>
    <t>04606691</t>
  </si>
  <si>
    <t>04606711</t>
  </si>
  <si>
    <t>04606812</t>
  </si>
  <si>
    <t>04606913</t>
  </si>
  <si>
    <t>09290291</t>
  </si>
  <si>
    <t>شماره يادداشت فرعي</t>
  </si>
  <si>
    <t>شماره يادداشت اصلي</t>
  </si>
  <si>
    <t>حساب</t>
  </si>
  <si>
    <t>بستانكار</t>
  </si>
  <si>
    <t xml:space="preserve">موجودي 
نقدي بانك </t>
  </si>
  <si>
    <t>حسابهاي
 دريافتني تجاري</t>
  </si>
  <si>
    <t xml:space="preserve">ساير حسابهاي دريافتني </t>
  </si>
  <si>
    <t>مواد و كالا</t>
  </si>
  <si>
    <t xml:space="preserve">پيش پرداختها  
</t>
  </si>
  <si>
    <t xml:space="preserve">دارايي
 ثابت </t>
  </si>
  <si>
    <t xml:space="preserve">ساير داراييها </t>
  </si>
  <si>
    <t xml:space="preserve">ساير حسابهاي پرداختني </t>
  </si>
  <si>
    <t>90001111</t>
  </si>
  <si>
    <t>حساب ديون بلندمدت</t>
  </si>
  <si>
    <t>09291301</t>
  </si>
  <si>
    <t>شركت حفاري شمال</t>
  </si>
  <si>
    <t>09505236</t>
  </si>
  <si>
    <t>واسطه فروش نقدي كالا</t>
  </si>
  <si>
    <t xml:space="preserve">                                                       </t>
  </si>
  <si>
    <t>حق الزحمه نظارت عاليه وكارگاهي</t>
  </si>
  <si>
    <t>04607317</t>
  </si>
  <si>
    <t xml:space="preserve">40درصدبند 12 تبصره 1 قانون بودجه </t>
  </si>
  <si>
    <t>09502136</t>
  </si>
  <si>
    <t>04608132</t>
  </si>
  <si>
    <t>خط لوله نفت خام مارون اصفهان</t>
  </si>
  <si>
    <t>40درصد تبصره يك</t>
  </si>
  <si>
    <t>قانون بودجه 1387</t>
  </si>
  <si>
    <t>خسارت وارده به خطوط لوله</t>
  </si>
  <si>
    <t>90005846</t>
  </si>
  <si>
    <t>خسارت  وارده به كابل مخابرات</t>
  </si>
  <si>
    <t>90005948</t>
  </si>
  <si>
    <t>قابل وصول ازپيمانكاران</t>
  </si>
  <si>
    <t>90005971</t>
  </si>
  <si>
    <t>09290151</t>
  </si>
  <si>
    <t>مهندسي كنترل ساخت مخزن درري ورفسنج</t>
  </si>
  <si>
    <t>04607418</t>
  </si>
  <si>
    <t>04607918</t>
  </si>
  <si>
    <t>قرارداد 84041</t>
  </si>
  <si>
    <t>04608020</t>
  </si>
  <si>
    <t>04681321</t>
  </si>
  <si>
    <t>05106493</t>
  </si>
  <si>
    <t>جرثقيل دستي براي جابجائي شيرهاي زنج</t>
  </si>
  <si>
    <t>05106494</t>
  </si>
  <si>
    <t>09811799</t>
  </si>
  <si>
    <t>جديد تعريف شد</t>
  </si>
  <si>
    <t>05106597</t>
  </si>
  <si>
    <t>06503210</t>
  </si>
  <si>
    <t>اقساط اجرائيه ها</t>
  </si>
  <si>
    <t>06503932</t>
  </si>
  <si>
    <t>كارمزدوام قرض الحسنه بسيجان وايثا</t>
  </si>
  <si>
    <t>06503935</t>
  </si>
  <si>
    <t>06505120</t>
  </si>
  <si>
    <t>علي الحساب نيمه ماه كارگران</t>
  </si>
  <si>
    <t>06505122</t>
  </si>
  <si>
    <t>علي الحساب دستمزدكارگران</t>
  </si>
  <si>
    <t>06505150</t>
  </si>
  <si>
    <t>حساب شخصي اقلام متفرقه كارگران</t>
  </si>
  <si>
    <t>06505810</t>
  </si>
  <si>
    <t>پول خردگردشده دستمزد</t>
  </si>
  <si>
    <t>06506010</t>
  </si>
  <si>
    <t>كمك به بيماران ديابتي</t>
  </si>
  <si>
    <t xml:space="preserve">صندوق  بسيج  تندگويان </t>
  </si>
  <si>
    <t>06603933</t>
  </si>
  <si>
    <t>وام كولرگازي</t>
  </si>
  <si>
    <t>09502836</t>
  </si>
  <si>
    <t>كالاي درراه مكانيزه ـسرمايه اي داخلي</t>
  </si>
  <si>
    <t>09502936</t>
  </si>
  <si>
    <t>كالاي درراه مكانيزه ـجاري ـمحلي</t>
  </si>
  <si>
    <t>09503133</t>
  </si>
  <si>
    <t>تفاوت قيمت كالاـجاري ـخارجي</t>
  </si>
  <si>
    <t>09503136</t>
  </si>
  <si>
    <t>09503236</t>
  </si>
  <si>
    <t>تفاوت قيمت كالاـسرمايه اي ـخارجي</t>
  </si>
  <si>
    <t>09503336</t>
  </si>
  <si>
    <t>تفاوت قيمت كالاـجاري ـداخلي</t>
  </si>
  <si>
    <t>09503436</t>
  </si>
  <si>
    <t>تفاوت قيمت كالاـسرمايه اي ـداخلي</t>
  </si>
  <si>
    <t>09503536</t>
  </si>
  <si>
    <t>تفاوت قيمت كالاـجاري ـمحلي</t>
  </si>
  <si>
    <t>09503809</t>
  </si>
  <si>
    <t>حساب پيش پرداخت خريدنزدشركت كا</t>
  </si>
  <si>
    <t>09504336</t>
  </si>
  <si>
    <t>موجودي كالا ـ جاري</t>
  </si>
  <si>
    <t>09504436</t>
  </si>
  <si>
    <t>موجودي كالا ـ سرمايه اي</t>
  </si>
  <si>
    <t>09507136</t>
  </si>
  <si>
    <t>شركت كالاي نفت تهران</t>
  </si>
  <si>
    <t>امور صندوقهاي بازنشستگي و پس انداز و رفاه كاركنان نفت</t>
  </si>
  <si>
    <t>بدهكاران متفرقه</t>
  </si>
  <si>
    <t>حساب معلق</t>
  </si>
  <si>
    <t>09503800</t>
  </si>
  <si>
    <t>پيش پرداخت خريد كالا</t>
  </si>
  <si>
    <t>90009626</t>
  </si>
  <si>
    <t>06506120</t>
  </si>
  <si>
    <t>حق بيمه كارگران رسمي 22درصد</t>
  </si>
  <si>
    <t>واگذاري منزل سازماني</t>
  </si>
  <si>
    <t xml:space="preserve">وام  متفرقه  </t>
  </si>
  <si>
    <t>06603631</t>
  </si>
  <si>
    <t>كالاهاي اساسي</t>
  </si>
  <si>
    <t>يادداشت</t>
  </si>
  <si>
    <t>06603609</t>
  </si>
  <si>
    <t>06603610</t>
  </si>
  <si>
    <t>06603614</t>
  </si>
  <si>
    <t>وام تعاونـي كارمندان</t>
  </si>
  <si>
    <t>06603619</t>
  </si>
  <si>
    <t>وديعه مسكن كاركنان</t>
  </si>
  <si>
    <t>09301201</t>
  </si>
  <si>
    <t>باشگاه نفت شماره 1تهران</t>
  </si>
  <si>
    <t>09301821</t>
  </si>
  <si>
    <t>پ /پ 703صندوق قرضه الحسنه</t>
  </si>
  <si>
    <t>09309996</t>
  </si>
  <si>
    <t>ذخيره مستمري بازنشستگان</t>
  </si>
  <si>
    <t>09298281</t>
  </si>
  <si>
    <t>حسابجاري  شركت  پالايش  گازفجر</t>
  </si>
  <si>
    <t>09298311</t>
  </si>
  <si>
    <t>شركت پالايش گاز ايلام</t>
  </si>
  <si>
    <t>سرمايه گذاري در سايرشركتها</t>
  </si>
  <si>
    <t>كالاي درراه</t>
  </si>
  <si>
    <t>90004825</t>
  </si>
  <si>
    <t xml:space="preserve">        2درهزاركاراموزي پيمانكاران سرماي</t>
  </si>
  <si>
    <t>90006752</t>
  </si>
  <si>
    <t>سپرده حسن  انجام تعهدـسرمايه اي</t>
  </si>
  <si>
    <t>90006791</t>
  </si>
  <si>
    <t>سپرده ـمزايده ومناقصه سرمايه اي</t>
  </si>
  <si>
    <t>90006800</t>
  </si>
  <si>
    <t>پيش دريافت دستوركارها</t>
  </si>
  <si>
    <t>90006811</t>
  </si>
  <si>
    <t>سپرده حسن انجام كارپيمانكاران جاري</t>
  </si>
  <si>
    <t>90006812</t>
  </si>
  <si>
    <t>استهلاك اموال غيرمنقول مانده</t>
  </si>
  <si>
    <t>90002331</t>
  </si>
  <si>
    <t>سپرده حسن انجام كارسرمايه اي دستي</t>
  </si>
  <si>
    <t>90006713</t>
  </si>
  <si>
    <t>حق بيمه متفرقه سرمايه اي</t>
  </si>
  <si>
    <t>90006731</t>
  </si>
  <si>
    <t>فنس كشي اطراف ايستگاه 9 دركيلومتر108يزد/رفسنجان</t>
  </si>
  <si>
    <t>90006316</t>
  </si>
  <si>
    <t>ودايع دريافتي</t>
  </si>
  <si>
    <t xml:space="preserve">         بدهيها و حقوق صاحبان سهام</t>
  </si>
  <si>
    <t>ساير حسابهاي پرداختني</t>
  </si>
  <si>
    <t>حسابهاي دريافتني تجاري</t>
  </si>
  <si>
    <t xml:space="preserve">داراييهاي نامشهود </t>
  </si>
  <si>
    <t>09290961</t>
  </si>
  <si>
    <t xml:space="preserve">جمع بدهيها </t>
  </si>
  <si>
    <t>اندوخته عمومي</t>
  </si>
  <si>
    <t>زيان انباشته</t>
  </si>
  <si>
    <t>جمع داراييها</t>
  </si>
  <si>
    <t>صورت سود وزيان</t>
  </si>
  <si>
    <t>09290921</t>
  </si>
  <si>
    <t>شركت پالايش نفت شيراز</t>
  </si>
  <si>
    <t>09290931</t>
  </si>
  <si>
    <t>ذخيره مزاياي پايان خدمت كاركنان</t>
  </si>
  <si>
    <t xml:space="preserve">جمع داراييهاي جاري </t>
  </si>
  <si>
    <t>حصة جاري ديون بلند مدت</t>
  </si>
  <si>
    <t>سيستم مخابراتي خط لوله بندرعباس /ر</t>
  </si>
  <si>
    <t>تابلوهاي برق و بوسترتلمبه خانه سازي</t>
  </si>
  <si>
    <t>09292511</t>
  </si>
  <si>
    <t>شركت ملي حفاري</t>
  </si>
  <si>
    <t>تنخواه گردان ذيحسابي طرحهاي عمراني</t>
  </si>
  <si>
    <t>90006588</t>
  </si>
  <si>
    <t>تنخواه گردان بازسازي نوسازي</t>
  </si>
  <si>
    <t>90006601</t>
  </si>
  <si>
    <t>90006701</t>
  </si>
  <si>
    <t>خالص كاركردپيمانكاران سرمايه اي</t>
  </si>
  <si>
    <t>90006711</t>
  </si>
  <si>
    <t>سپرده حسن انجام كارسرمايه اي مكانيز</t>
  </si>
  <si>
    <t>90006712</t>
  </si>
  <si>
    <t>09290671</t>
  </si>
  <si>
    <t>سازمان حراست وزارت نفت</t>
  </si>
  <si>
    <t>سال 1387</t>
  </si>
  <si>
    <t>06605622</t>
  </si>
  <si>
    <t>علي الحساب دو ماه حقوق</t>
  </si>
  <si>
    <t xml:space="preserve">اجرائيه  ثبت </t>
  </si>
  <si>
    <t xml:space="preserve">اقساط وام قرض الحسنه </t>
  </si>
  <si>
    <t xml:space="preserve">تلفن  منازل  سازماني </t>
  </si>
  <si>
    <t xml:space="preserve">هزينه غذائي </t>
  </si>
  <si>
    <t xml:space="preserve">حساب جاري خالص حقوق </t>
  </si>
  <si>
    <t>06608996</t>
  </si>
  <si>
    <t>اقلام پذيرفته نشده سيستم حقوق</t>
  </si>
  <si>
    <t>شركت پالايش نفت تبريز</t>
  </si>
  <si>
    <t>سپرده هاي پرداختي</t>
  </si>
  <si>
    <t>09298601</t>
  </si>
  <si>
    <t>وام اثاثيه كارمندان ايراني ـشاهرود</t>
  </si>
  <si>
    <t>06603606</t>
  </si>
  <si>
    <t>افتتاح حساب وام محلي</t>
  </si>
  <si>
    <t>06603607</t>
  </si>
  <si>
    <t>09290321</t>
  </si>
  <si>
    <t>شركت لوله سازي اهواز</t>
  </si>
  <si>
    <t>09290331</t>
  </si>
  <si>
    <t>09290362</t>
  </si>
  <si>
    <t>09290401</t>
  </si>
  <si>
    <t>09290431</t>
  </si>
  <si>
    <t>09290471</t>
  </si>
  <si>
    <t>09290501</t>
  </si>
  <si>
    <t>09290511</t>
  </si>
  <si>
    <t>شركت نفت وگازپارس</t>
  </si>
  <si>
    <t>09290521</t>
  </si>
  <si>
    <t>شركت مديريت توسعه صنايع پتروشيمي</t>
  </si>
  <si>
    <t>09290531</t>
  </si>
  <si>
    <t>شركت ملي مناطق نفتخيزجنوب</t>
  </si>
  <si>
    <t>09290561</t>
  </si>
  <si>
    <t>شركت خدمات اكتشاف نفت</t>
  </si>
  <si>
    <t>09290571</t>
  </si>
  <si>
    <t>09290591</t>
  </si>
  <si>
    <t>شركت نفت فلات قاره</t>
  </si>
  <si>
    <t>09290651</t>
  </si>
  <si>
    <t>منطقه ويژه اقتصادي پتروشيمي بندر امام</t>
  </si>
  <si>
    <t>90008578</t>
  </si>
  <si>
    <t>حساب معلق اعلاميه ها</t>
  </si>
  <si>
    <t>90008901</t>
  </si>
  <si>
    <t>19درصد سهم كارفرما ويژه وكارگاهي</t>
  </si>
  <si>
    <t>ذخيره مزاياي پايان خدمت كارمندان</t>
  </si>
  <si>
    <t>سال 1386</t>
  </si>
  <si>
    <t>سال 1385</t>
  </si>
  <si>
    <t>90009645</t>
  </si>
  <si>
    <t>09507736</t>
  </si>
  <si>
    <t>09507936</t>
  </si>
  <si>
    <t>09511800</t>
  </si>
  <si>
    <t>شركت تعاوني ـ كالاي خانه</t>
  </si>
  <si>
    <t>90006021</t>
  </si>
  <si>
    <t>ماليات اجرت المثل</t>
  </si>
  <si>
    <t>90006022</t>
  </si>
  <si>
    <t>حساب ماليات بردرامدشركت</t>
  </si>
  <si>
    <t>90006024</t>
  </si>
  <si>
    <t>مالياتهاي متفرقه جاري</t>
  </si>
  <si>
    <t>90006100</t>
  </si>
  <si>
    <t>90006301</t>
  </si>
  <si>
    <t>وام خريد اثاثيه</t>
  </si>
  <si>
    <t>06503852</t>
  </si>
  <si>
    <t>90008332</t>
  </si>
  <si>
    <t>جبران هزينه خدمات</t>
  </si>
  <si>
    <t>90003606</t>
  </si>
  <si>
    <t>اعتبار پرداختي به صندوقهاي بازنشستگي</t>
  </si>
  <si>
    <t>شركت خطوط لوله و مخابرات نفت ايران (سهامي خاص)</t>
  </si>
  <si>
    <t>90008984</t>
  </si>
  <si>
    <t>حساب  سودوزيان  انباشته</t>
  </si>
  <si>
    <t>90009000</t>
  </si>
  <si>
    <t>مازادناشي ازتجديدارزيابي</t>
  </si>
  <si>
    <t>90009141</t>
  </si>
  <si>
    <t>موجودي ضمانتنامه هاي دريافتي ـريال</t>
  </si>
  <si>
    <t>90009143</t>
  </si>
  <si>
    <t>كنترل ضمانتنامه هاي دريافتي ـريال</t>
  </si>
  <si>
    <t>90009909</t>
  </si>
  <si>
    <t>حساب اسناددريافتي</t>
  </si>
  <si>
    <t>90009910</t>
  </si>
  <si>
    <t>موجودي بانكي ذيحسابي</t>
  </si>
  <si>
    <t xml:space="preserve">تعديلات </t>
  </si>
  <si>
    <t>ســايــر</t>
  </si>
  <si>
    <t>عملكرد</t>
  </si>
  <si>
    <t>عنوان پروژه هاي سرمايه اي</t>
  </si>
  <si>
    <t>شماره پروژه</t>
  </si>
  <si>
    <t xml:space="preserve">   </t>
  </si>
  <si>
    <t>صورت جريان وجوه نقد</t>
  </si>
  <si>
    <t>قطعي</t>
  </si>
  <si>
    <t xml:space="preserve">ذخيره مستمري بازنشستگان </t>
  </si>
  <si>
    <t xml:space="preserve">ماليات بردرآمدپرداختي </t>
  </si>
  <si>
    <t xml:space="preserve"> مانده در ابتداي سال </t>
  </si>
  <si>
    <t xml:space="preserve"> ذخيره تامين شده </t>
  </si>
  <si>
    <t xml:space="preserve"> مانده در پايان سال </t>
  </si>
  <si>
    <t xml:space="preserve">شركت ملي پخش فرآورده هاي نفتي ايران </t>
  </si>
  <si>
    <t>سال مالي</t>
  </si>
  <si>
    <t>اندوخته قانوني</t>
  </si>
  <si>
    <t>ذخاير</t>
  </si>
  <si>
    <t>شركت پتروشيمي اراك</t>
  </si>
  <si>
    <t>09290491</t>
  </si>
  <si>
    <t>شركت پتروشيمي خوزستان</t>
  </si>
  <si>
    <t>شركت منطقه ويژه اقتصادي پتروشيمي بندر امام</t>
  </si>
  <si>
    <t>شركت پتروشيمي فجر</t>
  </si>
  <si>
    <t>09290761</t>
  </si>
  <si>
    <t>مانده در ابتداي سال</t>
  </si>
  <si>
    <t>نقل وانتقالات وساير تغييرات</t>
  </si>
  <si>
    <t xml:space="preserve">  زمين</t>
  </si>
  <si>
    <t xml:space="preserve">  ساختمان و تاسيسات</t>
  </si>
  <si>
    <t xml:space="preserve">  ماشين آلات و تجهيزات</t>
  </si>
  <si>
    <t xml:space="preserve">  اثاثيه و منصوبات</t>
  </si>
  <si>
    <t xml:space="preserve">  وسايل نقليه</t>
  </si>
  <si>
    <t>مشتريان كانالهاي مخابراتي - وزارت نيرو</t>
  </si>
  <si>
    <t>مشتريان كانالهاي مخابراتي - شركتهاي تابعه وزارت نفت</t>
  </si>
  <si>
    <t>09294031</t>
  </si>
  <si>
    <t>شركت كيميا بندر امام</t>
  </si>
  <si>
    <t>شركت پالايش گاز فجر</t>
  </si>
  <si>
    <t>09298301</t>
  </si>
  <si>
    <t xml:space="preserve">شركت مجتمع گاز پارس جنوبي </t>
  </si>
  <si>
    <t>09298701</t>
  </si>
  <si>
    <t>صندوق قرضه الحسنه</t>
  </si>
  <si>
    <t>كمك به مردم غزه</t>
  </si>
  <si>
    <t>09309839</t>
  </si>
  <si>
    <t>دارايي هاي نامشهود</t>
  </si>
  <si>
    <t>90002121</t>
  </si>
  <si>
    <t>90006027</t>
  </si>
  <si>
    <t>عوارض شهرداري ساختمانها</t>
  </si>
  <si>
    <t>استهلاك</t>
  </si>
  <si>
    <t>شماره طرح / پروژه</t>
  </si>
  <si>
    <t>مخابرات</t>
  </si>
  <si>
    <t xml:space="preserve">ساير </t>
  </si>
  <si>
    <t>ساير</t>
  </si>
  <si>
    <t>ميليون ريال</t>
  </si>
  <si>
    <t>نوع وابستگي</t>
  </si>
  <si>
    <t xml:space="preserve"> </t>
  </si>
  <si>
    <t>بازيافت خدمات به شركت ملي نفت ايران</t>
  </si>
  <si>
    <t>جمع</t>
  </si>
  <si>
    <t>حساب پيش دريافت بابت جبران هزينه</t>
  </si>
  <si>
    <t>90006536</t>
  </si>
  <si>
    <t xml:space="preserve">ماليات ارزش افزوده خريد </t>
  </si>
  <si>
    <t>90006537</t>
  </si>
  <si>
    <t>عوارض ارزش افزوده خريد</t>
  </si>
  <si>
    <t>90006538</t>
  </si>
  <si>
    <t>90006539</t>
  </si>
  <si>
    <t>90006542</t>
  </si>
  <si>
    <t>ماليات ارزش افزوده فروش</t>
  </si>
  <si>
    <t>عوارض ارزش افزوده فروش</t>
  </si>
  <si>
    <t>90006543</t>
  </si>
  <si>
    <t>ماليات ارزش افزوده خريد - سرمايه اي</t>
  </si>
  <si>
    <t>عوارض ارزش افزوده خريد - سرمايه اي</t>
  </si>
  <si>
    <t>خالص كاركرد پيمانكاران - سرمايه اي</t>
  </si>
  <si>
    <t>سپرده حسن  انجام تعهد ـ سرمايه اي</t>
  </si>
  <si>
    <t>سپرده ـ مزايده ومناقصه سرمايه اي</t>
  </si>
  <si>
    <t>خالص كاركرد پيمانكاران - جاري</t>
  </si>
  <si>
    <t>90006801</t>
  </si>
  <si>
    <t>06506190</t>
  </si>
  <si>
    <t>دستمزدخالص كارگران</t>
  </si>
  <si>
    <t>تسويه حساب نهائي كارگران</t>
  </si>
  <si>
    <t xml:space="preserve">وام درماني كارمندان </t>
  </si>
  <si>
    <t>وام  قرض  الحسنه كارمندان</t>
  </si>
  <si>
    <t>وام مخصوص كارمندان</t>
  </si>
  <si>
    <t>وام تملك مسكن كارمندان</t>
  </si>
  <si>
    <t xml:space="preserve">وام محلي كارمندان </t>
  </si>
  <si>
    <t>وام شركتي كارمندان</t>
  </si>
  <si>
    <t>عنوان پروژه سرمايه اي</t>
  </si>
  <si>
    <t>توسعه مراكزانتقال نفت پايانه ها ومخازن</t>
  </si>
  <si>
    <t xml:space="preserve">ماليات بر درآمد : </t>
  </si>
  <si>
    <t>سود(زيان) ابرازي</t>
  </si>
  <si>
    <t>ابرازي</t>
  </si>
  <si>
    <t>تشخيصي</t>
  </si>
  <si>
    <t>-</t>
  </si>
  <si>
    <t>ماليات</t>
  </si>
  <si>
    <t>09290141</t>
  </si>
  <si>
    <t>نفت وگاز اروندان</t>
  </si>
  <si>
    <t>شركت پالايش نفت آبادان</t>
  </si>
  <si>
    <t>شركت ملي مهندسي و ساختمان نفت  ايران</t>
  </si>
  <si>
    <t xml:space="preserve">فوق العاده كارانه </t>
  </si>
  <si>
    <t>كاركنان فصلي و موقت</t>
  </si>
  <si>
    <t>مواد غذايي / خواربار و تداركاتي</t>
  </si>
  <si>
    <t>لوازم يدكي وسايل نقليه</t>
  </si>
  <si>
    <t>وسايل و ادوات برقي</t>
  </si>
  <si>
    <t>انواع لوله و لوازم الحاقي آن</t>
  </si>
  <si>
    <t xml:space="preserve">بنزين و گازوييل و مشتقات نفتي </t>
  </si>
  <si>
    <t xml:space="preserve">بهاي برق مصرفي و حق اشتراك آن </t>
  </si>
  <si>
    <t xml:space="preserve">بهاي گاز مصرفي و حق اشتراك آن </t>
  </si>
  <si>
    <t xml:space="preserve">          </t>
  </si>
  <si>
    <t xml:space="preserve">                 </t>
  </si>
  <si>
    <t>سمت</t>
  </si>
  <si>
    <t>امضا</t>
  </si>
  <si>
    <t>شماره صفحه</t>
  </si>
  <si>
    <t>09290421</t>
  </si>
  <si>
    <t>90008000</t>
  </si>
  <si>
    <t>90008236</t>
  </si>
  <si>
    <t>كنترل هزينه هاي جاري</t>
  </si>
  <si>
    <t>فروش اجناس اسقاطي</t>
  </si>
  <si>
    <t>90008340</t>
  </si>
  <si>
    <t>90008355</t>
  </si>
  <si>
    <t>پيش پرداخت خريد كالاي نفت تهران</t>
  </si>
  <si>
    <t>پيش پرداخت خريدهاي جاري محلي</t>
  </si>
  <si>
    <t>90009687</t>
  </si>
  <si>
    <t>كنترل اصلاحيه رسيد كالاي جاري</t>
  </si>
  <si>
    <t>06606612</t>
  </si>
  <si>
    <t>حسابجاري شركت گازاستان همدان</t>
  </si>
  <si>
    <t>09298071</t>
  </si>
  <si>
    <t>واسطه بازيافت كانالهاي مخابراتي</t>
  </si>
  <si>
    <t>90008963</t>
  </si>
  <si>
    <t>5درصدبيمه سيستم پيمانكاران جاري</t>
  </si>
  <si>
    <t>09807098</t>
  </si>
  <si>
    <t>09807097</t>
  </si>
  <si>
    <t>ارز تخصيصي پالايش وپخش</t>
  </si>
  <si>
    <t>09308916</t>
  </si>
  <si>
    <t>اعتبار مصوب</t>
  </si>
  <si>
    <t>شركت گازاستان كرمانشاه</t>
  </si>
  <si>
    <t>شركت پتروشيمي تبريز</t>
  </si>
  <si>
    <t>شركت پشتيباني و تهيه كالاي نفت تهران</t>
  </si>
  <si>
    <t xml:space="preserve">موجودي كالا ـ انبار ري </t>
  </si>
  <si>
    <t>موجودي كالا ـ انبار مناطق يازدهگانه</t>
  </si>
  <si>
    <t>موجودي كالا ـ انبار مخابرات</t>
  </si>
  <si>
    <t>كالاي درراه - قديم</t>
  </si>
  <si>
    <t>هزينه ها ي جانبي</t>
  </si>
  <si>
    <t>شركت نفت بين الملل</t>
  </si>
  <si>
    <t>90006500</t>
  </si>
  <si>
    <t>@</t>
  </si>
  <si>
    <t xml:space="preserve">طرح توسعه خطوط لوله انتقال فرآورده هاي نفتي : </t>
  </si>
  <si>
    <t>طرح افزايش ظرفيت انتقال فرآورده مسير بندرعباس اصفهان:</t>
  </si>
  <si>
    <t>خط لوله آبادان / اهواز / ري</t>
  </si>
  <si>
    <t>پيش پرداخت - پيمانكاران سرمايه اي</t>
  </si>
  <si>
    <t>گشايش اعتبارات اسنادي - سرمايه اي</t>
  </si>
  <si>
    <t>90002946</t>
  </si>
  <si>
    <t>90002951</t>
  </si>
  <si>
    <t>هزينه هاي سرمايه اي نوع 046</t>
  </si>
  <si>
    <t>هزينه هاي سرمايه اي نوع 051</t>
  </si>
  <si>
    <t>كارمزدوام قرض الحسنه بسيجان وايثارگران</t>
  </si>
  <si>
    <t>90007088</t>
  </si>
  <si>
    <t xml:space="preserve">شركت ملي حفاري </t>
  </si>
  <si>
    <t>شركت ملي پخش فراورده هاي نفتي ايران</t>
  </si>
  <si>
    <t>جبران خسارت اموال</t>
  </si>
  <si>
    <t>1- وجوه دريافتي بابت اجراي طرح هاي سرمايه اي</t>
  </si>
  <si>
    <t xml:space="preserve">نرخ </t>
  </si>
  <si>
    <t xml:space="preserve">شرح </t>
  </si>
  <si>
    <t>ماليات بر درآمد</t>
  </si>
  <si>
    <t xml:space="preserve">نسبتهاي مالي </t>
  </si>
  <si>
    <t>نسبتهاي نقدينگي</t>
  </si>
  <si>
    <t xml:space="preserve">نسبت آني </t>
  </si>
  <si>
    <t>=</t>
  </si>
  <si>
    <t>1-1-</t>
  </si>
  <si>
    <t xml:space="preserve">بدهييهاي جاري </t>
  </si>
  <si>
    <t>1-2-</t>
  </si>
  <si>
    <t xml:space="preserve">نسبت جاري </t>
  </si>
  <si>
    <t xml:space="preserve">درائيهاي جاري </t>
  </si>
  <si>
    <t xml:space="preserve">نسبتهاي سرمايه گذاري </t>
  </si>
  <si>
    <t xml:space="preserve">نسبت بدهي </t>
  </si>
  <si>
    <t>2-1-</t>
  </si>
  <si>
    <t xml:space="preserve">جمع دارائيها </t>
  </si>
  <si>
    <t>2-2-</t>
  </si>
  <si>
    <t>نسبت مالكانه</t>
  </si>
  <si>
    <t xml:space="preserve">نسبتهاي بازدهي </t>
  </si>
  <si>
    <t xml:space="preserve">بازده فروش </t>
  </si>
  <si>
    <t xml:space="preserve">سود خالص پس از كسر ماليات </t>
  </si>
  <si>
    <t>3-1-</t>
  </si>
  <si>
    <t>فروش سالانه</t>
  </si>
  <si>
    <t>3-2-</t>
  </si>
  <si>
    <t xml:space="preserve">بازده دارائيها </t>
  </si>
  <si>
    <t xml:space="preserve">مجموع دارائيها </t>
  </si>
  <si>
    <t>3-3-</t>
  </si>
  <si>
    <t xml:space="preserve">بازده ارزش ويژه </t>
  </si>
  <si>
    <t xml:space="preserve">نسبتهاي اهرمي </t>
  </si>
  <si>
    <t xml:space="preserve">گردش مجموع داراييها </t>
  </si>
  <si>
    <t>4-2-</t>
  </si>
  <si>
    <t xml:space="preserve">بازده فروش ساليانه </t>
  </si>
  <si>
    <t>4-3-</t>
  </si>
  <si>
    <t xml:space="preserve">بدهيهاي جاري </t>
  </si>
  <si>
    <t>بازده مجموع دارائيها (ناشي از حاصلضرب دو نسبت مالي فوق)</t>
  </si>
  <si>
    <t>داراييهاي جاري آني (نقدو بانك + مطالبات)</t>
  </si>
  <si>
    <t>+</t>
  </si>
  <si>
    <t>ماليات هاي تكليفي</t>
  </si>
  <si>
    <t>حسابها و اسناد پرداختني تجاري</t>
  </si>
  <si>
    <t>حسابها و اسناد پرداختني بلندمدت</t>
  </si>
  <si>
    <t>ذخيره مستمري بازنشستگان - جاري</t>
  </si>
  <si>
    <t>ذخيره مستمري بازنشستگان - بلند مدت</t>
  </si>
  <si>
    <t>ذخيره 19درصد كارگاهي وويژه كارمندان قبل از85 - بلند مدت</t>
  </si>
  <si>
    <t>ذخيره 19درصد كارگاهي وويژه كارمندان قبل از85 - جاري</t>
  </si>
  <si>
    <t>06503815</t>
  </si>
  <si>
    <t>اقساط وام محلی کارگران اراک</t>
  </si>
  <si>
    <t xml:space="preserve">وام مخصوص </t>
  </si>
  <si>
    <t>کارت اعتباری</t>
  </si>
  <si>
    <t>06503949</t>
  </si>
  <si>
    <t>خدمات بهداشتی و درمانی</t>
  </si>
  <si>
    <t>06506377</t>
  </si>
  <si>
    <t>وام اتومبیل</t>
  </si>
  <si>
    <t>06603969</t>
  </si>
  <si>
    <t>اقساط سهام ترجیحی</t>
  </si>
  <si>
    <t>06605601</t>
  </si>
  <si>
    <t>بدهی کارمندان به شرکتهای سابق</t>
  </si>
  <si>
    <t>06608914</t>
  </si>
  <si>
    <t>شركت پتروشيمي بوعلی سینا</t>
  </si>
  <si>
    <t>09290711</t>
  </si>
  <si>
    <t>شركت بهره برداري نفت وگازمسجد سلیمان</t>
  </si>
  <si>
    <t>شركت پتروشيمي جم</t>
  </si>
  <si>
    <t>09298321</t>
  </si>
  <si>
    <t>09298361</t>
  </si>
  <si>
    <t>حسابجاري شركت گازاستان گیلان</t>
  </si>
  <si>
    <t>09301231</t>
  </si>
  <si>
    <t>09301202</t>
  </si>
  <si>
    <t>09301827</t>
  </si>
  <si>
    <t>اقساط کالای بسیج</t>
  </si>
  <si>
    <t>90005380</t>
  </si>
  <si>
    <t>مالیات اجرت المثل</t>
  </si>
  <si>
    <t>90007005</t>
  </si>
  <si>
    <t>سکه صندوق</t>
  </si>
  <si>
    <t>90008982</t>
  </si>
  <si>
    <t>06606630</t>
  </si>
  <si>
    <t>خسارت وارده به خط</t>
  </si>
  <si>
    <t>مانده اول دوره وجه نقد</t>
  </si>
  <si>
    <t>مانده پایان دوره وجه نقد</t>
  </si>
  <si>
    <t>شـــــــــــــــــرح</t>
  </si>
  <si>
    <t>سال مالي 1386</t>
  </si>
  <si>
    <t>سال مالي 1387</t>
  </si>
  <si>
    <t>سال مالي 1388</t>
  </si>
  <si>
    <t>بدهي هاي جاري :</t>
  </si>
  <si>
    <t xml:space="preserve">در آمد حاصل از ارائه خدمات </t>
  </si>
  <si>
    <t>بهای تمام شده خدمات ارائه شده</t>
  </si>
  <si>
    <t xml:space="preserve">سود ناخالص </t>
  </si>
  <si>
    <t xml:space="preserve">هزينه های اداری و عمومی </t>
  </si>
  <si>
    <t xml:space="preserve">سود عملياتي </t>
  </si>
  <si>
    <t>درامد غير عملياتي</t>
  </si>
  <si>
    <t>سود قبل از ماليات</t>
  </si>
  <si>
    <t>ماليات بر درامد</t>
  </si>
  <si>
    <t>سود(زيان) خالص</t>
  </si>
  <si>
    <t>سال مالي 1385</t>
  </si>
  <si>
    <t>06503854</t>
  </si>
  <si>
    <t>06508810</t>
  </si>
  <si>
    <t>غرامت دستمزدكارگران</t>
  </si>
  <si>
    <t>بيمه 8 درصد كارگران</t>
  </si>
  <si>
    <t>وام متفرقه</t>
  </si>
  <si>
    <t>06603949</t>
  </si>
  <si>
    <t>خدمات بهداشتی و درمانی فرزندان</t>
  </si>
  <si>
    <t>هزینه درمان</t>
  </si>
  <si>
    <t>06608955</t>
  </si>
  <si>
    <t>09290581</t>
  </si>
  <si>
    <t>شركت پتروشيمي خراسان</t>
  </si>
  <si>
    <t>09290721</t>
  </si>
  <si>
    <t>شركت پتروشيمي اميركبير</t>
  </si>
  <si>
    <t>شركت پتروشيمي تندگويان</t>
  </si>
  <si>
    <t>شركت گاز استان ایلام</t>
  </si>
  <si>
    <t>09298351</t>
  </si>
  <si>
    <t>شركت غير صنعتي گاز ايران</t>
  </si>
  <si>
    <t>09301001</t>
  </si>
  <si>
    <t>شركت پالايش گاز ایلام</t>
  </si>
  <si>
    <t>انجمن اسلامي</t>
  </si>
  <si>
    <t>09301203</t>
  </si>
  <si>
    <t>90004800</t>
  </si>
  <si>
    <t>دعاوي عليه اشخاص ثالث</t>
  </si>
  <si>
    <t>ماليات  سيستم  پيمانكاران  5/5%</t>
  </si>
  <si>
    <t>90006443</t>
  </si>
  <si>
    <t>سهام سرمايه گذاري</t>
  </si>
  <si>
    <t>باشگاه 1 نفت</t>
  </si>
  <si>
    <t>باشگاه 2 نفت</t>
  </si>
  <si>
    <t>تفاوت قيمت كالاي جاري</t>
  </si>
  <si>
    <t>09508736</t>
  </si>
  <si>
    <t>09508836</t>
  </si>
  <si>
    <t>كنترل هزينه ها و درآمد هاي سالهاي قبل</t>
  </si>
  <si>
    <t>درآمد هاي غير عملياتي</t>
  </si>
  <si>
    <t>90008331</t>
  </si>
  <si>
    <t>90008352</t>
  </si>
  <si>
    <t>درآمد انتقال نفت خام</t>
  </si>
  <si>
    <t>90008353</t>
  </si>
  <si>
    <t>درآمد انتقال فرآورده ها</t>
  </si>
  <si>
    <t>درآمد ها اتفاقي</t>
  </si>
  <si>
    <t>اصلاحيه رسيد كالا - سرمايه اي</t>
  </si>
  <si>
    <t>90009678</t>
  </si>
  <si>
    <t>كنترل اموال منقول كلاس3 ـمانده ماشين آلات و تجهيزات</t>
  </si>
  <si>
    <t>استهلاك اموال غيرمنقول مانده - ساختمان</t>
  </si>
  <si>
    <t>كنترل اموال منقول كلاس6 ـمانده اثاثيه و منصوبات</t>
  </si>
  <si>
    <t>استهلاك اموال منقول كلاس6 مانده اثاثيه و منصوبات</t>
  </si>
  <si>
    <t>كنترل اموال منقول كلاس4 ـمانده وسائط نقليه</t>
  </si>
  <si>
    <t>استهلاك اموال منقول كلاس4 مانده وسائط نقليه</t>
  </si>
  <si>
    <t>پیش پرداخت متفرقه</t>
  </si>
  <si>
    <t>كنترل اموال غيرمنقول ـمانده  -  ساختمان</t>
  </si>
  <si>
    <t>استهلاك اموال منقول كلاس3 مانده ماشين آلات و تجهيزات</t>
  </si>
  <si>
    <t>حصه بلند مدت بدهي به پالايش و پخش</t>
  </si>
  <si>
    <t>سال مالي 1389</t>
  </si>
  <si>
    <t>06505124</t>
  </si>
  <si>
    <t xml:space="preserve">علي الحساب نيامدن برگ حضور و غياب </t>
  </si>
  <si>
    <t xml:space="preserve">اقساط وام سرمايه گذاري صنعت نفت  </t>
  </si>
  <si>
    <t>06508110</t>
  </si>
  <si>
    <t>كنترل دستمزد ناخالص - بدهكار</t>
  </si>
  <si>
    <t>كنترل دستمزد ناخالص - بستانكار</t>
  </si>
  <si>
    <t>هزينه آب و برق منازل سازماني</t>
  </si>
  <si>
    <t>06508311</t>
  </si>
  <si>
    <t>06508316</t>
  </si>
  <si>
    <t>هزينه آب  منازل سازماني</t>
  </si>
  <si>
    <t>هزينه  برق منازل سازماني</t>
  </si>
  <si>
    <t>هزينه گاز  منازل سازماني</t>
  </si>
  <si>
    <t>هزينه نگهداري  منازل سازماني</t>
  </si>
  <si>
    <t xml:space="preserve">كمك به بيماران ديابتي </t>
  </si>
  <si>
    <t>06605612</t>
  </si>
  <si>
    <t xml:space="preserve">ذخيره مرخصي كاركنان </t>
  </si>
  <si>
    <t>06606623</t>
  </si>
  <si>
    <t xml:space="preserve">وام بانكي </t>
  </si>
  <si>
    <t>هزينه تلفن  منازل سازماني</t>
  </si>
  <si>
    <t>06608601</t>
  </si>
  <si>
    <t>كنترل حقوق  رسمي ايراني بدهكار</t>
  </si>
  <si>
    <t>06608602</t>
  </si>
  <si>
    <t>كنترل حقوق پيماني  ايراني بدهكار</t>
  </si>
  <si>
    <t>06608603</t>
  </si>
  <si>
    <t>كنترل حقوق موقت روزمزد ايراني بدهكار</t>
  </si>
  <si>
    <t>06608609</t>
  </si>
  <si>
    <t>كنترل تسهيم ناخالص حقوق  ايراني بدهكار</t>
  </si>
  <si>
    <t>06608690</t>
  </si>
  <si>
    <t xml:space="preserve">حقو ق تسهيم نشده به هزينه </t>
  </si>
  <si>
    <t xml:space="preserve">كمك هزينه مهد كودك </t>
  </si>
  <si>
    <t>06608950</t>
  </si>
  <si>
    <t>هزينه نگهداشت  منازل سازماني</t>
  </si>
  <si>
    <t>اقلام پذيرفته نشده</t>
  </si>
  <si>
    <t xml:space="preserve">شركت نفت و گاز شرق </t>
  </si>
  <si>
    <t xml:space="preserve">شركت پايانه هاي صادراتي </t>
  </si>
  <si>
    <t>09290411</t>
  </si>
  <si>
    <t xml:space="preserve">شركت ملي صنايع پتروشيمي </t>
  </si>
  <si>
    <t>شركت پتروشيمي شيراز</t>
  </si>
  <si>
    <t>شركت شيميايي پازارگاد</t>
  </si>
  <si>
    <t>09290481</t>
  </si>
  <si>
    <t>شركت پتروشيمي فارابي</t>
  </si>
  <si>
    <t>شركت   نفت  و گاز پارس</t>
  </si>
  <si>
    <t>شركت بهره برداري نفت و گاز كارون</t>
  </si>
  <si>
    <t>09293031</t>
  </si>
  <si>
    <t xml:space="preserve">شركت خدمات مهندسي و تجهيزات صنعتي </t>
  </si>
  <si>
    <t>شركت  بسپاران بندر امام</t>
  </si>
  <si>
    <t>09294071</t>
  </si>
  <si>
    <t>شركت پژوهش و فناوري پتروشيمي پويش</t>
  </si>
  <si>
    <t>حسابجاري شركت گازاستان تهران</t>
  </si>
  <si>
    <t>09298031</t>
  </si>
  <si>
    <t>09298051</t>
  </si>
  <si>
    <t xml:space="preserve">حسابجاري شركت گازاستان فارس </t>
  </si>
  <si>
    <t>09298061</t>
  </si>
  <si>
    <t xml:space="preserve">حسابجاري شركت گازاستان كرمان </t>
  </si>
  <si>
    <t>09298091</t>
  </si>
  <si>
    <t xml:space="preserve">حسابجاري شركت گازاستان مازندران </t>
  </si>
  <si>
    <t>09298121</t>
  </si>
  <si>
    <t xml:space="preserve">حسابجاري شركت گازاستان  مركزي </t>
  </si>
  <si>
    <t>09298131</t>
  </si>
  <si>
    <t>حسابجاري شركت گازاستان  جهارمحال</t>
  </si>
  <si>
    <t>09298161</t>
  </si>
  <si>
    <t>حسابجاري شركت گازاستان  كهكيلويه</t>
  </si>
  <si>
    <t>09298191</t>
  </si>
  <si>
    <t xml:space="preserve">حسابجاري شركت گازاستان زنجان </t>
  </si>
  <si>
    <t>شركت انتقال  گاز</t>
  </si>
  <si>
    <t>09305501</t>
  </si>
  <si>
    <t xml:space="preserve">كمك به مردم سومالي </t>
  </si>
  <si>
    <t>09305502</t>
  </si>
  <si>
    <t>كمك به اسكان نيازمندان</t>
  </si>
  <si>
    <t>09306405</t>
  </si>
  <si>
    <t>كمك به كميته امداد</t>
  </si>
  <si>
    <t>09306407</t>
  </si>
  <si>
    <t>سازمان بهزيستي</t>
  </si>
  <si>
    <t xml:space="preserve">كمك به كليوي </t>
  </si>
  <si>
    <t xml:space="preserve">ودايع </t>
  </si>
  <si>
    <t>90006303</t>
  </si>
  <si>
    <t>جكهاي صادره وصول نشده</t>
  </si>
  <si>
    <t xml:space="preserve">هزينه غذا يي </t>
  </si>
  <si>
    <t>شركت فراورش بندر امام</t>
  </si>
  <si>
    <t>90008992</t>
  </si>
  <si>
    <t>09294161</t>
  </si>
  <si>
    <t xml:space="preserve">كنترل واسطه مقداري سرمايه اي </t>
  </si>
  <si>
    <t>09505336</t>
  </si>
  <si>
    <t xml:space="preserve">تعديل موجودي </t>
  </si>
  <si>
    <t>09505736</t>
  </si>
  <si>
    <t>90002210</t>
  </si>
  <si>
    <t xml:space="preserve">استهلاك تاسيسات افزايش </t>
  </si>
  <si>
    <t xml:space="preserve">تفاوت قيمت كالاي سرمايه اي  خارجي </t>
  </si>
  <si>
    <t xml:space="preserve">تفاوت قيمت كالاي سرمايه اي داخلي </t>
  </si>
  <si>
    <t>90002949</t>
  </si>
  <si>
    <t>خريد ماشين الات غير مرتبط به طرح</t>
  </si>
  <si>
    <t>90002006</t>
  </si>
  <si>
    <t xml:space="preserve">كنترل زمين افزايش </t>
  </si>
  <si>
    <t>90002144</t>
  </si>
  <si>
    <t xml:space="preserve">كنترل اموال منقول كلاس 4 - انتقالات </t>
  </si>
  <si>
    <t>90002199</t>
  </si>
  <si>
    <t xml:space="preserve">حساب واسطه اموال منقول </t>
  </si>
  <si>
    <t>90002344</t>
  </si>
  <si>
    <t xml:space="preserve">استهلاك اموال منقول كلاس 4 - انتقال </t>
  </si>
  <si>
    <t>09505936</t>
  </si>
  <si>
    <t xml:space="preserve">تعديل موجودي كاهش ناشي از شمارش </t>
  </si>
  <si>
    <t>90009685</t>
  </si>
  <si>
    <t xml:space="preserve">تعديل موجودي افزايش  </t>
  </si>
  <si>
    <t xml:space="preserve">واسطه فروش برگشت از فروش </t>
  </si>
  <si>
    <t xml:space="preserve"> شركت هاي مشاوره اي </t>
  </si>
  <si>
    <t xml:space="preserve">اقلام پذيرفته نشده جاري </t>
  </si>
  <si>
    <t>09294151</t>
  </si>
  <si>
    <t>شركت پتروشيمي اروند</t>
  </si>
  <si>
    <t>09298291</t>
  </si>
  <si>
    <t xml:space="preserve">شركت پاليش گاز بيد بلند </t>
  </si>
  <si>
    <t>پيش پرداخت خريدهاي جاري مستقيم انبار ري</t>
  </si>
  <si>
    <t xml:space="preserve">پيش پرداخت خريدهاي سرمايه اي- كالاي نفت </t>
  </si>
  <si>
    <t xml:space="preserve">پيش پرداخت خريدهاي سرمايه اي مستقيم </t>
  </si>
  <si>
    <t>پيش پرداخت خريدهاي سرمايه اي - مستقيم ري</t>
  </si>
  <si>
    <t>ايجاد شبكه هاي انتقال ميكروويو فيبرنوري lan,wan</t>
  </si>
  <si>
    <t>بهينه سازي و ايمن سازي راهها و حريم ها و محوطه ها</t>
  </si>
  <si>
    <t>حساب  سودوزيان</t>
  </si>
  <si>
    <t xml:space="preserve"> پروژه احداث خط لوله تبريز / اروميه</t>
  </si>
  <si>
    <t xml:space="preserve"> پروژه احداث خط لوله ماهشهر / اهواز</t>
  </si>
  <si>
    <t xml:space="preserve"> پروژه خط لوله بندرعباس - سيرجان - رفسنجان </t>
  </si>
  <si>
    <t xml:space="preserve">مانده ابتداي سال </t>
  </si>
  <si>
    <t>حراست</t>
  </si>
  <si>
    <t xml:space="preserve">تامين نيروي انساني </t>
  </si>
  <si>
    <t xml:space="preserve">رستوران </t>
  </si>
  <si>
    <t xml:space="preserve">بازيافت هزينه هاي جاري </t>
  </si>
  <si>
    <t>(مبالغ به ميليون ريال)</t>
  </si>
  <si>
    <t xml:space="preserve"> تعديلات سنواتي</t>
  </si>
  <si>
    <t xml:space="preserve">طراحي و ساختمان نفت ايران </t>
  </si>
  <si>
    <t>درصد سرمايه گذاري</t>
  </si>
  <si>
    <t>سرمايه گذاري ها</t>
  </si>
  <si>
    <t>گردش حساب (زيان) انبـاشته</t>
  </si>
  <si>
    <t>پروژه هاي در دست تكميل شركت ملي مهندسي و ساختمان</t>
  </si>
  <si>
    <t>حصه بلند مدت وديعه مسكن كاركنان</t>
  </si>
  <si>
    <t>شركت بهره برداري نفت و گاز مارون</t>
  </si>
  <si>
    <t>09290841</t>
  </si>
  <si>
    <t xml:space="preserve">شركت خدمات ترابري و پشتيباني نفت </t>
  </si>
  <si>
    <t>09294021</t>
  </si>
  <si>
    <t>شركت آب نيروي بندر امام</t>
  </si>
  <si>
    <t>شركت خوارزمي بندر اما م</t>
  </si>
  <si>
    <t>09294011</t>
  </si>
  <si>
    <t xml:space="preserve">شركت پتروشيمي مبين </t>
  </si>
  <si>
    <t>09294201</t>
  </si>
  <si>
    <t>شركت عمليات غير صنعتي پاسارگاد</t>
  </si>
  <si>
    <t>09294211</t>
  </si>
  <si>
    <t xml:space="preserve">شركت پتروشيمي ايلام </t>
  </si>
  <si>
    <t>09298011</t>
  </si>
  <si>
    <t>شركت گاز خوزستان</t>
  </si>
  <si>
    <t>شركت گاز اصفهان</t>
  </si>
  <si>
    <t>09298021</t>
  </si>
  <si>
    <t>09298171</t>
  </si>
  <si>
    <t>شركت گاز سمنان</t>
  </si>
  <si>
    <t>09298201</t>
  </si>
  <si>
    <t>شركت گازاستان كردستان</t>
  </si>
  <si>
    <t>09298371</t>
  </si>
  <si>
    <t>شركت گاز استان خراسان شمالي</t>
  </si>
  <si>
    <t>09298411</t>
  </si>
  <si>
    <t>شركت گازاستان هرمزگان</t>
  </si>
  <si>
    <t>نقل از ساير مراكز</t>
  </si>
  <si>
    <t>دستمزدخالص كارگران مطالبه نشده</t>
  </si>
  <si>
    <t>اقساط وام بانك ملي مناطق</t>
  </si>
  <si>
    <t>06508393</t>
  </si>
  <si>
    <t xml:space="preserve">اقساط وام پس انداز وصولي اصفهان </t>
  </si>
  <si>
    <t>06508915</t>
  </si>
  <si>
    <t xml:space="preserve">صندوق آتيه زنجان </t>
  </si>
  <si>
    <t>06508995</t>
  </si>
  <si>
    <t>كمك هزينه تحصيلي</t>
  </si>
  <si>
    <t>06606608</t>
  </si>
  <si>
    <t>حق بيمه كارمندان</t>
  </si>
  <si>
    <t>عوارض برق كارمندان</t>
  </si>
  <si>
    <t>06606628</t>
  </si>
  <si>
    <t>عوارض گاز كارمندان</t>
  </si>
  <si>
    <t>06606629</t>
  </si>
  <si>
    <t>سوخت منازل سازماني</t>
  </si>
  <si>
    <t>آب منازل سازماني</t>
  </si>
  <si>
    <t>06606633</t>
  </si>
  <si>
    <t>06606634</t>
  </si>
  <si>
    <t>06606635</t>
  </si>
  <si>
    <t>اقساط وام بانك تجارت</t>
  </si>
  <si>
    <t>استفاده از منازل شركتي</t>
  </si>
  <si>
    <t>06608951</t>
  </si>
  <si>
    <t>كرايه منازل استيجاري</t>
  </si>
  <si>
    <t>مسجد</t>
  </si>
  <si>
    <t>09306414</t>
  </si>
  <si>
    <t>90002132</t>
  </si>
  <si>
    <t xml:space="preserve">كنترل اموال منقول كلاس3 ـ افزايش </t>
  </si>
  <si>
    <t>90002133</t>
  </si>
  <si>
    <t>كنترل اموال منقول كلاس3 ـ از رده خارج</t>
  </si>
  <si>
    <t>كنترل اموال منقول كلاس3 ـ انتقالات</t>
  </si>
  <si>
    <t>90002142</t>
  </si>
  <si>
    <t xml:space="preserve">كنترل اموال منقول كلاس4 ـافزايش </t>
  </si>
  <si>
    <t>كنترل اموال منقول كلاس4 ـاز رده خارج</t>
  </si>
  <si>
    <t>90002143</t>
  </si>
  <si>
    <t>90002162</t>
  </si>
  <si>
    <t>90002163</t>
  </si>
  <si>
    <t>90002164</t>
  </si>
  <si>
    <t>كنترل اموال منقول كلاس6 ـافزايشي</t>
  </si>
  <si>
    <t>كنترل اموال منقول كلاس6 ـاز رده خارج</t>
  </si>
  <si>
    <t>كنترل اموال منقول كلاس6 ـانتقالات</t>
  </si>
  <si>
    <t>90002256</t>
  </si>
  <si>
    <t>استهلاك اموال غيرمنقول- افزايشي</t>
  </si>
  <si>
    <t>90002260</t>
  </si>
  <si>
    <t>استهلاك ساختمانها - افزايش</t>
  </si>
  <si>
    <t>90002316</t>
  </si>
  <si>
    <t>استهلاك حصارها - افزايش</t>
  </si>
  <si>
    <t>90002332</t>
  </si>
  <si>
    <t>90002333</t>
  </si>
  <si>
    <t>90002334</t>
  </si>
  <si>
    <t>استهلاك اموال منقول كاهش</t>
  </si>
  <si>
    <t>استهلاك اموال منقول - انتقال</t>
  </si>
  <si>
    <t>استهلاك اموال منقول افزايش</t>
  </si>
  <si>
    <t>90002342</t>
  </si>
  <si>
    <t>90002343</t>
  </si>
  <si>
    <t>استهلاك اموال منقول كلاس4 - افزايش</t>
  </si>
  <si>
    <t>استهلاك اموال منقول كلاس4 - كاهش</t>
  </si>
  <si>
    <t>90002362</t>
  </si>
  <si>
    <t>90002363</t>
  </si>
  <si>
    <t>90002364</t>
  </si>
  <si>
    <t>استهلاك اموال منقول كلاس6 - افزايش</t>
  </si>
  <si>
    <t>استهلاك اموال منقول كلاس6 - كاهش</t>
  </si>
  <si>
    <t>استهلاك اموال منقول كلاس6 - انتقال</t>
  </si>
  <si>
    <t>90002552</t>
  </si>
  <si>
    <t>90002572</t>
  </si>
  <si>
    <t>ذخيره استهلاك خطوط لوله - جريان گاز</t>
  </si>
  <si>
    <t>ذخيره استهلاك خطوط لوله - جريان آب</t>
  </si>
  <si>
    <t>موجودي سايرفراورده ها</t>
  </si>
  <si>
    <t>طلب پخش بابت برداشت فراورده از خط</t>
  </si>
  <si>
    <t>90005601</t>
  </si>
  <si>
    <t>پرداختهاي معلق</t>
  </si>
  <si>
    <t>90005831</t>
  </si>
  <si>
    <t>پيش پرداخت ماليات عملكرد</t>
  </si>
  <si>
    <t>90007082</t>
  </si>
  <si>
    <t>گردش تنخواه گردان</t>
  </si>
  <si>
    <t>90007083</t>
  </si>
  <si>
    <t>90008991</t>
  </si>
  <si>
    <t>حصه جاري وديعه مسكن كاركنان</t>
  </si>
  <si>
    <t>90006585</t>
  </si>
  <si>
    <t>فاينانس طرحهاي سرمايه اي</t>
  </si>
  <si>
    <t>ذخيره تامين شده</t>
  </si>
  <si>
    <t>سال 90</t>
  </si>
  <si>
    <t>نحوه تشخيص</t>
  </si>
  <si>
    <t>تسهيلات مالي دريافتي</t>
  </si>
  <si>
    <t>90006412</t>
  </si>
  <si>
    <t>06503952</t>
  </si>
  <si>
    <t>خدمات بيمه اي كاركنان</t>
  </si>
  <si>
    <t>06506110</t>
  </si>
  <si>
    <t>06506643</t>
  </si>
  <si>
    <t>ماليات نفت كارت</t>
  </si>
  <si>
    <t>06508914</t>
  </si>
  <si>
    <t>مهد كودك فرزندان</t>
  </si>
  <si>
    <t>اقساط خريد كالا</t>
  </si>
  <si>
    <t>06603952</t>
  </si>
  <si>
    <t>06606643</t>
  </si>
  <si>
    <t>09290541</t>
  </si>
  <si>
    <t>نفت خزر</t>
  </si>
  <si>
    <t>09292551</t>
  </si>
  <si>
    <t>شركت منطقه ويژه اقتصادي لاوان</t>
  </si>
  <si>
    <t>مهندسي و نوسعه گاز</t>
  </si>
  <si>
    <t>باشگاه نفت شهر</t>
  </si>
  <si>
    <t>09301207</t>
  </si>
  <si>
    <t>باشگاه بندر عباس</t>
  </si>
  <si>
    <t>09301208</t>
  </si>
  <si>
    <t>باشگاه كوت عبداله</t>
  </si>
  <si>
    <t>09301226</t>
  </si>
  <si>
    <t>باشگاه شهيد زرگر</t>
  </si>
  <si>
    <t xml:space="preserve">باشگاه آبادان </t>
  </si>
  <si>
    <t>09301830</t>
  </si>
  <si>
    <t>بيمه امين پارسيان</t>
  </si>
  <si>
    <t>09303140</t>
  </si>
  <si>
    <t>سرمايه گذاري  تهران</t>
  </si>
  <si>
    <t>09306433</t>
  </si>
  <si>
    <t>خيريه حضرت علي (ع)</t>
  </si>
  <si>
    <t>90006586</t>
  </si>
  <si>
    <t>پدافند غير عامل</t>
  </si>
  <si>
    <t>90002147</t>
  </si>
  <si>
    <t>كنترل ساختمانها و منازل-از رده خارج</t>
  </si>
  <si>
    <t>90002265</t>
  </si>
  <si>
    <t>استهلاك ساختمانها - ازرده خارج</t>
  </si>
  <si>
    <t>06503626</t>
  </si>
  <si>
    <t>مواد ضد زنگ وساير مواد شيميايي</t>
  </si>
  <si>
    <t>90009142</t>
  </si>
  <si>
    <t>موجودي ضمانتنامه هاي دريافتي ـارزي</t>
  </si>
  <si>
    <t>90009144</t>
  </si>
  <si>
    <t>كنترل ضمانتنامه هاي دريافتي ـ ارزي</t>
  </si>
  <si>
    <t xml:space="preserve">تسهيلات دريافتي </t>
  </si>
  <si>
    <t>شركت ملي پالايش و پخش فرآورده هاي نفتي ايران</t>
  </si>
  <si>
    <t>مانده ابتداي سال</t>
  </si>
  <si>
    <t>90001101</t>
  </si>
  <si>
    <t xml:space="preserve">    دارايي ها</t>
  </si>
  <si>
    <t>دارايي هاي جاري :</t>
  </si>
  <si>
    <t xml:space="preserve"> دريافتني هاي تجاري و غير تجاري</t>
  </si>
  <si>
    <t xml:space="preserve">جمع دارايي هاي جاري </t>
  </si>
  <si>
    <t>دارايي هاي غير جاري :</t>
  </si>
  <si>
    <t>دارايي هاي ثابت مشهود</t>
  </si>
  <si>
    <t>جمع دارايي هاي غير جاري</t>
  </si>
  <si>
    <t>جمع دارايي ها</t>
  </si>
  <si>
    <t xml:space="preserve">تسهيلات مالي </t>
  </si>
  <si>
    <t xml:space="preserve"> پرداختني هاي  بلندمدت</t>
  </si>
  <si>
    <t>تسهيلات مالي  بلند مدت</t>
  </si>
  <si>
    <t xml:space="preserve">ساير اندوخته ها </t>
  </si>
  <si>
    <t xml:space="preserve"> درآمد هاي عملياتي</t>
  </si>
  <si>
    <t>بهاي تمام شده درآمدهاي عملياتي</t>
  </si>
  <si>
    <t xml:space="preserve"> سايردر آمد هاي  غير عملياتي </t>
  </si>
  <si>
    <t>06503971</t>
  </si>
  <si>
    <t>كسر اقساط بدهيهاي متفرقه</t>
  </si>
  <si>
    <t>06506810</t>
  </si>
  <si>
    <t>06508366</t>
  </si>
  <si>
    <t>تعديل سهم پس انداز</t>
  </si>
  <si>
    <t>06508924</t>
  </si>
  <si>
    <t>بيمه غذاي رستوران</t>
  </si>
  <si>
    <t>06603625</t>
  </si>
  <si>
    <t xml:space="preserve">وديعه مسكن اماني </t>
  </si>
  <si>
    <t>06603951</t>
  </si>
  <si>
    <t>بيمه گروهي درماني تكميلي</t>
  </si>
  <si>
    <t>06605615</t>
  </si>
  <si>
    <t>تسويه حساب تهايي كارمندان خارجي</t>
  </si>
  <si>
    <t>شركت ره اوران فنون پتروشيمي</t>
  </si>
  <si>
    <t>09298181</t>
  </si>
  <si>
    <t>شركت گاز قزوين</t>
  </si>
  <si>
    <t>09298231</t>
  </si>
  <si>
    <t>شركت گازاستان اردبيل</t>
  </si>
  <si>
    <t>شركت پالايش گاز شهيد هاشمي نژاد</t>
  </si>
  <si>
    <t>09298271</t>
  </si>
  <si>
    <t>شركت پالايش گاز پارسيان</t>
  </si>
  <si>
    <t>09298641</t>
  </si>
  <si>
    <t>بازرگاني گاز ايران</t>
  </si>
  <si>
    <t>09301326</t>
  </si>
  <si>
    <t>90002136</t>
  </si>
  <si>
    <t>ذخيره استهلاك منابع توليد و انتقال</t>
  </si>
  <si>
    <t>90002248</t>
  </si>
  <si>
    <t>90002257</t>
  </si>
  <si>
    <t>استهلاك تاسيسات مخابراتي - از رده خارج</t>
  </si>
  <si>
    <t>90002302</t>
  </si>
  <si>
    <t>استهلاك اموال غيرمنقول افزايش</t>
  </si>
  <si>
    <t>90006003</t>
  </si>
  <si>
    <t>مالياتهاي متفرقه سرمايه اي</t>
  </si>
  <si>
    <t>90008990</t>
  </si>
  <si>
    <t xml:space="preserve">اقلام پذيرفته نشده بدهكاران بستانكارن </t>
  </si>
  <si>
    <t>90008999</t>
  </si>
  <si>
    <t xml:space="preserve">اقلام پذيرفته نشده ساير  </t>
  </si>
  <si>
    <t>90006023</t>
  </si>
  <si>
    <t>سرمايه گذاري هاي بلند مدت</t>
  </si>
  <si>
    <t>بيمه درماني</t>
  </si>
  <si>
    <t>09294111</t>
  </si>
  <si>
    <t>پس اندازصندوق قرض الحسنه منادي حق</t>
  </si>
  <si>
    <t>90009601</t>
  </si>
  <si>
    <t>كنترل هزينه سال قبل كالا</t>
  </si>
  <si>
    <t>سال 92</t>
  </si>
  <si>
    <t>سال مالي 93</t>
  </si>
  <si>
    <t>سال91</t>
  </si>
  <si>
    <t>افزايش</t>
  </si>
  <si>
    <t>وجوه در راه</t>
  </si>
  <si>
    <t>مشمول ماده 129</t>
  </si>
  <si>
    <t>تعداد سهام</t>
  </si>
  <si>
    <t>درآمد مشمول ماليات ابرازي</t>
  </si>
  <si>
    <t>پرداختي</t>
  </si>
  <si>
    <t>بازده سرمايه گذاري ها وسود پرداختي بابت تامين مالي:</t>
  </si>
  <si>
    <t>غير تجاري:</t>
  </si>
  <si>
    <t>دريافتني هاي بلند مدت</t>
  </si>
  <si>
    <t>16</t>
  </si>
  <si>
    <t>17</t>
  </si>
  <si>
    <t xml:space="preserve">بهاي تمام شده درآمد هاي عملياتي </t>
  </si>
  <si>
    <t>از رده خارج شده</t>
  </si>
  <si>
    <t>تعديلات</t>
  </si>
  <si>
    <t xml:space="preserve"> از رده خارج شده</t>
  </si>
  <si>
    <t>مصرف</t>
  </si>
  <si>
    <t>برگشت ذخيره استفاده نشده</t>
  </si>
  <si>
    <t xml:space="preserve">مانده پايان سال </t>
  </si>
  <si>
    <t xml:space="preserve"> پرداخت شده طي سال </t>
  </si>
  <si>
    <t>واحد تجاري اصلي و نهايي</t>
  </si>
  <si>
    <t>نام شخص وابسته</t>
  </si>
  <si>
    <t>خالص</t>
  </si>
  <si>
    <t>طلب</t>
  </si>
  <si>
    <t>بدهي</t>
  </si>
  <si>
    <t>شركت پسماند وبازيافت حافظان محيط سپاهان</t>
  </si>
  <si>
    <t>ساير دارائيها</t>
  </si>
  <si>
    <t>در يافتني هاي بلند مدت</t>
  </si>
  <si>
    <t xml:space="preserve">         بدهي ها و حقوق صاحبان سهام</t>
  </si>
  <si>
    <t>بدهي هاي غير جاري :</t>
  </si>
  <si>
    <t>جمع بدهي ها و حقوق صاحبان سهام</t>
  </si>
  <si>
    <t xml:space="preserve">جمع بدهي ها </t>
  </si>
  <si>
    <t xml:space="preserve">جمع بدهي هاي غير جاري </t>
  </si>
  <si>
    <t>جمع بدهي هاي جاري</t>
  </si>
  <si>
    <t>سود ابرازي  پرداختي سهم دولت</t>
  </si>
  <si>
    <t>دستمزد مستقيم</t>
  </si>
  <si>
    <t>دريافتني هاي تجاري و غير تجاري</t>
  </si>
  <si>
    <t>پرداختني هاي تجاري و غير تجاري</t>
  </si>
  <si>
    <t>مزاياي حقوق كارمندان و كارگران رسمي</t>
  </si>
  <si>
    <t>اضافه كاري كارمندان و كارگران رسمي و پيماني</t>
  </si>
  <si>
    <t>عيدي/پاداش كارمندان و كارگران رسمي و پيماني</t>
  </si>
  <si>
    <t>مزاياي حقوق كارمندان و كارگران پيماني</t>
  </si>
  <si>
    <t xml:space="preserve">  </t>
  </si>
  <si>
    <t xml:space="preserve">  پيمانكاري</t>
  </si>
  <si>
    <t xml:space="preserve"> استهلاك </t>
  </si>
  <si>
    <t xml:space="preserve"> خدمات دريافتي از ساير شركتها</t>
  </si>
  <si>
    <t xml:space="preserve"> ساير هزينه ها</t>
  </si>
  <si>
    <t xml:space="preserve"> كالا و مواد</t>
  </si>
  <si>
    <t xml:space="preserve"> دستمزد  غير مستقيم</t>
  </si>
  <si>
    <t xml:space="preserve"> ساير هزينه هاي كاركنان </t>
  </si>
  <si>
    <t xml:space="preserve">   اقلام  سرمايه اي در انبار</t>
  </si>
  <si>
    <t xml:space="preserve"> پرداختني هاي غير تجاري</t>
  </si>
  <si>
    <t xml:space="preserve">(زيان)انباشته ابتداي سال - تعديل شده </t>
  </si>
  <si>
    <t>جمع كل</t>
  </si>
  <si>
    <t>09290307</t>
  </si>
  <si>
    <t>09290947</t>
  </si>
  <si>
    <t>09290967</t>
  </si>
  <si>
    <t>09290977</t>
  </si>
  <si>
    <t>صندوق حمايتي</t>
  </si>
  <si>
    <t>06601003</t>
  </si>
  <si>
    <t>وام صندوق حمايتي</t>
  </si>
  <si>
    <t>06603943</t>
  </si>
  <si>
    <t xml:space="preserve"> وام صندوق  بسيج  تندگويان </t>
  </si>
  <si>
    <t>صادرات گاز</t>
  </si>
  <si>
    <t>پايانه ها و مخازن پتروشيمي</t>
  </si>
  <si>
    <t>09298141</t>
  </si>
  <si>
    <t>گاز استان يزد</t>
  </si>
  <si>
    <t>09301831</t>
  </si>
  <si>
    <t>بازنشستگي بيمه و... كاركنان وظيفه</t>
  </si>
  <si>
    <t>محك</t>
  </si>
  <si>
    <t>09308915</t>
  </si>
  <si>
    <t>كمك به بازسازي حرمين شريفين</t>
  </si>
  <si>
    <t>90001004</t>
  </si>
  <si>
    <t>اعتبارات سرمايه اي</t>
  </si>
  <si>
    <t>90006400</t>
  </si>
  <si>
    <t>حساب 100 امام</t>
  </si>
  <si>
    <t>الف- طرح40621078(طرح توسعه خطوط لوله مخابرات وتاسيسات جنبي صنعتي وغيرصنعتي)</t>
  </si>
  <si>
    <t>توسعه خطوط لوله انشعابات و تاسيسات مربوطه</t>
  </si>
  <si>
    <t>توسعه مراكز انتقال نفت پايانه ها و مخازن</t>
  </si>
  <si>
    <t>طرحي و احداث راهها حريم ها و محوطه ها</t>
  </si>
  <si>
    <t>طراحي و احداث ساختارهاي صنعتي وغيرصنعتي و تاسيسات برق/مكانيك</t>
  </si>
  <si>
    <t>ايجاد مراكز سوئيچينگ و شبكه هاي تلفن</t>
  </si>
  <si>
    <t>جمع طرح 40621078</t>
  </si>
  <si>
    <t>ب- طرح40621155(طرح نگهداشت وپشتيباني خطوط لوله ومخابرات وتاسيسات جنبي صنعتي وغيرصنعتي)</t>
  </si>
  <si>
    <t>حفظ و نگهداشت و ايمن سازي خطوط لوله انشعابات و تاسيسات مربوطه</t>
  </si>
  <si>
    <t>حفظ و نگهداشت و ايمن سازي مراكز انتقال نفت پايانه ها و مخازن</t>
  </si>
  <si>
    <t>بهينه سازي و ايمن سازي ساختارهاي صنعتي وغيرصنعتي و تاسيسات برق/مكانيك</t>
  </si>
  <si>
    <t>خودكفايي/مطالعه تحقيق و ساخت دستگاهها و قطعات</t>
  </si>
  <si>
    <t>مكانيزه نمودن سيستم هاي انتقال و تعميرات/جمع آوري اطلاعات و كنترل و حفاظت</t>
  </si>
  <si>
    <t>تهيه و پشتيباني ماشين آلات مورد نياز عمليات</t>
  </si>
  <si>
    <t>نگهداشت و پشتيباني تاسيسات و تجهيزات مخابراتي</t>
  </si>
  <si>
    <t xml:space="preserve">جمع طرح 40621155    </t>
  </si>
  <si>
    <t>سايرطرحها انتقالي از شركت مهندسي و ساختمان</t>
  </si>
  <si>
    <t>اسفند 3</t>
  </si>
  <si>
    <t>اسفند 4</t>
  </si>
  <si>
    <t>تا اسفند 2</t>
  </si>
  <si>
    <t>90009631</t>
  </si>
  <si>
    <t>كنترل تفاوت قيمت تمام شده كالا جار</t>
  </si>
  <si>
    <t>90009653</t>
  </si>
  <si>
    <t>كنترل واسطه تعديل موجودي افزايش يا</t>
  </si>
  <si>
    <t>09290182</t>
  </si>
  <si>
    <t>حسابجاري صندوق بازنشستگي و پس انداز</t>
  </si>
  <si>
    <t>شركت ملي پخش</t>
  </si>
  <si>
    <t>09290917</t>
  </si>
  <si>
    <t>سر فصل حساب شركت پالايش نفت تهران</t>
  </si>
  <si>
    <t>09290927</t>
  </si>
  <si>
    <t>سر فصل حساب شركت پالايش نفت شيراز</t>
  </si>
  <si>
    <t>سر فصل حساب شركت پالايش نفت  اصفهان</t>
  </si>
  <si>
    <t>09290937</t>
  </si>
  <si>
    <t>09306420</t>
  </si>
  <si>
    <t>كمك به جبهه جنگ</t>
  </si>
  <si>
    <t>095138000103</t>
  </si>
  <si>
    <t>095138000101</t>
  </si>
  <si>
    <t>ساختمان و تاسيسات</t>
  </si>
  <si>
    <t xml:space="preserve">زمين </t>
  </si>
  <si>
    <t>عملكرد تا پايان93</t>
  </si>
  <si>
    <t>طراحي واحداث ساختارهاي صنعتي وغيرصنعتي وتاسيسات برق/مكانيك</t>
  </si>
  <si>
    <t>ايجادشبكه هاي ارتباطي كم ظرفيت</t>
  </si>
  <si>
    <t>ايجادمراكز سوئيچينگ وشبكه هاي تلفن</t>
  </si>
  <si>
    <t>جمع طرح 040621078شركت خطوط لوله ومخابرات</t>
  </si>
  <si>
    <t>حفظ ونگهداشت وايمن سازي مراكزانتقال نفت پايانه ها ومخازن</t>
  </si>
  <si>
    <t>بهينه سازي وايمن سازي ساختارهاي صنعتي وغيرصنعتي وتاسيسات برق/مكانيك</t>
  </si>
  <si>
    <t>خودكفايي/مطالعه تحقيق وساخت دستگاههاوقطعات</t>
  </si>
  <si>
    <t>مكانيزه نمودن سيستم هاي انتقال وتعميرات/جمع آوري اطلاعات و كنترل وحفاظت</t>
  </si>
  <si>
    <t>تهيه وپشتيباني ماشين آلات موردنياز عمليات</t>
  </si>
  <si>
    <t>نگهداشت وپشتيباني تاسيسات وتجهيزات مخابراتي</t>
  </si>
  <si>
    <t>جمع طرح 040621155شركت  خطوط لوله ومخابرات</t>
  </si>
  <si>
    <t xml:space="preserve">مهندسی شباهنگ وحدت </t>
  </si>
  <si>
    <t xml:space="preserve">پيش پرداخت خريد كالاي دفتری </t>
  </si>
  <si>
    <t>درآمد انتقال فرآورده :</t>
  </si>
  <si>
    <t>90006500-00000061</t>
  </si>
  <si>
    <t xml:space="preserve"> هزينه هاي كالا و مواد بشرح زير است : </t>
  </si>
  <si>
    <t xml:space="preserve"> دستمزد غير مستقيم بشرح زير است :</t>
  </si>
  <si>
    <t xml:space="preserve"> دريافتني هاي كوتاه مدت :</t>
  </si>
  <si>
    <t xml:space="preserve"> موجودي مواد و كالا </t>
  </si>
  <si>
    <t xml:space="preserve">پيش پرداخت ها </t>
  </si>
  <si>
    <t xml:space="preserve"> سرمايه گذاري هاي بلند مدت </t>
  </si>
  <si>
    <t>پيش پرداخت هاي داخلي :</t>
  </si>
  <si>
    <t>ابطال وتسويه اعتبارات اسنادي  سرمايه اي</t>
  </si>
  <si>
    <t>مصرف مواد و كالاي سرمايه اي</t>
  </si>
  <si>
    <t>تعديل قيمت</t>
  </si>
  <si>
    <t>10-</t>
  </si>
  <si>
    <t>وجوه دريافتي از شركت ملي پالايش و پخش فرآورده هاي نفتي ايران بابت تخصيص اعتبار دريافتي</t>
  </si>
  <si>
    <t>مانده ابتدای سال</t>
  </si>
  <si>
    <t xml:space="preserve">پرداختني هاي بلند مدت </t>
  </si>
  <si>
    <t>طرح هاي سرمايه اي شركت ملي مهندسي و ساختمان نفت ايران انتقالي از شركت ملي پالايش و پخش فرآورده هاي نفتي ايران</t>
  </si>
  <si>
    <t xml:space="preserve">شركت پالايش نفت آبادان </t>
  </si>
  <si>
    <t xml:space="preserve"> پنجاه درصد سود ابرازي سهم دولت</t>
  </si>
  <si>
    <t xml:space="preserve"> هزينه هاي پيمانكاري بشرح زير است :</t>
  </si>
  <si>
    <t>ساير درآمدهاي غير عملياتي</t>
  </si>
  <si>
    <r>
      <t xml:space="preserve">   </t>
    </r>
    <r>
      <rPr>
        <b/>
        <sz val="16"/>
        <rFont val="B Koodak"/>
        <charset val="178"/>
      </rPr>
      <t>( مبالغ به ميليون ريال)</t>
    </r>
  </si>
  <si>
    <r>
      <rPr>
        <b/>
        <sz val="14"/>
        <rFont val="B Koodak"/>
        <charset val="178"/>
      </rPr>
      <t>سرمايه</t>
    </r>
    <r>
      <rPr>
        <sz val="12"/>
        <rFont val="B Koodak"/>
        <charset val="178"/>
      </rPr>
      <t xml:space="preserve"> </t>
    </r>
  </si>
  <si>
    <t>ب-</t>
  </si>
  <si>
    <t xml:space="preserve"> پنجاه درصد سود سهام دولت </t>
  </si>
  <si>
    <t>06508312</t>
  </si>
  <si>
    <t xml:space="preserve"> تعديل قيمت اموال ( خريداري در سنوات قبل)</t>
  </si>
  <si>
    <t xml:space="preserve">تجدید ارائه شده </t>
  </si>
  <si>
    <t>(تجدید ارائه شده )</t>
  </si>
  <si>
    <t xml:space="preserve">(تجدید ارائه شده) </t>
  </si>
  <si>
    <t>90006500-00000161</t>
  </si>
  <si>
    <t>قبل از بستن حساب 1394</t>
  </si>
  <si>
    <t>برگشت طرح هاي سرمايه اي شركت ملي مهندسي و ساختمان نفت ايران انتقالي به شركت ملي پالايش و پخش فرآورده هاي نفتي ايران</t>
  </si>
  <si>
    <t xml:space="preserve">معاملات با اشخاص وابسته </t>
  </si>
  <si>
    <t xml:space="preserve"> وضعيت ارزي</t>
  </si>
  <si>
    <t>اسفند 6</t>
  </si>
  <si>
    <t>اسفند 7</t>
  </si>
  <si>
    <t>اسفند 8</t>
  </si>
  <si>
    <t>065-3951</t>
  </si>
  <si>
    <t>6-2-</t>
  </si>
  <si>
    <t xml:space="preserve"> پيش پرداخت ها</t>
  </si>
  <si>
    <t>(زيان )انباشته</t>
  </si>
  <si>
    <t>جريان خالص ورود وجه نقد ناشي از فعاليت هاي عملياتي</t>
  </si>
  <si>
    <t>فعاليت هاي عملياتي :</t>
  </si>
  <si>
    <t>فعاليت هاي تامين مالي:</t>
  </si>
  <si>
    <t>جريان خالص (خروج )وجه نقد ناشي ازفعاليت هاي سرمايه گذاري</t>
  </si>
  <si>
    <t>وجوه پرداختي بابت خريد دارايي هاي ثابت مشهود</t>
  </si>
  <si>
    <t>فعاليت هاي سرمايه گذاري :</t>
  </si>
  <si>
    <t xml:space="preserve">برق مصرفي </t>
  </si>
  <si>
    <t xml:space="preserve">گاز مصرفي </t>
  </si>
  <si>
    <t>مرخصي كارکنان</t>
  </si>
  <si>
    <t xml:space="preserve">تنخواه گردان- سرمايه اي ملی مهندسی </t>
  </si>
  <si>
    <t>13-</t>
  </si>
  <si>
    <t xml:space="preserve"> درآمد انتقال نفت خام  :</t>
  </si>
  <si>
    <t>در آمد مخابرات:</t>
  </si>
  <si>
    <t xml:space="preserve">شركت ملي و مهندسي -بدهكاران متفرقه انتقالي از </t>
  </si>
  <si>
    <t xml:space="preserve"> شركت ملي و مهندسي -هزينه جانبي سفارشات سرمايه اي </t>
  </si>
  <si>
    <t>شركت ملي و مهندسي -علي الحساب سرمايه اي</t>
  </si>
  <si>
    <t>شركت ملي و مهندسي -قابل وصول ازپيمانكاران</t>
  </si>
  <si>
    <t xml:space="preserve">شركت ملي و مهندسي -پيش پرداخت </t>
  </si>
  <si>
    <t xml:space="preserve">شركت ملي و مهندسي ماليات سيستم پيمانكاران سرمايه اي </t>
  </si>
  <si>
    <t>شركت ملي و مهندسي -تنخواه گردان بازسازي نوسازي</t>
  </si>
  <si>
    <t>شركت ملي و مهندسي -سپرده حسن انجام كارسرمايه اي مكانيز</t>
  </si>
  <si>
    <t xml:space="preserve">شركت ملي و مهندسي -بيمه سيستم پيمانكاران سرمايه اي </t>
  </si>
  <si>
    <t>شركت ملي و مهندسي -سپرده حسن  انجام تعهد</t>
  </si>
  <si>
    <t xml:space="preserve">شركت ملي و مهندسي -گشايش اعتبارات اسنادي </t>
  </si>
  <si>
    <t>سال مورد گزارش (1394)</t>
  </si>
  <si>
    <t>سال مالي 94</t>
  </si>
  <si>
    <t xml:space="preserve"> 1394با بستن حسابها </t>
  </si>
  <si>
    <t>بدهی کارکنان (حصه بلند مدت ودیعه مسکن )</t>
  </si>
  <si>
    <r>
      <rPr>
        <sz val="14"/>
        <rFont val="B Koodak"/>
        <charset val="178"/>
      </rPr>
      <t>سرمايه</t>
    </r>
    <r>
      <rPr>
        <sz val="12"/>
        <rFont val="B Koodak"/>
        <charset val="178"/>
      </rPr>
      <t xml:space="preserve"> </t>
    </r>
  </si>
  <si>
    <t>بدون سند -بدهکار (اصلاح شده )</t>
  </si>
  <si>
    <t>بدون سند -بستانکار (اصلاح شده )</t>
  </si>
  <si>
    <t>اسفند 5</t>
  </si>
  <si>
    <t xml:space="preserve">اعمال شده </t>
  </si>
  <si>
    <r>
      <t xml:space="preserve">      تبصره : </t>
    </r>
    <r>
      <rPr>
        <sz val="24"/>
        <rFont val="Nazanin"/>
        <charset val="178"/>
      </rPr>
      <t xml:space="preserve">جمع نسبت بدهي و نسبت مالكانه همواره معادل صد درصد سرمايه گذاريها در شركت و برابر عدد يك خواهد بود . </t>
    </r>
  </si>
  <si>
    <r>
      <t>سرمايه</t>
    </r>
    <r>
      <rPr>
        <sz val="24"/>
        <rFont val="Roya"/>
        <charset val="178"/>
      </rPr>
      <t xml:space="preserve">(يكصد وبيست ميليون سهم يكصد هزار ريالي تمام پرداخت شده) </t>
    </r>
  </si>
  <si>
    <t xml:space="preserve">بالانس </t>
  </si>
  <si>
    <t xml:space="preserve">سهم دولت </t>
  </si>
  <si>
    <t xml:space="preserve">سودخالص پس از کسر سهم دولت </t>
  </si>
  <si>
    <t>0/05</t>
  </si>
  <si>
    <t xml:space="preserve">اندوخته قانونی </t>
  </si>
  <si>
    <t xml:space="preserve"> قطعات و لوازم يدكي ماشين آلات</t>
  </si>
  <si>
    <t xml:space="preserve"> فرآورده هاي نفتي(موجودي تلمبه خانه ها)</t>
  </si>
  <si>
    <t xml:space="preserve"> لوازم الكترونيكي و كابلها</t>
  </si>
  <si>
    <t>پيش پرداخت خريد و پيمانكاران جاری</t>
  </si>
  <si>
    <t>نقل وانتقالات</t>
  </si>
  <si>
    <t xml:space="preserve">مخارج انباشته </t>
  </si>
  <si>
    <t xml:space="preserve">بر آورد تاریخ بهره برداری </t>
  </si>
  <si>
    <t>استهلاك دارائي هاي ثابت مشهود</t>
  </si>
  <si>
    <t xml:space="preserve">جمع </t>
  </si>
  <si>
    <t xml:space="preserve">حساب جاري خالص حقوق - وام پرسنل </t>
  </si>
  <si>
    <t>پرداختني هاي كوتاه مدت:</t>
  </si>
  <si>
    <t>شركت ملي نفت ايران (چاپخانه،كامپيوتر، اياب و ذهاب و غذاي كاركنان)</t>
  </si>
  <si>
    <r>
      <t>شركت پالايش نفت بندر عباس (غذا،اياب ذهاب و منازل سازماني)</t>
    </r>
    <r>
      <rPr>
        <sz val="14"/>
        <rFont val="B Koodak"/>
        <charset val="178"/>
      </rPr>
      <t xml:space="preserve"> </t>
    </r>
  </si>
  <si>
    <t xml:space="preserve">ساير هزينه ها بشرح زير است: </t>
  </si>
  <si>
    <t>اسفند 9</t>
  </si>
  <si>
    <t>90006587</t>
  </si>
  <si>
    <t>يادداشت هاي توضيحي ، بخش جدايي ناپذير صورت هاي مالي است .</t>
  </si>
  <si>
    <t xml:space="preserve">يادداشت هاي توضيحي ، بخش جدايي ناپذير صورت هاي مالي است . </t>
  </si>
  <si>
    <t>يادداشت هاي توضيحي ، بخش جدايي ناپذير صورت هاي مالي است.</t>
  </si>
  <si>
    <t xml:space="preserve">(زيان)انباشته پايان سال </t>
  </si>
  <si>
    <t>(زيان)انباشته ابتداي سال</t>
  </si>
  <si>
    <t xml:space="preserve">  دارايي هاي در جريان تكميل</t>
  </si>
  <si>
    <t xml:space="preserve">  پيش پرداخت ها و علي الحساب هاي سرمايه اي   </t>
  </si>
  <si>
    <t>(مبالغ به  ميليون ريال)</t>
  </si>
  <si>
    <t xml:space="preserve">بهاي تمام شده يا مبلغ تجديد ارزيابي </t>
  </si>
  <si>
    <t>استهلاك انباشته</t>
  </si>
  <si>
    <t xml:space="preserve">مبلغ دفتری </t>
  </si>
  <si>
    <t>علي الحساب ها :</t>
  </si>
  <si>
    <t>درآمدهاي مخابرات بابت اجاره كانال هاي مخابراتي به شركت هاي تابعه وزارت نفت واشخاص ثالث بشرح زير است :</t>
  </si>
  <si>
    <t xml:space="preserve"> دارايي هاي نامشهود</t>
  </si>
  <si>
    <t>يادداشت هاي توضيحي صورتهاي مالي</t>
  </si>
  <si>
    <t>يادداشت هاي توضيحي صورت هاي مالي</t>
  </si>
  <si>
    <t>ساير اطلاعات همراه  صورت هاي مالي</t>
  </si>
  <si>
    <t>خدمات دريافتي از ساير شركت ها بشرح زير است :</t>
  </si>
  <si>
    <t xml:space="preserve"> بازيافتي ها بشرح زير است : </t>
  </si>
  <si>
    <t xml:space="preserve"> مانده حساب هاي نهايي اشخاص وابسته بشرح زير است:</t>
  </si>
  <si>
    <t xml:space="preserve">وجوه حاصل از فروش دارایي هاي ثابت مشهود </t>
  </si>
  <si>
    <t xml:space="preserve">مبادلات غیر نقدی </t>
  </si>
  <si>
    <t xml:space="preserve">             23-1-</t>
  </si>
  <si>
    <t xml:space="preserve"> 5درصد عوارض توسعه </t>
  </si>
  <si>
    <t>اشخاص وابسته</t>
  </si>
  <si>
    <t>صندوق پس انداز ، بازنشستگي و رفاه كاركنان</t>
  </si>
  <si>
    <t xml:space="preserve">موجودي نزد بانكها </t>
  </si>
  <si>
    <t>ساير اشخاص</t>
  </si>
  <si>
    <t xml:space="preserve"> مانده ساير متشكل از اقلام زير است:</t>
  </si>
  <si>
    <t>تامین منابع وسایر</t>
  </si>
  <si>
    <t xml:space="preserve">خرید کالا وخدمات </t>
  </si>
  <si>
    <t xml:space="preserve">فروش کالا وخدمات </t>
  </si>
  <si>
    <t xml:space="preserve">توضیحات </t>
  </si>
  <si>
    <t xml:space="preserve">کوتاه مدت </t>
  </si>
  <si>
    <t xml:space="preserve">بلند مدت </t>
  </si>
  <si>
    <t>شركتهاي پالايش نفت</t>
  </si>
  <si>
    <t>شركت توانير</t>
  </si>
  <si>
    <t xml:space="preserve">مجتمع هاي پتروشيمي </t>
  </si>
  <si>
    <t xml:space="preserve">شركت ملي گازایران </t>
  </si>
  <si>
    <t xml:space="preserve">شركت پالايش نفت اصفهان </t>
  </si>
  <si>
    <t>شركت ملي پالايش وپخش فرآورده هاي نفتي ايران (سرمایه ای )</t>
  </si>
  <si>
    <t>شركت ملي پالايش وپخش فرآورده هاي نفتي ايران (جاری )</t>
  </si>
  <si>
    <t>50درصدسود ابرازي سهم دولت</t>
  </si>
  <si>
    <t>پیش پرداخت 50درصد سود ابرازی سهم دولت بابت تفاوت مازاد پرداختی سود براساس قانون بودجه وسود ابرازی بشرح ذیل می باشد :</t>
  </si>
  <si>
    <t>طراحي احداث وبهينه سازي راهها، حريمها و محوطه ها</t>
  </si>
  <si>
    <t>حفظ ونگهداشت وايمن سازي خطوط لوله انشعابات وتاسيسات مربوط</t>
  </si>
  <si>
    <t>بهينه سازي وايمن سازي راهها، حريم هاومحوطه ها</t>
  </si>
  <si>
    <t>گردش ماليات و عوارض  ارزش افزوده بشرح زير است :</t>
  </si>
  <si>
    <t>مقدار</t>
  </si>
  <si>
    <t xml:space="preserve">شركت ملي پخش فرآورده های نفتی ایران </t>
  </si>
  <si>
    <t xml:space="preserve">6-4- </t>
  </si>
  <si>
    <t xml:space="preserve">تعهدات، بدهي هاي احتمالي ودارایی های احتمالی </t>
  </si>
  <si>
    <t>شرکتهای  وابسته</t>
  </si>
  <si>
    <t xml:space="preserve">سایر اشخاص وابسته </t>
  </si>
  <si>
    <t xml:space="preserve">پيش پرداخت ماليات عملكردسالهاي1391 و1392و1393و1394 طبق قانون بودجه كل كشوربه ترتيب به مبالغ 375ر24 و 642ر83 و 925ر40 و 017ر101ميليون ريال بوده که تماما بصورت نقدی واز محل تهاتر اضافه پرداختی مالیات عملکرد سنوات گذشته تامین گرديده است. و همچنين ماليات تكليفي  موضوع ماده 104 پرداخت شده توسط شركت ملي پالايش و پخش و  پالايشگاه ها بابت 5 و3 درصد  کارمزد انتقال نفت خام و  کانال های مخابراتی  </t>
  </si>
  <si>
    <t>هزينه هاي اداري  و عمومي</t>
  </si>
  <si>
    <t xml:space="preserve">بهاي تمام شده  درآمدهاي عملياتي وهزینه های اداری وعمومی </t>
  </si>
  <si>
    <t xml:space="preserve">هزينه هاي اداري  و عمومي </t>
  </si>
  <si>
    <t xml:space="preserve">سهم هزينه هاي اداري  و عمومي </t>
  </si>
  <si>
    <t>پروژه هاي در دست تكميل شركت ملي مهندسي ساختمان نفت ايران که در پايان سال به حسابهاي اين شركت انتقال يافته است.</t>
  </si>
  <si>
    <t xml:space="preserve">(مبالغ به میلیون ریال) </t>
  </si>
  <si>
    <t xml:space="preserve">ریال </t>
  </si>
  <si>
    <t>طلب پ.پ(کوتاه مدت )</t>
  </si>
  <si>
    <t>طلب پ.پ(بلند مدت )</t>
  </si>
  <si>
    <t xml:space="preserve">اعتبارات توسع 5درصد </t>
  </si>
  <si>
    <t>قبل از بستن حساب 1395</t>
  </si>
  <si>
    <t xml:space="preserve"> اسفند </t>
  </si>
  <si>
    <t>اسفند 1</t>
  </si>
  <si>
    <t>اسفند 2</t>
  </si>
  <si>
    <t>اسفند 10</t>
  </si>
  <si>
    <t>09290957</t>
  </si>
  <si>
    <t xml:space="preserve"> 1395با بستن حسابها </t>
  </si>
  <si>
    <t>06508318</t>
  </si>
  <si>
    <t>هزينه گاز  شهرك منتظري</t>
  </si>
  <si>
    <t>06508321</t>
  </si>
  <si>
    <t>تهويه منازل  شهرك منتظري</t>
  </si>
  <si>
    <t>06508953</t>
  </si>
  <si>
    <t>هزينه نگهداري  منازل شهرك منتظري</t>
  </si>
  <si>
    <t>06508998</t>
  </si>
  <si>
    <t>09301832</t>
  </si>
  <si>
    <t>09301833</t>
  </si>
  <si>
    <t>09301834</t>
  </si>
  <si>
    <t>09301835</t>
  </si>
  <si>
    <t>09301836</t>
  </si>
  <si>
    <t>09301837</t>
  </si>
  <si>
    <t>09301838</t>
  </si>
  <si>
    <t>بيمه خدمات درماني سهم وظيفه</t>
  </si>
  <si>
    <t>بيمه عمر و حادثه كاركنان وظيفه</t>
  </si>
  <si>
    <t>بيمه مكمل سهم كاركنان وظيفه</t>
  </si>
  <si>
    <t>بازنشستگي سهم كارفرما وظيفه</t>
  </si>
  <si>
    <t>بيمه عمر و حادثه سهم كارفرما وظيفه</t>
  </si>
  <si>
    <t>بيمه عمر</t>
  </si>
  <si>
    <t>بيمه مكمل سهم كارفرما وظيفه</t>
  </si>
  <si>
    <t>كالاي در راه مكانيزه جاري-خارجي</t>
  </si>
  <si>
    <t>كالاي در راه مكانيزه جاري-سرمايه اي خارجي</t>
  </si>
  <si>
    <t>كالاي در راه مكانيزه جاري-داخلي</t>
  </si>
  <si>
    <t>كالاي در راه مكانيزه جاري-سرمايه اي داخلي</t>
  </si>
  <si>
    <t>كالاي در راه مكانيزه جاري-محلي</t>
  </si>
  <si>
    <t>09504936</t>
  </si>
  <si>
    <t>واسطه انتقال كالابين رمز سازماني جاري</t>
  </si>
  <si>
    <t xml:space="preserve">واسطه انتقال كالابين انبار اصلي فرعي </t>
  </si>
  <si>
    <t>واسطه انتقال كالابين انبار اصلي جاري</t>
  </si>
  <si>
    <t>09507536</t>
  </si>
  <si>
    <t>معلق اقلام ريالي تخصيص نيافته جاري</t>
  </si>
  <si>
    <t>09507836</t>
  </si>
  <si>
    <t>واسطه اختلاف  مقداري  ـ سرمايه اي</t>
  </si>
  <si>
    <t>06603626</t>
  </si>
  <si>
    <t>اقساط تلفن همراه</t>
  </si>
  <si>
    <t>شركت   مديريت توسعه صنايع پتروشيمي</t>
  </si>
  <si>
    <t>09298221</t>
  </si>
  <si>
    <t>شركت گازاستان آذربايجان</t>
  </si>
  <si>
    <t xml:space="preserve">عضويت صندوق  بسيج  تندگويان </t>
  </si>
  <si>
    <t>90002134</t>
  </si>
  <si>
    <t>90009643</t>
  </si>
  <si>
    <t>90009644</t>
  </si>
  <si>
    <t>كنترل موجودي كالا- جاري</t>
  </si>
  <si>
    <t>كنترل موجودي كالا- سرمايه اي</t>
  </si>
  <si>
    <t>90009661</t>
  </si>
  <si>
    <t>90009663</t>
  </si>
  <si>
    <t>90009671</t>
  </si>
  <si>
    <t>90009675</t>
  </si>
  <si>
    <t>90009677</t>
  </si>
  <si>
    <t>90009683</t>
  </si>
  <si>
    <t>كنترل ادعاي غرامت</t>
  </si>
  <si>
    <t>كنترل تفاوت رسيد و ارسال انتقال جاري</t>
  </si>
  <si>
    <t>كنترل واسطه تفاوتانتقال كالا-جاري</t>
  </si>
  <si>
    <t>كنترل حساب معلق اقلام ريالي تخصيص</t>
  </si>
  <si>
    <t>كنترل واسطه اختلاف مقداري- جاري</t>
  </si>
  <si>
    <t>كنترل تفاوت قيمت كالاي انتقالي -جاري</t>
  </si>
  <si>
    <t>90013100</t>
  </si>
  <si>
    <t>90013150</t>
  </si>
  <si>
    <t>90019618</t>
  </si>
  <si>
    <t>كنترل پيش پرداختهاي جاري</t>
  </si>
  <si>
    <t>كنترل پيش پرداختهايسرما يه اي</t>
  </si>
  <si>
    <t>كنترل حساب هزينه هاي جانبي</t>
  </si>
  <si>
    <t>پژوهشگاه نفت</t>
  </si>
  <si>
    <t>90009632</t>
  </si>
  <si>
    <t>90007130</t>
  </si>
  <si>
    <t xml:space="preserve">اقلام پذيرفته نشده;كالا  </t>
  </si>
  <si>
    <t>90008994</t>
  </si>
  <si>
    <t>90009651</t>
  </si>
  <si>
    <t>كنترل واسطه فروش واگذاري</t>
  </si>
  <si>
    <t>شركت گازاستان لرستان</t>
  </si>
  <si>
    <t>حساب اسناد دريافتني</t>
  </si>
  <si>
    <t>كنترل اسناد دريافتني</t>
  </si>
  <si>
    <t>بهاي تمام شده تاسيسات و   -  ساختمان</t>
  </si>
  <si>
    <t>1394 بعد بستن (ميليون ريال(</t>
  </si>
  <si>
    <t>1395 ميليون ريال</t>
  </si>
  <si>
    <t xml:space="preserve"> طرح 040621189تعويض پوشش و تعويض خطوط لوله</t>
  </si>
  <si>
    <t xml:space="preserve"> پرداخت شده سال 1395 براساس قانون بودجه </t>
  </si>
  <si>
    <t>تفاوت قيمت كالاي جاري- خارجي</t>
  </si>
  <si>
    <t>تفاوت قيمت كالاي جاري-داخلي</t>
  </si>
  <si>
    <t>واسطه فروش برگشت از فروش -غير اسقاط</t>
  </si>
  <si>
    <t>كنترل كالاي در راه مكانيزه جاري- محلي</t>
  </si>
  <si>
    <t>كنترل تفاوت قيمت تمام شده كالا جاري</t>
  </si>
  <si>
    <t>كنترل واسطه انتقال كالا بين رمز سازماني</t>
  </si>
  <si>
    <t xml:space="preserve">پيش پرداخت خريدهاي جاري مستقيم </t>
  </si>
  <si>
    <t>كل</t>
  </si>
  <si>
    <t>فرعي</t>
  </si>
  <si>
    <t>شركت ملي مهندسي و ساختمان نفت</t>
  </si>
  <si>
    <t>موجودي ضمانتنامه هاي دريافتي ـريال-مهندسي</t>
  </si>
  <si>
    <t>موجودي ضمانتنامه هاي دريافتي ـارزيمهندسي</t>
  </si>
  <si>
    <t>كنترل ضمانتنامه هاي دريافتي ـريال مهندسي</t>
  </si>
  <si>
    <t>كنترل ضمانتنامه هاي دريافتي ـ ارزي مهندسي</t>
  </si>
  <si>
    <t>حساب اسناد دريافتني-ملي مهندسي</t>
  </si>
  <si>
    <t>كنترل اسناد دريافتني- ملي مهندسي</t>
  </si>
  <si>
    <t>90002118</t>
  </si>
  <si>
    <t>90002219</t>
  </si>
  <si>
    <t>خالص كاركرد پيمانكاران - سرمايه اي  مهندسي</t>
  </si>
  <si>
    <t xml:space="preserve">قابل وصول ازپيمانكاران-شركت ملي و مهندسي </t>
  </si>
  <si>
    <t xml:space="preserve"> -شركت ملي و مهندسي پيش پرداخت  سرمايه اي</t>
  </si>
  <si>
    <t>09298391</t>
  </si>
  <si>
    <t>شركت گاز استان بوشهر</t>
  </si>
  <si>
    <t>پيش پرداخت هاي خارجي :</t>
  </si>
  <si>
    <t xml:space="preserve"> پيش پرداخت سرمايه اي  از محل 5 درصد عوارض توسعه -</t>
  </si>
  <si>
    <t>شركت هاي تابعه وزارت نفت</t>
  </si>
  <si>
    <t>ادارات مركزي وزارت نفت</t>
  </si>
  <si>
    <t>نفت و گاز گچساران</t>
  </si>
  <si>
    <t>مبلغ طبق 6020</t>
  </si>
  <si>
    <t>سال مالي 95</t>
  </si>
  <si>
    <t>سال مورد گزارش (1395)</t>
  </si>
  <si>
    <t>='2'!F10</t>
  </si>
  <si>
    <t>9-</t>
  </si>
  <si>
    <t xml:space="preserve">مهندسي </t>
  </si>
  <si>
    <t>9-4-</t>
  </si>
  <si>
    <t>سهامدار اصلي</t>
  </si>
  <si>
    <t xml:space="preserve">معاملات انجام شده با اشخاص وابسته  طي سال مورد گزارش : </t>
  </si>
  <si>
    <t>شركت پالايش نفت امام خميني (ره) شازند (حسابهاي في مابين )</t>
  </si>
  <si>
    <t xml:space="preserve"> تعديلات دارايي هاي ثابت مشهود به شرح  زير است :</t>
  </si>
  <si>
    <t>پيش پرداخت خريدهاي جاري(داخلي )</t>
  </si>
  <si>
    <t>سال</t>
  </si>
  <si>
    <t>ماليات پرداختي وپرداختني</t>
  </si>
  <si>
    <t>9000640101078</t>
  </si>
  <si>
    <t>9000640101155</t>
  </si>
  <si>
    <t>دفتر نمايندگي پترو ايران شارجه</t>
  </si>
  <si>
    <t xml:space="preserve">موجودي صندوق </t>
  </si>
  <si>
    <t xml:space="preserve"> معاملات با اشخاص وابسته  با شرايط حاكم بر معاملات حقيقي تفاوت با اهميتي نداشته است.</t>
  </si>
  <si>
    <t xml:space="preserve">برگشت موجودي كالاي از محل 5درصد عوارض توسعه  به شركت ملي پالايش و پخش فراورده هاي نفتي ايران </t>
  </si>
  <si>
    <t xml:space="preserve">مازاد مورد مطالبه اداره امور مالياتي </t>
  </si>
  <si>
    <t xml:space="preserve"> مبلغ 522ر071ر5ريال كاهش در سرفصل داراييهاي در جريان تكميل ناشي از انتقال مانده داراييهاي مذكور به  شركت ملي پالايش و پخش عطف به نامه شماره ام/ب/3597 مورخه 1396/1/26  مدير مالي شركت ملي پالايش و پخش  بوده است.</t>
  </si>
  <si>
    <t>وجوه پرداختي بابت  خريد دارایي هاي نامشهود</t>
  </si>
  <si>
    <t>باز پرداخت اصل تسهيلات</t>
  </si>
  <si>
    <t>پيش پرداخت ها و علي الحساب هاي سرمايه اي بشرح زير است :</t>
  </si>
  <si>
    <t>مانده حساب اشخاص وابسته بشرح زیر است :</t>
  </si>
  <si>
    <t xml:space="preserve">  بازيافتي از ساير واحدها</t>
  </si>
  <si>
    <t>ماهيت بازيافتي ها ارائه خدمات به شركتهاي تابعه وزارت نفت است.</t>
  </si>
  <si>
    <t xml:space="preserve">شركت پالايش نفت امام خميني (ره )شازند </t>
  </si>
  <si>
    <t>15</t>
  </si>
  <si>
    <t>شركت پالايش نفت امام خميني (ره) شازند</t>
  </si>
  <si>
    <t xml:space="preserve"> بر اساس جداول پيوست  آئين نامه اجرايي بند (ح)ماده یک قانون الحاق برخی مواد به قانون تنظیم بخشی از مقررات مالی دولت (2)و  قانون بودجه سال  1395كل كشور ابلاغي طي نامه شماره 576518مورخ 1395/12/07معاون محترم برنامه ريزي وزارت نفت ، نرخ انتقال نفت خام و ميعانات گازي به ازاي هر ليتر 98 ريال و براي فرآورده هاي نفتي به ازاي هر ليتر116 ريال محاسبه گرديده است.شركت براساس ظرفيت هاي بلا استفاده خود طبق توافق نامه هاي في مابين با نرخهاي خارج از بودجه ، اقدام به انتقال فراورده براي شركتهاي پالايشي نفت نموده است .</t>
  </si>
  <si>
    <t xml:space="preserve">پروژه توسعه خطوط لوله بندر عباس - رفسنجان - اصفهان  </t>
  </si>
  <si>
    <t>ايجاد شبكه هاي ارتباطي كم ظرفيت</t>
  </si>
  <si>
    <t>گردش عمليات و اقلام تشكيل دهنده دارايي هاي در جریان تكميل به شرح جدول زير است:</t>
  </si>
  <si>
    <t xml:space="preserve"> طرح40621078(طرح توسعه خطوط لوله مخابرات وتاسيسات جنبي صنعتي وغيرصنعتي)</t>
  </si>
  <si>
    <t>الف-</t>
  </si>
  <si>
    <t xml:space="preserve"> طرح40621155(طرح نگهداشت وپشتيباني خطوط لوله ومخابرات وتاسيسات جنبي صنعتي وغيرصنعتي)</t>
  </si>
  <si>
    <t>ج-</t>
  </si>
  <si>
    <t xml:space="preserve">جمع كل طرح هاي شركت خطوط لوله ومخابرات </t>
  </si>
  <si>
    <t xml:space="preserve">جمع طرحهاي در جريان تكميل شركت </t>
  </si>
  <si>
    <t>علي الحساي سرمايه اي شركت -از محل 5 درصد عوارض توسعه</t>
  </si>
  <si>
    <t>تعديل</t>
  </si>
  <si>
    <t xml:space="preserve"> تعديلات دارايي ها</t>
  </si>
  <si>
    <t xml:space="preserve"> پيش پرداخت هاي سرمايه اي - انتقالي از شركت ملي مهندسي و ساختمان نفت ايران</t>
  </si>
  <si>
    <t xml:space="preserve">علي الحساب سرمايه اي - انتقالي از شركت ملي مهندسي و ساختمان نفت ايران </t>
  </si>
  <si>
    <t>جمع دارایی ها</t>
  </si>
  <si>
    <t xml:space="preserve">شركت پالايش نفت كرمانشاه </t>
  </si>
  <si>
    <t xml:space="preserve">افزايش </t>
  </si>
  <si>
    <t xml:space="preserve"> بدهكار ماليات و عوارض  ارزش افزوده</t>
  </si>
  <si>
    <t>توسعه خطوط لوله ،انشعابات وتاسيسات مربوط</t>
  </si>
  <si>
    <t>(مبالغ به میلیون ریال )</t>
  </si>
  <si>
    <t>خالص افزايش در دارايي ها شامل مبلغ 668ر056ر1 ميليون ريال  خريد نقدي  و مبلغ 642ر312ر1 ميليون ریال دارایی های انتقالی از شرکت ملی پالایش وپخش فراورده های نفتی ایران است .</t>
  </si>
  <si>
    <t>قبل از بستن حساب 1396</t>
  </si>
  <si>
    <t xml:space="preserve"> 1396با بستن حسابها </t>
  </si>
  <si>
    <t>09298041</t>
  </si>
  <si>
    <t>حسابجاري شركت گازاستان خراسان</t>
  </si>
  <si>
    <t>09298081</t>
  </si>
  <si>
    <t>حسابجاري شركت گازاستان آذربايجان</t>
  </si>
  <si>
    <t>09298151</t>
  </si>
  <si>
    <t>حسابجاري شركت گازاستان قم</t>
  </si>
  <si>
    <t>شركت پاليش گاز استان البرز</t>
  </si>
  <si>
    <t>09298341</t>
  </si>
  <si>
    <t>09506736</t>
  </si>
  <si>
    <t>90006605</t>
  </si>
  <si>
    <t>واسطه فروش مزايده ها</t>
  </si>
  <si>
    <t>90007110</t>
  </si>
  <si>
    <t>كنترل موجودي هاي بانكي ـبانك مركزي</t>
  </si>
  <si>
    <t>90007120</t>
  </si>
  <si>
    <t>كنترل موجودي هاي بانكي ريالي</t>
  </si>
  <si>
    <t>90008003</t>
  </si>
  <si>
    <t xml:space="preserve">كنترل هزينه هاي از محل اعتبارات خارج از شمول </t>
  </si>
  <si>
    <t>تعويض30كيلومتر خط "30 نفت خام مارون2به3</t>
  </si>
  <si>
    <t>تعويض35كيلومتر خط "30 نفت خام مارون1به2</t>
  </si>
  <si>
    <t>تعويض خطوط لوله در مناطق12گانه</t>
  </si>
  <si>
    <t>تعويض20كيلومتر پوشش خط"32نفت خام مارون6به7</t>
  </si>
  <si>
    <t>تعويض20كيلومتر پوشش خط"14فراورده رفسنجان كرمان</t>
  </si>
  <si>
    <t>جمع طرح 40621189 شركت خطوط لوله و مخابرات</t>
  </si>
  <si>
    <t>جمع طرح 40621189</t>
  </si>
  <si>
    <r>
      <t xml:space="preserve"> تا تاريخ تهيه صورتهاي مالي مبلغ  </t>
    </r>
    <r>
      <rPr>
        <sz val="16"/>
        <color rgb="FFFF0000"/>
        <rFont val="B Koodak"/>
        <charset val="178"/>
      </rPr>
      <t>366ر198</t>
    </r>
    <r>
      <rPr>
        <sz val="16"/>
        <rFont val="B Koodak"/>
        <charset val="178"/>
      </rPr>
      <t>ميليون ريال  از دريافتني هاي كوتاه مدت وصول شده است .</t>
    </r>
  </si>
  <si>
    <t>شركت پالايش نفت آبادان(فرآورده)</t>
  </si>
  <si>
    <t>شركت پالايش نفت آبادان(ميعانات گازي)</t>
  </si>
  <si>
    <t xml:space="preserve">شركتهاي نفت و گاز  </t>
  </si>
  <si>
    <t>ذخيره مرخصي- ;كارگري</t>
  </si>
  <si>
    <t>كنگان</t>
  </si>
  <si>
    <t>شركت فني مهندسي پتروشيمي فارس</t>
  </si>
  <si>
    <t>90006751</t>
  </si>
  <si>
    <t>ذخيره طلب پيمانكاران سرمايه اي</t>
  </si>
  <si>
    <t>4-1-6-</t>
  </si>
  <si>
    <t>4-401</t>
  </si>
  <si>
    <t>جمع طرح هاي شركت خطوط لوله و مخابرات نفت ايران</t>
  </si>
  <si>
    <t>23 -</t>
  </si>
  <si>
    <t>90006401-1189</t>
  </si>
  <si>
    <t>انتقال به پالايش و پخش از محل5 درصد عوارض توسعه</t>
  </si>
  <si>
    <t>14</t>
  </si>
  <si>
    <t>منابع 5 درصدعوارض توسعه  طرحهاي شركت ملي مهندسي ساختمان</t>
  </si>
  <si>
    <t xml:space="preserve">انتقال طرح هاي شركت خطوط لوله از محل 5 درصد توسعه </t>
  </si>
  <si>
    <t>جمع طرحهاي شركت ملي مهندسي ساختمان</t>
  </si>
  <si>
    <t>خدمات عمومي</t>
  </si>
  <si>
    <t>1396 ميليون ريال</t>
  </si>
  <si>
    <t xml:space="preserve">سود  عملیات در حال تداوم قبل از ماليات </t>
  </si>
  <si>
    <t>سود  خالص پس ازكسر50درصد سود ابرازي سهم دولت</t>
  </si>
  <si>
    <t>خالص(کاهش ) در وجه نقد</t>
  </si>
  <si>
    <t xml:space="preserve">مانده وجه نقد ابتداي سال </t>
  </si>
  <si>
    <t>مانده وجه نقد  پايان سال</t>
  </si>
  <si>
    <t>مانده  پايان سال</t>
  </si>
  <si>
    <t xml:space="preserve">    مانده پايان سال       </t>
  </si>
  <si>
    <t>مانده  ابتداي سال</t>
  </si>
  <si>
    <t xml:space="preserve">درآمد عملياتي </t>
  </si>
  <si>
    <t xml:space="preserve">بهاي تمام شده </t>
  </si>
  <si>
    <t xml:space="preserve">درصد سود ناخالص به درآمد عملياتي </t>
  </si>
  <si>
    <t>درصد سود ناخالص به درآمد عملياتي</t>
  </si>
  <si>
    <r>
      <t xml:space="preserve"> </t>
    </r>
    <r>
      <rPr>
        <b/>
        <sz val="12"/>
        <rFont val="B Koodak"/>
        <charset val="178"/>
      </rPr>
      <t xml:space="preserve">انتقال نفت خام و فرآورده هاي نفتي </t>
    </r>
  </si>
  <si>
    <r>
      <t xml:space="preserve"> </t>
    </r>
    <r>
      <rPr>
        <b/>
        <sz val="12"/>
        <rFont val="B Koodak"/>
        <charset val="178"/>
      </rPr>
      <t xml:space="preserve">انتقال نفت خام و 
فرآورده هاي نفتي </t>
    </r>
  </si>
  <si>
    <r>
      <t xml:space="preserve"> </t>
    </r>
    <r>
      <rPr>
        <b/>
        <sz val="12"/>
        <rFont val="B Koodak"/>
        <charset val="178"/>
      </rPr>
      <t xml:space="preserve">انتقال نفت خام و
فرآورده هاي نفتي </t>
    </r>
  </si>
  <si>
    <t xml:space="preserve">      مانده  پرداختني        </t>
  </si>
  <si>
    <t>شركت پتروشيمي تبريز(نفتا از آبادان )</t>
  </si>
  <si>
    <t>شركت پتروشيمي تبريز(نفتا از تهران)</t>
  </si>
  <si>
    <t xml:space="preserve">برگشت  علي الحساب و پيش پرداختهاي سرمايه اي   پيمانكاري از محل 5درصد عوارض توسعه  به شركت ملي پالايش و پخش فراورده هاي نفتي ايران </t>
  </si>
  <si>
    <t>افزايش و كاهش طي دوره</t>
  </si>
  <si>
    <t xml:space="preserve">مانده طرحهاي در جريان تكميل شركت خطوط لوله و مخابرات از منابع داخلي </t>
  </si>
  <si>
    <t>جمع طرحهاي  در جريان تكميل شركت ملي مهندسي ساختمان</t>
  </si>
  <si>
    <t>از آنجاييكه اجزاي تشكيل دهنده صورت سود و زيان جامع محدود به سود سال وتعدیلات سنواتی است ، صورت سود و زيان جامع ارائه نشده است.</t>
  </si>
  <si>
    <t xml:space="preserve">سود(زيان) عملیاتی </t>
  </si>
  <si>
    <t>23-1 -</t>
  </si>
  <si>
    <t>درصد تكميل ريالي</t>
  </si>
  <si>
    <t>درصد تكميل فيزيكي</t>
  </si>
  <si>
    <t>سال1395</t>
  </si>
  <si>
    <t xml:space="preserve"> انتقال</t>
  </si>
  <si>
    <t xml:space="preserve"> مخابرات</t>
  </si>
  <si>
    <t xml:space="preserve">درامد </t>
  </si>
  <si>
    <t>سودناخالص</t>
  </si>
  <si>
    <t>درصد سود ناخالص به درامد</t>
  </si>
  <si>
    <t>ساير از محل منابع داخلي</t>
  </si>
  <si>
    <t>ساير از محل منابع 5 درصد عوارض توسعه</t>
  </si>
  <si>
    <t xml:space="preserve">            انتقال نفت خام و فرآورده </t>
  </si>
  <si>
    <t xml:space="preserve">             مخابرات </t>
  </si>
  <si>
    <t>شركت فاقد دارايي و بدهيهاي ارزي است.</t>
  </si>
  <si>
    <t>قبل از بستن حساب 1397</t>
  </si>
  <si>
    <t xml:space="preserve"> 1397با بستن حسابها </t>
  </si>
  <si>
    <t>1397 ميليون ريال</t>
  </si>
  <si>
    <t>کنترل ساختمانها ومنازل -افزایش</t>
  </si>
  <si>
    <t>کنترل موجودی جاری بانک ملت</t>
  </si>
  <si>
    <t>وام مددکاری به کارمندان ایرانی</t>
  </si>
  <si>
    <t>پرداخت بتزخرید مرخصی</t>
  </si>
  <si>
    <t>هزینه بلیط اتوبوس</t>
  </si>
  <si>
    <t>کالای درراه مکانیزه جاری-محلی</t>
  </si>
  <si>
    <t>سود وزیان ناشی از فروش-جاری</t>
  </si>
  <si>
    <t>بیمه</t>
  </si>
  <si>
    <t>پتروشیمی اصفهان</t>
  </si>
  <si>
    <t>شرکت صنایع پتروشیمی خلیج فارس</t>
  </si>
  <si>
    <t>کنترل زمین-افزایش</t>
  </si>
  <si>
    <t>کنترل کالای درراه پروژه</t>
  </si>
  <si>
    <t>شرکت ارتباطات زیرساخت</t>
  </si>
  <si>
    <t>06606641</t>
  </si>
  <si>
    <t>09290551</t>
  </si>
  <si>
    <t>09290681</t>
  </si>
  <si>
    <t>09502933</t>
  </si>
  <si>
    <t>09508136</t>
  </si>
  <si>
    <t>شركت پالایش نفت کرمانشاه(نفت سفید)</t>
  </si>
  <si>
    <t>سایر</t>
  </si>
  <si>
    <t>شرکت پالایش نفت تبریز</t>
  </si>
  <si>
    <t>درآمدهای مخابراتی شرکت مطابق تعرفه های شرکت ارتباطات زیرساخت ومصوبات سازمان تنظیم مقررات وارتباطات رادیویی محاسبه گردیده است.</t>
  </si>
  <si>
    <t xml:space="preserve">سود(زیان) خالص  </t>
  </si>
  <si>
    <t>وجوه دریافتی بابت  فروش دارایي هاي نامشهود</t>
  </si>
  <si>
    <t>عملكرد برنامه پنجم و قبل ازآن</t>
  </si>
  <si>
    <t>دوران برنامه ششم</t>
  </si>
  <si>
    <t>شركت پخش فرآورده هاي نفتي ايران</t>
  </si>
  <si>
    <t>شرکت پالایش نفت تهران(نفتا)</t>
  </si>
  <si>
    <t>اسفند11</t>
  </si>
  <si>
    <t>اسفند12</t>
  </si>
  <si>
    <t>كاهش(فروش )</t>
  </si>
  <si>
    <t>افزايش(خريد)</t>
  </si>
  <si>
    <t xml:space="preserve">جريان خالص ورود(خروج ) وجه نقد </t>
  </si>
  <si>
    <t>برگشت  5 درصد عوارض توسعه  سال قبل از شركت ملي پالايش و پخش فرآورده هاي نفتي ايران</t>
  </si>
  <si>
    <t>قبل از بستن حساب 1398</t>
  </si>
  <si>
    <t xml:space="preserve"> 1398با بستن حسابها </t>
  </si>
  <si>
    <t>1398 ميليون ريال</t>
  </si>
  <si>
    <t>پرداخت هزینه سفر خارجی</t>
  </si>
  <si>
    <t>کنترل اموال غیر منقول-افزایش</t>
  </si>
  <si>
    <t>5</t>
  </si>
  <si>
    <t>7</t>
  </si>
  <si>
    <t>8</t>
  </si>
  <si>
    <t>9</t>
  </si>
  <si>
    <t>10</t>
  </si>
  <si>
    <t>11</t>
  </si>
  <si>
    <t>6</t>
  </si>
  <si>
    <t>صورت وضعیت مالی</t>
  </si>
  <si>
    <t>دارایی ها</t>
  </si>
  <si>
    <t>دارایی های ثابت مشهود</t>
  </si>
  <si>
    <t>سرمایه گذاری های بلند مدت</t>
  </si>
  <si>
    <t>دارایی های نامشهود</t>
  </si>
  <si>
    <t>دریافتنی های بلند مدت</t>
  </si>
  <si>
    <t>پیش پرداخت ها</t>
  </si>
  <si>
    <t>موجودی مواد وکالا</t>
  </si>
  <si>
    <t>موجودی نقد</t>
  </si>
  <si>
    <t>جمع دارایی های جاری</t>
  </si>
  <si>
    <t>سرمایه</t>
  </si>
  <si>
    <t>اندوخته قانونی</t>
  </si>
  <si>
    <t>سایر اندوخته ها</t>
  </si>
  <si>
    <t>(زیان)انباشته</t>
  </si>
  <si>
    <t>بدهی ها</t>
  </si>
  <si>
    <t>ذخیره مزایای پایان خدمت کارکنان</t>
  </si>
  <si>
    <t xml:space="preserve">پرداختنی های بلند مدت </t>
  </si>
  <si>
    <t>جمع بدهی های جاری</t>
  </si>
  <si>
    <t>جمع بدهی ها</t>
  </si>
  <si>
    <t>جمع حقوق مالکانه وبدهی ها</t>
  </si>
  <si>
    <t>12</t>
  </si>
  <si>
    <t>13</t>
  </si>
  <si>
    <t xml:space="preserve">شركت نمونه (سهامي عام) </t>
  </si>
  <si>
    <t>صورت تغييرات در حقوق مالكانه</t>
  </si>
  <si>
    <t>سال مالي منتهي به 29 اسفند 2 × 13</t>
  </si>
  <si>
    <t>مانده در 01 / 01 / 1×13</t>
  </si>
  <si>
    <t>اصلاح اشتباهات (يادداشت 41)</t>
  </si>
  <si>
    <t>تغيير در رويه هاي حسابداري (يادداشت 41)</t>
  </si>
  <si>
    <t>مانده تجديد ارائه شده در 01 / 01 / 1×13</t>
  </si>
  <si>
    <t>تغييرات حقوق مالكانه در سال 1×13</t>
  </si>
  <si>
    <t>سود خالص گزارش شده در صورت هاي مالي سال 1×13</t>
  </si>
  <si>
    <t>سود خالص تجديد ارائه شده سال 1×13</t>
  </si>
  <si>
    <t xml:space="preserve">ساير اقلام سود و زيان جامع پس از كسر ماليات </t>
  </si>
  <si>
    <t>سود جامع سال 1×13</t>
  </si>
  <si>
    <t>سود سهام مصوب</t>
  </si>
  <si>
    <t>افزايش سرمايه</t>
  </si>
  <si>
    <t>افزايش سرمايه در جريان</t>
  </si>
  <si>
    <t>خريد سهام خزانه</t>
  </si>
  <si>
    <t>فروش سهام خزانه</t>
  </si>
  <si>
    <t>سود (زيان) حاصل از فروش سهام خزانه</t>
  </si>
  <si>
    <t>انتقال از ساير اقلام حقوق مالكانه به سود انباشته</t>
  </si>
  <si>
    <t xml:space="preserve">تخصيص به اندوخته قانوني </t>
  </si>
  <si>
    <t>تخصيص به ساير اندوخته ها</t>
  </si>
  <si>
    <t>مانده تجديد ارائه شده در 29 / 12 / 1×13</t>
  </si>
  <si>
    <t>تغييرات حقوق مالكانه در سال 2×13</t>
  </si>
  <si>
    <t>سود خالص سال 2×13</t>
  </si>
  <si>
    <t>سود جامع سال 2×13</t>
  </si>
  <si>
    <t>مانده در 29 / 12 / 2×13</t>
  </si>
  <si>
    <t>صرف سهام</t>
  </si>
  <si>
    <t>صرف سهام خزانه</t>
  </si>
  <si>
    <t>ساير اندوخته ها</t>
  </si>
  <si>
    <t>مازاد تجديد ارزيابي دارايي ها</t>
  </si>
  <si>
    <t>تفاوت تسعير ارز عمليات خارجي</t>
  </si>
  <si>
    <t>سود انباشته</t>
  </si>
  <si>
    <t>سهام خزانه</t>
  </si>
  <si>
    <t xml:space="preserve"> 6-دارايي هاي ثابت مشهود</t>
  </si>
  <si>
    <t xml:space="preserve">6-1- دارايي هاي ثابت مشهود شركت تا ارزش329ر915ر46  ميليون ريال به استثناء خطوط انتقال نفت خام وفرآورده های نفتی  در مقابل خطرات احتمالي ناشي از حريق ، سيل و زلزله از پوشش بيمه اي‌ برخوردار است .      </t>
  </si>
  <si>
    <t>6-2-به استناد نامه شماره 10324مورخ 1398/02/15 مدیرعامل شرکت ملی پالایش وپخش فرآورده های نفتی ایران، بخشی از دارایی های ثابت مشهود شرکت به ارزش دفتری 331 میلیارد ریال متحمل خسارت ناشی از سیل، سال 1398گردیده است.</t>
  </si>
  <si>
    <t>11-</t>
  </si>
  <si>
    <t>14-</t>
  </si>
  <si>
    <t xml:space="preserve"> اندوخته قانونی</t>
  </si>
  <si>
    <t>تغيير در رويه هاي حسابداري (يادداشت 17)</t>
  </si>
  <si>
    <t xml:space="preserve">ساختمان و تأسيسات </t>
  </si>
  <si>
    <t xml:space="preserve">ماشين آلات و تجهيزات </t>
  </si>
  <si>
    <t xml:space="preserve">وسايل نقليه </t>
  </si>
  <si>
    <t xml:space="preserve">اثاثه و منصوبات </t>
  </si>
  <si>
    <t xml:space="preserve">دارايي هاي در جريان تكميل </t>
  </si>
  <si>
    <t xml:space="preserve">پيش پرداخت هاي سرمايه اي </t>
  </si>
  <si>
    <t xml:space="preserve">اقلام سرمايه اي در انبار </t>
  </si>
  <si>
    <t xml:space="preserve">ساير نقل و انتقالات و تغييرات </t>
  </si>
  <si>
    <t xml:space="preserve">استهلاك </t>
  </si>
  <si>
    <t>تعدیلات</t>
  </si>
  <si>
    <t xml:space="preserve">                                                                                                                                                                                                                                                                                                                                                                                                                                                                                                                                                                                                                                                                                                                                                                                                                                                         </t>
  </si>
  <si>
    <t>آب بند بنا</t>
  </si>
  <si>
    <t>پترو آهن فردوس</t>
  </si>
  <si>
    <t>توربوکمپرسور البرز</t>
  </si>
  <si>
    <t>احمد مدنی پور</t>
  </si>
  <si>
    <t>در اجراي   مفاد مواد 140 و 238 اصلاحيه قانون تجارت مصوب سال 1347 و بند (د) ماده 19 اساسنامه در سنوات قبل  5/. ميليون ريال از محل سود قابل تخصيص ، به اندوخته قانوني منتقل شده است ، به موجب مفاد مواد ياد شده  تا رسيدن مانده اندوخته قانوني به 10 درصد سرمايه شركت ، انتقال يك بيستم از سودخالص  هر سال  به  اندوخته  فوق الذكرالزامي است. اندوخته قانوني قابل انتقال به سرمايه  نمي باشدو جز در هنگام انحلال شركت ، قابل تقسيم بين سهامداران نيست .</t>
  </si>
  <si>
    <t xml:space="preserve">سایر نقل وانتقال وتغییرات </t>
  </si>
  <si>
    <t>پرداخت های نیابتی به امور صندوق ها (اقساط وکسورشاغلین-بازنشستگان و وام ها)</t>
  </si>
  <si>
    <t>ستاره خلیج فارس</t>
  </si>
  <si>
    <t>شرکت پالایش نفت تهران</t>
  </si>
  <si>
    <t>شركت خطوط لوله و مخابرات نفت ایران(سهامی خاص)</t>
  </si>
  <si>
    <t>سود (زیان)انباشته</t>
  </si>
  <si>
    <t>نقد حاصل از عملیات</t>
  </si>
  <si>
    <t>(مبالغ به میلیون ریال)</t>
  </si>
  <si>
    <t>دريافتني هاي تجاري وسایر دریافتنی ها</t>
  </si>
  <si>
    <t>زیان(سود)ناشی از فروش دارایی های نامشهود</t>
  </si>
  <si>
    <t>خالص افزایش در ذخیره مزایای پایان خدمت کارکنان</t>
  </si>
  <si>
    <t>افزایش</t>
  </si>
  <si>
    <t xml:space="preserve">واگذار شده </t>
  </si>
  <si>
    <t>ودایع آب-برق-گاز</t>
  </si>
  <si>
    <t>ودیعه تلفن ثابت</t>
  </si>
  <si>
    <t>ودیعه تلفن همراه</t>
  </si>
  <si>
    <t>نسبت اهرمی در پایان سال به شرح زیر است:</t>
  </si>
  <si>
    <t xml:space="preserve">خالص بدهی </t>
  </si>
  <si>
    <t>حقوق مالکانه</t>
  </si>
  <si>
    <t>نسبت خالص بدهی به حقوق مالکانه</t>
  </si>
  <si>
    <t>سایرپرداختنی ها</t>
  </si>
  <si>
    <t>مالیات پرداختنی</t>
  </si>
  <si>
    <t>دارایی های جاری</t>
  </si>
  <si>
    <t>بدهی های جاری</t>
  </si>
  <si>
    <t>جمع حقوق مالکانه</t>
  </si>
  <si>
    <t>صورت جريان هاي نقدي</t>
  </si>
  <si>
    <t xml:space="preserve">مانده ذخیره </t>
  </si>
  <si>
    <t>پیش پرداخت مالیات سالهای قبل</t>
  </si>
  <si>
    <t>درآمدحاصل از فروش منازل سازمانی</t>
  </si>
  <si>
    <t>درآمد حاصل از انتقال سوخت هواپیما</t>
  </si>
  <si>
    <t>کالای امانی نزد دیگران</t>
  </si>
  <si>
    <t>پیش پرداخت مالیات تکلیفی</t>
  </si>
  <si>
    <t>پيش پرداخت ماليات عملکرد</t>
  </si>
  <si>
    <t>ماليات   تشخيصي  / قطعی</t>
  </si>
  <si>
    <t>شرکت های هم گروه</t>
  </si>
  <si>
    <t>11-1-</t>
  </si>
  <si>
    <t>درآمد حاصل از فروش اموال اسقاطی</t>
  </si>
  <si>
    <t xml:space="preserve">سایر درآمد هاي متفرقه </t>
  </si>
  <si>
    <t>پرداختنی های تجاری وسایر پرداختنی ها</t>
  </si>
  <si>
    <t>بستانكاران متفرقه-پالایش وپخش</t>
  </si>
  <si>
    <t>بین 3 تا12ماه</t>
  </si>
  <si>
    <t>1 الی 5 سال</t>
  </si>
  <si>
    <t>18</t>
  </si>
  <si>
    <t>اصلاح اشتباهات (يادداشت 19)</t>
  </si>
  <si>
    <t xml:space="preserve">   5-</t>
  </si>
  <si>
    <t xml:space="preserve">            5-1-</t>
  </si>
  <si>
    <t>5-2-</t>
  </si>
  <si>
    <t>5-3-</t>
  </si>
  <si>
    <t>5-4- جدول مقايسه درآمدهاي عملياتي و بهاي تمام شده مربوط :</t>
  </si>
  <si>
    <t xml:space="preserve">   6-</t>
  </si>
  <si>
    <t xml:space="preserve"> 8-دارايي هاي ثابت مشهود</t>
  </si>
  <si>
    <t>-8-2-1</t>
  </si>
  <si>
    <t>-8-2-2</t>
  </si>
  <si>
    <t>8-3-</t>
  </si>
  <si>
    <t>8-4-</t>
  </si>
  <si>
    <t>11-2- دريافتني هاي بلند مدت</t>
  </si>
  <si>
    <t>12-</t>
  </si>
  <si>
    <t>14- موجودي نقد</t>
  </si>
  <si>
    <t>16-</t>
  </si>
  <si>
    <t>16-1-</t>
  </si>
  <si>
    <t>16-2-</t>
  </si>
  <si>
    <t>17-پرداختنی های تجاری وسایر پرداختنی ها</t>
  </si>
  <si>
    <t>17-1-</t>
  </si>
  <si>
    <t>حصه بلند مدت (يادداشت 2-17 )</t>
  </si>
  <si>
    <t>17-2-1 -</t>
  </si>
  <si>
    <t xml:space="preserve"> معاملات غیرنقدی </t>
  </si>
  <si>
    <t>15-</t>
  </si>
  <si>
    <t>صندوق های بازنشستگی ، پس انداز و رفاه كاركنان صنعت نفت( حساب في مابين )</t>
  </si>
  <si>
    <t>شركت به منظورتقويت بنيه مالي خود براساس ماده ٢٠ اساسنامه وهمچنين مفاد ماده 49 قانون اساسنامه شركت ملي نفت ايران مصوب 17 خرداد 1356 ، در سنوات قبل  736ر2  ميليون  ريال  از محل سود قابل تخصيص ، به اندوخته عمومي انتقال داده است . به موجب مفاد ياد شده و در صورت وجود سود قابل تخصيص ، هر سال معادل 1درصد از سود خالص  قابل انتقال  به  اندوخته عمومي است.</t>
  </si>
  <si>
    <t xml:space="preserve"> نقد حاصل از عملیات</t>
  </si>
  <si>
    <t>در تاریخ صورت وضعیت مالی شرکت فاقد دارایی های احتمالی بوده است .</t>
  </si>
  <si>
    <t xml:space="preserve"> اعتبارپرداختي به صندوق های  بازنشستگي,پس اندازورفاه كاركنان صنعت نفت (وام اضطراري و متمم مسكن )</t>
  </si>
  <si>
    <t>تعهدات سرمايه اي ناشي از قراردادهاي منعقده و مصوب در تاريخ صورت وضعیت مالی  به شرح زير است :</t>
  </si>
  <si>
    <t>خالص درآمد عملیاتی به تفکیک وابستگی اشخاص:</t>
  </si>
  <si>
    <t>سایر مشتریان</t>
  </si>
  <si>
    <t>درآمد عملیاتی</t>
  </si>
  <si>
    <t>درصد نسبت به کل</t>
  </si>
  <si>
    <t>نام مشتری</t>
  </si>
  <si>
    <t>میزان کل مطالبات</t>
  </si>
  <si>
    <t>میزان مطالبات سررسید شده</t>
  </si>
  <si>
    <t>کاهش ارزش</t>
  </si>
  <si>
    <t>كنترل سود/زیان ناشی ازفروش-جاری</t>
  </si>
  <si>
    <t>کسردوماه غلی الحساب</t>
  </si>
  <si>
    <t xml:space="preserve">انتقال طرح هاي شركت ملي مهندسي ساختمان از محل 5 درصد توسعه </t>
  </si>
  <si>
    <t>شركت پالايش نفت آبادان( حساب فيمابين)</t>
  </si>
  <si>
    <t>شرکت پالایش نفت کرمانشاه (حساب فيمابين)</t>
  </si>
  <si>
    <t>900064010-1155</t>
  </si>
  <si>
    <t>-8-2</t>
  </si>
  <si>
    <t>ذخاير جاري</t>
  </si>
  <si>
    <t xml:space="preserve">ذخاير سال گذشته </t>
  </si>
  <si>
    <t>تفاوت ذخاير</t>
  </si>
  <si>
    <t>اختلاف كل</t>
  </si>
  <si>
    <t xml:space="preserve">اختلاف خالص </t>
  </si>
  <si>
    <t>اختلاف پرداختني ها</t>
  </si>
  <si>
    <t>اسفند</t>
  </si>
  <si>
    <t>علی الحساب مازاد سقف</t>
  </si>
  <si>
    <t>شرکت گاز استان تهران</t>
  </si>
  <si>
    <t>06605620</t>
  </si>
  <si>
    <t>1399/12/30</t>
  </si>
  <si>
    <t>نصر ميثاق اهواز</t>
  </si>
  <si>
    <t>كيان تك ماشينهاي دوار</t>
  </si>
  <si>
    <t>فرينه فناور</t>
  </si>
  <si>
    <t>شركت پتروصدرالبرز</t>
  </si>
  <si>
    <t xml:space="preserve">علي الحساب پرداختي بابت خريد ماشين آلات و تجهيزات سرما يه اي </t>
  </si>
  <si>
    <t>ساير علي الحساب هاي پروژه هاي سرمايه اي شركت</t>
  </si>
  <si>
    <t>جمع كل:</t>
  </si>
  <si>
    <t>درآمدهاي عملياتي</t>
  </si>
  <si>
    <t xml:space="preserve">                       يادداشت هاي توضيحي صورت هاي مالي</t>
  </si>
  <si>
    <t>(افزایش)موجودي مواد و كالا</t>
  </si>
  <si>
    <t>(افزايش)  پيش پرداختها</t>
  </si>
  <si>
    <t>(کاهش)ذخایر</t>
  </si>
  <si>
    <t>افزایش پیش دریافت های عملیاتی</t>
  </si>
  <si>
    <t>شرکت خطوط لوله و مخابرات نفت ایران (سهامی خاص)</t>
  </si>
  <si>
    <t>تیر  1400</t>
  </si>
  <si>
    <t>کاربرگ جریان وجوه نقد</t>
  </si>
  <si>
    <t>چراغعلی خانی</t>
  </si>
  <si>
    <t>شرح طبقه دارایی</t>
  </si>
  <si>
    <t>مابه التفاوت</t>
  </si>
  <si>
    <t>مابه التفاوت اصلاحی</t>
  </si>
  <si>
    <t>جریان وجوه نقد</t>
  </si>
  <si>
    <t>بدهکار</t>
  </si>
  <si>
    <t>بستانکار</t>
  </si>
  <si>
    <t>عملیاتی</t>
  </si>
  <si>
    <t>سرمایه گذاری</t>
  </si>
  <si>
    <t>تامین مالی</t>
  </si>
  <si>
    <t>دریافتنی های تجاری وغیر تجاری</t>
  </si>
  <si>
    <t>پرداختنی های تجاری و ساير پرداختني ها</t>
  </si>
  <si>
    <t>پيش دريافت ها</t>
  </si>
  <si>
    <t>زیان خالص</t>
  </si>
  <si>
    <t>سود فروش دارایی ثابت</t>
  </si>
  <si>
    <t>مالیات بر درآمد</t>
  </si>
  <si>
    <t>سود ابرازی سهم دولت</t>
  </si>
  <si>
    <t>هزینه استهلاک</t>
  </si>
  <si>
    <t>12-1- گردش حساب پيش پرداخت ماليات عملكرد  بشرح ذيل است:</t>
  </si>
  <si>
    <t xml:space="preserve"> كاهش (افزايش)  دريافتني هاي عملياتي</t>
  </si>
  <si>
    <t xml:space="preserve">  جريان های نقدی حاصل از فعاليت هاي عملياتي</t>
  </si>
  <si>
    <t xml:space="preserve">   نقد حاصل از عملیات</t>
  </si>
  <si>
    <t xml:space="preserve">  پرداخت های نقدی بابت مالیات بر درآمد</t>
  </si>
  <si>
    <t xml:space="preserve">  جریان خالص ورود نقد حاصل از فعالیت های عملیاتی</t>
  </si>
  <si>
    <t xml:space="preserve">  جریان های نقدی حاصل از فعالیت های سرمایه گذاری</t>
  </si>
  <si>
    <t xml:space="preserve">   دریافت های نقدی حاصل از فروش دارایي هاي ثابت مشهود </t>
  </si>
  <si>
    <t xml:space="preserve">   پرداخت های نقدی برای  خريد دارایي هاي ثابت مشهود</t>
  </si>
  <si>
    <t xml:space="preserve">   پرداخت های نقدی برای  خريد دارایي هاي نامشهود</t>
  </si>
  <si>
    <t xml:space="preserve">  جریان های نقدی حاصل از فعالیت های تامین مالی</t>
  </si>
  <si>
    <t xml:space="preserve">  مانده موجودی نقد در ابتداي سال </t>
  </si>
  <si>
    <t xml:space="preserve">  مانده موجودی نقد در پايان سال</t>
  </si>
  <si>
    <t xml:space="preserve">  معاملات غیر نقدی </t>
  </si>
  <si>
    <t xml:space="preserve">    17-2-</t>
  </si>
  <si>
    <t xml:space="preserve"> هزينه ماليات بر درآمد </t>
  </si>
  <si>
    <t>6-3-</t>
  </si>
  <si>
    <t xml:space="preserve">  6-3-1 ـ</t>
  </si>
  <si>
    <t xml:space="preserve">     6-4-</t>
  </si>
  <si>
    <t xml:space="preserve">     6-4-1-</t>
  </si>
  <si>
    <t xml:space="preserve">      6-5-</t>
  </si>
  <si>
    <r>
      <rPr>
        <b/>
        <sz val="20"/>
        <rFont val="B Koodak"/>
        <charset val="178"/>
      </rPr>
      <t xml:space="preserve">   </t>
    </r>
    <r>
      <rPr>
        <b/>
        <sz val="16"/>
        <rFont val="B Koodak"/>
        <charset val="178"/>
      </rPr>
      <t xml:space="preserve">6-6- </t>
    </r>
  </si>
  <si>
    <r>
      <rPr>
        <b/>
        <sz val="18"/>
        <rFont val="B Koodak"/>
        <charset val="178"/>
      </rPr>
      <t xml:space="preserve"> </t>
    </r>
    <r>
      <rPr>
        <b/>
        <sz val="16"/>
        <rFont val="B Koodak"/>
        <charset val="178"/>
      </rPr>
      <t xml:space="preserve">   6-7-</t>
    </r>
  </si>
  <si>
    <t>6-7-1-</t>
  </si>
  <si>
    <t>-6-6-1</t>
  </si>
  <si>
    <t>5-3-1-</t>
  </si>
  <si>
    <t>شركت پتروشيمي شازند (نفتا ازخلیج فارس )</t>
  </si>
  <si>
    <t>شركت پتروشيمي شازند (نفتا ازآبادان )</t>
  </si>
  <si>
    <t xml:space="preserve">در راستاي رعايت  بند « و»  ماده (1) قانون الحاق برخي مواد به قانون تنظيم بخشي از مقررات مالي دولت (2) و مفاد ماده (13) آيين نام اجرايي ماده (1) قانون موصوف و  باستناد نامه شماره 402153-20/2  مورخ 1395/08/27  وزير محترم نفت خطاب به وزير امور اقتصادي و دارايي ، اين شركت  جزو  شركت هاي   فعال در زنجيره ارزش   ( توليد ، توزيع و انتقال) شركت ملي پالايش و پخش قرار گرفته  و از ابتداي  سال 1395  ، صورتحساب هاي  فروش  بابت درآمد انتقال نفت خام و فرآورده به شركت هاي دريافت كننده خدمات  (شركتهاي فعال در زنجيره)  بدون درج ارزش افزوده و عوارض فروش  صادر گرديده  و درآمدهاي مذكور را در اظهارنامه هاي ماليات بر ارزش افزوده  و عوارض  به عنوان درآمد معاف ثبت نموده است. </t>
  </si>
  <si>
    <t>1400/12/29</t>
  </si>
  <si>
    <t>سال 1400</t>
  </si>
  <si>
    <t>1400-ميليون ريال</t>
  </si>
  <si>
    <t>99-ميليون ريال</t>
  </si>
  <si>
    <t>سال1400</t>
  </si>
  <si>
    <t>ارسلان رحیمی</t>
  </si>
  <si>
    <t>1399/01/01</t>
  </si>
  <si>
    <t>مانده تجديد ارائه شده در 01 / 01 /1399</t>
  </si>
  <si>
    <t>مانده در پايان سال 1400</t>
  </si>
  <si>
    <t>مبلغ دفتري در پايان سال 1400</t>
  </si>
  <si>
    <t>مانده در پایان سال 1400</t>
  </si>
  <si>
    <t>مبلغ دفتری در پایان سال 1400</t>
  </si>
  <si>
    <t>علی الحساب سنوات بازنشستگی کارمندان</t>
  </si>
  <si>
    <t>کنترل تاسیسات مخابراتی-افزایش</t>
  </si>
  <si>
    <t>ودايع  آب ،برق وتلفن</t>
  </si>
  <si>
    <t>شركت پتروشيمي بندر امام خمینی</t>
  </si>
  <si>
    <t>بازسازی عتبات عالیات</t>
  </si>
  <si>
    <t>06605626</t>
  </si>
  <si>
    <t>06603436</t>
  </si>
  <si>
    <t>06505126</t>
  </si>
  <si>
    <t>کسردوماه علی الحساب</t>
  </si>
  <si>
    <t>06508997</t>
  </si>
  <si>
    <t>حساب معوق پاکتها ی موازنه نشده</t>
  </si>
  <si>
    <t>90002135</t>
  </si>
  <si>
    <t>اقساط وام بانک تجارت</t>
  </si>
  <si>
    <t>09290187</t>
  </si>
  <si>
    <t>اقساط وام اضطراری بانک مهر</t>
  </si>
  <si>
    <t>09290871</t>
  </si>
  <si>
    <t>شركت پتروشیمی ارومیه</t>
  </si>
  <si>
    <t>شركت گاز استان تهران</t>
  </si>
  <si>
    <t>90002140</t>
  </si>
  <si>
    <t>90002102</t>
  </si>
  <si>
    <t>90007112</t>
  </si>
  <si>
    <t>استهلاک تاسیسات ودستگاه ها-از رده خارج</t>
  </si>
  <si>
    <t>(برق)ذخیره استهلاک طی سال صنایع انتقال نیرو</t>
  </si>
  <si>
    <t>ذخيره استهلاك خطوط لوله - جريان گاز- افزایش</t>
  </si>
  <si>
    <t>ذخيره استهلاك خطوط لوله - جريان گاز-افزایش</t>
  </si>
  <si>
    <t>تنخواه گردان ذيحسابي طرحهاي عمراني-منابع داخلی</t>
  </si>
  <si>
    <t xml:space="preserve">از رده خارج شده </t>
  </si>
  <si>
    <t>بند د تبصره 16 قانون بودجه سال1400</t>
  </si>
  <si>
    <t>90005999</t>
  </si>
  <si>
    <t>ذخیره مطالبات مشکوک الوصول</t>
  </si>
  <si>
    <t>تسویه  طی سال بابت سود سهم دولت سال1396</t>
  </si>
  <si>
    <t xml:space="preserve"> تعديلات  عمدتاً مربوط به تسويه پيش پرداخت و علي الحساب سرمايه اي  پرداخت شده  در سال قبل مي باشد.</t>
  </si>
  <si>
    <t>بازیافتی کارکنان</t>
  </si>
  <si>
    <t xml:space="preserve">شركت ملي پالايش و پخش فرآورده هاي نفتي ايران </t>
  </si>
  <si>
    <t>صورت سود و زيان</t>
  </si>
  <si>
    <t xml:space="preserve">   دریافت های نقدی ناشی از  فروش دارایي هاي نامشهود</t>
  </si>
  <si>
    <t>هزینه مالیات بردرآمد</t>
  </si>
  <si>
    <t>تجاری :</t>
  </si>
  <si>
    <t>سایر دریافتنی ها:</t>
  </si>
  <si>
    <t>عضویت صندوق بسیج تندگویان</t>
  </si>
  <si>
    <t>حسابهای پرداختنی :</t>
  </si>
  <si>
    <t>شرکت ملی گاز</t>
  </si>
  <si>
    <t xml:space="preserve"> شركت گازاستان كرمان </t>
  </si>
  <si>
    <t>سایر پرداختنی ها :</t>
  </si>
  <si>
    <t>سود(زیان )خالص</t>
  </si>
  <si>
    <t>تعدیل قیمت اقلام سرمایه ای در انبار</t>
  </si>
  <si>
    <t>11-1-2 -</t>
  </si>
  <si>
    <t>11-1-2-2 -</t>
  </si>
  <si>
    <t xml:space="preserve">-11-1-2-1 </t>
  </si>
  <si>
    <t xml:space="preserve">
15</t>
  </si>
  <si>
    <t>حسابهای دریافتنی :</t>
  </si>
  <si>
    <t>ذخيره مستمري بازنشستگان بشرح زير است :</t>
  </si>
  <si>
    <t>13-2- موجودي مواد و كالا  تا ارزش046ر675ر4ميليون ريال در مقابل خطرات ناشي از حريق, سيل و زلزله بيمه شده است.</t>
  </si>
  <si>
    <t>13-1- کالای امانی نزد دیگران:</t>
  </si>
  <si>
    <t>نوع کالا</t>
  </si>
  <si>
    <t>محل نگهداری</t>
  </si>
  <si>
    <t>کارخانه پوشش سلفچگان</t>
  </si>
  <si>
    <t>10-1-سی وپنج درصد ارزش اسمی سهام شرکت پسماند و بازیافت حافظان محیط زیست سپاهان پرداخت و باقیمانده در تعهد شرکت است.</t>
  </si>
  <si>
    <t>شرکت ملی نفت ایران</t>
  </si>
  <si>
    <t>شركت ملی نفت ایران</t>
  </si>
  <si>
    <t xml:space="preserve">خزانه داری کل کشور-سود ابرازي سهم دولت </t>
  </si>
  <si>
    <t>عضو  هیات مدیره و رییس امور حقوقی وپیمانها</t>
  </si>
  <si>
    <r>
      <t xml:space="preserve">             صورت هاي مالي طبق استانداردهاي حسابداري تهيه شده و در تاريخ  </t>
    </r>
    <r>
      <rPr>
        <b/>
        <sz val="18"/>
        <color theme="0"/>
        <rFont val="B Koodak"/>
        <charset val="178"/>
      </rPr>
      <t>1401/04/11</t>
    </r>
    <r>
      <rPr>
        <b/>
        <sz val="18"/>
        <color theme="1"/>
        <rFont val="B Koodak"/>
        <charset val="178"/>
      </rPr>
      <t xml:space="preserve">  به تاييد هيات مديره شركت رسيده است.</t>
    </r>
  </si>
  <si>
    <t>سود سهم دولت</t>
  </si>
  <si>
    <t xml:space="preserve">             </t>
  </si>
  <si>
    <t xml:space="preserve">            </t>
  </si>
  <si>
    <t xml:space="preserve">         </t>
  </si>
  <si>
    <t xml:space="preserve">       </t>
  </si>
  <si>
    <t>تعويض پوشش خطوط لوله در مناطق12گانه</t>
  </si>
  <si>
    <t>تعويض70كيلومتر پوشش خط"32نفت خام مارون6به7</t>
  </si>
  <si>
    <t>ردیف</t>
  </si>
  <si>
    <t xml:space="preserve">عناوین بودجه تفصیلی </t>
  </si>
  <si>
    <t>بودجه مصوب</t>
  </si>
  <si>
    <t>بودجه اصلاحی</t>
  </si>
  <si>
    <t>عملکرد</t>
  </si>
  <si>
    <t>دلایل انحراف</t>
  </si>
  <si>
    <t>عطف به یادداشتهای همراه صورتهای مالی</t>
  </si>
  <si>
    <t>مبلغ</t>
  </si>
  <si>
    <t>درصد</t>
  </si>
  <si>
    <t>جمع کل هزینه</t>
  </si>
  <si>
    <t>تغییرات عملکرد نسبت به بودجه مصوب/اصلاحی</t>
  </si>
  <si>
    <t>عدم تکمیل پروژه</t>
  </si>
  <si>
    <t>یادداشت شماره(8)</t>
  </si>
  <si>
    <t>واحد سنجش</t>
  </si>
  <si>
    <t>مقدار هدف پیش بینی شده در بودجه مصوب</t>
  </si>
  <si>
    <t>مقدار هدف پیش بینی شده در بودجه اصلاحی</t>
  </si>
  <si>
    <t>مقدار عملکرد واقعی هدف</t>
  </si>
  <si>
    <t>انحراف مقدار عملکرد نسبت به مقدار هدف مصوب / اصلاحی</t>
  </si>
  <si>
    <t>میزان انحراف</t>
  </si>
  <si>
    <t>انتقال نفت خام و میعانات گازی</t>
  </si>
  <si>
    <t>میلیون لیتر</t>
  </si>
  <si>
    <t>تقاضای بیشتر خوراک توسط شرکتهای پالایش نفت</t>
  </si>
  <si>
    <t>انتقال فرآورده های نفتی</t>
  </si>
  <si>
    <t>افزایش در مصارف عمومی</t>
  </si>
  <si>
    <t>نام کالا/خدمت تولیدی با عنوان هدف</t>
  </si>
  <si>
    <t xml:space="preserve">سنجه عملکرد </t>
  </si>
  <si>
    <t>هزینه ریالی هر واحد تولید / خدمت / هدف طبق بودجه مصوب</t>
  </si>
  <si>
    <t>هزینه ریالی هر واحد تولید / خدمت / هدف طبق بودجه اصلاحی</t>
  </si>
  <si>
    <t>عملکرد ریالی واقعی هر واحد تولید / خدمت / هدف</t>
  </si>
  <si>
    <t>بودجه ریالی مصوب هدف</t>
  </si>
  <si>
    <t>عملکرد ریالی هدف</t>
  </si>
  <si>
    <t>توسعه وحفظ مخابرات شرکتهای تابعه نفت</t>
  </si>
  <si>
    <t>سایر درآمدها</t>
  </si>
  <si>
    <t>افزایش درخواست حمل نسبت به مقدار پیش بینی شده</t>
  </si>
  <si>
    <t>افزایش فروش اموال اسقاطی شرکت</t>
  </si>
  <si>
    <t>نام کالا/خدمت تولیدی یا 
عنوان هدف</t>
  </si>
  <si>
    <t xml:space="preserve">  جريان خالص  خروج  نقد حاصل ازفعاليت هاي سرمايه گذاري</t>
  </si>
  <si>
    <t>سود عملیاتی</t>
  </si>
  <si>
    <t xml:space="preserve">شرکت کارنو ایده ال </t>
  </si>
  <si>
    <t>شرکت چکاد جنوب</t>
  </si>
  <si>
    <t>شرکت البرز توربین</t>
  </si>
  <si>
    <t>شرکت فنی مهندسی پتروشیمی فارس</t>
  </si>
  <si>
    <t>شرکت کیان تک ماشینهای دوار</t>
  </si>
  <si>
    <t>شرکت توربين ماشين خاورميانه</t>
  </si>
  <si>
    <t>شرکت نصر ميثاق اهواز</t>
  </si>
  <si>
    <t>پیش از موعد</t>
  </si>
  <si>
    <t>عادی</t>
  </si>
  <si>
    <t>پرداختي طي سال</t>
  </si>
  <si>
    <t>مانده پایان سال</t>
  </si>
  <si>
    <t>برداشت خزانه داری بابت بند د تبصره 16 قانون بودجه سال1400</t>
  </si>
  <si>
    <t xml:space="preserve">شركت پالايش نفت اصفهان (غذا،اياب ذهاب و منازل سازماني) </t>
  </si>
  <si>
    <t>انتقالی از شرکت ملی مهندسی</t>
  </si>
  <si>
    <t>پیش پرداخت خرید های سرمایه ای</t>
  </si>
  <si>
    <r>
      <t xml:space="preserve">خدمات پيمانكاري </t>
    </r>
    <r>
      <rPr>
        <b/>
        <sz val="16"/>
        <rFont val="B Koodak"/>
        <charset val="178"/>
      </rPr>
      <t xml:space="preserve">(حراست، نگهداشت، تامين نيروي انساني و رستوران) </t>
    </r>
  </si>
  <si>
    <t>زيان خالص  شده سال 1399</t>
  </si>
  <si>
    <t>سایر اطلاعات همراه صورت های مالی</t>
  </si>
  <si>
    <t>تغییرات عملکرد نسبت به بودجه اصلاحی</t>
  </si>
  <si>
    <t>عطف به یادداشت های همراه صورت های مالی</t>
  </si>
  <si>
    <t xml:space="preserve">درآمدها </t>
  </si>
  <si>
    <t>درآمد حاصل از ارائه خدمات</t>
  </si>
  <si>
    <t xml:space="preserve">افزایش درخواست انتقال نسبت به مقدار پیش بینی شده </t>
  </si>
  <si>
    <t>جمع کل درآمد</t>
  </si>
  <si>
    <t>5و7</t>
  </si>
  <si>
    <t>جمع خالص درآمد</t>
  </si>
  <si>
    <t>جمع دستمزد و مزایای کارگران</t>
  </si>
  <si>
    <t>دستمزد و مزایا</t>
  </si>
  <si>
    <t>اضافه کار</t>
  </si>
  <si>
    <t>عیدی و پاداش</t>
  </si>
  <si>
    <t>حق بیمه و بازنشستگی سهم کارفرما</t>
  </si>
  <si>
    <t>جمع حقوق و مزایای کارمندان</t>
  </si>
  <si>
    <t>حقوق و مزایای مستمر ( حقوق و مزایای حکم )</t>
  </si>
  <si>
    <t>خدمات قراردادی - اشخاص حقیقی</t>
  </si>
  <si>
    <t>هزینه سایر کارکنان</t>
  </si>
  <si>
    <t xml:space="preserve">جمع حقوق و دستمزد پرداختی در تولید </t>
  </si>
  <si>
    <t>خدمات قراردادی - اشخاص حقوقی</t>
  </si>
  <si>
    <t>استهلاک عوامل تولید</t>
  </si>
  <si>
    <t>اجاره محل</t>
  </si>
  <si>
    <t>لوازم یدکی و ابزار کار</t>
  </si>
  <si>
    <t>سوخت ماشین آلات</t>
  </si>
  <si>
    <t>آب و برق و سوخت</t>
  </si>
  <si>
    <t>تعمیرات و نگهداری</t>
  </si>
  <si>
    <t>لوازم و مواد مصرفی</t>
  </si>
  <si>
    <t>حق بیمه</t>
  </si>
  <si>
    <t>سایر هزینه های عمومی تولید</t>
  </si>
  <si>
    <t>جمع هزینه های سربار تولید</t>
  </si>
  <si>
    <t>قیمت تمام شده تولید</t>
  </si>
  <si>
    <t>قیمت تمام شده کالای فروش رفته یا خدمات انجام شده</t>
  </si>
  <si>
    <t>سود ( زیان ) ناخالص</t>
  </si>
  <si>
    <t>هزینه های توزیع و فروش</t>
  </si>
  <si>
    <t>سایر هزینه های توزیع و فروش</t>
  </si>
  <si>
    <t>جمع هزینه های توزیع و فروش</t>
  </si>
  <si>
    <t>هزینه های اداری و عمومی</t>
  </si>
  <si>
    <t>جمع حقوق و دستمزد پرداختی در اداری و عمومی</t>
  </si>
  <si>
    <t>پست و تلفن</t>
  </si>
  <si>
    <t>ملزومات اداری</t>
  </si>
  <si>
    <t>کارمزد بانکی</t>
  </si>
  <si>
    <t xml:space="preserve">ایاب و ذهاب </t>
  </si>
  <si>
    <t>مراسم و پذیرایی</t>
  </si>
  <si>
    <t>جمع پاداش سنوات خدمت کارکنان</t>
  </si>
  <si>
    <t>ذخیره و پاداش پایان خدمت بازنشستگان</t>
  </si>
  <si>
    <t>سایر هزینه های بازنشستگان</t>
  </si>
  <si>
    <t>سایر هزینه های اداری</t>
  </si>
  <si>
    <t>هزینه تحقیقات ( جزئی از سایر هزینه های اداری )</t>
  </si>
  <si>
    <t>جمع هزینه های اداری و عمومی</t>
  </si>
  <si>
    <t>جمع هزینه های توزیع و فروش و اداری و عمومی</t>
  </si>
  <si>
    <t>سود ( زیان ) عملیاتی</t>
  </si>
  <si>
    <t>هزینه های مالی</t>
  </si>
  <si>
    <t>( سایر پرداختها )</t>
  </si>
  <si>
    <t xml:space="preserve">مالیات </t>
  </si>
  <si>
    <t xml:space="preserve"> 50%سود ویژه</t>
  </si>
  <si>
    <t>حساب تخصیص سود</t>
  </si>
  <si>
    <t xml:space="preserve">اندوخته سرمایه ای </t>
  </si>
  <si>
    <t>جمع حساب تخصیص سود</t>
  </si>
  <si>
    <t>ذخایر سال</t>
  </si>
  <si>
    <t>منابع</t>
  </si>
  <si>
    <t>اندوخته های سال</t>
  </si>
  <si>
    <t>سایر منابع</t>
  </si>
  <si>
    <t>جمع منابع</t>
  </si>
  <si>
    <t>مصارف</t>
  </si>
  <si>
    <t>زمین</t>
  </si>
  <si>
    <t xml:space="preserve">تاسیسات </t>
  </si>
  <si>
    <t>ماشین آلات</t>
  </si>
  <si>
    <t>وسایط نقلیه</t>
  </si>
  <si>
    <t>اثاثیه و لوازم اداری</t>
  </si>
  <si>
    <t>سرمایه گذاری در تحقیقات و پژوهش</t>
  </si>
  <si>
    <t>جمع هزینه های سرمایه ای</t>
  </si>
  <si>
    <t>جمع مصارف</t>
  </si>
  <si>
    <t>سود خالص نقل به حساب تخصیص سود / منابع تامین زیان</t>
  </si>
  <si>
    <t xml:space="preserve">سود قبل از کسر مالیات </t>
  </si>
  <si>
    <t>عدم اختصاص بودجه مناسب توسط سازمان برنامه وبودجه</t>
  </si>
  <si>
    <t>عدم اختصاص بودجه مناسب توسط سازمان  برنامه وبودجه</t>
  </si>
  <si>
    <t>عدم اختصاص بودجه مناسب توسط سازمان برنامه وبودجه وافزایش نرخ اقلام پیمانکاری</t>
  </si>
  <si>
    <t>صرفه جویی در هزینه ها</t>
  </si>
  <si>
    <t xml:space="preserve">صرفه جویی در خرید لوازم </t>
  </si>
  <si>
    <t>صرفه جویی در مصرف سوخت</t>
  </si>
  <si>
    <t>محدودیت در خرید وسائط نقلیه</t>
  </si>
  <si>
    <t>شرکت ایران اویل فیلد سوپلای کیش</t>
  </si>
  <si>
    <t>شرکت کارنو ایده ال آرمان</t>
  </si>
  <si>
    <t>ارزی</t>
  </si>
  <si>
    <t>ریالی</t>
  </si>
  <si>
    <t>یادداشت</t>
  </si>
  <si>
    <t>−</t>
  </si>
  <si>
    <t>صورت های مالی</t>
  </si>
  <si>
    <t>مجمع عمومی عادی صاحبان سهام</t>
  </si>
  <si>
    <t>با احترام</t>
  </si>
  <si>
    <t>اجزای تشکیل دهنده صورت های مالی به قرار زیر است:</t>
  </si>
  <si>
    <t>اعضای هیات مدیره</t>
  </si>
  <si>
    <t>رییس هیات مدیره و مدیر عامل</t>
  </si>
  <si>
    <t>عضو هیات مدیره و مدیر امور مالی</t>
  </si>
  <si>
    <t>تهران ، خیابان طالقانی ، خیابان شهید سپهبد قرنی ، شماره 188 ، کد پستی 95913-15989 تلفن 61651</t>
  </si>
  <si>
    <t>شناسه ملی شرکت 10101921197 ، WWW.IOPTC.ir</t>
  </si>
  <si>
    <t>شرکت خطوط لوله و مخابرات نفت ایران  (سهامی خاص)</t>
  </si>
  <si>
    <t>رویدادهای پس از تاریخ پایان دوره گزارشگری</t>
  </si>
  <si>
    <t xml:space="preserve">وضعیت ارزی </t>
  </si>
  <si>
    <t>25-1 -</t>
  </si>
  <si>
    <t xml:space="preserve"> سود(زیان) </t>
  </si>
  <si>
    <t>شركت پالايش نفت آبادان(غذا،اياب و  ذهاب و منازل سازماني)</t>
  </si>
  <si>
    <t xml:space="preserve">حق العلاج كاركنان توسط بهداري و بهداشت </t>
  </si>
  <si>
    <t>ساير  (غذا ، اياب و ذهاب و منازل سازماني)</t>
  </si>
  <si>
    <t>اصلاحات وتعدیلات حسابرس</t>
  </si>
  <si>
    <t>مانده صورتهای مالی</t>
  </si>
  <si>
    <t>مانده نهائی صورتهای مالی</t>
  </si>
  <si>
    <t>مانده طبق دفاتر</t>
  </si>
  <si>
    <t>قبل از بستن حساب 1401</t>
  </si>
  <si>
    <t xml:space="preserve"> 1401با بستن حسابها </t>
  </si>
  <si>
    <t>1401 ميليون ريال</t>
  </si>
  <si>
    <t xml:space="preserve"> سال مالي منتهي به 29 اسفند 1401</t>
  </si>
  <si>
    <t>در 29 اسفند 1401</t>
  </si>
  <si>
    <t>1401/12/29</t>
  </si>
  <si>
    <t>1400/12/30</t>
  </si>
  <si>
    <t>سال 1401</t>
  </si>
  <si>
    <t>شش ماهه1401</t>
  </si>
  <si>
    <t>سال1401</t>
  </si>
  <si>
    <t>به تاریخ 29 اسفند 1401</t>
  </si>
  <si>
    <t>مانده در 01 / 01 / 1400</t>
  </si>
  <si>
    <t>تغييرات حقوق مالكانه در سال1400</t>
  </si>
  <si>
    <t>مانده  در 29 / 12 /1400</t>
  </si>
  <si>
    <t>مانده در 29 / 12 / 1401</t>
  </si>
  <si>
    <t>سال منتهی به 29 اسفند 1401</t>
  </si>
  <si>
    <t>به پیوست صورت های مالی شرکت خطوط لوله و مخابرات نفت ایران (سهامی خاص) مربوط به سال مالی منتهی به 29 اسفند 1401 تقدیم می شود.</t>
  </si>
  <si>
    <t>مانده در ابتداي سال1400</t>
  </si>
  <si>
    <t>مانده در پايان سال1400</t>
  </si>
  <si>
    <t>مانده در پايان سال 1401</t>
  </si>
  <si>
    <t>مبلغ دفتري در پايان سال 1401</t>
  </si>
  <si>
    <t>عملکرد تا پایان سال1401</t>
  </si>
  <si>
    <t>اعتبار مصوب تا پایان سال1401</t>
  </si>
  <si>
    <t>مانده در پایان سال 1401</t>
  </si>
  <si>
    <t>مبلغ دفتری در پایان سال 1401</t>
  </si>
  <si>
    <t>بابت 1/12 مالیات بردرآمد سال1401 مبلغ 000ر50 میلیون ریال پرداخت شده است.</t>
  </si>
  <si>
    <t>هیچگونه کاهش ارزشی در رابطه با مطالبات از اشخاص وابسته در سالهای 1401 و 1400 شناسایی نشده است.</t>
  </si>
  <si>
    <t>گزارش تطبیق عملکرد با بودجه اصلاحی ( اقلام جاری ) سال مالی 1401</t>
  </si>
  <si>
    <t>سال مالی منتهی به 29 اسفند 1401</t>
  </si>
  <si>
    <t>گزارش تطبیق عملکرد با بودجه اصلاحی ( اقلام سرمایه ای ) سال مالی 1401</t>
  </si>
  <si>
    <t>جدول شماره (1)- گزارش تطبیق عملکرد با بودجه مصوب /اصلاحی (اقلام سرمایه ای) سال مالی 1401</t>
  </si>
  <si>
    <t xml:space="preserve">توضیح اینکه جدول فوق در راستای دستورالعمل موضوع جزء (3-1) بند "د" تبصره (2) قانون بودجه سال 1402 کل کشور تهیه شده است. </t>
  </si>
  <si>
    <t>جدول شماره (2)- گزارش تطبیق مقادیر کمی اهداف پیش بینی شده در بودجه مصوب / اصلاحی با عملکرد سالانه سال مالی 1401</t>
  </si>
  <si>
    <t xml:space="preserve">توضیح اینکه جداول فوق در راستای دستورالعمل موضوع جزء (3-1) بند "د" تبصره (2) قانون بودجه سال 1402 کل کشور تهیه شده است. </t>
  </si>
  <si>
    <t>جدول شماره (3)- گزارش تطبیق عملکرد ریالی با اهداف کمی برنامه ریزی شده (ریالی) در بودجه مصوب / اصلاحی سال مالی 1401</t>
  </si>
  <si>
    <t>90002117</t>
  </si>
  <si>
    <t>کنترل افزایش اموال غیر منقول(ساختمان و تاسیسات)</t>
  </si>
  <si>
    <t>90006595</t>
  </si>
  <si>
    <t>90006596</t>
  </si>
  <si>
    <t>مالیات بر ارزش افزوده فروش 9 درصد</t>
  </si>
  <si>
    <t>مالیات بر ارزش افزوده خرید 9 درصد</t>
  </si>
  <si>
    <t>هزینه برق منازل سازمانی</t>
  </si>
  <si>
    <t>09298251</t>
  </si>
  <si>
    <t>شرکت گاز استان گلستان</t>
  </si>
  <si>
    <t>شركت  گاز استان البرز</t>
  </si>
  <si>
    <t>شرکت بازرگانی گاز ایران</t>
  </si>
  <si>
    <t>09301220</t>
  </si>
  <si>
    <t>حق عضویت باشگاه نفت مشهد</t>
  </si>
  <si>
    <t>09301842</t>
  </si>
  <si>
    <t>کسر اقساط بیمه آسیا</t>
  </si>
  <si>
    <t>09306438</t>
  </si>
  <si>
    <t>باشگاه نفت شیراز</t>
  </si>
  <si>
    <t>برداشت خزانه داری بر اساس قانون بودجه سال1401</t>
  </si>
  <si>
    <t>50درصد سود سهم دولت سال1400</t>
  </si>
  <si>
    <t>براساس نامه شماره 55/251669 مورخ 1401/12/07 خزانه داری کل کشور سود  سهام سال 1401از محل مطالبات سنوات گذشته تهاتر شده است.</t>
  </si>
  <si>
    <t xml:space="preserve"> بدهيهاي احتمالي شامل دعاوي مطروحه شركت در تاريخ صورت وضعیت مالی 335فقره بوده كه 31فقره آن خاتمه يافته و  304فقره در جريان است  74فقره دعاوي شركت عليه اشخاص ثالث  و 261فقره دعاوي اشخاص ثالث عليه شركت) كه بهاي خواسته (آثاراحتمالي مالي)  دعاوي در جريان ، در حدود 000ر000ر1ميليون ريال است.</t>
  </si>
  <si>
    <t>علی حبیبی</t>
  </si>
  <si>
    <t>محسن اعلایی</t>
  </si>
  <si>
    <t>1398-1402</t>
  </si>
  <si>
    <t>درآمد ارائه خدمات وکالا</t>
  </si>
  <si>
    <t>درامد حاصل از جریمه تاخیر تعهدات پیمانکاران</t>
  </si>
  <si>
    <t>شرکت پالایش نفت تبریز(نفتا)</t>
  </si>
  <si>
    <t>عضو هیات مدیره و سرپرست امور حقوقی و پیمان ها</t>
  </si>
  <si>
    <t>زیان خالص سال 1401</t>
  </si>
  <si>
    <t>تعدیلات پیش پرداخت های  پیمانکاران سرمایه ای</t>
  </si>
  <si>
    <t xml:space="preserve">ساختمان </t>
  </si>
  <si>
    <t>شرکت توربین خاور میانه</t>
  </si>
  <si>
    <t>شرکت فناوران تجارت پویا</t>
  </si>
  <si>
    <t>شرکت آراد صنعت ماهان</t>
  </si>
  <si>
    <t>شرکت پترو دوار انرژی پژوهان</t>
  </si>
  <si>
    <t>طرح احداث خطوط لوله نفت خام ترش سبزآب /تنگ فنی/ ری</t>
  </si>
  <si>
    <t>سایر شرکتها(12)</t>
  </si>
  <si>
    <t>092902010101</t>
  </si>
  <si>
    <t>شرکت ملی پالایش وپخش فرآورده های نفتی ایران</t>
  </si>
  <si>
    <t>منابع دریافتی از محل سایر منابع مربوط به شرکت ملی ومهندسی  و ساختمان  نفت ایران</t>
  </si>
  <si>
    <t>تسويه پيش پرداخت قطعي شده سال1396</t>
  </si>
  <si>
    <t>تسويه پيش پرداخت قطعي شده سال1399</t>
  </si>
  <si>
    <t>رسیدگی شده به دفاتر</t>
  </si>
  <si>
    <t>92</t>
  </si>
  <si>
    <t>91</t>
  </si>
  <si>
    <t>100</t>
  </si>
  <si>
    <t>73</t>
  </si>
  <si>
    <t>95</t>
  </si>
  <si>
    <t>84</t>
  </si>
  <si>
    <t>78</t>
  </si>
  <si>
    <t>90</t>
  </si>
  <si>
    <t>79</t>
  </si>
  <si>
    <t>81</t>
  </si>
  <si>
    <t>80</t>
  </si>
  <si>
    <t>74</t>
  </si>
  <si>
    <t>57</t>
  </si>
  <si>
    <t>99</t>
  </si>
  <si>
    <t>94</t>
  </si>
  <si>
    <t xml:space="preserve">تن </t>
  </si>
  <si>
    <t>شرکت پالایش نفت آبادان (ریفورمیت)</t>
  </si>
  <si>
    <t xml:space="preserve">مانده در    1401/12/29 </t>
  </si>
  <si>
    <t>انتقال طرح هاي شركت ملي مهندسي ساختمان از محل تراز انتقالی</t>
  </si>
  <si>
    <t>واحد</t>
  </si>
  <si>
    <t>هزار لیتر</t>
  </si>
  <si>
    <t>مالیات عملکرد شرکت  سال 1396  مطابق برگ قطعی به مبلغ534ر572پرداخت و تسویه شده است.</t>
  </si>
  <si>
    <t>مالیات عملکرد شرکت  سال 1399  مطابق برگ قطعی به مبلغ311ر280پرداخت و تسویه شده است.</t>
  </si>
  <si>
    <t xml:space="preserve">  ماليات عملكرد سال1400 مطابق برگ تشخیصی به مبلغ 577ر884  ریال  مطالبه شده و شرکت اعتراض خود را نسبت به برگ تشخیص صادره طی لایحه دفاعیه اعلام نموده است.</t>
  </si>
  <si>
    <t>شرکت ملی پخش فرآورده های نفتی</t>
  </si>
  <si>
    <t>شرکت پالایش نفت آبادان</t>
  </si>
  <si>
    <t>بخشی از هزینه بیمه در سال1402 مستهلک می شود</t>
  </si>
  <si>
    <t>هادی شیخ مقدس</t>
  </si>
  <si>
    <t xml:space="preserve">  افزايش(کاهش)  پرداختني هاي عملياتي</t>
  </si>
  <si>
    <t>شماره یادداشت</t>
  </si>
  <si>
    <t>• صورت سود و زیان</t>
  </si>
  <si>
    <t>• صورت وضعیت مالی</t>
  </si>
  <si>
    <t>• صورت جریان های نقدی</t>
  </si>
  <si>
    <t>• صورت تغییرات در حقوق مالکانه</t>
  </si>
  <si>
    <t>• یادداشت های توضیحی و سایر اطلاعات مالی</t>
  </si>
  <si>
    <t>نرخ</t>
  </si>
  <si>
    <t xml:space="preserve"> مالیات پرداختنی</t>
  </si>
  <si>
    <t>بالای 5 سال</t>
  </si>
  <si>
    <t xml:space="preserve">  خالص افزایش (کاهش) در موجودی نقد</t>
  </si>
  <si>
    <t>پرداختنی های بلند مدت</t>
  </si>
  <si>
    <t>سایر( 69 شرکت)</t>
  </si>
  <si>
    <t>عضو اصلی و معاون مدیر عامل</t>
  </si>
  <si>
    <t>نایب رییس هیات مدیره و مدیر خطوط لوله</t>
  </si>
  <si>
    <t>احمد بهفرد</t>
  </si>
  <si>
    <t>عضو علی البدل ومدیر مخابرات</t>
  </si>
  <si>
    <t>سال مالی منتهی به 29 اسفند1401</t>
  </si>
  <si>
    <t xml:space="preserve">8-1- دارايي هاي ثابت مشهود شركت تا ارزش 474ر808ر60 ميليون ريال به استثناء خطوط انتقال نفت خام وفرآورده های نفتی  در مقابل خطرات احتمالي ناشي از حريق ، سيل و زلزله از پوشش بيمه اي به  مبلغ000ر000ر3 میلیون ریال‌ برخوردار است .      </t>
  </si>
  <si>
    <t>شركت  پالایش نفت امام خمینی شازند</t>
  </si>
  <si>
    <t>0/0001</t>
  </si>
  <si>
    <t>0/000018</t>
  </si>
  <si>
    <t>پیش پرداخت</t>
  </si>
  <si>
    <t>علی الحساب</t>
  </si>
  <si>
    <t>درآمد اجاره خط لوله مسیر تبریز میاندوآب</t>
  </si>
  <si>
    <t xml:space="preserve">مانده در 1400/12/29 </t>
  </si>
  <si>
    <t>واحد اندازه گیری ( متر)</t>
  </si>
  <si>
    <t>6-1-خطوط انتقال نفت خام و فرآورده در شركت به طول 106ر14كيلومتر با ظرفيت اسمي انتقال  250 ميليارد ليتر در سال مي باشد كه در سال 1401  عملكرد  واقعي ميزان انتقال شركت 131 ميليارد ليتر بوده است.</t>
  </si>
  <si>
    <t>منابع دریافتی از محل تراز انتقالی شرکت ملی مهندسی و ساختمان نفت ایران</t>
  </si>
  <si>
    <t>برگشت منابع دریافتی از محل تراز انتقالی شرکت ملی مهندسی و ساختمان نفت ایران</t>
  </si>
  <si>
    <t>سپرده حسن انجام كار ، سپرده حسن انجام تعهد وذخیره طلب  پيمانكاران  سرمايه اي (شرکت ملی مهندسی)</t>
  </si>
  <si>
    <t>17-1-1</t>
  </si>
  <si>
    <t>17-1-6-</t>
  </si>
  <si>
    <t>17-1-6-1-</t>
  </si>
  <si>
    <t>طرح احداث خطوط لوله 20 اينچ نايين/كاشان/ري</t>
  </si>
  <si>
    <t>انتقال به دارایی</t>
  </si>
  <si>
    <t xml:space="preserve">مبلغ 300ر039ر37ميليون ريال از طرح هاي در جریان  تكميل شركت خطوط لوله و مخابرات توسط شرکت ملی مهندسی و ساختمان در حال انجام است كه اقلام تشكيل دهنده آن به شرح زيراست  : </t>
  </si>
  <si>
    <t>هزینه های انجام شده از محل منابع داخلی و 5 درصد</t>
  </si>
  <si>
    <t>برگشت به پالایش وپخش از محل 5 درصد</t>
  </si>
  <si>
    <t>مانده</t>
  </si>
  <si>
    <t>هزینه های  انجام شده از محل منابع  داخلی</t>
  </si>
  <si>
    <t>تراز انتقالی</t>
  </si>
  <si>
    <t xml:space="preserve">بازنشستگي و پس انداز و بيمه كارمندان رسمي </t>
  </si>
  <si>
    <t>دیون بابت بهره برداری از خط نایین/ کاشان / ری</t>
  </si>
  <si>
    <t>مالیات بر درآمد دستمزد کارگران</t>
  </si>
  <si>
    <t>علی الحساب سنوات کارکنان،درمان</t>
  </si>
  <si>
    <t xml:space="preserve">ودیعه مسکن  امانی کارکنان </t>
  </si>
  <si>
    <t>برگشت علی الحساب سرمایه ای-انتقالی به  شرکت ملی مهندسی وساختمان ایران</t>
  </si>
  <si>
    <t xml:space="preserve"> مستمري باز نشستگان(يادداشت6-1-17)</t>
  </si>
  <si>
    <t xml:space="preserve"> پرداختي طي سال شامل  هزينـه هاي مستمري بازنشستگان ( قبل از موعـدو طـرح الحاقي) وهزينه مزاياي بازنشستگان  عـادي  از قبيل : عيـدي، بن كالاي اساسي ، 
عائله مندي، حق اولاد، درمان و رفاهي به استناد نامه هاي  شماره 582222 مورخ 91/12/27 و شماره  62877مورخ 1386/03/29 تدوين روشها و مقررات مالي نفت مي باشد.ذخیره تامین شده بابت حقوق  مستمری بگیران می باشد.</t>
  </si>
  <si>
    <t>حقوق پرداختني بابت خالص حقوق  و تسويه حساب نهايي كارمندان ، صندوق بسیج تندگویان</t>
  </si>
  <si>
    <t>کارانه و پاداش</t>
  </si>
  <si>
    <t>پرداختنی های  تجاری</t>
  </si>
  <si>
    <t>8-3-1-</t>
  </si>
  <si>
    <t xml:space="preserve"> مبلغ 650ر324 میلیون ریال مربط به دو شرکت  کارنوایده ال (338ر576 یورو) و  شرکت توربین ماشین خاور میانه (000ر857یورو ) می باشد.</t>
  </si>
  <si>
    <t>درهم امارات</t>
  </si>
  <si>
    <t>یورو</t>
  </si>
  <si>
    <t>سایر حسابهای پرداختنی تجاری</t>
  </si>
  <si>
    <t>جمع دارایی های پولی ارزی</t>
  </si>
  <si>
    <t>جمع بدهی های پولی ارزی</t>
  </si>
  <si>
    <t>خالص دارایی ها (بدهی های ) پولی ارزی</t>
  </si>
  <si>
    <t>خالص دارایی ها (بدهی های ) پولی ارزی در تاریخ 1400/12/29</t>
  </si>
  <si>
    <t>معادل ریالی خالص دارایی ها (بدهی های) پولی ارزی (میلیون ریال)</t>
  </si>
  <si>
    <t>ج- طرح40621189 (طرح تعویض پوشش وتعویض خطوط لوله نفت خام وفرآورده)</t>
  </si>
  <si>
    <t>د-طرح1301034005  ( طرح اتصال نیروگاه ها به خطوط انتقال فرآورده )</t>
  </si>
  <si>
    <t>جمع طرح 1301034005</t>
  </si>
  <si>
    <t xml:space="preserve"> طرح 130134005 اتصال نیروگاه ها به خطوط لوله انتقال فرآورده</t>
  </si>
  <si>
    <t>د-</t>
  </si>
  <si>
    <t>اتصال نیروگاه ها به خطوط انتقال فرآورده</t>
  </si>
  <si>
    <t>1401-1403</t>
  </si>
  <si>
    <t>جمع طرح 1301034005 شرکت خطوط لوله و مخابرات نفت ایران</t>
  </si>
  <si>
    <t>مقايسه بودجه طرح ها در سال 1401 (براساس موافقتنامه هاي تنظيمي با  سازمان برنامه وبودجه كشور طي طرحهاي شماره( 40621078 و 40621155  و40621189 و1301034005) كه اعتبار آنها از محل منابع داخلي شركت خطوط لوله و مخابرات نفت  ايران) با عملكرد(یادداشت توضیحی 2-8 صورتهای مالی) به شرح جدول ذيل است :</t>
  </si>
  <si>
    <t>مقايسه بودجه طرح ها در سال 1401 (براساس موافقتنامه هاي تنظيمي با  سازمان برنامه وبودجه كشور طي طرحهاي شماره( 40621078  و 40621155  و40621189 و1301034005) كه اعتبار آنها از محل منابع داخلي شرکت خطوط لوله و مخابرات نفت ایران ) با عملكرد(یادداشت توضیحی 2-8 صورتهای مالی) به شرح جدول ذيل است :</t>
  </si>
  <si>
    <t>بابت طرح 1301034005 (طرح اتصال نیروگاه ها به خطوط انتقال فرآورده)در سال 1401 منابعی از شرکت ملی پالایش وپخش فراورده های نفتی ایران دریافت نشده است.</t>
  </si>
  <si>
    <t>معادل ریالی خالص دارایی ها (بدهی های) پولی ارزی در تاریخ 1400/12/29</t>
  </si>
  <si>
    <t>تجدید طبقه بندی</t>
  </si>
  <si>
    <t>به  منظور ارائه تصویری مناسب از وضعیت مالی ونتایج عملیات  ، کلیه اطلاعات مقایسه ای در صورت های مالی اصلاح وارائه مجدد شده است و به همین دلیل مقایسه ای بعضا" با صورت های مالی ارائه شده در سال مالی قبل مطابقت ندارد.</t>
  </si>
  <si>
    <t>اصلاح و ارائه مجدد صورت های مالی سال 1400</t>
  </si>
  <si>
    <t>طبق صورت های مالی 1400/12/29</t>
  </si>
  <si>
    <t>(تجدید ارائه شده1400/12/29)</t>
  </si>
  <si>
    <t>دارایی هی ثابت مشهود</t>
  </si>
  <si>
    <t>دریافتنی های تجاری و سایر دریافتنی ها</t>
  </si>
  <si>
    <t>26-1 -</t>
  </si>
  <si>
    <t>6-40</t>
  </si>
  <si>
    <t>(تجدید ارائه شده)</t>
  </si>
  <si>
    <t>-19-1</t>
  </si>
  <si>
    <t>-19-1-1</t>
  </si>
  <si>
    <t>به  منظور ارائه تصویری مناسب از وضعیت مالی و نتایج عملیات  ، کلیه اطلاعات مقایسه ای در صورت های مالی اصلاح و ارائه مجدد شده است و به همین دلیل مقایسه ای بعضا" با صورت های مالی ارائه شده در سال مالی قبل مطابقت ندارد.</t>
  </si>
  <si>
    <t xml:space="preserve">مالیات پرداختنی </t>
  </si>
  <si>
    <t>خلاصه وضعیت مالیات و عوارض ارزش افزوده به شرح زیر است .</t>
  </si>
  <si>
    <t>اظهار نامه فصلی شرکت</t>
  </si>
  <si>
    <t>20-</t>
  </si>
  <si>
    <t>23- مدیریت سرمایه و ریسک ها</t>
  </si>
  <si>
    <t>23-1- مدیریت سرمایه</t>
  </si>
  <si>
    <t xml:space="preserve">23-1-1 - نسبت اهرمی </t>
  </si>
  <si>
    <r>
      <rPr>
        <b/>
        <sz val="24"/>
        <color theme="1"/>
        <rFont val="B Koodak"/>
        <charset val="178"/>
      </rPr>
      <t>23-3-ریسک بازار</t>
    </r>
    <r>
      <rPr>
        <b/>
        <sz val="22"/>
        <color theme="1"/>
        <rFont val="B Koodak"/>
        <charset val="178"/>
      </rPr>
      <t xml:space="preserve">
فعالیت های شرکت در وهله اول آن را در معرض ریسک تغییرات در نرخ های مبادله ارزی قرار می دهد.شرکت به منظور مدیریت کردن آسیب پذیری از ریسک ارز، موارد زیر را بکار می گیرد: 
آسیب پذیری از ریسک بازار با استفاده از تجزیه وتحلیل حساسیت،اندازه گیری می شود.تجزیه وتحلیل حساسیت ،تاثیر یک تغییر منطقی محتمل در نرخ ارز در طی سال را ارزیابی می کند.دوره زمانی طولانی تر برای تجزیه وتحلیل حساسیت،ارزش در معرض ریسک را تکمیل می کند و به شرکت در ارزیابی آسیب پذیری از ریسک های بازار ،کمک می کند. هیچگونه تغییری در آسیب پذیری شرکت از ریسک های بازار یا نحوه مدیریت واندازه گیری آن ریسک ها،رخ نداده است.</t>
    </r>
  </si>
  <si>
    <t>23-4-مدیریت ریسک اعتباری
ریسک اعتباری به ریسکی اشاره دارد که طرف قرارداد در ایفای تعهدات قراردادی خود ناتوان باشد که منجر به زیان مالی برای شرکت شود. شرکت سیاستی مبنی بر معامله تنها با طرف‌های قرارداد معتبر و اخذ وثیقه کافی، در موارد مقتضی، را اتخاذ کرده است، تا ریسک اعتباری ناشی از ناتوانی در ایفای تعهدات توسط مشتریان را کاهش دهد. شرکت تنها با شرکت‌هایی معامله می‌کند که رتبه اعتباری بالایی داشته باشند. شرکت با استفاده از اطلاعات مالی عمومی و سوابق معاملاتی خود، مشتریان عمده خود را رتبه‌بندی اعتباری می‌کند. آسیب‌پذیری شرکت و رتبه‌بندی اعتباری طرف قراردادهای آن، به طور مستمر نظارت شده و ارزش کل معاملات با طرف قراردادهای تاییدشده گسترش می‌یابد. آسیب‌پذیری اعتباری از طریق محدودیت‌های طرف قرارداد که به طور سالانه توسط هیئت مدیره شرکت بررسی و تایید می‌شود، کنترل می‌شود. دریافتنی‌های تجاری شامل شرکت های زیر مجموعه نفت می باشد. ارزیابی اعتباری مستمر بر اساس وضعیت مالی حساب‌های دریافتنی انجام می‌شود. همچنین شرکت هیچگونه وثیقه یا سایر روش‌های افزایش اعتبار به منظور پوشش ریسک‌های اعتباری مرتبط با دارایی‌های مالی خود نگهداری نمی‌کند.شرکت آسیب پذیری ریسک اعتباری با اهمیتی نسبت به هیچ یک از طرف های قرارداد ندارد.</t>
  </si>
  <si>
    <r>
      <rPr>
        <b/>
        <sz val="24"/>
        <color theme="1"/>
        <rFont val="B Koodak"/>
        <charset val="178"/>
      </rPr>
      <t>23-5- مدیریت ریسک نقدینگی</t>
    </r>
    <r>
      <rPr>
        <b/>
        <sz val="22"/>
        <color theme="1"/>
        <rFont val="B Koodak"/>
        <charset val="178"/>
      </rPr>
      <t xml:space="preserve">
شرکت برای مدیریت ریسک نقدینگی، یک چارچوب ریسک نقدینگی مناسب برای مدیریت کوتاه‌مدت، میان‌مدت و بلندمدت تامین وجوه و الزامات مدیریت نقدینگی تعیین کرده است. شرکت ریسک نقدینگی را از طریق نگهداری سپرده کافی، از طریق نظارت مستمر بر جریان‌های نقدی پیش‌بینی‌شده و واقعی، و از طریق تطبیق مقاطع سررسید دارایی‌ها و بدهی‌های مالی، مدیریت می‌کند.</t>
    </r>
    <r>
      <rPr>
        <sz val="22"/>
        <color theme="1"/>
        <rFont val="B Koodak"/>
        <charset val="178"/>
      </rPr>
      <t xml:space="preserve">
</t>
    </r>
  </si>
  <si>
    <t>24-</t>
  </si>
  <si>
    <t>25-2 -</t>
  </si>
  <si>
    <t>25-3 -</t>
  </si>
  <si>
    <t>26-</t>
  </si>
  <si>
    <t>27-1 -</t>
  </si>
  <si>
    <t>27-2 -</t>
  </si>
  <si>
    <t>27-3 -</t>
  </si>
  <si>
    <t>27-4-</t>
  </si>
  <si>
    <t>20-1</t>
  </si>
  <si>
    <t>مانده در ابتدای  سال</t>
  </si>
  <si>
    <t>ذخیره مالیات عملکرد سال</t>
  </si>
  <si>
    <t>پرداختی طی سال</t>
  </si>
  <si>
    <t>20-2</t>
  </si>
  <si>
    <t>خلاصه وضعیت مالیات پرداختنی به شرح زیر است :</t>
  </si>
  <si>
    <t>20-2-1-</t>
  </si>
  <si>
    <t>20-2-2-</t>
  </si>
  <si>
    <t>20-2-3-</t>
  </si>
  <si>
    <t>20-2-4-</t>
  </si>
  <si>
    <t xml:space="preserve">گردش حساب مالیات پرداختنی ( شامل مانده حساب ذخیره و اسناد پرداختنی ) به قرار زیر است : </t>
  </si>
  <si>
    <t>جریمه</t>
  </si>
  <si>
    <t>اصل</t>
  </si>
  <si>
    <t>مانده طلب</t>
  </si>
  <si>
    <t xml:space="preserve">مازاد مورد مطالبه دارایی </t>
  </si>
  <si>
    <t xml:space="preserve">(یاداشت 1-12)پیش پرداخت های مالیات </t>
  </si>
  <si>
    <t>پرداخت نقدی</t>
  </si>
  <si>
    <t>شرکت اعتراض خود را طی نامه شماره127871-1402 مورخ 1401/09/27 بابت اصل و جریمه مالیات بر ارزش افزوده سال1396 به شورای عالی مالیاتی اعلام نموده است</t>
  </si>
  <si>
    <t>شرکت ا عتراض خود را نامه طی نامه  شماره 22633-1402 مورخ 1402/02/17 بابت اصل و جریمه  مالیات بر ارزش افزوده سال 1395 و 1397 به مرکز عالی دادخواهی مالیاتی  و تشخیص صلاحیت حرفه ای  اعلام نموده است.</t>
  </si>
  <si>
    <t>شرکت اعتراض خود را طی نامه شماره 60491-1401 مورخ 1401/05/09 بابت اصل و جریمه مالیات بر ارزش افزوده سال1398 به اداره کل امور مالیاتی مودیان بزرگ اعلام نموده است .</t>
  </si>
  <si>
    <t>شرکت اعتراض خود را طی نامه شماره 137757-1401 مورخ 1401/05/17 بابت اصل و جریمه مالیات بر ارزش افزوده سال1399 به اداره کل امور مالیاتی مودیان بزرگ اعلام نموده است.</t>
  </si>
  <si>
    <t>شرکت اعتراض خود را طی نامه شماره 52514-1402 مورخ 1402/04/18 بابت اصل و جریمه مالیات بر ارزش افزوده سال1400 به اداره کل امور مالیاتی مودیان بزرگ اعلام نموده است.</t>
  </si>
  <si>
    <t>11-1-2-3</t>
  </si>
  <si>
    <t>11-1-2-4</t>
  </si>
  <si>
    <t>11-1-2-5</t>
  </si>
  <si>
    <t>11-1-2-6</t>
  </si>
  <si>
    <t>11-1-2-7</t>
  </si>
  <si>
    <t>11-1-2-8 -</t>
  </si>
  <si>
    <r>
      <t>حقوق ودستمزد و مزایای کارکنان بر اساس آیین نامه نظام های اداری واستخدامی وزارت نفت و تبعیت از آیین نامه خاصی که توسط ریاست جمهوری تصویب شده،پرداخت گردیده است. وفق (بند3 ماده19) فصل پنجم آیین نامه مذکور ، اضافات عمومی سالیانه متناسب با افزایش حقوق کارکنان دولت انجام می پذیرد.که در سال 1401 نیز به استناد تصویب نامه های 21487/ت59826 مورخ 1401/02/15 هیات وزیران ومصویه شماره263-20/2 مورخ 1401/03/31وزارت نفت (کارکنان رسمی) بمیزان 10درصد افزایش یافت . اضافات شایستگی کارکنان رسمی نیز به طور متوسط 10درصد برای کل کارکنان طبق بخشنامه شماره  ت ه م / 144260 مورخ 1401/4/1 وزارت نفت اعمال گردید مضافاً باستناد مجوزات صادره توسط مقامات مجاز سقف حقوق  و مزایای مستمر و غیر مستمر کارکنان وزارت نفت مطابق دستورالعمل خاص خود بوده و از جزء 8 بند الف تبصره 12 قانون بودجه سال 1401 تبعیت نمی کند . همچنین بموجب آرای شماره  73 و 601 هیئت عمومی دیوان عدالت اداری و نامه شماره 464968 مورخ 1400/11/10 معاونت توسعه مدیریت و سرمایه انسانی وزارت نفت ، مالیات حقوق کارکنان اصلاح و مازاد پرداختی سال 1400 و 1401 جمعا بمبلغ 965ر923 میلیون ریال بحساب طلب از سازمان امور مالیاتی منظور گردید . لازم بذکر است بموجب نامه های دریافتی از سازمان امور مالیاتی کشور بتاریخ 1400/11/23 و 1401/4/4 ، مالیات اضافه پرداختی مورد ادعای شرکت در زمان رسیدگی و حسابرسی مالیاتی مورد بررسی و در صورت هر گونه مغایرت با فصل مالیات بر درآمد حقوق و آرای دیوان عدالت اداری ، مالیات و جرائم متعلقه توسط آن سازمان قابل مطالبه می باشد و در صورت احراز اضافه پرداختی مورد ادعای شرکت در برگه تشخیص صادره اعمال خواهد گردید که تا تاریخ تایید صورت مالی نتایج آن مشخص نشده است (یادداشت توضیحی 1-11) که این امر موجب افزایش هزینه حقوق و مزایای کارکنان در سال 1401 شده است و طبق تصوب نامه شماره ت ه م/144370 مورخ 1401/04/01 وزارت نفت(کارکنان مدت موقت) به میزان 38% باضافه روزانه 722ر171 ریال آخرین مزد ثابت افزایش یافت.</t>
    </r>
    <r>
      <rPr>
        <sz val="14"/>
        <color theme="5" tint="0.39997558519241921"/>
        <rFont val="B Koodak"/>
        <charset val="178"/>
      </rPr>
      <t>.</t>
    </r>
    <r>
      <rPr>
        <sz val="14"/>
        <rFont val="B Koodak"/>
        <charset val="178"/>
      </rPr>
      <t xml:space="preserve"> همچنین به موجب تصویب نامه شماره 726-20/2 مورخ 1401/8/24 وزارت نفت و بخشنامه شماره 62603 مورخ 1401/8/23 سازمان اداری و استخدامی مبلغ (000ر059ر10ریال) بصورت ثابت و در ردیف مستقل با عنوان ترمیم حقوق پرداخت گردید . </t>
    </r>
  </si>
  <si>
    <t>مشتریان کانال های مخابراتی</t>
  </si>
  <si>
    <t xml:space="preserve">شركت پالایش گاز بيد بلند </t>
  </si>
  <si>
    <t>مانده 50درصد سود ابرازي سهم دولت بابت مازاد پرداختي سود بر اساس قانون بودجه  سال1401 و ماده 4 قانون الحاق برخي مواد به قانون تنظيم بخشي از مقررات مالي دولت (2)  بشرح ذيل است :</t>
  </si>
  <si>
    <t>صورت های مالی طبق استاندارد های حسابداری تهیه شده و در تاریخ 1402/04/20    به تایید هیات مدیره شرکت رسیده است.</t>
  </si>
  <si>
    <t>سایر اشخاص وابسته</t>
  </si>
  <si>
    <t>کسرمی شود انتقال به مالیات پرداختنی (یادداشت1-20)</t>
  </si>
  <si>
    <t>شركت ملي نفت ایران</t>
  </si>
  <si>
    <t xml:space="preserve">رسیدگی نشده </t>
  </si>
  <si>
    <t xml:space="preserve"> رسیدگی به دفاتر</t>
  </si>
  <si>
    <t xml:space="preserve">دارایی های غیرجاری </t>
  </si>
  <si>
    <t>جمع دارایی های غیرجاری</t>
  </si>
  <si>
    <t>اندوخته عمومی</t>
  </si>
  <si>
    <t>سود خالص گزارش شده در صورت های سال مالی 1400</t>
  </si>
  <si>
    <t>تغييرات حقوق مالكانه در سال1401</t>
  </si>
  <si>
    <t xml:space="preserve">  جريان خالص ورود(خروج) نقد قبل ازفعاليت های تامین مالی</t>
  </si>
  <si>
    <t xml:space="preserve">استهلاك انباشته  </t>
  </si>
  <si>
    <t>96</t>
  </si>
  <si>
    <t>75</t>
  </si>
  <si>
    <t>83</t>
  </si>
  <si>
    <t>72</t>
  </si>
  <si>
    <t>54</t>
  </si>
  <si>
    <t>98</t>
  </si>
  <si>
    <t>97</t>
  </si>
  <si>
    <t>86</t>
  </si>
  <si>
    <t>8-3-1</t>
  </si>
  <si>
    <t xml:space="preserve">بهای تمام شده </t>
  </si>
  <si>
    <t>پرداختهاي نقدي طی سال</t>
  </si>
  <si>
    <t>لوله 16 اینچ</t>
  </si>
  <si>
    <t>سرمايه شركت در 1401/12/29 معادل  12000ميليارد ريال شامل 120  ميليون سهم يكصد هزار ريالي با نام  تمام پرداخت شده است . سرمايه شركت  متعلق به شركت ملي پالايش و پخش فرآورده هاي نفتي ايران بوده و طبق تبصره ماده 4 اساسنامه ، مديران شركت فاقد سهام تضميني هستند .در تاریخ 1402/03/21 جلسه  مجمع عمومی فوق العاده به منظور کاهش و افزایش سرمایه شرکت با حضور اکثریت اعضا در محل شرکت ملی پالایش وپخش فرآورده های نفتی ایران تشکیل  و با کاهش سرمایه به مبلغ 047ر838ر7  میلیون ریال و افزایش سرمایه به مبلغ  000ر000ر10 میلیون ریال موافقت بعمل آمد. و مراحل ثبت آن در جریان می باشد.</t>
  </si>
  <si>
    <t>ماشین آلات ولوازم یدکی</t>
  </si>
  <si>
    <t>پوشاک والبسه</t>
  </si>
  <si>
    <t>کالای ساختمانی</t>
  </si>
  <si>
    <t>نگهداشت</t>
  </si>
  <si>
    <t>حمل ونقل زمینی</t>
  </si>
  <si>
    <t>ماموريت استعلاجي، ماموریت اداری وكمك هاي فرهنگي و بهداشتي، عوارض نوسازي و نقليه</t>
  </si>
  <si>
    <t>بیمه تاسیسات و حوادث</t>
  </si>
  <si>
    <t>تعمیرات توسط گروه های خارج از شرکت</t>
  </si>
  <si>
    <r>
      <t xml:space="preserve"> علت افزايش </t>
    </r>
    <r>
      <rPr>
        <b/>
        <sz val="14"/>
        <rFont val="B Koodak"/>
        <charset val="178"/>
      </rPr>
      <t>خدمات پيمانكاري</t>
    </r>
    <r>
      <rPr>
        <sz val="14"/>
        <rFont val="B Koodak"/>
        <charset val="178"/>
      </rPr>
      <t xml:space="preserve"> , مربوط به افزايش نرخ و اقلام خدمات پيمانكاري و پرداخت حق الزحمه بهره وري به استناد( ابلاغ مصوبه شماره م ت م س ا 326822  مورخ 1400/08/02 ) شورای اداری و استخدامی وزارت نفت انجام شده است.</t>
    </r>
  </si>
  <si>
    <t>شرکت ملی پخش فرآورده های نفتی ایران( حساب فيمابين)</t>
  </si>
  <si>
    <t>ماده 10 قانون وظایف واختیارات وزارت نفت</t>
  </si>
  <si>
    <t xml:space="preserve"> 17-1-7-هزینه های پرداختنی</t>
  </si>
  <si>
    <t>پتروشیمی اراک</t>
  </si>
  <si>
    <t>پتروشیمی تبریز</t>
  </si>
  <si>
    <t>شرکت ملی  ومهندسی نفت و ساختمان</t>
  </si>
  <si>
    <t>مالیات بر درآمد حقوق کارمندان</t>
  </si>
  <si>
    <t>سایر اشخاص وابسته به شرح زیر می باشد:</t>
  </si>
  <si>
    <t>هزینه های پرداختنی</t>
  </si>
  <si>
    <t>17-1-2</t>
  </si>
  <si>
    <t>17-1-1-</t>
  </si>
  <si>
    <t>17-1-2-</t>
  </si>
  <si>
    <t>17-1-3</t>
  </si>
  <si>
    <t>ساير( پرداخت های نیابتی وخدمات في مابين )</t>
  </si>
  <si>
    <t>17-1-1-1- گردش حساب جاري فيمابين با شركت ملي پالايش و پخش به شرح ذيل است :</t>
  </si>
  <si>
    <t>17-1-1-2- تسهيم تامين منابع جاري بر اساس  مطالبات اين شركت بابت كارمزد انتقال  سال جاري در حساب فيمابين با شركتهاي پالايشي و شركت ملي پخش  فرآورده های نفتی ایران پس از كسر  بدهي هاي اين شركت بابت خدمات دريافتي  از شركتهاي مذكورصورت گرفته است.</t>
  </si>
  <si>
    <t>هزینه های تحقق یافته پرداخت نشده</t>
  </si>
  <si>
    <t>گردش بدهی بلند مدت به  شركت ملي پالايش و پخش فرآورده هاي نفتي ايران بابت منابع دریافتی برای انچام پروژه های سرمایه ای و نوسازی خطوط به شرح زير است :</t>
  </si>
  <si>
    <t>انتقال داراييهاي  درجريان تكميل ،پيش پرداخت و علي الحساب  سرمايه اي ، اقلام سرمايه اي انبار) به شركت ملي پالايش و پخش فرآورده هاي نفتي ايران (یادداشت 2-8)</t>
  </si>
  <si>
    <t>بابت تصویب افزایش سرمایه در تاریخ1402/03/21 (به شرح یادداشت15)</t>
  </si>
  <si>
    <r>
      <rPr>
        <b/>
        <sz val="20"/>
        <rFont val="B Koodak"/>
        <charset val="178"/>
      </rPr>
      <t>شرکت سرمایه خود را مدیریت می‌کند تا اطمینان حاصل کند در حین حداکثر کردن بازده ذینفعان از طریق بهینه‌سازی تعادل بدهی و سرمایه، قادر به تداوم فعالیت خواهد بود. ساختار سرمایه شرکت از خالص بدهی و حقوق مالکانه تشکیل می‌شود. استراتژی کلی شرکت از سال های قبل بدون تغییر باقی مانده است و شرکت در معرض هیچگونه الزامات سرمایه تحمیل شده از خارج از شرکت نیست.هیئت مدیره شرکت،ساختار سرمایه شرکت را شش ماه یکبار بررسی می‌کند.به عنوان بخشی از این بررسی، کمیته،هزینه سرمایه و ریسک‌های مرتبط با هر طبقه از سرمایه را مدنظر قرار می‌دهد.  نسبت اهرمی  به عنوان نسبت خالص بدهی به حقوق مالکانه تعیین شده است. نسبت اهرمی در 1401/12/29 معادل 50ر62بوده است.در تاریخ 1402/03/21 صورتجلسه مجمع عمومی فوق العاده به منظور کاهش وافزایش سرمایه شرکت تشکیل و با کاهش سرمایه به مبلغ 047ر838ر7 میلیون ریال و افزایش سرمایه به مبلغ  000ر000ر10 میلیون ریال موافقت بعمل آمد.</t>
    </r>
    <r>
      <rPr>
        <sz val="20"/>
        <rFont val="B Koodak"/>
        <charset val="178"/>
      </rPr>
      <t xml:space="preserve">
</t>
    </r>
  </si>
  <si>
    <r>
      <rPr>
        <b/>
        <sz val="24"/>
        <color theme="1"/>
        <rFont val="B Koodak"/>
        <charset val="178"/>
      </rPr>
      <t>23-2- اهداف مدیریت ریسک مالی</t>
    </r>
    <r>
      <rPr>
        <b/>
        <sz val="22"/>
        <color theme="1"/>
        <rFont val="B Koodak"/>
        <charset val="178"/>
      </rPr>
      <t xml:space="preserve">
هیئت مدیره شرکت، خدماتی برای دسترسی هماهنگ به بازارهای مالی داخلی و نظارت و مدیریت ریسک‌های مالی مربوط به عملیات شرکت از طریق گزارش‌های ریسک داخلی که آسیب‌پذیری را بر حسب درجه و اندازه ریسک‌ها تجزیه و تحلیل می‌کند، ارائه می‌کند. این ریسک‌ها شامل ریسک اعتباری و ریسک نقدینگی می‌باشد. کمیته مدیریت ریسک شرکت که بر ریسک‌ها و سیاست‌های اجرا شده نظارت می‌کند تا آسیب‌پذیری از ریسک‌ها را کاهش دهد، به صورت فصلی به هیات مدیره گزارش می‌دهد.
شرکت به دنبال حداقل کردن اثرات این ریسک‌ها از طریق گزارش های ریسک داخلی است. رعایت سیاست‌ها و محدودیت‌های آسیب‌پذیری، توسط حسابرسان داخلی به طور مستمر بررسی می‌شود.</t>
    </r>
  </si>
  <si>
    <t>11-1-1</t>
  </si>
  <si>
    <t>حساب معلق اعلامیه ها</t>
  </si>
  <si>
    <t>تجاری</t>
  </si>
  <si>
    <t>حسابهاي دريافتني</t>
  </si>
  <si>
    <t xml:space="preserve">اشخاص وابسته </t>
  </si>
  <si>
    <t>11-1-1-اشخاص وابسته به شرح زیر است:</t>
  </si>
  <si>
    <t>11-1-2</t>
  </si>
  <si>
    <t>11-1-2- سایر اشخاص وابسته به شرح زیر است:</t>
  </si>
  <si>
    <t>11-1-3 -</t>
  </si>
  <si>
    <t>11-1-3</t>
  </si>
  <si>
    <t>1 -11-1-3 -</t>
  </si>
  <si>
    <t>17-1-3-</t>
  </si>
  <si>
    <t xml:space="preserve"> 17-1-4-عمده بدهي ثبت شده در حساب في مابين شركت ملي گاز مربوط به هزينه گاز مصرفي و برق مصرفی  مراکز انتقال نفت اين شركت بوده كه بر اساس توافقات انجام شده بين شركت ملي گاز (نماينده 
               وزارت نفت) و وزارت نيرو به منظور تهاتر به حساب في مابين آن شركت ثبت شده است.     </t>
  </si>
  <si>
    <t xml:space="preserve"> 17-1-5- حق بيمه پيمانكاران سرمايه اي مربوط به 5درصد بيمه مكسوره محاسبات پيمانهاي سرمايه اي مي باشد.</t>
  </si>
  <si>
    <t>بدهی به پیمانکاران</t>
  </si>
  <si>
    <t>بدهی به پیمانکاران به شرح زیر است:</t>
  </si>
  <si>
    <t>از مبلغ 673ر371میلیون ریال مبلغ 754ر144 میلیون ریال مربوط به حسابهای کنترلی دستمزد می باشد.</t>
  </si>
  <si>
    <t>پرداخت های نیابتی بابت مستمری بازنشستگان</t>
  </si>
  <si>
    <t>پرداخت های نیابتی بابت حق العلاج کارکنان</t>
  </si>
  <si>
    <t xml:space="preserve"> مبلغ 831ر624 میلیون ریال مربط به سه شرکت ایران اویل فیلد سوپلای کیش (332ر433ر5 درهم  ا مارات) ، شرکت کارنو ایده ال آرمان (718ر302 یورو ) و شرکت فناوران تجارت پویا (223ر173 درهم امارات ) می باشد.</t>
  </si>
  <si>
    <t>17-1-6</t>
  </si>
  <si>
    <t xml:space="preserve">بیمه </t>
  </si>
  <si>
    <t>خالص طلب پیمانکاران</t>
  </si>
  <si>
    <t>حمع</t>
  </si>
  <si>
    <t>سپرده حسن انجام کار</t>
  </si>
  <si>
    <t>1400</t>
  </si>
  <si>
    <t>سپرده هاي دريافتي مزايده ومناقصه جاري</t>
  </si>
  <si>
    <t>سایر شرکتها ( حق بیمه پیمانکاران جاری)</t>
  </si>
  <si>
    <t>سایر شرکتها ( حق بیمه پیمانکاران سرمایه ای)</t>
  </si>
  <si>
    <t>سایر شرکتها(سپرده حسن انجام کار)</t>
  </si>
  <si>
    <t>سایر شرکتها(خالص کارکرد پیمانکاران جاری)</t>
  </si>
  <si>
    <t>سایر شرکتها (خالص کارکرد پیمانکاران سرمایه ای)</t>
  </si>
  <si>
    <t>20</t>
  </si>
  <si>
    <t xml:space="preserve"> سايردر آمد هاي غير عملياتي </t>
  </si>
  <si>
    <t>بدهی های غیرجاری</t>
  </si>
  <si>
    <t>جمع بدهی های غیرجاری</t>
  </si>
  <si>
    <t>حقوق مالکانه و بدهی ها</t>
  </si>
  <si>
    <t>پرداخت های نقدی بابت سود سهم دولت</t>
  </si>
  <si>
    <t xml:space="preserve"> بر اساس جداول پيوست  آئين نامه اجرايي بند (ح)ماده یک قانون الحاق برخی مواد به قانون تنظیم بخشی از مقررات مالی دولت (2)و  قانون بودجه سال  1401كل كشور   ، نرخ انتقال نفت خام و ميعانات گازي به ازاي هر ليتر 417.85ريال و براي فرآورده هاي نفتي به ازاي هر ليتر395ريال محاسبه گرديده است.شركت جهت ظرفيت هاي بلا استفاده خود بر اساس مصوبه هيئت مديره ، طبق توافق نامه هاي في مابين ، نسبت به انتقال فراورده ها براي پتروشيمي تبريز از مبادی آبادان و تهران تا تاریخ 1401/04/30به ازاي هر تن به ترتیب  733ر160ر3   ريال و 474ر342ر1 ریال  و از تاریخ 1401/0/5/01 به ازای هر تن به ترتیب 360ر120ر5 ریال و 129ر268ر2 ریال و براي  پتروشيمي شازند از مبادی آبادان  به ازای هر تن به ترتیب 896ر765ر2  ريال  اقدام نموده است .</t>
  </si>
  <si>
    <t>6--2-1-</t>
  </si>
  <si>
    <t xml:space="preserve">عمده سایر کالا و مواد مربوط به </t>
  </si>
  <si>
    <t>علت افزايش هزينه هاي گاز و حق العلاج ناشي از افزايش نرخ و افزايش هزينه هاي حقوق و دستمزد است .</t>
  </si>
  <si>
    <t>انتقال دارایی در جریان تکمیل از محل 5% عوارض توسعه به شرکت ملی پالایش و پخش فرآورده های نفتی ایران  براساس دستورالعلهای انتقال مخارج طرحهای سرمایه ای به شماره  ام/ت/18106مورخ 1396/03/09 و  ام/ب/46449مورخ1396/07/02صورت پذیرفته است.</t>
  </si>
  <si>
    <t>)</t>
  </si>
  <si>
    <t>مبالغ به میلیون ریال)</t>
  </si>
  <si>
    <t>تعدیلات سرمایه ای (انتقال به جاری ، تراز انتقالی به شرکت ملی مهندسی وساختمان نفت ایران  )</t>
  </si>
  <si>
    <t xml:space="preserve">برگشت  پيش پرداختهاي سرمايه اي  انتقالي به شركت ملي مهندسي و ساختمان نفت ایران </t>
  </si>
  <si>
    <t>تسویه علی الحساب سرمایه ای شرکت (خریدهای سرمایه ای و پیمانکاران سرمایه ای)</t>
  </si>
  <si>
    <t>تسویه پیش پرداختی های شرکت (خریدهای داخلی و خارجی و پیمانکاران سرمایه ای)</t>
  </si>
  <si>
    <t xml:space="preserve"> تسهيم تامين منابع جاري به حساب شركتهاي پالايشي و شركت ملي پخش متناسب با كارمزد انتقال  نفت خام و فرآورده های نفتی</t>
  </si>
  <si>
    <r>
      <t xml:space="preserve">تحصیل دارایی هاي ثابت مشهود از محل اعتبارات  </t>
    </r>
    <r>
      <rPr>
        <b/>
        <sz val="20"/>
        <color indexed="8"/>
        <rFont val="B Koodak"/>
        <charset val="178"/>
      </rPr>
      <t xml:space="preserve">شرکت ملی پالایش و پخش فرآورده های نفتی ایران </t>
    </r>
  </si>
  <si>
    <t xml:space="preserve">اقلام انتقالي از شركت ملي مهندسي وساختمان نفت ايران </t>
  </si>
  <si>
    <t>مجمع عمومی فوق العاده شرکت در تاریخ 1402/03/21 تشکیل و به منظور تامین وجوه لازم به منظور برون رفت از مفاد ماده 141 قانون اصلاحیه تجارت  واصلاح زیان انباشته، افزایش سرمایه شرکت را به مبلغ 000ر000ر10 میلیون ریال تصویب کرده است.</t>
  </si>
  <si>
    <t xml:space="preserve">رویدادهایی که  از تاریخ پایان دوره گزارشگری تا تاریخ تایید صورتهای مالی اتفاق افتاده اما  مستلزم تعدیل  اقلام صورتهای مالی نبوده به شرح زیر است. </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</si>
</sst>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0_-;_-* #,##0\-;_-* &quot;-&quot;_-;_-@_-"/>
    <numFmt numFmtId="44" formatCode="_-&quot;ريال&quot;\ * #,##0.00_-;_-&quot;ريال&quot;\ * #,##0.00\-;_-&quot;ريال&quot;\ * &quot;-&quot;??_-;_-@_-"/>
    <numFmt numFmtId="43" formatCode="_-* #,##0.00_-;_-* #,##0.00\-;_-* &quot;-&quot;??_-;_-@_-"/>
    <numFmt numFmtId="164" formatCode="_(* #,##0_);_(* \(#,##0\);_(* &quot;-&quot;_);_(@_)"/>
    <numFmt numFmtId="165" formatCode="_(* #,##0.00_);_(* \(#,##0.00\);_(* &quot;-&quot;??_);_(@_)"/>
    <numFmt numFmtId="166" formatCode="B2yyyy/mm/dd"/>
    <numFmt numFmtId="167" formatCode="#,##0;[Red]\(#,##0\);\-;"/>
    <numFmt numFmtId="168" formatCode="#,###_-;\(#,###\)"/>
    <numFmt numFmtId="169" formatCode="#,##0_-;\(#\)"/>
    <numFmt numFmtId="170" formatCode="#,##0._-;\(#,##0\)"/>
    <numFmt numFmtId="171" formatCode="#,##0.0;[Red]#,##0.0"/>
    <numFmt numFmtId="172" formatCode="#,##0.000"/>
    <numFmt numFmtId="173" formatCode="#,##0.00;[Red]#,##0.00"/>
    <numFmt numFmtId="174" formatCode="_-* #,##0_-;_-* #,##0\-;_-* &quot;-&quot;??_-;_-@_-"/>
    <numFmt numFmtId="175" formatCode="#,##0_ ;[Red]\-#,##0\ "/>
    <numFmt numFmtId="176" formatCode="0.0"/>
    <numFmt numFmtId="177" formatCode="#,##0.0"/>
    <numFmt numFmtId="178" formatCode="_-&quot;ريال&quot;\ * #,##0.000_-;_-&quot;ريال&quot;\ * #,##0.000\-;_-&quot;ريال&quot;\ * &quot;-&quot;??_-;_-@_-"/>
    <numFmt numFmtId="179" formatCode="0.000"/>
    <numFmt numFmtId="180" formatCode="#,##0.00000;[Red]#,##0.00000"/>
    <numFmt numFmtId="181" formatCode="#,##0.0000"/>
    <numFmt numFmtId="182" formatCode="[$£-809]#,##0.00"/>
    <numFmt numFmtId="183" formatCode="_(* #,##0.0_);_(* \(#,##0.0\);_(* &quot;-&quot;_);_(@_)"/>
    <numFmt numFmtId="184" formatCode="#,##0_ ;[Red]\(#,###\)\ "/>
    <numFmt numFmtId="185" formatCode="#,##0.00000000"/>
    <numFmt numFmtId="186" formatCode="#,##0;[Red]\(#,##0\);\-"/>
    <numFmt numFmtId="187" formatCode="_(* #,##0_);_(* \(#,##0\);_(* &quot;-&quot;??_);_(@_)"/>
    <numFmt numFmtId="188" formatCode="&quot;$&quot;#,##0.00"/>
    <numFmt numFmtId="189" formatCode="_(* #,##0.0_);_(* \(#,##0.0\);_(* &quot;-&quot;??_);_(@_)"/>
  </numFmts>
  <fonts count="301">
    <font>
      <sz val="11"/>
      <color theme="1"/>
      <name val="Arial"/>
      <family val="2"/>
      <charset val="178"/>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font>
    <font>
      <sz val="10"/>
      <name val="Arial"/>
      <family val="2"/>
    </font>
    <font>
      <b/>
      <sz val="16"/>
      <color indexed="8"/>
      <name val="Titr"/>
    </font>
    <font>
      <b/>
      <sz val="16"/>
      <color indexed="9"/>
      <name val="Titr"/>
    </font>
    <font>
      <b/>
      <sz val="10"/>
      <color indexed="8"/>
      <name val="Titr"/>
    </font>
    <font>
      <b/>
      <sz val="10"/>
      <color indexed="9"/>
      <name val="Titr"/>
    </font>
    <font>
      <u/>
      <sz val="9"/>
      <color indexed="8"/>
      <name val="Titr"/>
    </font>
    <font>
      <sz val="12"/>
      <name val="Arial"/>
      <family val="2"/>
    </font>
    <font>
      <b/>
      <sz val="11"/>
      <name val="Roya"/>
      <charset val="178"/>
    </font>
    <font>
      <b/>
      <sz val="12"/>
      <name val="Roya"/>
      <charset val="178"/>
    </font>
    <font>
      <b/>
      <sz val="12"/>
      <color indexed="12"/>
      <name val="Roya"/>
      <charset val="178"/>
    </font>
    <font>
      <b/>
      <sz val="12"/>
      <color indexed="10"/>
      <name val="Roya"/>
      <charset val="178"/>
    </font>
    <font>
      <b/>
      <sz val="12"/>
      <name val="Arial"/>
      <family val="2"/>
    </font>
    <font>
      <b/>
      <sz val="12"/>
      <name val="B Traffic"/>
      <charset val="178"/>
    </font>
    <font>
      <b/>
      <sz val="12"/>
      <name val="MS Sans Serif"/>
      <family val="2"/>
      <charset val="178"/>
    </font>
    <font>
      <b/>
      <sz val="12"/>
      <name val="Tahoma"/>
      <family val="2"/>
    </font>
    <font>
      <b/>
      <sz val="11"/>
      <color indexed="12"/>
      <name val="Roya"/>
      <charset val="178"/>
    </font>
    <font>
      <b/>
      <sz val="11"/>
      <color indexed="10"/>
      <name val="Roya"/>
      <charset val="178"/>
    </font>
    <font>
      <sz val="10"/>
      <name val="Arial"/>
      <family val="2"/>
    </font>
    <font>
      <sz val="11"/>
      <name val="Nazanin"/>
      <charset val="178"/>
    </font>
    <font>
      <sz val="9"/>
      <color indexed="81"/>
      <name val="Tahoma"/>
      <family val="2"/>
    </font>
    <font>
      <b/>
      <sz val="11"/>
      <color theme="1"/>
      <name val="B Koodak"/>
      <charset val="178"/>
    </font>
    <font>
      <b/>
      <u/>
      <vertAlign val="superscript"/>
      <sz val="28"/>
      <color indexed="18"/>
      <name val="B Koodak"/>
      <charset val="178"/>
    </font>
    <font>
      <b/>
      <sz val="22"/>
      <name val="B Koodak"/>
      <charset val="178"/>
    </font>
    <font>
      <b/>
      <sz val="26"/>
      <name val="B Koodak"/>
      <charset val="178"/>
    </font>
    <font>
      <b/>
      <sz val="18"/>
      <name val="B Koodak"/>
      <charset val="178"/>
    </font>
    <font>
      <b/>
      <sz val="20"/>
      <name val="B Koodak"/>
      <charset val="178"/>
    </font>
    <font>
      <b/>
      <sz val="10"/>
      <name val="B Koodak"/>
      <charset val="178"/>
    </font>
    <font>
      <b/>
      <sz val="16"/>
      <name val="B Koodak"/>
      <charset val="178"/>
    </font>
    <font>
      <b/>
      <sz val="14"/>
      <name val="B Koodak"/>
      <charset val="178"/>
    </font>
    <font>
      <b/>
      <sz val="9"/>
      <name val="B Koodak"/>
      <charset val="178"/>
    </font>
    <font>
      <b/>
      <sz val="22"/>
      <color theme="1"/>
      <name val="B Koodak"/>
      <charset val="178"/>
    </font>
    <font>
      <b/>
      <vertAlign val="superscript"/>
      <sz val="22"/>
      <name val="B Koodak"/>
      <charset val="178"/>
    </font>
    <font>
      <b/>
      <sz val="20"/>
      <color theme="1"/>
      <name val="B Koodak"/>
      <charset val="178"/>
    </font>
    <font>
      <b/>
      <sz val="13"/>
      <name val="B Koodak"/>
      <charset val="178"/>
    </font>
    <font>
      <sz val="26"/>
      <name val="B Koodak"/>
      <charset val="178"/>
    </font>
    <font>
      <sz val="20"/>
      <name val="B Koodak"/>
      <charset val="178"/>
    </font>
    <font>
      <b/>
      <sz val="24"/>
      <name val="B Koodak"/>
      <charset val="178"/>
    </font>
    <font>
      <sz val="10"/>
      <name val="B Koodak"/>
      <charset val="178"/>
    </font>
    <font>
      <b/>
      <u/>
      <vertAlign val="superscript"/>
      <sz val="22"/>
      <name val="B Koodak"/>
      <charset val="178"/>
    </font>
    <font>
      <sz val="11"/>
      <name val="B Koodak"/>
      <charset val="178"/>
    </font>
    <font>
      <b/>
      <sz val="11"/>
      <name val="B Koodak"/>
      <charset val="178"/>
    </font>
    <font>
      <sz val="14"/>
      <name val="B Koodak"/>
      <charset val="178"/>
    </font>
    <font>
      <sz val="12"/>
      <name val="B Koodak"/>
      <charset val="178"/>
    </font>
    <font>
      <b/>
      <sz val="12"/>
      <name val="B Koodak"/>
      <charset val="178"/>
    </font>
    <font>
      <sz val="11"/>
      <color rgb="FFFF0000"/>
      <name val="B Koodak"/>
      <charset val="178"/>
    </font>
    <font>
      <sz val="10"/>
      <color theme="0"/>
      <name val="B Koodak"/>
      <charset val="178"/>
    </font>
    <font>
      <b/>
      <sz val="8"/>
      <name val="B Koodak"/>
      <charset val="178"/>
    </font>
    <font>
      <sz val="10"/>
      <color rgb="FFFF0000"/>
      <name val="B Koodak"/>
      <charset val="178"/>
    </font>
    <font>
      <sz val="9"/>
      <color theme="0"/>
      <name val="B Koodak"/>
      <charset val="178"/>
    </font>
    <font>
      <b/>
      <u/>
      <vertAlign val="superscript"/>
      <sz val="24"/>
      <color indexed="18"/>
      <name val="B Koodak"/>
      <charset val="178"/>
    </font>
    <font>
      <b/>
      <sz val="28"/>
      <name val="B Koodak"/>
      <charset val="178"/>
    </font>
    <font>
      <sz val="28"/>
      <color theme="1"/>
      <name val="B Koodak"/>
      <charset val="178"/>
    </font>
    <font>
      <sz val="11"/>
      <color theme="1"/>
      <name val="B Koodak"/>
      <charset val="178"/>
    </font>
    <font>
      <sz val="16"/>
      <name val="B Koodak"/>
      <charset val="178"/>
    </font>
    <font>
      <sz val="12.5"/>
      <name val="B Koodak"/>
      <charset val="178"/>
    </font>
    <font>
      <sz val="11.5"/>
      <name val="B Koodak"/>
      <charset val="178"/>
    </font>
    <font>
      <sz val="12"/>
      <color theme="1"/>
      <name val="B Koodak"/>
      <charset val="178"/>
    </font>
    <font>
      <sz val="18"/>
      <name val="B Koodak"/>
      <charset val="178"/>
    </font>
    <font>
      <b/>
      <u/>
      <sz val="14"/>
      <name val="B Koodak"/>
      <charset val="178"/>
    </font>
    <font>
      <sz val="13"/>
      <name val="B Koodak"/>
      <charset val="178"/>
    </font>
    <font>
      <sz val="15"/>
      <name val="B Koodak"/>
      <charset val="178"/>
    </font>
    <font>
      <sz val="26"/>
      <color theme="1"/>
      <name val="B Koodak"/>
      <charset val="178"/>
    </font>
    <font>
      <b/>
      <sz val="16"/>
      <color rgb="FF002060"/>
      <name val="B Koodak"/>
      <charset val="178"/>
    </font>
    <font>
      <b/>
      <sz val="12"/>
      <color rgb="FF002060"/>
      <name val="B Koodak"/>
      <charset val="178"/>
    </font>
    <font>
      <b/>
      <sz val="14"/>
      <color rgb="FF002060"/>
      <name val="B Koodak"/>
      <charset val="178"/>
    </font>
    <font>
      <sz val="17"/>
      <name val="B Koodak"/>
      <charset val="178"/>
    </font>
    <font>
      <sz val="13.5"/>
      <name val="B Koodak"/>
      <charset val="178"/>
    </font>
    <font>
      <sz val="18"/>
      <color theme="1"/>
      <name val="B Koodak"/>
      <charset val="178"/>
    </font>
    <font>
      <b/>
      <u/>
      <vertAlign val="superscript"/>
      <sz val="26"/>
      <color rgb="FF002060"/>
      <name val="B Koodak"/>
      <charset val="178"/>
    </font>
    <font>
      <b/>
      <sz val="11"/>
      <color rgb="FF002060"/>
      <name val="B Koodak"/>
      <charset val="178"/>
    </font>
    <font>
      <b/>
      <u/>
      <sz val="10"/>
      <name val="B Koodak"/>
      <charset val="178"/>
    </font>
    <font>
      <sz val="22"/>
      <color theme="1"/>
      <name val="B Koodak"/>
      <charset val="178"/>
    </font>
    <font>
      <b/>
      <sz val="26"/>
      <color theme="1"/>
      <name val="B Koodak"/>
      <charset val="178"/>
    </font>
    <font>
      <sz val="20"/>
      <color theme="0"/>
      <name val="B Koodak"/>
      <charset val="178"/>
    </font>
    <font>
      <sz val="14"/>
      <color theme="0"/>
      <name val="B Koodak"/>
      <charset val="178"/>
    </font>
    <font>
      <b/>
      <vertAlign val="superscript"/>
      <sz val="18"/>
      <name val="B Koodak"/>
      <charset val="178"/>
    </font>
    <font>
      <b/>
      <vertAlign val="superscript"/>
      <sz val="20"/>
      <name val="B Koodak"/>
      <charset val="178"/>
    </font>
    <font>
      <sz val="16"/>
      <color theme="1"/>
      <name val="B Koodak"/>
      <charset val="178"/>
    </font>
    <font>
      <b/>
      <u/>
      <vertAlign val="superscript"/>
      <sz val="20"/>
      <name val="B Koodak"/>
      <charset val="178"/>
    </font>
    <font>
      <b/>
      <sz val="14"/>
      <color indexed="8"/>
      <name val="B Koodak"/>
      <charset val="178"/>
    </font>
    <font>
      <b/>
      <sz val="15"/>
      <name val="B Koodak"/>
      <charset val="178"/>
    </font>
    <font>
      <sz val="8"/>
      <name val="B Koodak"/>
      <charset val="178"/>
    </font>
    <font>
      <sz val="24"/>
      <name val="B Koodak"/>
      <charset val="178"/>
    </font>
    <font>
      <sz val="22"/>
      <name val="B Koodak"/>
      <charset val="178"/>
    </font>
    <font>
      <b/>
      <u/>
      <sz val="22"/>
      <name val="B Koodak"/>
      <charset val="178"/>
    </font>
    <font>
      <b/>
      <sz val="36"/>
      <name val="B Koodak"/>
      <charset val="178"/>
    </font>
    <font>
      <b/>
      <u/>
      <vertAlign val="superscript"/>
      <sz val="18"/>
      <name val="B Koodak"/>
      <charset val="178"/>
    </font>
    <font>
      <b/>
      <sz val="5"/>
      <name val="B Koodak"/>
      <charset val="178"/>
    </font>
    <font>
      <sz val="20"/>
      <color theme="1"/>
      <name val="B Koodak"/>
      <charset val="178"/>
    </font>
    <font>
      <b/>
      <u/>
      <sz val="16"/>
      <name val="B Koodak"/>
      <charset val="178"/>
    </font>
    <font>
      <b/>
      <sz val="16"/>
      <color theme="1"/>
      <name val="B Koodak"/>
      <charset val="178"/>
    </font>
    <font>
      <b/>
      <u/>
      <sz val="18"/>
      <name val="B Koodak"/>
      <charset val="178"/>
    </font>
    <font>
      <b/>
      <sz val="16"/>
      <color indexed="12"/>
      <name val="B Koodak"/>
      <charset val="178"/>
    </font>
    <font>
      <b/>
      <sz val="16"/>
      <color indexed="10"/>
      <name val="B Koodak"/>
      <charset val="178"/>
    </font>
    <font>
      <b/>
      <u/>
      <sz val="15"/>
      <name val="B Koodak"/>
      <charset val="178"/>
    </font>
    <font>
      <b/>
      <sz val="15"/>
      <color indexed="10"/>
      <name val="B Koodak"/>
      <charset val="178"/>
    </font>
    <font>
      <b/>
      <sz val="16"/>
      <color rgb="FFFF0000"/>
      <name val="B Koodak"/>
      <charset val="178"/>
    </font>
    <font>
      <b/>
      <sz val="15"/>
      <color rgb="FFFF0000"/>
      <name val="B Koodak"/>
      <charset val="178"/>
    </font>
    <font>
      <sz val="15"/>
      <color rgb="FFFF0000"/>
      <name val="B Koodak"/>
      <charset val="178"/>
    </font>
    <font>
      <b/>
      <sz val="14"/>
      <color rgb="FFFF0000"/>
      <name val="B Koodak"/>
      <charset val="178"/>
    </font>
    <font>
      <sz val="16"/>
      <color rgb="FFFF0000"/>
      <name val="B Koodak"/>
      <charset val="178"/>
    </font>
    <font>
      <sz val="18"/>
      <color theme="0"/>
      <name val="B Koodak"/>
      <charset val="178"/>
    </font>
    <font>
      <b/>
      <sz val="18"/>
      <color rgb="FFFF0000"/>
      <name val="B Koodak"/>
      <charset val="178"/>
    </font>
    <font>
      <b/>
      <sz val="18"/>
      <color theme="1"/>
      <name val="B Koodak"/>
      <charset val="178"/>
    </font>
    <font>
      <sz val="10"/>
      <color theme="1"/>
      <name val="B Koodak"/>
      <charset val="178"/>
    </font>
    <font>
      <sz val="11"/>
      <color theme="0"/>
      <name val="B Koodak"/>
      <charset val="178"/>
    </font>
    <font>
      <b/>
      <sz val="14"/>
      <color theme="0"/>
      <name val="B Koodak"/>
      <charset val="178"/>
    </font>
    <font>
      <b/>
      <u val="double"/>
      <sz val="11"/>
      <name val="B Koodak"/>
      <charset val="178"/>
    </font>
    <font>
      <b/>
      <sz val="13"/>
      <color rgb="FFFF0000"/>
      <name val="B Koodak"/>
      <charset val="178"/>
    </font>
    <font>
      <b/>
      <sz val="10"/>
      <color indexed="14"/>
      <name val="B Koodak"/>
      <charset val="178"/>
    </font>
    <font>
      <sz val="48"/>
      <name val="B Koodak"/>
      <charset val="178"/>
    </font>
    <font>
      <sz val="48"/>
      <color theme="1"/>
      <name val="B Koodak"/>
      <charset val="178"/>
    </font>
    <font>
      <b/>
      <sz val="18"/>
      <color theme="0"/>
      <name val="B Koodak"/>
      <charset val="178"/>
    </font>
    <font>
      <b/>
      <u/>
      <sz val="20"/>
      <name val="B Koodak"/>
      <charset val="178"/>
    </font>
    <font>
      <sz val="5"/>
      <name val="B Koodak"/>
      <charset val="178"/>
    </font>
    <font>
      <b/>
      <u/>
      <vertAlign val="superscript"/>
      <sz val="22"/>
      <color indexed="18"/>
      <name val="B Koodak"/>
      <charset val="178"/>
    </font>
    <font>
      <b/>
      <sz val="12"/>
      <color theme="1"/>
      <name val="B Koodak"/>
      <charset val="178"/>
    </font>
    <font>
      <sz val="12"/>
      <color theme="0"/>
      <name val="B Koodak"/>
      <charset val="178"/>
    </font>
    <font>
      <sz val="24"/>
      <color theme="1"/>
      <name val="B Koodak"/>
      <charset val="178"/>
    </font>
    <font>
      <sz val="14"/>
      <color theme="5" tint="0.39997558519241921"/>
      <name val="B Koodak"/>
      <charset val="178"/>
    </font>
    <font>
      <sz val="7"/>
      <name val="B Koodak"/>
      <charset val="178"/>
    </font>
    <font>
      <sz val="14"/>
      <color rgb="FFFF0000"/>
      <name val="B Koodak"/>
      <charset val="178"/>
    </font>
    <font>
      <sz val="12"/>
      <color rgb="FFFF0000"/>
      <name val="B Koodak"/>
      <charset val="178"/>
    </font>
    <font>
      <b/>
      <sz val="28"/>
      <color theme="1"/>
      <name val="B Koodak"/>
      <charset val="178"/>
    </font>
    <font>
      <b/>
      <u/>
      <vertAlign val="superscript"/>
      <sz val="48"/>
      <color indexed="18"/>
      <name val="B Koodak"/>
      <charset val="178"/>
    </font>
    <font>
      <b/>
      <sz val="48"/>
      <name val="B Koodak"/>
      <charset val="178"/>
    </font>
    <font>
      <sz val="36"/>
      <color theme="1"/>
      <name val="B Koodak"/>
      <charset val="178"/>
    </font>
    <font>
      <sz val="36"/>
      <name val="B Koodak"/>
      <charset val="178"/>
    </font>
    <font>
      <b/>
      <sz val="12"/>
      <color theme="0"/>
      <name val="B Koodak"/>
      <charset val="178"/>
    </font>
    <font>
      <sz val="48"/>
      <color rgb="FFFF0000"/>
      <name val="B Koodak"/>
      <charset val="178"/>
    </font>
    <font>
      <b/>
      <sz val="10"/>
      <color rgb="FFFF0000"/>
      <name val="B Koodak"/>
      <charset val="178"/>
    </font>
    <font>
      <sz val="14"/>
      <color theme="1"/>
      <name val="B Koodak"/>
      <charset val="178"/>
    </font>
    <font>
      <b/>
      <u/>
      <vertAlign val="superscript"/>
      <sz val="26"/>
      <color indexed="18"/>
      <name val="B Koodak"/>
      <charset val="178"/>
    </font>
    <font>
      <b/>
      <u/>
      <vertAlign val="superscript"/>
      <sz val="24"/>
      <name val="B Koodak"/>
      <charset val="178"/>
    </font>
    <font>
      <b/>
      <u/>
      <vertAlign val="superscript"/>
      <sz val="14"/>
      <name val="B Koodak"/>
      <charset val="178"/>
    </font>
    <font>
      <b/>
      <u/>
      <vertAlign val="superscript"/>
      <sz val="16"/>
      <name val="B Koodak"/>
      <charset val="178"/>
    </font>
    <font>
      <b/>
      <u/>
      <vertAlign val="superscript"/>
      <sz val="36"/>
      <name val="B Koodak"/>
      <charset val="178"/>
    </font>
    <font>
      <sz val="9"/>
      <name val="B Koodak"/>
      <charset val="178"/>
    </font>
    <font>
      <b/>
      <sz val="16"/>
      <color indexed="14"/>
      <name val="B Koodak"/>
      <charset val="178"/>
    </font>
    <font>
      <b/>
      <sz val="12"/>
      <color indexed="14"/>
      <name val="B Koodak"/>
      <charset val="178"/>
    </font>
    <font>
      <u/>
      <sz val="18"/>
      <name val="B Koodak"/>
      <charset val="178"/>
    </font>
    <font>
      <sz val="8"/>
      <color theme="1"/>
      <name val="B Koodak"/>
      <charset val="178"/>
    </font>
    <font>
      <b/>
      <sz val="11"/>
      <color theme="0"/>
      <name val="B Koodak"/>
      <charset val="178"/>
    </font>
    <font>
      <sz val="16"/>
      <color theme="0"/>
      <name val="B Koodak"/>
      <charset val="178"/>
    </font>
    <font>
      <sz val="22"/>
      <name val="B Zar"/>
      <charset val="178"/>
    </font>
    <font>
      <b/>
      <sz val="48"/>
      <color theme="1"/>
      <name val="B Koodak"/>
      <charset val="178"/>
    </font>
    <font>
      <b/>
      <sz val="16"/>
      <color theme="0"/>
      <name val="B Koodak"/>
      <charset val="178"/>
    </font>
    <font>
      <b/>
      <sz val="24"/>
      <color theme="1"/>
      <name val="B Koodak"/>
      <charset val="178"/>
    </font>
    <font>
      <b/>
      <u/>
      <vertAlign val="superscript"/>
      <sz val="22"/>
      <color rgb="FFFF0000"/>
      <name val="B Koodak"/>
      <charset val="178"/>
    </font>
    <font>
      <b/>
      <sz val="11"/>
      <color rgb="FFFF0000"/>
      <name val="B Koodak"/>
      <charset val="178"/>
    </font>
    <font>
      <b/>
      <sz val="24"/>
      <name val="Arial"/>
      <family val="2"/>
    </font>
    <font>
      <b/>
      <sz val="20"/>
      <color rgb="FFFF0000"/>
      <name val="B Koodak"/>
      <charset val="178"/>
    </font>
    <font>
      <b/>
      <sz val="24"/>
      <name val="Nazanin"/>
      <charset val="178"/>
    </font>
    <font>
      <sz val="24"/>
      <name val="Nazanin"/>
      <charset val="178"/>
    </font>
    <font>
      <b/>
      <sz val="24"/>
      <color indexed="12"/>
      <name val="Arial"/>
      <family val="2"/>
    </font>
    <font>
      <b/>
      <sz val="24"/>
      <name val="Roya"/>
      <charset val="178"/>
    </font>
    <font>
      <sz val="24"/>
      <color theme="1"/>
      <name val="Nazanin"/>
      <charset val="178"/>
    </font>
    <font>
      <sz val="24"/>
      <name val="Roya"/>
      <charset val="178"/>
    </font>
    <font>
      <b/>
      <sz val="24"/>
      <name val="B Zar"/>
      <charset val="178"/>
    </font>
    <font>
      <b/>
      <sz val="14"/>
      <color theme="1"/>
      <name val="B Koodak"/>
      <charset val="178"/>
    </font>
    <font>
      <b/>
      <sz val="21"/>
      <name val="B Koodak"/>
      <charset val="178"/>
    </font>
    <font>
      <b/>
      <sz val="36"/>
      <color theme="1"/>
      <name val="B Koodak"/>
      <charset val="178"/>
    </font>
    <font>
      <sz val="18"/>
      <color rgb="FFFF0000"/>
      <name val="B Koodak"/>
      <charset val="178"/>
    </font>
    <font>
      <b/>
      <u/>
      <vertAlign val="superscript"/>
      <sz val="24"/>
      <color rgb="FFFF0000"/>
      <name val="B Koodak"/>
      <charset val="178"/>
    </font>
    <font>
      <b/>
      <u/>
      <sz val="18"/>
      <color rgb="FFFF0000"/>
      <name val="B Koodak"/>
      <charset val="178"/>
    </font>
    <font>
      <b/>
      <u/>
      <sz val="15"/>
      <color rgb="FFFF0000"/>
      <name val="B Koodak"/>
      <charset val="178"/>
    </font>
    <font>
      <sz val="20"/>
      <color rgb="FFFF0000"/>
      <name val="B Koodak"/>
      <charset val="178"/>
    </font>
    <font>
      <b/>
      <sz val="26"/>
      <color rgb="FFFF0000"/>
      <name val="B Koodak"/>
      <charset val="178"/>
    </font>
    <font>
      <sz val="12"/>
      <color theme="1"/>
      <name val="Arial"/>
      <family val="2"/>
      <charset val="178"/>
    </font>
    <font>
      <sz val="11"/>
      <color theme="1"/>
      <name val="Arial"/>
      <family val="2"/>
      <scheme val="minor"/>
    </font>
    <font>
      <u/>
      <sz val="11"/>
      <color theme="10"/>
      <name val="Arial"/>
      <family val="2"/>
      <scheme val="minor"/>
    </font>
    <font>
      <sz val="11"/>
      <color theme="1"/>
      <name val="Calibri"/>
      <family val="2"/>
      <charset val="178"/>
    </font>
    <font>
      <sz val="11"/>
      <color indexed="8"/>
      <name val="Arial"/>
      <family val="2"/>
      <charset val="178"/>
    </font>
    <font>
      <b/>
      <sz val="11"/>
      <color rgb="FF3F3F3F"/>
      <name val="Arial"/>
      <family val="2"/>
    </font>
    <font>
      <b/>
      <sz val="9"/>
      <color indexed="81"/>
      <name val="Tahoma"/>
      <family val="2"/>
    </font>
    <font>
      <sz val="22"/>
      <color theme="0"/>
      <name val="B Koodak"/>
      <charset val="178"/>
    </font>
    <font>
      <b/>
      <sz val="22"/>
      <color theme="0"/>
      <name val="B Koodak"/>
      <charset val="178"/>
    </font>
    <font>
      <b/>
      <sz val="12"/>
      <color rgb="FFFF0000"/>
      <name val="B Koodak"/>
      <charset val="178"/>
    </font>
    <font>
      <sz val="8"/>
      <color rgb="FFFF0000"/>
      <name val="B Koodak"/>
      <charset val="178"/>
    </font>
    <font>
      <sz val="9"/>
      <color rgb="FFFF0000"/>
      <name val="B Koodak"/>
      <charset val="178"/>
    </font>
    <font>
      <sz val="15.4"/>
      <name val="B Koodak"/>
      <charset val="178"/>
    </font>
    <font>
      <b/>
      <sz val="20"/>
      <name val="B Homa"/>
      <charset val="178"/>
    </font>
    <font>
      <sz val="16"/>
      <color theme="5" tint="0.39997558519241921"/>
      <name val="B Koodak"/>
      <charset val="178"/>
    </font>
    <font>
      <sz val="16"/>
      <color indexed="9"/>
      <name val="B Koodak"/>
      <charset val="178"/>
    </font>
    <font>
      <b/>
      <sz val="18"/>
      <color indexed="8"/>
      <name val="B Koodak"/>
      <charset val="178"/>
    </font>
    <font>
      <sz val="40"/>
      <name val="B Koodak"/>
      <charset val="178"/>
    </font>
    <font>
      <b/>
      <sz val="17"/>
      <name val="B Koodak"/>
      <charset val="178"/>
    </font>
    <font>
      <b/>
      <sz val="22"/>
      <color rgb="FFFF0000"/>
      <name val="B Koodak"/>
      <charset val="178"/>
    </font>
    <font>
      <sz val="16"/>
      <color indexed="81"/>
      <name val="Tahoma"/>
      <family val="2"/>
    </font>
    <font>
      <b/>
      <sz val="16"/>
      <color indexed="81"/>
      <name val="Tahoma"/>
      <family val="2"/>
    </font>
    <font>
      <b/>
      <sz val="18"/>
      <color theme="5" tint="0.59999389629810485"/>
      <name val="B Koodak"/>
      <charset val="178"/>
    </font>
    <font>
      <b/>
      <sz val="13"/>
      <color theme="5" tint="0.59999389629810485"/>
      <name val="B Koodak"/>
      <charset val="178"/>
    </font>
    <font>
      <b/>
      <sz val="20"/>
      <color theme="0"/>
      <name val="B Koodak"/>
      <charset val="178"/>
    </font>
    <font>
      <b/>
      <vertAlign val="superscript"/>
      <sz val="24"/>
      <name val="B Koodak"/>
      <charset val="178"/>
    </font>
    <font>
      <b/>
      <vertAlign val="superscript"/>
      <sz val="26"/>
      <name val="B Koodak"/>
      <charset val="178"/>
    </font>
    <font>
      <b/>
      <vertAlign val="superscript"/>
      <sz val="28"/>
      <name val="B Koodak"/>
      <charset val="178"/>
    </font>
    <font>
      <sz val="22"/>
      <color rgb="FFFF0000"/>
      <name val="B Koodak"/>
      <charset val="178"/>
    </font>
    <font>
      <sz val="21"/>
      <name val="B Koodak"/>
      <charset val="178"/>
    </font>
    <font>
      <sz val="24"/>
      <color rgb="FFFF0000"/>
      <name val="Nazanin"/>
      <charset val="178"/>
    </font>
    <font>
      <u/>
      <sz val="18"/>
      <color rgb="FFFF0000"/>
      <name val="B Koodak"/>
      <charset val="178"/>
    </font>
    <font>
      <sz val="24"/>
      <color rgb="FFFF0000"/>
      <name val="B Koodak"/>
      <charset val="178"/>
    </font>
    <font>
      <b/>
      <u/>
      <vertAlign val="superscript"/>
      <sz val="22"/>
      <color theme="0"/>
      <name val="B Koodak"/>
      <charset val="178"/>
    </font>
    <font>
      <b/>
      <sz val="10"/>
      <color theme="1"/>
      <name val="B Koodak"/>
      <charset val="178"/>
    </font>
    <font>
      <sz val="14"/>
      <color theme="1"/>
      <name val="Arial"/>
      <family val="2"/>
      <charset val="178"/>
    </font>
    <font>
      <sz val="16"/>
      <color theme="1"/>
      <name val="Arial"/>
      <family val="2"/>
      <charset val="178"/>
    </font>
    <font>
      <b/>
      <sz val="48"/>
      <color rgb="FFFF0000"/>
      <name val="B Koodak"/>
      <charset val="178"/>
    </font>
    <font>
      <sz val="11"/>
      <color theme="1"/>
      <name val="B Nazanin"/>
      <charset val="178"/>
    </font>
    <font>
      <sz val="12"/>
      <color theme="1"/>
      <name val="B Nazanin"/>
      <charset val="178"/>
    </font>
    <font>
      <b/>
      <sz val="12"/>
      <color theme="1"/>
      <name val="B Nazanin"/>
      <charset val="178"/>
    </font>
    <font>
      <sz val="10"/>
      <color theme="1"/>
      <name val="Arial"/>
      <family val="2"/>
      <charset val="178"/>
    </font>
    <font>
      <b/>
      <sz val="11"/>
      <color theme="1"/>
      <name val="B Nazanin"/>
      <charset val="178"/>
    </font>
    <font>
      <b/>
      <u/>
      <vertAlign val="superscript"/>
      <sz val="48"/>
      <color rgb="FFFF0000"/>
      <name val="B Koodak"/>
      <charset val="178"/>
    </font>
    <font>
      <sz val="36"/>
      <color rgb="FFFF0000"/>
      <name val="B Koodak"/>
      <charset val="178"/>
    </font>
    <font>
      <b/>
      <sz val="18"/>
      <color theme="1"/>
      <name val="B Nazanin"/>
      <charset val="178"/>
    </font>
    <font>
      <sz val="14"/>
      <color theme="5"/>
      <name val="B Koodak"/>
      <charset val="178"/>
    </font>
    <font>
      <b/>
      <sz val="14"/>
      <color theme="5"/>
      <name val="B Koodak"/>
      <charset val="178"/>
    </font>
    <font>
      <b/>
      <sz val="15"/>
      <color theme="5"/>
      <name val="B Koodak"/>
      <charset val="178"/>
    </font>
    <font>
      <sz val="11"/>
      <color theme="5"/>
      <name val="B Koodak"/>
      <charset val="178"/>
    </font>
    <font>
      <sz val="20"/>
      <color rgb="FFC00000"/>
      <name val="B Koodak"/>
      <charset val="178"/>
    </font>
    <font>
      <b/>
      <vertAlign val="superscript"/>
      <sz val="26"/>
      <color rgb="FF002060"/>
      <name val="B Koodak"/>
      <charset val="178"/>
    </font>
    <font>
      <b/>
      <vertAlign val="superscript"/>
      <sz val="26"/>
      <color indexed="18"/>
      <name val="B Koodak"/>
      <charset val="178"/>
    </font>
    <font>
      <b/>
      <vertAlign val="superscript"/>
      <sz val="24"/>
      <color indexed="18"/>
      <name val="B Koodak"/>
      <charset val="178"/>
    </font>
    <font>
      <b/>
      <vertAlign val="superscript"/>
      <sz val="36"/>
      <name val="B Koodak"/>
      <charset val="178"/>
    </font>
    <font>
      <b/>
      <vertAlign val="superscript"/>
      <sz val="36"/>
      <color indexed="18"/>
      <name val="B Koodak"/>
      <charset val="178"/>
    </font>
    <font>
      <b/>
      <vertAlign val="superscript"/>
      <sz val="48"/>
      <color indexed="18"/>
      <name val="B Koodak"/>
      <charset val="178"/>
    </font>
    <font>
      <b/>
      <vertAlign val="superscript"/>
      <sz val="28"/>
      <color indexed="18"/>
      <name val="B Koodak"/>
      <charset val="178"/>
    </font>
    <font>
      <b/>
      <u/>
      <vertAlign val="superscript"/>
      <sz val="30"/>
      <color rgb="FF002060"/>
      <name val="B Koodak"/>
      <charset val="178"/>
    </font>
    <font>
      <b/>
      <vertAlign val="superscript"/>
      <sz val="30"/>
      <color indexed="18"/>
      <name val="B Koodak"/>
      <charset val="178"/>
    </font>
    <font>
      <b/>
      <vertAlign val="superscript"/>
      <sz val="60"/>
      <name val="B Koodak"/>
      <charset val="178"/>
    </font>
    <font>
      <b/>
      <vertAlign val="superscript"/>
      <sz val="27"/>
      <color indexed="18"/>
      <name val="B Koodak"/>
      <charset val="178"/>
    </font>
    <font>
      <b/>
      <vertAlign val="superscript"/>
      <sz val="32"/>
      <color indexed="18"/>
      <name val="B Koodak"/>
      <charset val="178"/>
    </font>
    <font>
      <b/>
      <vertAlign val="superscript"/>
      <sz val="37"/>
      <color indexed="18"/>
      <name val="B Koodak"/>
      <charset val="178"/>
    </font>
    <font>
      <b/>
      <sz val="25"/>
      <name val="B Koodak"/>
      <charset val="178"/>
    </font>
    <font>
      <sz val="25"/>
      <name val="B Koodak"/>
      <charset val="178"/>
    </font>
    <font>
      <b/>
      <sz val="20"/>
      <color indexed="8"/>
      <name val="B Koodak"/>
      <charset val="178"/>
    </font>
    <font>
      <b/>
      <sz val="45"/>
      <name val="B Koodak"/>
      <charset val="178"/>
    </font>
    <font>
      <sz val="45"/>
      <color theme="1"/>
      <name val="B Koodak"/>
      <charset val="178"/>
    </font>
    <font>
      <sz val="21"/>
      <color theme="1"/>
      <name val="B Koodak"/>
      <charset val="178"/>
    </font>
    <font>
      <b/>
      <sz val="21"/>
      <color indexed="18"/>
      <name val="B Koodak"/>
      <charset val="178"/>
    </font>
    <font>
      <b/>
      <sz val="21"/>
      <color indexed="8"/>
      <name val="B Koodak"/>
      <charset val="178"/>
    </font>
    <font>
      <b/>
      <u/>
      <vertAlign val="superscript"/>
      <sz val="21"/>
      <name val="B Koodak"/>
      <charset val="178"/>
    </font>
    <font>
      <sz val="23"/>
      <color rgb="FFFF0000"/>
      <name val="B Koodak"/>
      <charset val="178"/>
    </font>
    <font>
      <b/>
      <sz val="23"/>
      <name val="B Koodak"/>
      <charset val="178"/>
    </font>
    <font>
      <b/>
      <sz val="23"/>
      <color theme="1"/>
      <name val="B Koodak"/>
      <charset val="178"/>
    </font>
    <font>
      <sz val="23"/>
      <color theme="1"/>
      <name val="B Koodak"/>
      <charset val="178"/>
    </font>
    <font>
      <sz val="23"/>
      <name val="B Koodak"/>
      <charset val="178"/>
    </font>
    <font>
      <sz val="36"/>
      <color theme="0"/>
      <name val="B Koodak"/>
      <charset val="178"/>
    </font>
    <font>
      <b/>
      <sz val="24"/>
      <color theme="0"/>
      <name val="B Koodak"/>
      <charset val="178"/>
    </font>
    <font>
      <sz val="11"/>
      <color rgb="FFFFFF00"/>
      <name val="B Koodak"/>
      <charset val="178"/>
    </font>
    <font>
      <sz val="26"/>
      <color theme="0"/>
      <name val="B Koodak"/>
      <charset val="178"/>
    </font>
    <font>
      <b/>
      <sz val="12"/>
      <color indexed="8"/>
      <name val="B Koodak"/>
      <charset val="178"/>
    </font>
    <font>
      <sz val="12"/>
      <color indexed="8"/>
      <name val="B Koodak"/>
      <charset val="178"/>
    </font>
    <font>
      <b/>
      <vertAlign val="superscript"/>
      <sz val="22"/>
      <color rgb="FFFF0000"/>
      <name val="B Koodak"/>
      <charset val="178"/>
    </font>
    <font>
      <sz val="16"/>
      <color rgb="FFFF0000"/>
      <name val="Arial"/>
      <family val="2"/>
      <charset val="178"/>
    </font>
    <font>
      <sz val="14"/>
      <color theme="1"/>
      <name val="B Mitra"/>
      <charset val="178"/>
    </font>
    <font>
      <b/>
      <u/>
      <sz val="14"/>
      <color theme="1"/>
      <name val="B Titr"/>
      <charset val="178"/>
    </font>
    <font>
      <b/>
      <sz val="11"/>
      <color theme="1"/>
      <name val="B Mitra"/>
      <charset val="178"/>
    </font>
    <font>
      <sz val="14"/>
      <color theme="1"/>
      <name val="B Titr"/>
      <charset val="178"/>
    </font>
    <font>
      <b/>
      <sz val="14"/>
      <color theme="1"/>
      <name val="B Titr"/>
      <charset val="178"/>
    </font>
    <font>
      <b/>
      <sz val="11"/>
      <color theme="1"/>
      <name val="B Titr"/>
      <charset val="178"/>
    </font>
    <font>
      <sz val="18"/>
      <color theme="1"/>
      <name val="B Zar"/>
      <charset val="178"/>
    </font>
    <font>
      <sz val="18"/>
      <name val="B Zar"/>
      <charset val="178"/>
    </font>
    <font>
      <b/>
      <sz val="18"/>
      <name val="B Zar"/>
      <charset val="178"/>
    </font>
    <font>
      <b/>
      <sz val="18"/>
      <color theme="1"/>
      <name val="B Zar"/>
      <charset val="178"/>
    </font>
    <font>
      <sz val="45"/>
      <color theme="0"/>
      <name val="B Koodak"/>
      <charset val="178"/>
    </font>
    <font>
      <b/>
      <sz val="40"/>
      <name val="B Koodak"/>
      <charset val="178"/>
    </font>
    <font>
      <u/>
      <sz val="18"/>
      <color theme="0"/>
      <name val="B Koodak"/>
      <charset val="178"/>
    </font>
    <font>
      <b/>
      <sz val="14"/>
      <color theme="1"/>
      <name val="B Nazanin"/>
      <charset val="178"/>
    </font>
    <font>
      <b/>
      <vertAlign val="superscript"/>
      <sz val="20"/>
      <color theme="1"/>
      <name val="B Koodak"/>
      <charset val="178"/>
    </font>
    <font>
      <b/>
      <u/>
      <vertAlign val="superscript"/>
      <sz val="20"/>
      <color indexed="18"/>
      <name val="B Koodak"/>
      <charset val="178"/>
    </font>
    <font>
      <b/>
      <u/>
      <vertAlign val="superscript"/>
      <sz val="20"/>
      <color rgb="FFFF0000"/>
      <name val="B Koodak"/>
      <charset val="178"/>
    </font>
    <font>
      <b/>
      <vertAlign val="superscript"/>
      <sz val="36"/>
      <color theme="1"/>
      <name val="B Koodak"/>
      <charset val="178"/>
    </font>
    <font>
      <sz val="16"/>
      <name val="Calibri"/>
      <family val="2"/>
    </font>
    <font>
      <b/>
      <sz val="16"/>
      <name val="Calibri"/>
      <family val="2"/>
    </font>
    <font>
      <b/>
      <vertAlign val="superscript"/>
      <sz val="32"/>
      <color theme="1"/>
      <name val="B Koodak"/>
      <charset val="178"/>
    </font>
    <font>
      <b/>
      <vertAlign val="superscript"/>
      <sz val="22"/>
      <color theme="1"/>
      <name val="B Koodak"/>
      <charset val="178"/>
    </font>
    <font>
      <b/>
      <u/>
      <vertAlign val="superscript"/>
      <sz val="26"/>
      <color theme="0"/>
      <name val="B Koodak"/>
      <charset val="178"/>
    </font>
    <font>
      <b/>
      <u/>
      <vertAlign val="superscript"/>
      <sz val="24"/>
      <color theme="0"/>
      <name val="B Koodak"/>
      <charset val="178"/>
    </font>
    <font>
      <b/>
      <u/>
      <vertAlign val="superscript"/>
      <sz val="36"/>
      <color theme="0"/>
      <name val="B Koodak"/>
      <charset val="178"/>
    </font>
    <font>
      <b/>
      <vertAlign val="superscript"/>
      <sz val="20"/>
      <color theme="0"/>
      <name val="B Koodak"/>
      <charset val="178"/>
    </font>
    <font>
      <b/>
      <u/>
      <vertAlign val="superscript"/>
      <sz val="20"/>
      <color theme="0"/>
      <name val="B Koodak"/>
      <charset val="178"/>
    </font>
    <font>
      <b/>
      <sz val="15"/>
      <color theme="0"/>
      <name val="B Koodak"/>
      <charset val="178"/>
    </font>
    <font>
      <b/>
      <vertAlign val="superscript"/>
      <sz val="26"/>
      <color theme="1"/>
      <name val="B Koodak"/>
      <charset val="178"/>
    </font>
    <font>
      <b/>
      <vertAlign val="superscript"/>
      <sz val="24"/>
      <color theme="1"/>
      <name val="B Koodak"/>
      <charset val="178"/>
    </font>
    <font>
      <b/>
      <vertAlign val="superscript"/>
      <sz val="18"/>
      <color theme="1"/>
      <name val="B Koodak"/>
      <charset val="178"/>
    </font>
    <font>
      <b/>
      <u/>
      <vertAlign val="superscript"/>
      <sz val="28"/>
      <color theme="1"/>
      <name val="B Koodak"/>
      <charset val="178"/>
    </font>
    <font>
      <b/>
      <u/>
      <vertAlign val="superscript"/>
      <sz val="24"/>
      <color theme="1"/>
      <name val="B Koodak"/>
      <charset val="178"/>
    </font>
    <font>
      <sz val="24"/>
      <color theme="1"/>
      <name val="Arial"/>
      <family val="2"/>
      <charset val="178"/>
    </font>
    <font>
      <b/>
      <sz val="28"/>
      <color rgb="FFFF0000"/>
      <name val="B Koodak"/>
      <charset val="178"/>
    </font>
    <font>
      <sz val="28"/>
      <name val="B Koodak"/>
      <charset val="178"/>
    </font>
    <font>
      <b/>
      <sz val="45"/>
      <color theme="1"/>
      <name val="B Koodak"/>
      <charset val="178"/>
    </font>
    <font>
      <b/>
      <vertAlign val="superscript"/>
      <sz val="28"/>
      <color rgb="FF002060"/>
      <name val="B Koodak"/>
      <charset val="178"/>
    </font>
    <font>
      <b/>
      <vertAlign val="superscript"/>
      <sz val="32"/>
      <color rgb="FF002060"/>
      <name val="B Koodak"/>
      <charset val="178"/>
    </font>
    <font>
      <b/>
      <u/>
      <vertAlign val="superscript"/>
      <sz val="28"/>
      <name val="B Koodak"/>
      <charset val="178"/>
    </font>
  </fonts>
  <fills count="28">
    <fill>
      <patternFill patternType="none"/>
    </fill>
    <fill>
      <patternFill patternType="gray125"/>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lightUp">
        <fgColor indexed="9"/>
        <bgColor indexed="23"/>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00FF99"/>
        <bgColor indexed="64"/>
      </patternFill>
    </fill>
    <fill>
      <patternFill patternType="solid">
        <fgColor rgb="FFFF99CC"/>
        <bgColor indexed="64"/>
      </patternFill>
    </fill>
    <fill>
      <patternFill patternType="solid">
        <fgColor rgb="FF92D050"/>
        <bgColor indexed="64"/>
      </patternFill>
    </fill>
    <fill>
      <patternFill patternType="solid">
        <fgColor rgb="FFF2F2F2"/>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0066"/>
        <bgColor indexed="64"/>
      </patternFill>
    </fill>
    <fill>
      <patternFill patternType="solid">
        <fgColor rgb="FFCCFFFF"/>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5"/>
        <bgColor indexed="64"/>
      </patternFill>
    </fill>
    <fill>
      <patternFill patternType="solid">
        <fgColor rgb="FFC00000"/>
        <bgColor indexed="64"/>
      </patternFill>
    </fill>
    <fill>
      <patternFill patternType="solid">
        <fgColor rgb="FF9900CC"/>
        <bgColor indexed="64"/>
      </patternFill>
    </fill>
    <fill>
      <patternFill patternType="solid">
        <fgColor theme="6" tint="0.79998168889431442"/>
        <bgColor indexed="64"/>
      </patternFill>
    </fill>
    <fill>
      <patternFill patternType="solid">
        <fgColor theme="3" tint="0.79998168889431442"/>
        <bgColor indexed="64"/>
      </patternFill>
    </fill>
  </fills>
  <borders count="73">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bottom style="medium">
        <color indexed="64"/>
      </bottom>
      <diagonal/>
    </border>
    <border>
      <left style="thin">
        <color rgb="FF3F3F3F"/>
      </left>
      <right style="thin">
        <color rgb="FF3F3F3F"/>
      </right>
      <top style="thin">
        <color rgb="FF3F3F3F"/>
      </top>
      <bottom style="thin">
        <color rgb="FF3F3F3F"/>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style="double">
        <color indexed="64"/>
      </top>
      <bottom/>
      <diagonal/>
    </border>
    <border>
      <left style="thin">
        <color auto="1"/>
      </left>
      <right style="thin">
        <color auto="1"/>
      </right>
      <top style="thin">
        <color auto="1"/>
      </top>
      <bottom style="thin">
        <color auto="1"/>
      </bottom>
      <diagonal/>
    </border>
    <border>
      <left style="thin">
        <color indexed="64"/>
      </left>
      <right/>
      <top/>
      <bottom style="medium">
        <color indexed="64"/>
      </bottom>
      <diagonal/>
    </border>
  </borders>
  <cellStyleXfs count="2133">
    <xf numFmtId="0" fontId="0" fillId="0" borderId="0"/>
    <xf numFmtId="0" fontId="7" fillId="0" borderId="0"/>
    <xf numFmtId="0" fontId="7" fillId="0" borderId="0"/>
    <xf numFmtId="0" fontId="13" fillId="0" borderId="0"/>
    <xf numFmtId="0" fontId="7" fillId="0" borderId="0"/>
    <xf numFmtId="0" fontId="24" fillId="0" borderId="0"/>
    <xf numFmtId="0" fontId="24" fillId="0" borderId="0"/>
    <xf numFmtId="0" fontId="24" fillId="0" borderId="0"/>
    <xf numFmtId="0" fontId="7" fillId="0" borderId="0"/>
    <xf numFmtId="44"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5" fillId="0" borderId="0"/>
    <xf numFmtId="0" fontId="24" fillId="0" borderId="0"/>
    <xf numFmtId="0" fontId="25" fillId="0" borderId="0"/>
    <xf numFmtId="0" fontId="24" fillId="0" borderId="0"/>
    <xf numFmtId="43" fontId="6"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0" fontId="7"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7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 fillId="0" borderId="0" applyFont="0" applyFill="0" applyBorder="0" applyAlignment="0" applyProtection="0"/>
    <xf numFmtId="43" fontId="17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4"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7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7" fillId="0" borderId="0" applyFont="0" applyFill="0" applyBorder="0" applyAlignment="0" applyProtection="0"/>
    <xf numFmtId="41" fontId="17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4" fontId="6" fillId="0" borderId="0" applyFont="0" applyFill="0" applyBorder="0" applyAlignment="0" applyProtection="0"/>
    <xf numFmtId="0" fontId="177" fillId="0" borderId="0" applyNumberFormat="0" applyFill="0" applyBorder="0" applyAlignment="0" applyProtection="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180" fillId="15" borderId="56" applyNumberFormat="0" applyAlignment="0" applyProtection="0"/>
    <xf numFmtId="0" fontId="180" fillId="15" borderId="56" applyNumberFormat="0" applyAlignment="0" applyProtection="0"/>
    <xf numFmtId="0" fontId="180" fillId="15" borderId="56" applyNumberFormat="0" applyAlignment="0" applyProtection="0"/>
    <xf numFmtId="0" fontId="180" fillId="15" borderId="56" applyNumberFormat="0" applyAlignment="0" applyProtection="0"/>
    <xf numFmtId="0" fontId="180" fillId="15" borderId="56" applyNumberFormat="0" applyAlignment="0" applyProtection="0"/>
    <xf numFmtId="0" fontId="180" fillId="15" borderId="56" applyNumberFormat="0" applyAlignment="0" applyProtection="0"/>
    <xf numFmtId="9" fontId="7"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0" fontId="7" fillId="0" borderId="0"/>
    <xf numFmtId="0" fontId="4" fillId="0" borderId="0"/>
    <xf numFmtId="44" fontId="4" fillId="0" borderId="0" applyFont="0" applyFill="0" applyBorder="0" applyAlignment="0" applyProtection="0"/>
    <xf numFmtId="0" fontId="3" fillId="0" borderId="0"/>
    <xf numFmtId="0" fontId="6" fillId="0" borderId="0"/>
    <xf numFmtId="43" fontId="7" fillId="0" borderId="0" applyFont="0" applyFill="0" applyBorder="0" applyAlignment="0" applyProtection="0"/>
    <xf numFmtId="9" fontId="7" fillId="0" borderId="0" applyFont="0" applyFill="0" applyBorder="0" applyAlignment="0" applyProtection="0"/>
    <xf numFmtId="0" fontId="2" fillId="0" borderId="0"/>
    <xf numFmtId="0" fontId="7" fillId="0" borderId="0"/>
    <xf numFmtId="0" fontId="1" fillId="0" borderId="0"/>
  </cellStyleXfs>
  <cellXfs count="3457">
    <xf numFmtId="0" fontId="0" fillId="0" borderId="0" xfId="0"/>
    <xf numFmtId="0" fontId="8" fillId="0" borderId="0" xfId="1" applyFont="1" applyAlignment="1" applyProtection="1">
      <alignment horizontal="right" vertical="center"/>
    </xf>
    <xf numFmtId="0" fontId="8" fillId="0" borderId="0" xfId="1" applyFont="1" applyAlignment="1" applyProtection="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0" borderId="0" xfId="1" applyFont="1" applyAlignment="1" applyProtection="1">
      <alignment vertical="center"/>
    </xf>
    <xf numFmtId="0" fontId="11" fillId="0" borderId="0" xfId="1" applyFont="1" applyAlignment="1" applyProtection="1">
      <alignment vertical="center"/>
    </xf>
    <xf numFmtId="49" fontId="10" fillId="0" borderId="0" xfId="1" applyNumberFormat="1" applyFont="1" applyBorder="1" applyAlignment="1" applyProtection="1">
      <alignment horizontal="right" vertical="center" readingOrder="2"/>
    </xf>
    <xf numFmtId="49" fontId="12" fillId="0" borderId="0" xfId="1" applyNumberFormat="1" applyFont="1" applyBorder="1" applyAlignment="1" applyProtection="1">
      <alignment horizontal="center" vertical="center" readingOrder="2"/>
    </xf>
    <xf numFmtId="49" fontId="10" fillId="0" borderId="0" xfId="1" applyNumberFormat="1" applyFont="1" applyBorder="1" applyAlignment="1" applyProtection="1">
      <alignment horizontal="center" vertical="center" readingOrder="2"/>
    </xf>
    <xf numFmtId="166" fontId="10" fillId="0" borderId="0" xfId="1" applyNumberFormat="1" applyFont="1" applyBorder="1" applyAlignment="1" applyProtection="1">
      <alignment horizontal="center" vertical="center" readingOrder="2"/>
    </xf>
    <xf numFmtId="0" fontId="10" fillId="0" borderId="0" xfId="1" applyFont="1" applyBorder="1" applyAlignment="1" applyProtection="1">
      <alignment horizontal="right" vertical="center"/>
    </xf>
    <xf numFmtId="0" fontId="10" fillId="0" borderId="0" xfId="1" applyFont="1" applyBorder="1" applyAlignment="1" applyProtection="1">
      <alignment vertical="center"/>
    </xf>
    <xf numFmtId="167" fontId="11" fillId="0" borderId="0" xfId="1" applyNumberFormat="1" applyFont="1" applyAlignment="1" applyProtection="1">
      <alignment vertical="center"/>
    </xf>
    <xf numFmtId="1" fontId="11" fillId="0" borderId="0" xfId="1" applyNumberFormat="1" applyFont="1" applyAlignment="1" applyProtection="1">
      <alignment vertical="center"/>
    </xf>
    <xf numFmtId="0" fontId="10" fillId="0" borderId="0" xfId="1" applyFont="1" applyBorder="1" applyAlignment="1" applyProtection="1">
      <alignment horizontal="center" vertical="center"/>
    </xf>
    <xf numFmtId="49" fontId="11" fillId="0" borderId="0" xfId="1" applyNumberFormat="1" applyFont="1" applyAlignment="1" applyProtection="1">
      <alignment vertical="center"/>
    </xf>
    <xf numFmtId="0" fontId="10" fillId="0" borderId="0" xfId="1" applyFont="1" applyBorder="1" applyAlignment="1" applyProtection="1">
      <alignment horizontal="center" vertical="center" readingOrder="2"/>
    </xf>
    <xf numFmtId="3" fontId="15" fillId="3" borderId="6" xfId="3" applyNumberFormat="1" applyFont="1" applyFill="1" applyBorder="1" applyAlignment="1" applyProtection="1">
      <alignment horizontal="center" vertical="center"/>
      <protection locked="0"/>
    </xf>
    <xf numFmtId="0" fontId="15" fillId="3" borderId="7" xfId="3" applyFont="1" applyFill="1" applyBorder="1" applyAlignment="1" applyProtection="1">
      <alignment horizontal="center" vertical="center" wrapText="1" readingOrder="2"/>
      <protection locked="0"/>
    </xf>
    <xf numFmtId="0" fontId="15" fillId="3" borderId="4" xfId="3" applyFont="1" applyFill="1" applyBorder="1" applyAlignment="1" applyProtection="1">
      <alignment horizontal="center" vertical="center" wrapText="1" readingOrder="2"/>
      <protection locked="0"/>
    </xf>
    <xf numFmtId="0" fontId="15" fillId="3" borderId="4" xfId="3" applyFont="1" applyFill="1" applyBorder="1" applyAlignment="1" applyProtection="1">
      <alignment horizontal="center" vertical="center"/>
      <protection locked="0"/>
    </xf>
    <xf numFmtId="0" fontId="15" fillId="3" borderId="4" xfId="3" applyFont="1" applyFill="1" applyBorder="1" applyAlignment="1" applyProtection="1">
      <alignment horizontal="center" vertical="center" readingOrder="2"/>
      <protection locked="0"/>
    </xf>
    <xf numFmtId="0" fontId="15" fillId="3" borderId="5" xfId="3" applyFont="1" applyFill="1" applyBorder="1" applyAlignment="1" applyProtection="1">
      <alignment horizontal="center" vertical="center" wrapText="1"/>
      <protection locked="0"/>
    </xf>
    <xf numFmtId="0" fontId="7" fillId="0" borderId="0" xfId="2"/>
    <xf numFmtId="3" fontId="15" fillId="3" borderId="0" xfId="3" applyNumberFormat="1" applyFont="1" applyFill="1" applyBorder="1" applyAlignment="1" applyProtection="1">
      <alignment horizontal="center" vertical="center"/>
      <protection locked="0"/>
    </xf>
    <xf numFmtId="3" fontId="15" fillId="3" borderId="10" xfId="3" applyNumberFormat="1" applyFont="1" applyFill="1" applyBorder="1" applyAlignment="1" applyProtection="1">
      <alignment horizontal="center" vertical="center" wrapText="1" readingOrder="2"/>
      <protection locked="0"/>
    </xf>
    <xf numFmtId="3" fontId="15" fillId="3" borderId="11" xfId="3" applyNumberFormat="1" applyFont="1" applyFill="1" applyBorder="1" applyAlignment="1" applyProtection="1">
      <alignment horizontal="center" vertical="center" wrapText="1" readingOrder="2"/>
      <protection locked="0"/>
    </xf>
    <xf numFmtId="3" fontId="15" fillId="3" borderId="12" xfId="3" applyNumberFormat="1" applyFont="1" applyFill="1" applyBorder="1" applyAlignment="1" applyProtection="1">
      <alignment horizontal="center" vertical="center" wrapText="1" readingOrder="2"/>
      <protection locked="0"/>
    </xf>
    <xf numFmtId="3" fontId="15" fillId="3" borderId="16" xfId="3" applyNumberFormat="1" applyFont="1" applyFill="1" applyBorder="1" applyAlignment="1" applyProtection="1">
      <alignment horizontal="center" vertical="center"/>
      <protection locked="0"/>
    </xf>
    <xf numFmtId="0" fontId="15" fillId="2" borderId="13" xfId="3" applyFont="1" applyFill="1" applyBorder="1" applyAlignment="1" applyProtection="1">
      <alignment horizontal="center" vertical="center" wrapText="1" readingOrder="2"/>
      <protection locked="0"/>
    </xf>
    <xf numFmtId="0" fontId="15" fillId="2" borderId="17" xfId="3" applyFont="1" applyFill="1" applyBorder="1" applyAlignment="1" applyProtection="1">
      <alignment horizontal="center" vertical="center" wrapText="1" readingOrder="2"/>
      <protection locked="0"/>
    </xf>
    <xf numFmtId="0" fontId="15" fillId="2" borderId="17" xfId="3" applyFont="1" applyFill="1" applyBorder="1" applyAlignment="1" applyProtection="1">
      <alignment horizontal="center" vertical="center"/>
      <protection locked="0"/>
    </xf>
    <xf numFmtId="0" fontId="15" fillId="2" borderId="17" xfId="3" applyFont="1" applyFill="1" applyBorder="1" applyAlignment="1" applyProtection="1">
      <alignment horizontal="center" vertical="center" readingOrder="2"/>
      <protection locked="0"/>
    </xf>
    <xf numFmtId="0" fontId="15" fillId="2" borderId="17" xfId="3" applyFont="1" applyFill="1" applyBorder="1" applyAlignment="1" applyProtection="1">
      <alignment horizontal="center" vertical="center" wrapText="1"/>
      <protection locked="0"/>
    </xf>
    <xf numFmtId="0" fontId="15" fillId="2" borderId="18" xfId="3" applyFont="1" applyFill="1" applyBorder="1" applyAlignment="1" applyProtection="1">
      <alignment horizontal="center" vertical="center" wrapText="1"/>
      <protection locked="0"/>
    </xf>
    <xf numFmtId="0" fontId="16" fillId="4" borderId="19" xfId="3" applyFont="1" applyFill="1" applyBorder="1" applyAlignment="1" applyProtection="1">
      <alignment horizontal="center"/>
      <protection locked="0"/>
    </xf>
    <xf numFmtId="0" fontId="15" fillId="4" borderId="19" xfId="3" applyFont="1" applyFill="1" applyBorder="1" applyAlignment="1" applyProtection="1">
      <alignment horizontal="center"/>
      <protection locked="0"/>
    </xf>
    <xf numFmtId="0" fontId="15" fillId="0" borderId="20" xfId="3" applyFont="1" applyFill="1" applyBorder="1" applyAlignment="1" applyProtection="1">
      <alignment horizontal="center" vertical="center" readingOrder="2"/>
      <protection locked="0"/>
    </xf>
    <xf numFmtId="49" fontId="15" fillId="0" borderId="21" xfId="3" applyNumberFormat="1" applyFont="1" applyFill="1" applyBorder="1" applyAlignment="1" applyProtection="1">
      <alignment horizontal="center"/>
      <protection locked="0"/>
    </xf>
    <xf numFmtId="0" fontId="15" fillId="0" borderId="21" xfId="3" applyFont="1" applyFill="1" applyBorder="1" applyAlignment="1" applyProtection="1">
      <alignment horizontal="right"/>
      <protection locked="0"/>
    </xf>
    <xf numFmtId="3" fontId="15" fillId="0" borderId="21" xfId="3" applyNumberFormat="1" applyFont="1" applyFill="1" applyBorder="1" applyProtection="1">
      <protection locked="0"/>
    </xf>
    <xf numFmtId="0" fontId="15" fillId="0" borderId="21" xfId="3" applyFont="1" applyFill="1" applyBorder="1" applyProtection="1">
      <protection locked="0"/>
    </xf>
    <xf numFmtId="3" fontId="15" fillId="0" borderId="21" xfId="3" applyNumberFormat="1" applyFont="1" applyFill="1" applyBorder="1" applyAlignment="1" applyProtection="1">
      <alignment horizontal="right" vertical="center" readingOrder="2"/>
    </xf>
    <xf numFmtId="3" fontId="15" fillId="0" borderId="22" xfId="3" applyNumberFormat="1" applyFont="1" applyFill="1" applyBorder="1" applyAlignment="1" applyProtection="1">
      <alignment horizontal="right" vertical="center" readingOrder="2"/>
    </xf>
    <xf numFmtId="0" fontId="15" fillId="0" borderId="23" xfId="3" applyFont="1" applyFill="1" applyBorder="1" applyAlignment="1" applyProtection="1">
      <alignment horizontal="center" vertical="center" readingOrder="2"/>
      <protection locked="0"/>
    </xf>
    <xf numFmtId="49" fontId="15" fillId="0" borderId="19" xfId="3" applyNumberFormat="1" applyFont="1" applyFill="1" applyBorder="1" applyAlignment="1" applyProtection="1">
      <alignment horizontal="center"/>
      <protection locked="0"/>
    </xf>
    <xf numFmtId="0" fontId="15" fillId="0" borderId="19" xfId="3" applyFont="1" applyFill="1" applyBorder="1" applyAlignment="1" applyProtection="1">
      <alignment horizontal="right"/>
      <protection locked="0"/>
    </xf>
    <xf numFmtId="3" fontId="15" fillId="0" borderId="19" xfId="3" applyNumberFormat="1" applyFont="1" applyFill="1" applyBorder="1" applyProtection="1">
      <protection locked="0"/>
    </xf>
    <xf numFmtId="0" fontId="15" fillId="0" borderId="19" xfId="3" applyFont="1" applyFill="1" applyBorder="1" applyProtection="1">
      <protection locked="0"/>
    </xf>
    <xf numFmtId="3" fontId="17" fillId="0" borderId="19" xfId="3" applyNumberFormat="1" applyFont="1" applyFill="1" applyBorder="1" applyProtection="1">
      <protection locked="0"/>
    </xf>
    <xf numFmtId="49" fontId="15" fillId="0" borderId="24" xfId="3" applyNumberFormat="1" applyFont="1" applyFill="1" applyBorder="1" applyAlignment="1" applyProtection="1">
      <alignment horizontal="center"/>
      <protection locked="0"/>
    </xf>
    <xf numFmtId="0" fontId="15" fillId="0" borderId="24" xfId="3" applyFont="1" applyFill="1" applyBorder="1" applyAlignment="1" applyProtection="1">
      <alignment horizontal="right"/>
      <protection locked="0"/>
    </xf>
    <xf numFmtId="3" fontId="15" fillId="0" borderId="24" xfId="3" applyNumberFormat="1" applyFont="1" applyFill="1" applyBorder="1" applyProtection="1">
      <protection locked="0"/>
    </xf>
    <xf numFmtId="0" fontId="17" fillId="0" borderId="24" xfId="3" applyFont="1" applyFill="1" applyBorder="1" applyAlignment="1" applyProtection="1">
      <alignment horizontal="right"/>
      <protection locked="0"/>
    </xf>
    <xf numFmtId="3" fontId="17" fillId="0" borderId="24" xfId="3" applyNumberFormat="1" applyFont="1" applyFill="1" applyBorder="1" applyProtection="1">
      <protection locked="0"/>
    </xf>
    <xf numFmtId="3" fontId="15" fillId="0" borderId="11" xfId="3" applyNumberFormat="1" applyFont="1" applyFill="1" applyBorder="1" applyProtection="1">
      <protection locked="0"/>
    </xf>
    <xf numFmtId="0" fontId="18" fillId="0" borderId="0" xfId="3" applyFont="1" applyFill="1" applyBorder="1" applyProtection="1">
      <protection locked="0"/>
    </xf>
    <xf numFmtId="0" fontId="16" fillId="0" borderId="0" xfId="3" applyFont="1" applyFill="1" applyBorder="1" applyAlignment="1" applyProtection="1">
      <alignment horizontal="center"/>
      <protection locked="0"/>
    </xf>
    <xf numFmtId="0" fontId="15" fillId="0" borderId="0" xfId="3" applyFont="1" applyFill="1" applyBorder="1" applyAlignment="1" applyProtection="1">
      <alignment horizontal="center"/>
      <protection locked="0"/>
    </xf>
    <xf numFmtId="0" fontId="19" fillId="0" borderId="0" xfId="3" applyFont="1" applyFill="1" applyAlignment="1" applyProtection="1">
      <alignment horizontal="center" vertical="center" readingOrder="2"/>
      <protection locked="0"/>
    </xf>
    <xf numFmtId="49" fontId="20" fillId="0" borderId="0" xfId="3" applyNumberFormat="1" applyFont="1" applyFill="1" applyAlignment="1" applyProtection="1">
      <alignment horizontal="center"/>
      <protection locked="0"/>
    </xf>
    <xf numFmtId="0" fontId="21" fillId="0" borderId="0" xfId="3" applyFont="1" applyFill="1" applyProtection="1">
      <protection locked="0"/>
    </xf>
    <xf numFmtId="3" fontId="20" fillId="0" borderId="25" xfId="3" applyNumberFormat="1" applyFont="1" applyFill="1" applyBorder="1" applyProtection="1">
      <protection locked="0"/>
    </xf>
    <xf numFmtId="3" fontId="18" fillId="0" borderId="0" xfId="3" applyNumberFormat="1" applyFont="1" applyFill="1" applyBorder="1" applyProtection="1">
      <protection locked="0"/>
    </xf>
    <xf numFmtId="0" fontId="13" fillId="0" borderId="0" xfId="3" applyFont="1" applyFill="1" applyProtection="1">
      <protection locked="0"/>
    </xf>
    <xf numFmtId="0" fontId="20" fillId="0" borderId="0" xfId="3" applyFont="1" applyFill="1" applyProtection="1">
      <protection locked="0"/>
    </xf>
    <xf numFmtId="0" fontId="13" fillId="0" borderId="0" xfId="3" applyFont="1" applyFill="1" applyAlignment="1" applyProtection="1">
      <protection locked="0"/>
    </xf>
    <xf numFmtId="0" fontId="13" fillId="0" borderId="0" xfId="3" applyFont="1" applyFill="1" applyBorder="1" applyProtection="1">
      <protection locked="0"/>
    </xf>
    <xf numFmtId="0" fontId="16" fillId="5" borderId="19" xfId="3" applyFont="1" applyFill="1" applyBorder="1" applyAlignment="1" applyProtection="1">
      <alignment horizontal="center"/>
      <protection locked="0"/>
    </xf>
    <xf numFmtId="0" fontId="15" fillId="5" borderId="19" xfId="3" applyFont="1" applyFill="1" applyBorder="1" applyAlignment="1" applyProtection="1">
      <alignment horizontal="center"/>
      <protection locked="0"/>
    </xf>
    <xf numFmtId="0" fontId="15" fillId="0" borderId="19" xfId="3" applyFont="1" applyFill="1" applyBorder="1" applyAlignment="1" applyProtection="1">
      <alignment horizontal="center" vertical="center" readingOrder="2"/>
      <protection locked="0"/>
    </xf>
    <xf numFmtId="0" fontId="15" fillId="0" borderId="31" xfId="3" applyFont="1" applyFill="1" applyBorder="1" applyAlignment="1" applyProtection="1">
      <alignment horizontal="right"/>
      <protection locked="0"/>
    </xf>
    <xf numFmtId="168" fontId="15" fillId="0" borderId="19" xfId="4" applyNumberFormat="1" applyFont="1" applyFill="1" applyBorder="1" applyAlignment="1">
      <alignment vertical="center"/>
    </xf>
    <xf numFmtId="0" fontId="18" fillId="0" borderId="19" xfId="3" applyFont="1" applyFill="1" applyBorder="1" applyProtection="1">
      <protection locked="0"/>
    </xf>
    <xf numFmtId="0" fontId="16" fillId="6" borderId="19" xfId="3" applyFont="1" applyFill="1" applyBorder="1" applyAlignment="1" applyProtection="1">
      <alignment horizontal="center"/>
      <protection locked="0"/>
    </xf>
    <xf numFmtId="0" fontId="15" fillId="6" borderId="19" xfId="3" applyFont="1" applyFill="1" applyBorder="1" applyAlignment="1" applyProtection="1">
      <alignment horizontal="center"/>
      <protection locked="0"/>
    </xf>
    <xf numFmtId="0" fontId="15" fillId="6" borderId="19" xfId="3" applyFont="1" applyFill="1" applyBorder="1" applyAlignment="1" applyProtection="1">
      <alignment horizontal="center" vertical="center" readingOrder="2"/>
      <protection locked="0"/>
    </xf>
    <xf numFmtId="49" fontId="15" fillId="6" borderId="19" xfId="3" applyNumberFormat="1" applyFont="1" applyFill="1" applyBorder="1" applyAlignment="1" applyProtection="1">
      <alignment horizontal="center"/>
      <protection locked="0"/>
    </xf>
    <xf numFmtId="0" fontId="15" fillId="6" borderId="31" xfId="3" applyFont="1" applyFill="1" applyBorder="1" applyAlignment="1" applyProtection="1">
      <alignment horizontal="right"/>
      <protection locked="0"/>
    </xf>
    <xf numFmtId="168" fontId="15" fillId="6" borderId="19" xfId="4" applyNumberFormat="1" applyFont="1" applyFill="1" applyBorder="1" applyAlignment="1">
      <alignment vertical="center"/>
    </xf>
    <xf numFmtId="0" fontId="18" fillId="6" borderId="19" xfId="3" applyFont="1" applyFill="1" applyBorder="1" applyProtection="1">
      <protection locked="0"/>
    </xf>
    <xf numFmtId="0" fontId="15" fillId="7" borderId="31" xfId="3" applyFont="1" applyFill="1" applyBorder="1" applyAlignment="1" applyProtection="1">
      <alignment horizontal="right"/>
      <protection locked="0"/>
    </xf>
    <xf numFmtId="49" fontId="15" fillId="7" borderId="19" xfId="3" applyNumberFormat="1" applyFont="1" applyFill="1" applyBorder="1" applyAlignment="1" applyProtection="1">
      <alignment horizontal="center"/>
      <protection locked="0"/>
    </xf>
    <xf numFmtId="0" fontId="19" fillId="0" borderId="0" xfId="3" applyFont="1" applyFill="1" applyBorder="1" applyAlignment="1" applyProtection="1">
      <alignment horizontal="center" vertical="center" readingOrder="2"/>
      <protection locked="0"/>
    </xf>
    <xf numFmtId="49" fontId="20" fillId="0" borderId="0" xfId="3" applyNumberFormat="1" applyFont="1" applyFill="1" applyBorder="1" applyAlignment="1" applyProtection="1">
      <alignment horizontal="center"/>
      <protection locked="0"/>
    </xf>
    <xf numFmtId="3" fontId="21" fillId="0" borderId="0" xfId="3" applyNumberFormat="1" applyFont="1" applyFill="1" applyBorder="1" applyProtection="1">
      <protection locked="0"/>
    </xf>
    <xf numFmtId="168" fontId="15" fillId="2" borderId="19" xfId="4" applyNumberFormat="1" applyFont="1" applyFill="1" applyBorder="1" applyAlignment="1">
      <alignment vertical="center"/>
    </xf>
    <xf numFmtId="0" fontId="14" fillId="4" borderId="26" xfId="3" applyFont="1" applyFill="1" applyBorder="1" applyAlignment="1" applyProtection="1">
      <alignment horizontal="center" vertical="center" wrapText="1" readingOrder="2"/>
      <protection locked="0"/>
    </xf>
    <xf numFmtId="0" fontId="14" fillId="4" borderId="4" xfId="3" applyFont="1" applyFill="1" applyBorder="1" applyAlignment="1" applyProtection="1">
      <alignment horizontal="center" vertical="center" wrapText="1" readingOrder="2"/>
      <protection locked="0"/>
    </xf>
    <xf numFmtId="0" fontId="14" fillId="4" borderId="4" xfId="3" applyFont="1" applyFill="1" applyBorder="1" applyAlignment="1" applyProtection="1">
      <alignment horizontal="center" vertical="center"/>
      <protection locked="0"/>
    </xf>
    <xf numFmtId="0" fontId="14" fillId="4" borderId="4" xfId="3" applyFont="1" applyFill="1" applyBorder="1" applyAlignment="1" applyProtection="1">
      <alignment horizontal="center" vertical="center" readingOrder="2"/>
      <protection locked="0"/>
    </xf>
    <xf numFmtId="0" fontId="14" fillId="4" borderId="5" xfId="3" applyFont="1" applyFill="1" applyBorder="1" applyAlignment="1" applyProtection="1">
      <alignment horizontal="center" vertical="center" wrapText="1"/>
      <protection locked="0"/>
    </xf>
    <xf numFmtId="0" fontId="6" fillId="0" borderId="0" xfId="0" applyFont="1"/>
    <xf numFmtId="3" fontId="14" fillId="4" borderId="27" xfId="3" applyNumberFormat="1" applyFont="1" applyFill="1" applyBorder="1" applyAlignment="1" applyProtection="1">
      <alignment horizontal="center" vertical="center" wrapText="1" readingOrder="2"/>
      <protection locked="0"/>
    </xf>
    <xf numFmtId="3" fontId="14" fillId="4" borderId="11" xfId="3" applyNumberFormat="1" applyFont="1" applyFill="1" applyBorder="1" applyAlignment="1" applyProtection="1">
      <alignment horizontal="center" vertical="center" wrapText="1" readingOrder="2"/>
      <protection locked="0"/>
    </xf>
    <xf numFmtId="3" fontId="14" fillId="4" borderId="12" xfId="3" applyNumberFormat="1" applyFont="1" applyFill="1" applyBorder="1" applyAlignment="1" applyProtection="1">
      <alignment horizontal="center" vertical="center" wrapText="1" readingOrder="2"/>
      <protection locked="0"/>
    </xf>
    <xf numFmtId="0" fontId="23" fillId="4" borderId="29" xfId="3" applyFont="1" applyFill="1" applyBorder="1" applyAlignment="1" applyProtection="1">
      <alignment horizontal="center" vertical="center" wrapText="1" readingOrder="2"/>
      <protection locked="0"/>
    </xf>
    <xf numFmtId="0" fontId="23" fillId="4" borderId="24" xfId="3" applyFont="1" applyFill="1" applyBorder="1" applyAlignment="1" applyProtection="1">
      <alignment horizontal="center" vertical="center" wrapText="1" readingOrder="2"/>
      <protection locked="0"/>
    </xf>
    <xf numFmtId="0" fontId="23" fillId="4" borderId="24" xfId="3" applyFont="1" applyFill="1" applyBorder="1" applyAlignment="1" applyProtection="1">
      <alignment horizontal="center" vertical="center"/>
      <protection locked="0"/>
    </xf>
    <xf numFmtId="0" fontId="23" fillId="4" borderId="24" xfId="3" applyFont="1" applyFill="1" applyBorder="1" applyAlignment="1" applyProtection="1">
      <alignment horizontal="center" vertical="center" readingOrder="2"/>
      <protection locked="0"/>
    </xf>
    <xf numFmtId="0" fontId="23" fillId="4" borderId="24" xfId="3" applyFont="1" applyFill="1" applyBorder="1" applyAlignment="1" applyProtection="1">
      <alignment horizontal="center" vertical="center" wrapText="1"/>
      <protection locked="0"/>
    </xf>
    <xf numFmtId="0" fontId="23" fillId="4" borderId="30" xfId="3" applyFont="1" applyFill="1" applyBorder="1" applyAlignment="1" applyProtection="1">
      <alignment horizontal="center" vertical="center" wrapText="1"/>
      <protection locked="0"/>
    </xf>
    <xf numFmtId="0" fontId="27" fillId="9" borderId="0" xfId="0" applyFont="1" applyFill="1"/>
    <xf numFmtId="0" fontId="27" fillId="9" borderId="0" xfId="0" applyFont="1" applyFill="1" applyAlignment="1">
      <alignment horizontal="center"/>
    </xf>
    <xf numFmtId="0" fontId="27" fillId="9" borderId="0" xfId="0" applyFont="1" applyFill="1" applyAlignment="1">
      <alignment vertical="center"/>
    </xf>
    <xf numFmtId="0" fontId="41" fillId="9" borderId="0" xfId="8" applyFont="1" applyFill="1" applyAlignment="1">
      <alignment vertical="center" wrapText="1" readingOrder="2"/>
    </xf>
    <xf numFmtId="0" fontId="41" fillId="9" borderId="0" xfId="8" applyFont="1" applyFill="1" applyAlignment="1">
      <alignment vertical="top" wrapText="1" readingOrder="2"/>
    </xf>
    <xf numFmtId="0" fontId="42" fillId="9" borderId="0" xfId="23" applyFont="1" applyFill="1" applyAlignment="1">
      <alignment vertical="top" wrapText="1" readingOrder="2"/>
    </xf>
    <xf numFmtId="0" fontId="44" fillId="0" borderId="0" xfId="15" applyFont="1"/>
    <xf numFmtId="0" fontId="46" fillId="0" borderId="0" xfId="0" applyFont="1"/>
    <xf numFmtId="0" fontId="45" fillId="0" borderId="0" xfId="15" applyFont="1" applyAlignment="1">
      <alignment horizontal="center" vertical="justify"/>
    </xf>
    <xf numFmtId="0" fontId="47" fillId="0" borderId="0" xfId="15" applyFont="1" applyFill="1" applyBorder="1" applyAlignment="1">
      <alignment vertical="top" wrapText="1"/>
    </xf>
    <xf numFmtId="0" fontId="34" fillId="0" borderId="0" xfId="15" applyFont="1" applyAlignment="1">
      <alignment readingOrder="2"/>
    </xf>
    <xf numFmtId="0" fontId="34" fillId="0" borderId="0" xfId="15" applyFont="1" applyFill="1" applyAlignment="1">
      <alignment horizontal="right" readingOrder="2"/>
    </xf>
    <xf numFmtId="0" fontId="44" fillId="0" borderId="0" xfId="15" applyFont="1" applyBorder="1" applyAlignment="1">
      <alignment readingOrder="2"/>
    </xf>
    <xf numFmtId="0" fontId="48" fillId="0" borderId="0" xfId="15" applyFont="1" applyAlignment="1">
      <alignment horizontal="right" readingOrder="2"/>
    </xf>
    <xf numFmtId="0" fontId="48" fillId="0" borderId="0" xfId="15" applyFont="1" applyFill="1" applyAlignment="1">
      <alignment horizontal="right" readingOrder="2"/>
    </xf>
    <xf numFmtId="0" fontId="49" fillId="0" borderId="0" xfId="15" applyFont="1" applyFill="1" applyBorder="1" applyAlignment="1">
      <alignment vertical="center" readingOrder="2"/>
    </xf>
    <xf numFmtId="0" fontId="50" fillId="0" borderId="0" xfId="15" applyFont="1" applyFill="1" applyBorder="1" applyAlignment="1">
      <alignment vertical="center" wrapText="1"/>
    </xf>
    <xf numFmtId="0" fontId="49" fillId="0" borderId="0" xfId="0" applyFont="1"/>
    <xf numFmtId="0" fontId="33" fillId="0" borderId="0" xfId="15" applyFont="1" applyFill="1" applyBorder="1" applyAlignment="1">
      <alignment horizontal="center" vertical="center" wrapText="1"/>
    </xf>
    <xf numFmtId="0" fontId="47" fillId="0" borderId="0" xfId="15" applyFont="1" applyFill="1" applyBorder="1" applyAlignment="1">
      <alignment horizontal="center" vertical="center" wrapText="1"/>
    </xf>
    <xf numFmtId="0" fontId="36" fillId="0" borderId="0" xfId="8" applyNumberFormat="1" applyFont="1" applyAlignment="1">
      <alignment horizontal="center" readingOrder="2"/>
    </xf>
    <xf numFmtId="166" fontId="47" fillId="0" borderId="0" xfId="15" applyNumberFormat="1" applyFont="1" applyFill="1" applyBorder="1" applyAlignment="1">
      <alignment horizontal="center" readingOrder="2"/>
    </xf>
    <xf numFmtId="0" fontId="50" fillId="0" borderId="0" xfId="15" applyNumberFormat="1" applyFont="1" applyFill="1" applyBorder="1" applyAlignment="1">
      <alignment horizontal="center" readingOrder="2"/>
    </xf>
    <xf numFmtId="167" fontId="47" fillId="0" borderId="0" xfId="8" applyNumberFormat="1" applyFont="1" applyAlignment="1">
      <alignment horizontal="right" vertical="top" readingOrder="2"/>
    </xf>
    <xf numFmtId="0" fontId="46" fillId="0" borderId="0" xfId="0" applyFont="1" applyAlignment="1">
      <alignment vertical="top"/>
    </xf>
    <xf numFmtId="167" fontId="47" fillId="9" borderId="0" xfId="8" applyNumberFormat="1" applyFont="1" applyFill="1" applyAlignment="1">
      <alignment horizontal="right" vertical="top" readingOrder="2"/>
    </xf>
    <xf numFmtId="167" fontId="47" fillId="0" borderId="0" xfId="8" applyNumberFormat="1" applyFont="1" applyBorder="1" applyAlignment="1">
      <alignment horizontal="right" vertical="top" readingOrder="2"/>
    </xf>
    <xf numFmtId="164" fontId="46" fillId="0" borderId="0" xfId="15" applyNumberFormat="1" applyFont="1" applyFill="1" applyBorder="1" applyAlignment="1">
      <alignment vertical="top"/>
    </xf>
    <xf numFmtId="0" fontId="33" fillId="0" borderId="0" xfId="15" applyFont="1" applyFill="1" applyBorder="1" applyAlignment="1">
      <alignment vertical="top" wrapText="1"/>
    </xf>
    <xf numFmtId="167" fontId="47" fillId="9" borderId="0" xfId="8" applyNumberFormat="1" applyFont="1" applyFill="1" applyBorder="1" applyAlignment="1">
      <alignment horizontal="right" vertical="top" readingOrder="2"/>
    </xf>
    <xf numFmtId="167" fontId="47" fillId="0" borderId="35" xfId="8" applyNumberFormat="1" applyFont="1" applyBorder="1" applyAlignment="1">
      <alignment horizontal="right" vertical="top" readingOrder="2"/>
    </xf>
    <xf numFmtId="167" fontId="47" fillId="9" borderId="35" xfId="8" applyNumberFormat="1" applyFont="1" applyFill="1" applyBorder="1" applyAlignment="1">
      <alignment horizontal="right" vertical="top" readingOrder="2"/>
    </xf>
    <xf numFmtId="0" fontId="46" fillId="0" borderId="35" xfId="0" applyFont="1" applyBorder="1" applyAlignment="1">
      <alignment vertical="top"/>
    </xf>
    <xf numFmtId="167" fontId="47" fillId="0" borderId="32" xfId="8" applyNumberFormat="1" applyFont="1" applyBorder="1" applyAlignment="1">
      <alignment horizontal="right" vertical="top" readingOrder="2"/>
    </xf>
    <xf numFmtId="0" fontId="36" fillId="0" borderId="0" xfId="15" applyFont="1" applyFill="1" applyBorder="1" applyAlignment="1">
      <alignment vertical="top" wrapText="1"/>
    </xf>
    <xf numFmtId="0" fontId="46" fillId="0" borderId="0" xfId="15" applyFont="1" applyFill="1" applyBorder="1" applyAlignment="1">
      <alignment vertical="top" wrapText="1"/>
    </xf>
    <xf numFmtId="0" fontId="53" fillId="0" borderId="0" xfId="15" applyFont="1" applyFill="1" applyBorder="1" applyAlignment="1">
      <alignment horizontal="right" vertical="center" wrapText="1"/>
    </xf>
    <xf numFmtId="0" fontId="53" fillId="0" borderId="0" xfId="15" applyFont="1" applyFill="1" applyBorder="1" applyAlignment="1">
      <alignment vertical="top" wrapText="1"/>
    </xf>
    <xf numFmtId="0" fontId="33" fillId="0" borderId="0" xfId="15" applyFont="1" applyFill="1" applyBorder="1" applyAlignment="1">
      <alignment vertical="center" wrapText="1"/>
    </xf>
    <xf numFmtId="167" fontId="47" fillId="0" borderId="34" xfId="8" applyNumberFormat="1" applyFont="1" applyBorder="1" applyAlignment="1">
      <alignment horizontal="right" vertical="center" readingOrder="2"/>
    </xf>
    <xf numFmtId="167" fontId="47" fillId="0" borderId="0" xfId="8" applyNumberFormat="1" applyFont="1" applyBorder="1" applyAlignment="1">
      <alignment horizontal="right" vertical="center" readingOrder="2"/>
    </xf>
    <xf numFmtId="167" fontId="47" fillId="0" borderId="33" xfId="8" applyNumberFormat="1" applyFont="1" applyBorder="1" applyAlignment="1">
      <alignment horizontal="right" vertical="center" readingOrder="2"/>
    </xf>
    <xf numFmtId="0" fontId="52" fillId="0" borderId="0" xfId="15" applyFont="1" applyFill="1" applyBorder="1"/>
    <xf numFmtId="169" fontId="52" fillId="0" borderId="0" xfId="15" applyNumberFormat="1" applyFont="1" applyFill="1" applyBorder="1"/>
    <xf numFmtId="167" fontId="52" fillId="0" borderId="0" xfId="15" applyNumberFormat="1" applyFont="1" applyFill="1" applyBorder="1"/>
    <xf numFmtId="3" fontId="55" fillId="0" borderId="0" xfId="15" applyNumberFormat="1" applyFont="1" applyFill="1" applyBorder="1" applyAlignment="1">
      <alignment horizontal="right" readingOrder="2"/>
    </xf>
    <xf numFmtId="0" fontId="57" fillId="0" borderId="0" xfId="27" applyFont="1" applyAlignment="1">
      <alignment vertical="top"/>
    </xf>
    <xf numFmtId="0" fontId="58" fillId="0" borderId="0" xfId="0" applyFont="1"/>
    <xf numFmtId="0" fontId="59" fillId="0" borderId="0" xfId="0" applyFont="1"/>
    <xf numFmtId="0" fontId="60" fillId="0" borderId="0" xfId="27" applyFont="1" applyAlignment="1"/>
    <xf numFmtId="0" fontId="60" fillId="0" borderId="0" xfId="27" applyFont="1"/>
    <xf numFmtId="0" fontId="31" fillId="0" borderId="0" xfId="33" applyFont="1" applyAlignment="1">
      <alignment vertical="center" readingOrder="2"/>
    </xf>
    <xf numFmtId="0" fontId="44" fillId="0" borderId="0" xfId="27" applyFont="1" applyAlignment="1"/>
    <xf numFmtId="0" fontId="44" fillId="0" borderId="0" xfId="27" applyFont="1"/>
    <xf numFmtId="164" fontId="34" fillId="0" borderId="0" xfId="23" applyNumberFormat="1" applyFont="1" applyBorder="1" applyAlignment="1">
      <alignment horizontal="right" vertical="center"/>
    </xf>
    <xf numFmtId="0" fontId="61" fillId="0" borderId="0" xfId="27" applyFont="1" applyFill="1" applyAlignment="1">
      <alignment readingOrder="2"/>
    </xf>
    <xf numFmtId="0" fontId="44" fillId="0" borderId="0" xfId="27" applyFont="1" applyFill="1" applyAlignment="1"/>
    <xf numFmtId="0" fontId="44" fillId="0" borderId="0" xfId="27" applyFont="1" applyFill="1"/>
    <xf numFmtId="164" fontId="34" fillId="0" borderId="36" xfId="23" applyNumberFormat="1" applyFont="1" applyBorder="1" applyAlignment="1">
      <alignment horizontal="right" vertical="center"/>
    </xf>
    <xf numFmtId="0" fontId="49" fillId="0" borderId="0" xfId="27" applyFont="1" applyFill="1" applyAlignment="1">
      <alignment readingOrder="2"/>
    </xf>
    <xf numFmtId="0" fontId="62" fillId="0" borderId="0" xfId="27" applyFont="1" applyFill="1" applyAlignment="1">
      <alignment readingOrder="2"/>
    </xf>
    <xf numFmtId="0" fontId="50" fillId="0" borderId="0" xfId="27" applyFont="1" applyFill="1" applyAlignment="1">
      <alignment readingOrder="2"/>
    </xf>
    <xf numFmtId="0" fontId="60" fillId="0" borderId="0" xfId="27" applyFont="1" applyFill="1" applyAlignment="1"/>
    <xf numFmtId="0" fontId="49" fillId="0" borderId="0" xfId="27" applyFont="1" applyAlignment="1">
      <alignment horizontal="right" vertical="center"/>
    </xf>
    <xf numFmtId="0" fontId="63" fillId="0" borderId="0" xfId="0" applyFont="1" applyAlignment="1">
      <alignment horizontal="right"/>
    </xf>
    <xf numFmtId="0" fontId="42" fillId="0" borderId="0" xfId="27" applyFont="1" applyFill="1" applyAlignment="1"/>
    <xf numFmtId="0" fontId="30" fillId="9" borderId="0" xfId="25" applyFont="1" applyFill="1" applyAlignment="1">
      <alignment vertical="center"/>
    </xf>
    <xf numFmtId="0" fontId="46" fillId="9" borderId="0" xfId="0" applyFont="1" applyFill="1"/>
    <xf numFmtId="0" fontId="35" fillId="9" borderId="35" xfId="24" applyNumberFormat="1" applyFont="1" applyFill="1" applyBorder="1" applyAlignment="1">
      <alignment horizontal="center" readingOrder="2"/>
    </xf>
    <xf numFmtId="0" fontId="44" fillId="9" borderId="0" xfId="20" applyFont="1" applyFill="1" applyAlignment="1">
      <alignment vertical="center" readingOrder="2"/>
    </xf>
    <xf numFmtId="3" fontId="50" fillId="9" borderId="0" xfId="20" applyNumberFormat="1" applyFont="1" applyFill="1" applyBorder="1" applyAlignment="1">
      <alignment horizontal="right" vertical="center" readingOrder="2"/>
    </xf>
    <xf numFmtId="0" fontId="50" fillId="9" borderId="0" xfId="20" applyFont="1" applyFill="1" applyAlignment="1">
      <alignment horizontal="center" vertical="center" readingOrder="2"/>
    </xf>
    <xf numFmtId="0" fontId="33" fillId="9" borderId="0" xfId="20" applyFont="1" applyFill="1" applyAlignment="1">
      <alignment vertical="center" readingOrder="2"/>
    </xf>
    <xf numFmtId="164" fontId="31" fillId="9" borderId="0" xfId="23" applyNumberFormat="1" applyFont="1" applyFill="1" applyBorder="1" applyAlignment="1">
      <alignment horizontal="right" vertical="center"/>
    </xf>
    <xf numFmtId="164" fontId="34" fillId="9" borderId="0" xfId="23" applyNumberFormat="1" applyFont="1" applyFill="1" applyBorder="1" applyAlignment="1">
      <alignment horizontal="right" vertical="center"/>
    </xf>
    <xf numFmtId="0" fontId="64" fillId="9" borderId="0" xfId="24" applyFont="1" applyFill="1" applyAlignment="1">
      <alignment horizontal="right"/>
    </xf>
    <xf numFmtId="0" fontId="64" fillId="9" borderId="0" xfId="24" applyFont="1" applyFill="1"/>
    <xf numFmtId="0" fontId="31" fillId="9" borderId="0" xfId="24" applyFont="1" applyFill="1" applyAlignment="1"/>
    <xf numFmtId="0" fontId="46" fillId="9" borderId="0" xfId="0" applyFont="1" applyFill="1" applyBorder="1"/>
    <xf numFmtId="0" fontId="47" fillId="9" borderId="0" xfId="25" applyFont="1" applyFill="1" applyAlignment="1">
      <alignment horizontal="right" vertical="center" readingOrder="2"/>
    </xf>
    <xf numFmtId="0" fontId="68" fillId="0" borderId="0" xfId="0" applyFont="1"/>
    <xf numFmtId="0" fontId="48" fillId="0" borderId="0" xfId="28" applyFont="1"/>
    <xf numFmtId="0" fontId="44" fillId="0" borderId="0" xfId="28" applyFont="1" applyAlignment="1">
      <alignment horizontal="right" readingOrder="2"/>
    </xf>
    <xf numFmtId="0" fontId="44" fillId="0" borderId="0" xfId="28" applyFont="1" applyAlignment="1">
      <alignment horizontal="right"/>
    </xf>
    <xf numFmtId="0" fontId="69" fillId="0" borderId="0" xfId="28" applyFont="1" applyAlignment="1">
      <alignment horizontal="right" readingOrder="2"/>
    </xf>
    <xf numFmtId="0" fontId="69" fillId="0" borderId="0" xfId="28" applyFont="1" applyAlignment="1">
      <alignment horizontal="right"/>
    </xf>
    <xf numFmtId="0" fontId="34" fillId="0" borderId="0" xfId="28" applyFont="1" applyAlignment="1">
      <alignment horizontal="left" vertical="top" readingOrder="2"/>
    </xf>
    <xf numFmtId="0" fontId="35" fillId="0" borderId="0" xfId="28" applyFont="1" applyAlignment="1">
      <alignment vertical="center"/>
    </xf>
    <xf numFmtId="0" fontId="48" fillId="0" borderId="0" xfId="28" applyFont="1" applyAlignment="1">
      <alignment horizontal="right" vertical="center"/>
    </xf>
    <xf numFmtId="0" fontId="69" fillId="0" borderId="0" xfId="28" applyFont="1" applyAlignment="1">
      <alignment horizontal="right" vertical="center" readingOrder="2"/>
    </xf>
    <xf numFmtId="0" fontId="48" fillId="0" borderId="0" xfId="28" applyFont="1" applyAlignment="1">
      <alignment vertical="center"/>
    </xf>
    <xf numFmtId="0" fontId="50" fillId="0" borderId="0" xfId="28" applyFont="1" applyAlignment="1">
      <alignment horizontal="right" vertical="center" readingOrder="2"/>
    </xf>
    <xf numFmtId="0" fontId="69" fillId="0" borderId="35" xfId="28" applyFont="1" applyBorder="1" applyAlignment="1">
      <alignment horizontal="center" vertical="center" readingOrder="2"/>
    </xf>
    <xf numFmtId="0" fontId="69" fillId="0" borderId="0" xfId="28" applyFont="1" applyAlignment="1">
      <alignment horizontal="center" vertical="center" readingOrder="2"/>
    </xf>
    <xf numFmtId="0" fontId="44" fillId="0" borderId="0" xfId="28" applyFont="1" applyAlignment="1">
      <alignment horizontal="right" vertical="center"/>
    </xf>
    <xf numFmtId="0" fontId="70" fillId="0" borderId="0" xfId="28" applyFont="1" applyBorder="1" applyAlignment="1">
      <alignment horizontal="center" vertical="center" readingOrder="2"/>
    </xf>
    <xf numFmtId="0" fontId="42" fillId="0" borderId="0" xfId="28" applyFont="1" applyAlignment="1">
      <alignment horizontal="right" vertical="center" readingOrder="2"/>
    </xf>
    <xf numFmtId="0" fontId="48" fillId="0" borderId="0" xfId="28" applyFont="1" applyAlignment="1">
      <alignment horizontal="right" vertical="center" readingOrder="2"/>
    </xf>
    <xf numFmtId="3" fontId="35" fillId="0" borderId="0" xfId="35" applyNumberFormat="1" applyFont="1" applyAlignment="1">
      <alignment horizontal="right" vertical="center"/>
    </xf>
    <xf numFmtId="3" fontId="71" fillId="0" borderId="0" xfId="35" applyNumberFormat="1" applyFont="1" applyAlignment="1">
      <alignment horizontal="right" vertical="center"/>
    </xf>
    <xf numFmtId="164" fontId="34" fillId="0" borderId="35" xfId="23" applyNumberFormat="1" applyFont="1" applyBorder="1" applyAlignment="1">
      <alignment horizontal="right" vertical="center"/>
    </xf>
    <xf numFmtId="0" fontId="67" fillId="0" borderId="0" xfId="28" applyFont="1" applyAlignment="1">
      <alignment horizontal="right" vertical="center" readingOrder="2"/>
    </xf>
    <xf numFmtId="164" fontId="69" fillId="0" borderId="0" xfId="28" applyNumberFormat="1" applyFont="1" applyBorder="1" applyAlignment="1">
      <alignment vertical="center"/>
    </xf>
    <xf numFmtId="0" fontId="50" fillId="0" borderId="0" xfId="28" applyFont="1" applyAlignment="1">
      <alignment horizontal="right" vertical="center"/>
    </xf>
    <xf numFmtId="164" fontId="34" fillId="0" borderId="34" xfId="23" applyNumberFormat="1" applyFont="1" applyBorder="1" applyAlignment="1">
      <alignment horizontal="right" vertical="center"/>
    </xf>
    <xf numFmtId="0" fontId="34" fillId="0" borderId="0" xfId="28" applyFont="1" applyAlignment="1">
      <alignment vertical="center" readingOrder="2"/>
    </xf>
    <xf numFmtId="0" fontId="66" fillId="0" borderId="0" xfId="28" applyFont="1" applyAlignment="1">
      <alignment horizontal="right" vertical="center" readingOrder="2"/>
    </xf>
    <xf numFmtId="3" fontId="71" fillId="0" borderId="0" xfId="35" applyNumberFormat="1" applyFont="1" applyAlignment="1">
      <alignment horizontal="right" vertical="center" readingOrder="2"/>
    </xf>
    <xf numFmtId="0" fontId="48" fillId="0" borderId="0" xfId="27" applyFont="1" applyFill="1" applyAlignment="1">
      <alignment vertical="center" wrapText="1" readingOrder="2"/>
    </xf>
    <xf numFmtId="0" fontId="69" fillId="0" borderId="0" xfId="28" applyFont="1" applyAlignment="1">
      <alignment horizontal="right" vertical="center"/>
    </xf>
    <xf numFmtId="0" fontId="64" fillId="0" borderId="0" xfId="28" applyFont="1" applyAlignment="1">
      <alignment horizontal="right" vertical="center" readingOrder="2"/>
    </xf>
    <xf numFmtId="0" fontId="72" fillId="0" borderId="0" xfId="28" applyFont="1" applyAlignment="1">
      <alignment horizontal="right" vertical="center" readingOrder="2"/>
    </xf>
    <xf numFmtId="0" fontId="73" fillId="0" borderId="0" xfId="28" applyFont="1" applyAlignment="1">
      <alignment horizontal="right" vertical="center" readingOrder="2"/>
    </xf>
    <xf numFmtId="2" fontId="35" fillId="0" borderId="0" xfId="27" applyNumberFormat="1" applyFont="1" applyFill="1" applyAlignment="1">
      <alignment vertical="top" readingOrder="2"/>
    </xf>
    <xf numFmtId="0" fontId="64" fillId="0" borderId="0" xfId="28" applyFont="1" applyAlignment="1">
      <alignment horizontal="right" vertical="center"/>
    </xf>
    <xf numFmtId="0" fontId="74" fillId="0" borderId="0" xfId="0" applyFont="1"/>
    <xf numFmtId="0" fontId="34" fillId="0" borderId="0" xfId="28" applyFont="1" applyAlignment="1">
      <alignment horizontal="right" vertical="center" readingOrder="2"/>
    </xf>
    <xf numFmtId="0" fontId="60" fillId="0" borderId="0" xfId="28" applyFont="1" applyAlignment="1">
      <alignment horizontal="right" vertical="center" readingOrder="2"/>
    </xf>
    <xf numFmtId="0" fontId="67" fillId="0" borderId="0" xfId="28" applyFont="1" applyAlignment="1">
      <alignment horizontal="right" vertical="center"/>
    </xf>
    <xf numFmtId="0" fontId="44" fillId="0" borderId="0" xfId="28" applyFont="1" applyAlignment="1">
      <alignment vertical="center"/>
    </xf>
    <xf numFmtId="0" fontId="76" fillId="0" borderId="0" xfId="0" applyFont="1"/>
    <xf numFmtId="0" fontId="72" fillId="0" borderId="0" xfId="28" applyFont="1" applyAlignment="1">
      <alignment horizontal="right" vertical="center"/>
    </xf>
    <xf numFmtId="0" fontId="64" fillId="0" borderId="0" xfId="35" applyFont="1" applyAlignment="1">
      <alignment horizontal="right" vertical="center" readingOrder="2"/>
    </xf>
    <xf numFmtId="170" fontId="71" fillId="0" borderId="0" xfId="35" applyNumberFormat="1" applyFont="1" applyAlignment="1">
      <alignment horizontal="right" vertical="center" readingOrder="2"/>
    </xf>
    <xf numFmtId="170" fontId="69" fillId="0" borderId="0" xfId="35" applyNumberFormat="1" applyFont="1" applyAlignment="1">
      <alignment horizontal="right" vertical="center" readingOrder="2"/>
    </xf>
    <xf numFmtId="0" fontId="78" fillId="0" borderId="0" xfId="0" applyFont="1"/>
    <xf numFmtId="0" fontId="79" fillId="0" borderId="0" xfId="0" applyFont="1" applyAlignment="1">
      <alignment horizontal="left" vertical="top"/>
    </xf>
    <xf numFmtId="0" fontId="48" fillId="0" borderId="0" xfId="0" applyFont="1" applyAlignment="1">
      <alignment vertical="center"/>
    </xf>
    <xf numFmtId="0" fontId="56" fillId="0" borderId="0" xfId="5" applyFont="1" applyAlignment="1">
      <alignment vertical="top" readingOrder="2"/>
    </xf>
    <xf numFmtId="0" fontId="59" fillId="0" borderId="0" xfId="37" applyFont="1"/>
    <xf numFmtId="0" fontId="56" fillId="0" borderId="0" xfId="5" applyFont="1" applyAlignment="1">
      <alignment horizontal="center" vertical="top" readingOrder="2"/>
    </xf>
    <xf numFmtId="3" fontId="47" fillId="0" borderId="0" xfId="34" applyNumberFormat="1" applyFont="1" applyFill="1" applyAlignment="1">
      <alignment vertical="top"/>
    </xf>
    <xf numFmtId="0" fontId="83" fillId="0" borderId="0" xfId="47" applyNumberFormat="1" applyFont="1" applyAlignment="1">
      <alignment horizontal="right" vertical="top"/>
    </xf>
    <xf numFmtId="0" fontId="44" fillId="0" borderId="0" xfId="34" applyFont="1" applyFill="1" applyAlignment="1">
      <alignment vertical="top"/>
    </xf>
    <xf numFmtId="3" fontId="59" fillId="0" borderId="0" xfId="37" applyNumberFormat="1" applyFont="1"/>
    <xf numFmtId="3" fontId="33" fillId="0" borderId="0" xfId="34" applyNumberFormat="1" applyFont="1" applyFill="1" applyAlignment="1">
      <alignment horizontal="center" vertical="center"/>
    </xf>
    <xf numFmtId="49" fontId="82" fillId="9" borderId="0" xfId="47" applyNumberFormat="1" applyFont="1" applyFill="1" applyBorder="1" applyAlignment="1">
      <alignment vertical="top"/>
    </xf>
    <xf numFmtId="0" fontId="59" fillId="0" borderId="0" xfId="37" applyFont="1" applyAlignment="1">
      <alignment horizontal="center" vertical="center"/>
    </xf>
    <xf numFmtId="49" fontId="31" fillId="0" borderId="0" xfId="47" applyNumberFormat="1" applyFont="1" applyFill="1" applyAlignment="1">
      <alignment horizontal="right" vertical="center" readingOrder="2"/>
    </xf>
    <xf numFmtId="0" fontId="44" fillId="0" borderId="0" xfId="34" applyFont="1" applyFill="1" applyAlignment="1">
      <alignment horizontal="center" vertical="center"/>
    </xf>
    <xf numFmtId="3" fontId="47" fillId="0" borderId="0" xfId="34" applyNumberFormat="1" applyFont="1" applyFill="1" applyAlignment="1">
      <alignment horizontal="center" vertical="center"/>
    </xf>
    <xf numFmtId="0" fontId="59" fillId="0" borderId="0" xfId="0" applyFont="1" applyAlignment="1">
      <alignment vertical="center"/>
    </xf>
    <xf numFmtId="0" fontId="59" fillId="0" borderId="0" xfId="37" applyFont="1" applyAlignment="1"/>
    <xf numFmtId="0" fontId="78" fillId="0" borderId="0" xfId="0" applyFont="1" applyAlignment="1">
      <alignment vertical="top"/>
    </xf>
    <xf numFmtId="0" fontId="49" fillId="0" borderId="0" xfId="26" applyFont="1"/>
    <xf numFmtId="0" fontId="49" fillId="0" borderId="0" xfId="26" applyFont="1" applyBorder="1"/>
    <xf numFmtId="164" fontId="29" fillId="0" borderId="0" xfId="23" applyNumberFormat="1" applyFont="1" applyBorder="1" applyAlignment="1">
      <alignment horizontal="center" vertical="center"/>
    </xf>
    <xf numFmtId="164" fontId="29" fillId="0" borderId="0" xfId="23" applyNumberFormat="1" applyFont="1" applyBorder="1" applyAlignment="1">
      <alignment horizontal="right" vertical="top"/>
    </xf>
    <xf numFmtId="164" fontId="29" fillId="0" borderId="0" xfId="32" applyNumberFormat="1" applyFont="1" applyBorder="1" applyAlignment="1">
      <alignment vertical="top"/>
    </xf>
    <xf numFmtId="0" fontId="78" fillId="0" borderId="0" xfId="0" applyFont="1" applyAlignment="1"/>
    <xf numFmtId="0" fontId="78" fillId="0" borderId="0" xfId="0" applyFont="1" applyAlignment="1">
      <alignment vertical="top" shrinkToFit="1"/>
    </xf>
    <xf numFmtId="0" fontId="78" fillId="9" borderId="0" xfId="0" applyFont="1" applyFill="1"/>
    <xf numFmtId="0" fontId="59" fillId="9" borderId="0" xfId="0" applyFont="1" applyFill="1"/>
    <xf numFmtId="0" fontId="93" fillId="9" borderId="0" xfId="17" applyFont="1" applyFill="1" applyAlignment="1">
      <alignment horizontal="center" vertical="top"/>
    </xf>
    <xf numFmtId="0" fontId="46" fillId="9" borderId="0" xfId="17" applyFont="1" applyFill="1" applyAlignment="1">
      <alignment horizontal="right" readingOrder="2"/>
    </xf>
    <xf numFmtId="0" fontId="46" fillId="9" borderId="0" xfId="17" applyFont="1" applyFill="1" applyAlignment="1">
      <alignment horizontal="right"/>
    </xf>
    <xf numFmtId="0" fontId="44" fillId="9" borderId="0" xfId="17" applyFont="1" applyFill="1" applyAlignment="1">
      <alignment horizontal="center"/>
    </xf>
    <xf numFmtId="0" fontId="44" fillId="9" borderId="0" xfId="17" applyFont="1" applyFill="1" applyAlignment="1">
      <alignment horizontal="right"/>
    </xf>
    <xf numFmtId="0" fontId="50" fillId="9" borderId="0" xfId="17" applyFont="1" applyFill="1" applyAlignment="1">
      <alignment horizontal="center" vertical="center" readingOrder="2"/>
    </xf>
    <xf numFmtId="0" fontId="44" fillId="9" borderId="0" xfId="17" applyFont="1" applyFill="1" applyAlignment="1">
      <alignment horizontal="right" vertical="center"/>
    </xf>
    <xf numFmtId="0" fontId="48" fillId="9" borderId="0" xfId="17" applyFont="1" applyFill="1" applyAlignment="1">
      <alignment horizontal="right" vertical="center" readingOrder="2"/>
    </xf>
    <xf numFmtId="0" fontId="44" fillId="9" borderId="0" xfId="17" applyFont="1" applyFill="1" applyAlignment="1">
      <alignment vertical="center"/>
    </xf>
    <xf numFmtId="164" fontId="35" fillId="9" borderId="0" xfId="17" applyNumberFormat="1" applyFont="1" applyFill="1" applyBorder="1" applyAlignment="1">
      <alignment vertical="center"/>
    </xf>
    <xf numFmtId="164" fontId="35" fillId="9" borderId="35" xfId="17" applyNumberFormat="1" applyFont="1" applyFill="1" applyBorder="1" applyAlignment="1">
      <alignment vertical="center"/>
    </xf>
    <xf numFmtId="0" fontId="48" fillId="9" borderId="0" xfId="17" applyFont="1" applyFill="1" applyAlignment="1">
      <alignment horizontal="center" vertical="center" readingOrder="2"/>
    </xf>
    <xf numFmtId="0" fontId="46" fillId="9" borderId="0" xfId="17" applyFont="1" applyFill="1" applyAlignment="1">
      <alignment horizontal="right" vertical="center" readingOrder="2"/>
    </xf>
    <xf numFmtId="1" fontId="50" fillId="9" borderId="0" xfId="17" applyNumberFormat="1" applyFont="1" applyFill="1" applyAlignment="1">
      <alignment horizontal="center" vertical="center"/>
    </xf>
    <xf numFmtId="0" fontId="94" fillId="9" borderId="0" xfId="17" applyFont="1" applyFill="1" applyAlignment="1">
      <alignment horizontal="right" readingOrder="2"/>
    </xf>
    <xf numFmtId="0" fontId="44" fillId="9" borderId="0" xfId="17" applyFont="1" applyFill="1"/>
    <xf numFmtId="0" fontId="77" fillId="9" borderId="0" xfId="17" applyFont="1" applyFill="1" applyAlignment="1">
      <alignment horizontal="right"/>
    </xf>
    <xf numFmtId="0" fontId="95" fillId="9" borderId="0" xfId="0" applyFont="1" applyFill="1"/>
    <xf numFmtId="0" fontId="29" fillId="0" borderId="0" xfId="5" applyFont="1" applyAlignment="1">
      <alignment vertical="top" readingOrder="2"/>
    </xf>
    <xf numFmtId="0" fontId="90" fillId="0" borderId="0" xfId="5" applyFont="1" applyAlignment="1">
      <alignment vertical="top" readingOrder="2"/>
    </xf>
    <xf numFmtId="0" fontId="44" fillId="0" borderId="0" xfId="5" applyFont="1" applyAlignment="1">
      <alignment vertical="center"/>
    </xf>
    <xf numFmtId="0" fontId="44" fillId="0" borderId="0" xfId="5" applyFont="1" applyAlignment="1">
      <alignment horizontal="center" vertical="center"/>
    </xf>
    <xf numFmtId="0" fontId="35" fillId="0" borderId="0" xfId="12" applyFont="1" applyAlignment="1">
      <alignment horizontal="center" readingOrder="2"/>
    </xf>
    <xf numFmtId="0" fontId="49" fillId="0" borderId="0" xfId="5" applyFont="1" applyAlignment="1">
      <alignment vertical="center"/>
    </xf>
    <xf numFmtId="0" fontId="49" fillId="0" borderId="0" xfId="5" applyFont="1" applyAlignment="1">
      <alignment horizontal="center" vertical="center"/>
    </xf>
    <xf numFmtId="0" fontId="50" fillId="0" borderId="0" xfId="5" applyFont="1" applyAlignment="1">
      <alignment horizontal="justify" vertical="center" readingOrder="2"/>
    </xf>
    <xf numFmtId="166" fontId="35" fillId="0" borderId="0" xfId="5" applyNumberFormat="1" applyFont="1" applyBorder="1" applyAlignment="1">
      <alignment horizontal="center" vertical="center" readingOrder="2"/>
    </xf>
    <xf numFmtId="0" fontId="34" fillId="0" borderId="16" xfId="5" applyFont="1" applyBorder="1" applyAlignment="1">
      <alignment horizontal="center" vertical="center" readingOrder="2"/>
    </xf>
    <xf numFmtId="0" fontId="35" fillId="0" borderId="0" xfId="5" applyFont="1" applyAlignment="1">
      <alignment horizontal="right" vertical="center" readingOrder="2"/>
    </xf>
    <xf numFmtId="0" fontId="35" fillId="0" borderId="16" xfId="5" applyFont="1" applyBorder="1" applyAlignment="1">
      <alignment horizontal="center" vertical="center" readingOrder="2"/>
    </xf>
    <xf numFmtId="0" fontId="35" fillId="0" borderId="0" xfId="5" applyFont="1" applyAlignment="1">
      <alignment horizontal="center" vertical="center" readingOrder="2"/>
    </xf>
    <xf numFmtId="166" fontId="34" fillId="0" borderId="16" xfId="5" applyNumberFormat="1" applyFont="1" applyBorder="1" applyAlignment="1">
      <alignment horizontal="center" vertical="center" readingOrder="2"/>
    </xf>
    <xf numFmtId="166" fontId="34" fillId="0" borderId="0" xfId="5" applyNumberFormat="1" applyFont="1" applyAlignment="1">
      <alignment horizontal="center" vertical="center" readingOrder="2"/>
    </xf>
    <xf numFmtId="0" fontId="47" fillId="0" borderId="0" xfId="5" applyFont="1" applyAlignment="1">
      <alignment horizontal="right" vertical="center" readingOrder="2"/>
    </xf>
    <xf numFmtId="0" fontId="46" fillId="0" borderId="0" xfId="5" applyFont="1" applyAlignment="1">
      <alignment horizontal="center" vertical="center"/>
    </xf>
    <xf numFmtId="0" fontId="47" fillId="0" borderId="0" xfId="5" applyFont="1" applyAlignment="1">
      <alignment horizontal="center" vertical="center"/>
    </xf>
    <xf numFmtId="0" fontId="47" fillId="0" borderId="0" xfId="5" applyFont="1" applyAlignment="1">
      <alignment horizontal="center" vertical="center" readingOrder="2"/>
    </xf>
    <xf numFmtId="0" fontId="31" fillId="0" borderId="0" xfId="5" applyFont="1" applyAlignment="1">
      <alignment horizontal="right" vertical="center" readingOrder="2"/>
    </xf>
    <xf numFmtId="0" fontId="98" fillId="0" borderId="0" xfId="5" applyFont="1" applyAlignment="1">
      <alignment horizontal="right" vertical="center" readingOrder="2"/>
    </xf>
    <xf numFmtId="0" fontId="31" fillId="0" borderId="0" xfId="5" applyFont="1" applyAlignment="1">
      <alignment horizontal="center" vertical="center" readingOrder="2"/>
    </xf>
    <xf numFmtId="0" fontId="31" fillId="0" borderId="0" xfId="5" applyFont="1" applyFill="1" applyAlignment="1">
      <alignment vertical="center"/>
    </xf>
    <xf numFmtId="0" fontId="31" fillId="0" borderId="0" xfId="5" applyFont="1" applyAlignment="1">
      <alignment vertical="center"/>
    </xf>
    <xf numFmtId="0" fontId="31" fillId="0" borderId="0" xfId="5" applyFont="1" applyAlignment="1">
      <alignment horizontal="center" vertical="center"/>
    </xf>
    <xf numFmtId="0" fontId="35" fillId="0" borderId="0" xfId="5" applyFont="1" applyFill="1" applyAlignment="1">
      <alignment horizontal="right" vertical="center" readingOrder="2"/>
    </xf>
    <xf numFmtId="0" fontId="87" fillId="0" borderId="0" xfId="5" applyFont="1" applyFill="1" applyAlignment="1">
      <alignment horizontal="right" vertical="center" readingOrder="2"/>
    </xf>
    <xf numFmtId="0" fontId="99" fillId="0" borderId="0" xfId="5" applyFont="1" applyFill="1" applyAlignment="1">
      <alignment horizontal="center" vertical="center" readingOrder="2"/>
    </xf>
    <xf numFmtId="0" fontId="34" fillId="0" borderId="0" xfId="5" applyFont="1" applyFill="1" applyAlignment="1">
      <alignment horizontal="center" vertical="center" readingOrder="2"/>
    </xf>
    <xf numFmtId="164" fontId="34" fillId="9" borderId="0" xfId="5" applyNumberFormat="1" applyFont="1" applyFill="1" applyBorder="1" applyAlignment="1">
      <alignment vertical="center"/>
    </xf>
    <xf numFmtId="0" fontId="34" fillId="0" borderId="0" xfId="5" applyFont="1" applyFill="1" applyAlignment="1">
      <alignment horizontal="right" vertical="center" readingOrder="2"/>
    </xf>
    <xf numFmtId="164" fontId="34" fillId="0" borderId="0" xfId="5" applyNumberFormat="1" applyFont="1" applyFill="1" applyBorder="1" applyAlignment="1">
      <alignment vertical="center"/>
    </xf>
    <xf numFmtId="0" fontId="87" fillId="0" borderId="0" xfId="5" applyFont="1" applyAlignment="1">
      <alignment horizontal="center" vertical="center" readingOrder="2"/>
    </xf>
    <xf numFmtId="0" fontId="87" fillId="0" borderId="0" xfId="5" applyFont="1" applyAlignment="1">
      <alignment horizontal="right" vertical="center" readingOrder="2"/>
    </xf>
    <xf numFmtId="164" fontId="35" fillId="0" borderId="0" xfId="5" applyNumberFormat="1" applyFont="1" applyBorder="1" applyAlignment="1">
      <alignment vertical="center"/>
    </xf>
    <xf numFmtId="0" fontId="87" fillId="0" borderId="0" xfId="5" applyFont="1" applyFill="1" applyAlignment="1">
      <alignment vertical="center" readingOrder="2"/>
    </xf>
    <xf numFmtId="41" fontId="97" fillId="9" borderId="0" xfId="8" applyNumberFormat="1" applyFont="1" applyFill="1" applyAlignment="1">
      <alignment horizontal="right" vertical="center" readingOrder="2"/>
    </xf>
    <xf numFmtId="0" fontId="87" fillId="0" borderId="0" xfId="5" applyFont="1" applyFill="1" applyAlignment="1">
      <alignment vertical="center"/>
    </xf>
    <xf numFmtId="0" fontId="100" fillId="0" borderId="0" xfId="5" applyFont="1" applyFill="1" applyAlignment="1">
      <alignment vertical="center" readingOrder="2"/>
    </xf>
    <xf numFmtId="0" fontId="34" fillId="0" borderId="0" xfId="5" applyFont="1" applyFill="1" applyAlignment="1">
      <alignment vertical="center" readingOrder="2"/>
    </xf>
    <xf numFmtId="164" fontId="34" fillId="9" borderId="32" xfId="5" applyNumberFormat="1" applyFont="1" applyFill="1" applyBorder="1" applyAlignment="1">
      <alignment vertical="center"/>
    </xf>
    <xf numFmtId="164" fontId="34" fillId="0" borderId="32" xfId="5" applyNumberFormat="1" applyFont="1" applyFill="1" applyBorder="1" applyAlignment="1">
      <alignment vertical="center"/>
    </xf>
    <xf numFmtId="0" fontId="100" fillId="0" borderId="0" xfId="5" applyFont="1" applyFill="1" applyAlignment="1">
      <alignment horizontal="center" vertical="center"/>
    </xf>
    <xf numFmtId="0" fontId="31" fillId="0" borderId="0" xfId="5" applyFont="1" applyFill="1" applyAlignment="1">
      <alignment horizontal="right" vertical="center" readingOrder="2"/>
    </xf>
    <xf numFmtId="0" fontId="87" fillId="0" borderId="0" xfId="5" applyFont="1" applyAlignment="1">
      <alignment vertical="center" readingOrder="2"/>
    </xf>
    <xf numFmtId="0" fontId="101" fillId="0" borderId="0" xfId="5" applyFont="1" applyAlignment="1">
      <alignment horizontal="center" vertical="center" readingOrder="2"/>
    </xf>
    <xf numFmtId="0" fontId="34" fillId="0" borderId="0" xfId="5" applyFont="1" applyAlignment="1">
      <alignment horizontal="center" vertical="center" readingOrder="2"/>
    </xf>
    <xf numFmtId="164" fontId="34" fillId="0" borderId="0" xfId="5" applyNumberFormat="1" applyFont="1" applyBorder="1" applyAlignment="1">
      <alignment vertical="center"/>
    </xf>
    <xf numFmtId="0" fontId="87" fillId="0" borderId="0" xfId="5" applyFont="1" applyAlignment="1">
      <alignment horizontal="center" vertical="center"/>
    </xf>
    <xf numFmtId="0" fontId="34" fillId="0" borderId="0" xfId="5" applyFont="1" applyAlignment="1">
      <alignment vertical="center" readingOrder="2"/>
    </xf>
    <xf numFmtId="164" fontId="34" fillId="9" borderId="36" xfId="5" applyNumberFormat="1" applyFont="1" applyFill="1" applyBorder="1" applyAlignment="1">
      <alignment vertical="center"/>
    </xf>
    <xf numFmtId="164" fontId="34" fillId="0" borderId="36" xfId="5" applyNumberFormat="1" applyFont="1" applyBorder="1" applyAlignment="1">
      <alignment vertical="center"/>
    </xf>
    <xf numFmtId="164" fontId="34" fillId="0" borderId="32" xfId="5" applyNumberFormat="1" applyFont="1" applyBorder="1" applyAlignment="1">
      <alignment vertical="center"/>
    </xf>
    <xf numFmtId="164" fontId="35" fillId="0" borderId="32" xfId="5" applyNumberFormat="1" applyFont="1" applyBorder="1" applyAlignment="1">
      <alignment vertical="center"/>
    </xf>
    <xf numFmtId="0" fontId="87" fillId="0" borderId="0" xfId="5" applyFont="1" applyAlignment="1">
      <alignment vertical="center"/>
    </xf>
    <xf numFmtId="0" fontId="60" fillId="0" borderId="0" xfId="5" applyFont="1" applyAlignment="1">
      <alignment horizontal="right" vertical="center" readingOrder="2"/>
    </xf>
    <xf numFmtId="167" fontId="34" fillId="9" borderId="0" xfId="5" applyNumberFormat="1" applyFont="1" applyFill="1" applyAlignment="1">
      <alignment vertical="center"/>
    </xf>
    <xf numFmtId="167" fontId="34" fillId="0" borderId="0" xfId="5" applyNumberFormat="1" applyFont="1" applyAlignment="1">
      <alignment vertical="center"/>
    </xf>
    <xf numFmtId="171" fontId="34" fillId="9" borderId="0" xfId="5" applyNumberFormat="1" applyFont="1" applyFill="1" applyAlignment="1">
      <alignment vertical="center"/>
    </xf>
    <xf numFmtId="0" fontId="100" fillId="0" borderId="0" xfId="5" applyFont="1" applyAlignment="1">
      <alignment horizontal="center" vertical="center" readingOrder="2"/>
    </xf>
    <xf numFmtId="0" fontId="96" fillId="0" borderId="0" xfId="5" applyFont="1" applyAlignment="1">
      <alignment horizontal="center" vertical="center" readingOrder="2"/>
    </xf>
    <xf numFmtId="0" fontId="100" fillId="0" borderId="0" xfId="5" applyFont="1" applyAlignment="1">
      <alignment vertical="center" readingOrder="2"/>
    </xf>
    <xf numFmtId="0" fontId="34" fillId="0" borderId="0" xfId="5" applyFont="1" applyAlignment="1">
      <alignment horizontal="center" vertical="center"/>
    </xf>
    <xf numFmtId="0" fontId="102" fillId="0" borderId="0" xfId="5" applyFont="1" applyFill="1" applyAlignment="1">
      <alignment vertical="center" readingOrder="2"/>
    </xf>
    <xf numFmtId="164" fontId="103" fillId="9" borderId="0" xfId="5" applyNumberFormat="1" applyFont="1" applyFill="1" applyBorder="1" applyAlignment="1">
      <alignment vertical="center"/>
    </xf>
    <xf numFmtId="0" fontId="104" fillId="0" borderId="0" xfId="5" applyFont="1" applyFill="1" applyAlignment="1">
      <alignment horizontal="right" vertical="center" readingOrder="2"/>
    </xf>
    <xf numFmtId="0" fontId="105" fillId="0" borderId="0" xfId="5" applyFont="1" applyFill="1" applyAlignment="1">
      <alignment horizontal="center" vertical="center"/>
    </xf>
    <xf numFmtId="164" fontId="106" fillId="0" borderId="0" xfId="5" applyNumberFormat="1" applyFont="1" applyFill="1" applyBorder="1" applyAlignment="1">
      <alignment vertical="center"/>
    </xf>
    <xf numFmtId="0" fontId="105" fillId="0" borderId="0" xfId="5" applyFont="1" applyFill="1" applyAlignment="1">
      <alignment vertical="center"/>
    </xf>
    <xf numFmtId="0" fontId="102" fillId="0" borderId="0" xfId="5" applyFont="1" applyAlignment="1">
      <alignment vertical="center" readingOrder="2"/>
    </xf>
    <xf numFmtId="167" fontId="34" fillId="0" borderId="32" xfId="5" applyNumberFormat="1" applyFont="1" applyFill="1" applyBorder="1" applyAlignment="1">
      <alignment vertical="center"/>
    </xf>
    <xf numFmtId="167" fontId="34" fillId="0" borderId="32" xfId="5" applyNumberFormat="1" applyFont="1" applyBorder="1" applyAlignment="1">
      <alignment vertical="center"/>
    </xf>
    <xf numFmtId="0" fontId="67" fillId="0" borderId="0" xfId="5" applyFont="1" applyAlignment="1">
      <alignment horizontal="center" vertical="center"/>
    </xf>
    <xf numFmtId="0" fontId="67" fillId="0" borderId="0" xfId="5" applyFont="1" applyAlignment="1">
      <alignment vertical="center"/>
    </xf>
    <xf numFmtId="164" fontId="34" fillId="0" borderId="33" xfId="5" applyNumberFormat="1" applyFont="1" applyFill="1" applyBorder="1" applyAlignment="1">
      <alignment vertical="center"/>
    </xf>
    <xf numFmtId="164" fontId="34" fillId="0" borderId="33" xfId="5" applyNumberFormat="1" applyFont="1" applyBorder="1" applyAlignment="1">
      <alignment vertical="center"/>
    </xf>
    <xf numFmtId="0" fontId="102" fillId="0" borderId="0" xfId="5" applyFont="1" applyAlignment="1">
      <alignment horizontal="center" vertical="center"/>
    </xf>
    <xf numFmtId="167" fontId="34" fillId="0" borderId="33" xfId="5" applyNumberFormat="1" applyFont="1" applyFill="1" applyBorder="1" applyAlignment="1">
      <alignment vertical="center"/>
    </xf>
    <xf numFmtId="167" fontId="34" fillId="0" borderId="33" xfId="5" applyNumberFormat="1" applyFont="1" applyBorder="1" applyAlignment="1">
      <alignment vertical="center"/>
    </xf>
    <xf numFmtId="0" fontId="51" fillId="0" borderId="0" xfId="0" applyFont="1"/>
    <xf numFmtId="164" fontId="107" fillId="0" borderId="0" xfId="0" applyNumberFormat="1" applyFont="1"/>
    <xf numFmtId="0" fontId="67" fillId="0" borderId="0" xfId="5" applyFont="1" applyAlignment="1">
      <alignment horizontal="right" vertical="center" readingOrder="2"/>
    </xf>
    <xf numFmtId="0" fontId="67" fillId="0" borderId="0" xfId="5" applyFont="1" applyAlignment="1">
      <alignment vertical="center" readingOrder="2"/>
    </xf>
    <xf numFmtId="0" fontId="95" fillId="0" borderId="0" xfId="0" applyFont="1"/>
    <xf numFmtId="164" fontId="35" fillId="0" borderId="19" xfId="5" applyNumberFormat="1" applyFont="1" applyBorder="1" applyAlignment="1">
      <alignment vertical="center"/>
    </xf>
    <xf numFmtId="164" fontId="35" fillId="0" borderId="23" xfId="5" applyNumberFormat="1" applyFont="1" applyBorder="1" applyAlignment="1">
      <alignment vertical="center"/>
    </xf>
    <xf numFmtId="164" fontId="35" fillId="10" borderId="23" xfId="5" applyNumberFormat="1" applyFont="1" applyFill="1" applyBorder="1" applyAlignment="1">
      <alignment vertical="center"/>
    </xf>
    <xf numFmtId="164" fontId="35" fillId="10" borderId="19" xfId="5" applyNumberFormat="1" applyFont="1" applyFill="1" applyBorder="1" applyAlignment="1">
      <alignment vertical="center"/>
    </xf>
    <xf numFmtId="164" fontId="95" fillId="0" borderId="0" xfId="0" applyNumberFormat="1" applyFont="1"/>
    <xf numFmtId="164" fontId="110" fillId="0" borderId="0" xfId="0" applyNumberFormat="1" applyFont="1"/>
    <xf numFmtId="0" fontId="64" fillId="0" borderId="0" xfId="8" applyFont="1" applyAlignment="1">
      <alignment readingOrder="2"/>
    </xf>
    <xf numFmtId="0" fontId="44" fillId="0" borderId="0" xfId="8" applyFont="1"/>
    <xf numFmtId="0" fontId="35" fillId="0" borderId="0" xfId="8" applyFont="1" applyAlignment="1">
      <alignment vertical="center" readingOrder="2"/>
    </xf>
    <xf numFmtId="0" fontId="65" fillId="0" borderId="0" xfId="8" applyFont="1" applyAlignment="1">
      <alignment horizontal="right" vertical="center" readingOrder="2"/>
    </xf>
    <xf numFmtId="0" fontId="48" fillId="0" borderId="0" xfId="8" applyFont="1" applyAlignment="1">
      <alignment vertical="center" readingOrder="2"/>
    </xf>
    <xf numFmtId="0" fontId="44" fillId="0" borderId="0" xfId="8" applyFont="1" applyBorder="1" applyAlignment="1">
      <alignment vertical="center" readingOrder="2"/>
    </xf>
    <xf numFmtId="0" fontId="44" fillId="0" borderId="0" xfId="8" applyFont="1" applyAlignment="1">
      <alignment vertical="center" readingOrder="2"/>
    </xf>
    <xf numFmtId="0" fontId="33" fillId="0" borderId="0" xfId="8" applyFont="1" applyAlignment="1">
      <alignment horizontal="right" vertical="center" readingOrder="2"/>
    </xf>
    <xf numFmtId="0" fontId="111" fillId="0" borderId="0" xfId="0" applyFont="1"/>
    <xf numFmtId="0" fontId="112" fillId="0" borderId="0" xfId="0" applyFont="1" applyFill="1" applyBorder="1"/>
    <xf numFmtId="0" fontId="60" fillId="0" borderId="0" xfId="8" applyFont="1" applyAlignment="1">
      <alignment horizontal="right" vertical="center" readingOrder="2"/>
    </xf>
    <xf numFmtId="0" fontId="34" fillId="0" borderId="0" xfId="8" applyFont="1" applyAlignment="1">
      <alignment vertical="center" readingOrder="2"/>
    </xf>
    <xf numFmtId="3" fontId="34" fillId="0" borderId="0" xfId="8" applyNumberFormat="1" applyFont="1" applyAlignment="1">
      <alignment horizontal="right" vertical="center" readingOrder="2"/>
    </xf>
    <xf numFmtId="0" fontId="113" fillId="0" borderId="0" xfId="8" applyFont="1" applyBorder="1" applyAlignment="1">
      <alignment horizontal="right" vertical="center" readingOrder="2"/>
    </xf>
    <xf numFmtId="0" fontId="35" fillId="0" borderId="0" xfId="8" applyFont="1" applyAlignment="1">
      <alignment horizontal="right" vertical="center" readingOrder="2"/>
    </xf>
    <xf numFmtId="0" fontId="33" fillId="0" borderId="0" xfId="8" applyFont="1" applyAlignment="1">
      <alignment vertical="center" readingOrder="2"/>
    </xf>
    <xf numFmtId="3" fontId="33" fillId="0" borderId="0" xfId="8" applyNumberFormat="1" applyFont="1" applyBorder="1" applyAlignment="1">
      <alignment horizontal="right" vertical="center" readingOrder="2"/>
    </xf>
    <xf numFmtId="3" fontId="114" fillId="0" borderId="0" xfId="8" applyNumberFormat="1" applyFont="1" applyAlignment="1">
      <alignment horizontal="right" vertical="center" readingOrder="2"/>
    </xf>
    <xf numFmtId="0" fontId="31" fillId="0" borderId="0" xfId="8" applyFont="1" applyAlignment="1">
      <alignment horizontal="left" vertical="top" readingOrder="2"/>
    </xf>
    <xf numFmtId="0" fontId="31" fillId="0" borderId="0" xfId="8" applyFont="1" applyAlignment="1">
      <alignment horizontal="right" vertical="center" readingOrder="2"/>
    </xf>
    <xf numFmtId="0" fontId="31" fillId="0" borderId="0" xfId="8" applyFont="1" applyAlignment="1">
      <alignment vertical="center" readingOrder="2"/>
    </xf>
    <xf numFmtId="3" fontId="34" fillId="0" borderId="0" xfId="8" applyNumberFormat="1" applyFont="1" applyBorder="1" applyAlignment="1">
      <alignment horizontal="right" vertical="center" readingOrder="2"/>
    </xf>
    <xf numFmtId="0" fontId="112" fillId="0" borderId="0" xfId="0" applyFont="1"/>
    <xf numFmtId="0" fontId="117" fillId="0" borderId="0" xfId="11" applyFont="1"/>
    <xf numFmtId="0" fontId="118" fillId="0" borderId="0" xfId="0" applyFont="1"/>
    <xf numFmtId="0" fontId="49" fillId="0" borderId="0" xfId="11" applyFont="1" applyAlignment="1">
      <alignment horizontal="justify" readingOrder="2"/>
    </xf>
    <xf numFmtId="0" fontId="44" fillId="0" borderId="0" xfId="11" applyFont="1"/>
    <xf numFmtId="0" fontId="64" fillId="0" borderId="0" xfId="11" applyFont="1"/>
    <xf numFmtId="0" fontId="64" fillId="0" borderId="0" xfId="11" applyFont="1" applyAlignment="1">
      <alignment shrinkToFit="1"/>
    </xf>
    <xf numFmtId="0" fontId="50" fillId="0" borderId="0" xfId="11" applyFont="1" applyAlignment="1">
      <alignment horizontal="right" readingOrder="2"/>
    </xf>
    <xf numFmtId="0" fontId="64" fillId="0" borderId="0" xfId="11" applyFont="1" applyAlignment="1">
      <alignment vertical="center"/>
    </xf>
    <xf numFmtId="0" fontId="32" fillId="0" borderId="0" xfId="11" applyFont="1" applyAlignment="1">
      <alignment horizontal="justify" vertical="center" readingOrder="2"/>
    </xf>
    <xf numFmtId="0" fontId="31" fillId="0" borderId="0" xfId="11" applyFont="1" applyAlignment="1">
      <alignment horizontal="justify" vertical="center" readingOrder="2"/>
    </xf>
    <xf numFmtId="164" fontId="31" fillId="0" borderId="0" xfId="11" applyNumberFormat="1" applyFont="1" applyBorder="1" applyAlignment="1">
      <alignment vertical="center"/>
    </xf>
    <xf numFmtId="164" fontId="31" fillId="0" borderId="0" xfId="11" applyNumberFormat="1" applyFont="1" applyBorder="1" applyAlignment="1">
      <alignment vertical="center" shrinkToFit="1"/>
    </xf>
    <xf numFmtId="164" fontId="31" fillId="0" borderId="0" xfId="6" applyNumberFormat="1" applyFont="1" applyBorder="1" applyAlignment="1">
      <alignment vertical="center"/>
    </xf>
    <xf numFmtId="0" fontId="31" fillId="0" borderId="0" xfId="11" applyFont="1" applyAlignment="1">
      <alignment horizontal="center" vertical="center" readingOrder="2"/>
    </xf>
    <xf numFmtId="0" fontId="44" fillId="0" borderId="0" xfId="11" applyFont="1" applyAlignment="1">
      <alignment vertical="center"/>
    </xf>
    <xf numFmtId="164" fontId="109" fillId="0" borderId="0" xfId="6" applyNumberFormat="1" applyFont="1" applyBorder="1" applyAlignment="1">
      <alignment vertical="center"/>
    </xf>
    <xf numFmtId="1" fontId="44" fillId="0" borderId="0" xfId="11" applyNumberFormat="1" applyFont="1"/>
    <xf numFmtId="0" fontId="48" fillId="0" borderId="0" xfId="11" applyFont="1" applyAlignment="1">
      <alignment horizontal="justify" readingOrder="2"/>
    </xf>
    <xf numFmtId="0" fontId="120" fillId="0" borderId="0" xfId="11" applyFont="1" applyAlignment="1">
      <alignment horizontal="center" readingOrder="2"/>
    </xf>
    <xf numFmtId="1" fontId="44" fillId="0" borderId="0" xfId="11" applyNumberFormat="1" applyFont="1" applyAlignment="1">
      <alignment vertical="center"/>
    </xf>
    <xf numFmtId="0" fontId="121" fillId="0" borderId="0" xfId="11" applyFont="1" applyAlignment="1">
      <alignment horizontal="center" vertical="center" readingOrder="2"/>
    </xf>
    <xf numFmtId="0" fontId="64" fillId="0" borderId="0" xfId="11" applyFont="1" applyAlignment="1">
      <alignment horizontal="center" vertical="center" readingOrder="2"/>
    </xf>
    <xf numFmtId="0" fontId="46" fillId="0" borderId="0" xfId="11" applyFont="1" applyAlignment="1">
      <alignment horizontal="center" vertical="center" readingOrder="2"/>
    </xf>
    <xf numFmtId="0" fontId="49" fillId="0" borderId="0" xfId="11" applyFont="1" applyAlignment="1">
      <alignment horizontal="center" vertical="center" readingOrder="2"/>
    </xf>
    <xf numFmtId="0" fontId="74" fillId="0" borderId="0" xfId="0" applyFont="1" applyAlignment="1">
      <alignment shrinkToFit="1"/>
    </xf>
    <xf numFmtId="0" fontId="32" fillId="0" borderId="0" xfId="12" applyFont="1" applyAlignment="1">
      <alignment readingOrder="2"/>
    </xf>
    <xf numFmtId="0" fontId="44" fillId="0" borderId="0" xfId="12" applyFont="1"/>
    <xf numFmtId="0" fontId="34" fillId="0" borderId="0" xfId="8" applyFont="1" applyAlignment="1">
      <alignment horizontal="left" vertical="top" readingOrder="2"/>
    </xf>
    <xf numFmtId="0" fontId="32" fillId="0" borderId="0" xfId="8" applyFont="1" applyAlignment="1">
      <alignment horizontal="right" vertical="center" readingOrder="2"/>
    </xf>
    <xf numFmtId="0" fontId="47" fillId="0" borderId="0" xfId="12" applyFont="1" applyAlignment="1">
      <alignment horizontal="center" vertical="center" readingOrder="2"/>
    </xf>
    <xf numFmtId="0" fontId="47" fillId="0" borderId="0" xfId="12" applyFont="1" applyAlignment="1">
      <alignment horizontal="right" vertical="center" readingOrder="2"/>
    </xf>
    <xf numFmtId="0" fontId="42" fillId="0" borderId="0" xfId="8" applyFont="1" applyAlignment="1">
      <alignment horizontal="right" vertical="center" readingOrder="2"/>
    </xf>
    <xf numFmtId="164" fontId="32" fillId="0" borderId="0" xfId="17" applyNumberFormat="1" applyFont="1" applyBorder="1" applyAlignment="1">
      <alignment horizontal="center"/>
    </xf>
    <xf numFmtId="164" fontId="31" fillId="0" borderId="0" xfId="12" applyNumberFormat="1" applyFont="1" applyBorder="1" applyAlignment="1">
      <alignment vertical="top"/>
    </xf>
    <xf numFmtId="0" fontId="44" fillId="0" borderId="0" xfId="12" applyFont="1" applyAlignment="1">
      <alignment vertical="top" wrapText="1" readingOrder="2"/>
    </xf>
    <xf numFmtId="0" fontId="32" fillId="0" borderId="0" xfId="8" applyFont="1" applyAlignment="1">
      <alignment vertical="center" readingOrder="2"/>
    </xf>
    <xf numFmtId="1" fontId="44" fillId="0" borderId="0" xfId="19" applyNumberFormat="1" applyFont="1" applyAlignment="1">
      <alignment vertical="center"/>
    </xf>
    <xf numFmtId="0" fontId="31" fillId="0" borderId="0" xfId="19" applyFont="1" applyAlignment="1">
      <alignment horizontal="right" vertical="center" readingOrder="2"/>
    </xf>
    <xf numFmtId="0" fontId="29" fillId="0" borderId="0" xfId="8" applyFont="1" applyAlignment="1">
      <alignment vertical="center" readingOrder="2"/>
    </xf>
    <xf numFmtId="0" fontId="90" fillId="0" borderId="0" xfId="8" applyFont="1" applyAlignment="1">
      <alignment vertical="center" readingOrder="2"/>
    </xf>
    <xf numFmtId="0" fontId="64" fillId="0" borderId="0" xfId="19" applyFont="1" applyAlignment="1">
      <alignment horizontal="right" vertical="center" readingOrder="2"/>
    </xf>
    <xf numFmtId="0" fontId="64" fillId="0" borderId="0" xfId="19" applyFont="1" applyAlignment="1">
      <alignment vertical="center" readingOrder="2"/>
    </xf>
    <xf numFmtId="0" fontId="125" fillId="0" borderId="0" xfId="0" applyFont="1"/>
    <xf numFmtId="0" fontId="126" fillId="0" borderId="0" xfId="0" applyFont="1" applyAlignment="1">
      <alignment horizontal="center"/>
    </xf>
    <xf numFmtId="0" fontId="29" fillId="0" borderId="0" xfId="13" applyFont="1" applyAlignment="1">
      <alignment horizontal="right" readingOrder="2"/>
    </xf>
    <xf numFmtId="0" fontId="31" fillId="0" borderId="0" xfId="13" applyFont="1" applyAlignment="1">
      <alignment readingOrder="2"/>
    </xf>
    <xf numFmtId="0" fontId="44" fillId="0" borderId="0" xfId="13" applyFont="1" applyAlignment="1">
      <alignment horizontal="right"/>
    </xf>
    <xf numFmtId="0" fontId="50" fillId="0" borderId="0" xfId="13" applyFont="1" applyBorder="1" applyAlignment="1">
      <alignment horizontal="center" readingOrder="2"/>
    </xf>
    <xf numFmtId="0" fontId="35" fillId="0" borderId="0" xfId="13" applyNumberFormat="1" applyFont="1" applyBorder="1" applyAlignment="1">
      <alignment readingOrder="2"/>
    </xf>
    <xf numFmtId="0" fontId="35" fillId="0" borderId="35" xfId="13" applyNumberFormat="1" applyFont="1" applyBorder="1" applyAlignment="1">
      <alignment horizontal="center" readingOrder="2"/>
    </xf>
    <xf numFmtId="0" fontId="35" fillId="0" borderId="0" xfId="13" applyNumberFormat="1" applyFont="1" applyBorder="1" applyAlignment="1">
      <alignment horizontal="center" readingOrder="2"/>
    </xf>
    <xf numFmtId="0" fontId="127" fillId="0" borderId="0" xfId="13" applyFont="1" applyAlignment="1">
      <alignment horizontal="right" readingOrder="2"/>
    </xf>
    <xf numFmtId="0" fontId="33" fillId="0" borderId="0" xfId="13" applyFont="1" applyAlignment="1">
      <alignment horizontal="center"/>
    </xf>
    <xf numFmtId="0" fontId="64" fillId="0" borderId="0" xfId="13" applyFont="1" applyAlignment="1">
      <alignment horizontal="right" readingOrder="2"/>
    </xf>
    <xf numFmtId="0" fontId="48" fillId="0" borderId="0" xfId="13" applyFont="1" applyAlignment="1">
      <alignment horizontal="right" readingOrder="2"/>
    </xf>
    <xf numFmtId="49" fontId="35" fillId="0" borderId="0" xfId="13" applyNumberFormat="1" applyFont="1" applyAlignment="1">
      <alignment horizontal="center" vertical="center"/>
    </xf>
    <xf numFmtId="0" fontId="94" fillId="0" borderId="0" xfId="13" applyFont="1" applyAlignment="1">
      <alignment horizontal="right" readingOrder="2"/>
    </xf>
    <xf numFmtId="164" fontId="97" fillId="9" borderId="0" xfId="13" applyNumberFormat="1" applyFont="1" applyFill="1" applyBorder="1" applyAlignment="1">
      <alignment horizontal="right" vertical="center"/>
    </xf>
    <xf numFmtId="0" fontId="35" fillId="0" borderId="0" xfId="13" applyFont="1" applyAlignment="1">
      <alignment horizontal="right" readingOrder="2"/>
    </xf>
    <xf numFmtId="0" fontId="44" fillId="0" borderId="0" xfId="13" applyFont="1"/>
    <xf numFmtId="0" fontId="29" fillId="0" borderId="0" xfId="14" applyFont="1" applyAlignment="1">
      <alignment horizontal="right" readingOrder="2"/>
    </xf>
    <xf numFmtId="0" fontId="44" fillId="0" borderId="0" xfId="14" applyFont="1" applyAlignment="1">
      <alignment horizontal="right"/>
    </xf>
    <xf numFmtId="0" fontId="44" fillId="0" borderId="0" xfId="14" applyFont="1" applyFill="1" applyBorder="1"/>
    <xf numFmtId="0" fontId="59" fillId="0" borderId="0" xfId="0" applyFont="1" applyFill="1"/>
    <xf numFmtId="164" fontId="59" fillId="0" borderId="0" xfId="0" applyNumberFormat="1" applyFont="1"/>
    <xf numFmtId="3" fontId="34" fillId="7" borderId="34" xfId="0" applyNumberFormat="1" applyFont="1" applyFill="1" applyBorder="1" applyAlignment="1">
      <alignment horizontal="right"/>
    </xf>
    <xf numFmtId="3" fontId="34" fillId="7" borderId="0" xfId="0" applyNumberFormat="1" applyFont="1" applyFill="1" applyBorder="1" applyAlignment="1">
      <alignment horizontal="right"/>
    </xf>
    <xf numFmtId="0" fontId="131" fillId="9" borderId="0" xfId="5" applyFont="1" applyFill="1" applyAlignment="1">
      <alignment horizontal="center" vertical="top" readingOrder="2"/>
    </xf>
    <xf numFmtId="0" fontId="34" fillId="9" borderId="0" xfId="19" applyNumberFormat="1" applyFont="1" applyFill="1" applyBorder="1" applyAlignment="1">
      <alignment horizontal="center" vertical="center" readingOrder="2"/>
    </xf>
    <xf numFmtId="0" fontId="35" fillId="9" borderId="0" xfId="19" applyFont="1" applyFill="1" applyAlignment="1">
      <alignment horizontal="right" vertical="center" readingOrder="2"/>
    </xf>
    <xf numFmtId="0" fontId="124" fillId="9" borderId="0" xfId="0" applyFont="1" applyFill="1"/>
    <xf numFmtId="0" fontId="34" fillId="9" borderId="0" xfId="19" applyNumberFormat="1" applyFont="1" applyFill="1" applyBorder="1" applyAlignment="1">
      <alignment vertical="center" readingOrder="2"/>
    </xf>
    <xf numFmtId="0" fontId="48" fillId="9" borderId="0" xfId="19" applyFont="1" applyFill="1" applyAlignment="1">
      <alignment horizontal="center" vertical="center" wrapText="1" readingOrder="2"/>
    </xf>
    <xf numFmtId="0" fontId="59" fillId="9" borderId="0" xfId="0" applyFont="1" applyFill="1" applyAlignment="1">
      <alignment wrapText="1"/>
    </xf>
    <xf numFmtId="0" fontId="133" fillId="9" borderId="0" xfId="0" applyFont="1" applyFill="1"/>
    <xf numFmtId="0" fontId="134" fillId="9" borderId="36" xfId="19" applyFont="1" applyFill="1" applyBorder="1" applyAlignment="1">
      <alignment horizontal="center" vertical="center" wrapText="1" readingOrder="2"/>
    </xf>
    <xf numFmtId="0" fontId="134" fillId="9" borderId="0" xfId="19" applyFont="1" applyFill="1" applyBorder="1" applyAlignment="1">
      <alignment horizontal="center" vertical="center" wrapText="1" readingOrder="2"/>
    </xf>
    <xf numFmtId="167" fontId="35" fillId="9" borderId="0" xfId="8" applyNumberFormat="1" applyFont="1" applyFill="1" applyAlignment="1">
      <alignment horizontal="center" vertical="center" readingOrder="2"/>
    </xf>
    <xf numFmtId="164" fontId="92" fillId="9" borderId="0" xfId="19" applyNumberFormat="1" applyFont="1" applyFill="1" applyBorder="1" applyAlignment="1">
      <alignment vertical="center"/>
    </xf>
    <xf numFmtId="164" fontId="92" fillId="9" borderId="0" xfId="17" applyNumberFormat="1" applyFont="1" applyFill="1" applyBorder="1" applyAlignment="1">
      <alignment vertical="center"/>
    </xf>
    <xf numFmtId="0" fontId="41" fillId="9" borderId="0" xfId="19" applyFont="1" applyFill="1" applyAlignment="1">
      <alignment horizontal="right" vertical="center" readingOrder="2"/>
    </xf>
    <xf numFmtId="0" fontId="48" fillId="9" borderId="0" xfId="19" applyFont="1" applyFill="1" applyAlignment="1">
      <alignment horizontal="center" vertical="center" readingOrder="2"/>
    </xf>
    <xf numFmtId="0" fontId="134" fillId="9" borderId="0" xfId="19" applyFont="1" applyFill="1" applyAlignment="1">
      <alignment horizontal="right" vertical="center" readingOrder="2"/>
    </xf>
    <xf numFmtId="0" fontId="64" fillId="9" borderId="0" xfId="19" applyFont="1" applyFill="1" applyAlignment="1">
      <alignment vertical="center" readingOrder="2"/>
    </xf>
    <xf numFmtId="0" fontId="31" fillId="9" borderId="0" xfId="19" applyFont="1" applyFill="1" applyAlignment="1">
      <alignment horizontal="right" vertical="center" readingOrder="2"/>
    </xf>
    <xf numFmtId="0" fontId="93" fillId="9" borderId="0" xfId="19" applyFont="1" applyFill="1" applyAlignment="1">
      <alignment horizontal="right" vertical="center" readingOrder="2"/>
    </xf>
    <xf numFmtId="0" fontId="44" fillId="9" borderId="0" xfId="19" applyFont="1" applyFill="1" applyAlignment="1">
      <alignment horizontal="right" vertical="center"/>
    </xf>
    <xf numFmtId="0" fontId="47" fillId="9" borderId="0" xfId="19" applyFont="1" applyFill="1" applyAlignment="1">
      <alignment horizontal="center" vertical="center"/>
    </xf>
    <xf numFmtId="0" fontId="59" fillId="9" borderId="0" xfId="0" applyFont="1" applyFill="1" applyAlignment="1">
      <alignment horizontal="center"/>
    </xf>
    <xf numFmtId="0" fontId="32" fillId="9" borderId="0" xfId="14" applyFont="1" applyFill="1" applyAlignment="1">
      <alignment horizontal="center" readingOrder="2"/>
    </xf>
    <xf numFmtId="0" fontId="139" fillId="0" borderId="0" xfId="5" applyFont="1" applyAlignment="1">
      <alignment horizontal="center" vertical="top" readingOrder="2"/>
    </xf>
    <xf numFmtId="41" fontId="140" fillId="0" borderId="0" xfId="9" applyNumberFormat="1" applyFont="1" applyAlignment="1">
      <alignment horizontal="center" vertical="top" shrinkToFit="1"/>
    </xf>
    <xf numFmtId="41" fontId="141" fillId="0" borderId="0" xfId="9" applyNumberFormat="1" applyFont="1" applyAlignment="1">
      <alignment horizontal="center" vertical="top" shrinkToFit="1"/>
    </xf>
    <xf numFmtId="0" fontId="89" fillId="0" borderId="0" xfId="16" applyFont="1"/>
    <xf numFmtId="1" fontId="125" fillId="0" borderId="0" xfId="0" applyNumberFormat="1" applyFont="1"/>
    <xf numFmtId="49" fontId="31" fillId="0" borderId="0" xfId="47" applyNumberFormat="1" applyFont="1" applyAlignment="1">
      <alignment horizontal="center"/>
    </xf>
    <xf numFmtId="49" fontId="31" fillId="0" borderId="0" xfId="16" applyNumberFormat="1" applyFont="1"/>
    <xf numFmtId="0" fontId="142" fillId="0" borderId="0" xfId="47" applyNumberFormat="1" applyFont="1" applyAlignment="1"/>
    <xf numFmtId="41" fontId="140" fillId="0" borderId="0" xfId="47" applyNumberFormat="1" applyFont="1" applyAlignment="1">
      <alignment horizontal="center" vertical="top" shrinkToFit="1"/>
    </xf>
    <xf numFmtId="1" fontId="59" fillId="0" borderId="0" xfId="0" applyNumberFormat="1" applyFont="1"/>
    <xf numFmtId="0" fontId="59" fillId="0" borderId="0" xfId="0" applyFont="1" applyAlignment="1">
      <alignment horizontal="center" vertical="center"/>
    </xf>
    <xf numFmtId="0" fontId="59" fillId="0" borderId="2" xfId="0" applyFont="1" applyBorder="1" applyAlignment="1">
      <alignment horizontal="center" vertical="center"/>
    </xf>
    <xf numFmtId="0" fontId="59" fillId="0" borderId="9" xfId="0" applyFont="1" applyBorder="1" applyAlignment="1">
      <alignment horizontal="center" vertical="center"/>
    </xf>
    <xf numFmtId="3" fontId="59" fillId="0" borderId="19" xfId="0" applyNumberFormat="1" applyFont="1" applyBorder="1" applyAlignment="1">
      <alignment horizontal="center" vertical="center"/>
    </xf>
    <xf numFmtId="3" fontId="59" fillId="0" borderId="24" xfId="0" applyNumberFormat="1" applyFont="1" applyBorder="1" applyAlignment="1">
      <alignment horizontal="center" vertical="center"/>
    </xf>
    <xf numFmtId="3" fontId="59" fillId="0" borderId="45" xfId="0" applyNumberFormat="1" applyFont="1" applyBorder="1" applyAlignment="1">
      <alignment horizontal="center" vertical="center"/>
    </xf>
    <xf numFmtId="0" fontId="59" fillId="0" borderId="0" xfId="0" applyFont="1" applyBorder="1" applyAlignment="1">
      <alignment vertical="center"/>
    </xf>
    <xf numFmtId="3" fontId="59" fillId="0" borderId="0" xfId="0" applyNumberFormat="1" applyFont="1" applyBorder="1" applyAlignment="1">
      <alignment vertical="center"/>
    </xf>
    <xf numFmtId="0" fontId="59" fillId="0" borderId="0" xfId="0" applyFont="1" applyBorder="1" applyAlignment="1">
      <alignment horizontal="center" vertical="center"/>
    </xf>
    <xf numFmtId="3" fontId="59" fillId="0" borderId="0" xfId="0" applyNumberFormat="1" applyFont="1" applyBorder="1" applyAlignment="1">
      <alignment horizontal="center" vertical="center"/>
    </xf>
    <xf numFmtId="3" fontId="59" fillId="0" borderId="0" xfId="0" applyNumberFormat="1" applyFont="1" applyFill="1" applyBorder="1" applyAlignment="1">
      <alignment horizontal="center" vertical="center"/>
    </xf>
    <xf numFmtId="0" fontId="138" fillId="0" borderId="0" xfId="0" applyFont="1" applyAlignment="1">
      <alignment horizontal="center"/>
    </xf>
    <xf numFmtId="0" fontId="42" fillId="9" borderId="0" xfId="0" applyFont="1" applyFill="1"/>
    <xf numFmtId="0" fontId="42" fillId="9" borderId="0" xfId="18" applyFont="1" applyFill="1"/>
    <xf numFmtId="0" fontId="32" fillId="9" borderId="0" xfId="18" applyFont="1" applyFill="1" applyAlignment="1">
      <alignment vertical="center"/>
    </xf>
    <xf numFmtId="164" fontId="32" fillId="9" borderId="0" xfId="17" applyNumberFormat="1" applyFont="1" applyFill="1" applyBorder="1" applyAlignment="1">
      <alignment vertical="center"/>
    </xf>
    <xf numFmtId="164" fontId="34" fillId="9" borderId="0" xfId="17" applyNumberFormat="1" applyFont="1" applyFill="1" applyBorder="1" applyAlignment="1">
      <alignment vertical="center"/>
    </xf>
    <xf numFmtId="0" fontId="42" fillId="9" borderId="0" xfId="0" applyFont="1" applyFill="1" applyBorder="1"/>
    <xf numFmtId="0" fontId="66" fillId="9" borderId="0" xfId="19" applyFont="1" applyFill="1" applyAlignment="1">
      <alignment horizontal="right" vertical="center" readingOrder="2"/>
    </xf>
    <xf numFmtId="166" fontId="50" fillId="9" borderId="0" xfId="5" applyNumberFormat="1" applyFont="1" applyFill="1" applyBorder="1" applyAlignment="1">
      <alignment horizontal="center" vertical="center" readingOrder="2"/>
    </xf>
    <xf numFmtId="0" fontId="37" fillId="9" borderId="0" xfId="0" applyFont="1" applyFill="1"/>
    <xf numFmtId="0" fontId="35" fillId="9" borderId="0" xfId="19" applyFont="1" applyFill="1" applyAlignment="1">
      <alignment horizontal="right" vertical="center"/>
    </xf>
    <xf numFmtId="0" fontId="34" fillId="9" borderId="0" xfId="19" applyNumberFormat="1" applyFont="1" applyFill="1" applyAlignment="1">
      <alignment horizontal="center" vertical="center"/>
    </xf>
    <xf numFmtId="0" fontId="35" fillId="9" borderId="0" xfId="19" applyFont="1" applyFill="1" applyBorder="1" applyAlignment="1">
      <alignment horizontal="right" vertical="center"/>
    </xf>
    <xf numFmtId="0" fontId="44" fillId="9" borderId="0" xfId="19" applyFont="1" applyFill="1" applyBorder="1" applyAlignment="1">
      <alignment horizontal="right" vertical="center"/>
    </xf>
    <xf numFmtId="0" fontId="47" fillId="9" borderId="0" xfId="19" applyFont="1" applyFill="1" applyAlignment="1">
      <alignment horizontal="center" vertical="center" readingOrder="2"/>
    </xf>
    <xf numFmtId="164" fontId="31" fillId="9" borderId="0" xfId="17" applyNumberFormat="1" applyFont="1" applyFill="1" applyBorder="1" applyAlignment="1">
      <alignment vertical="center"/>
    </xf>
    <xf numFmtId="0" fontId="64" fillId="9" borderId="0" xfId="19" applyFont="1" applyFill="1" applyAlignment="1">
      <alignment horizontal="right" vertical="top" wrapText="1" readingOrder="2"/>
    </xf>
    <xf numFmtId="0" fontId="60" fillId="9" borderId="0" xfId="19" applyFont="1" applyFill="1" applyBorder="1" applyAlignment="1">
      <alignment horizontal="right" vertical="top" wrapText="1" readingOrder="2"/>
    </xf>
    <xf numFmtId="0" fontId="90" fillId="9" borderId="0" xfId="19" applyFont="1" applyFill="1" applyAlignment="1">
      <alignment horizontal="right" vertical="top" wrapText="1" readingOrder="2"/>
    </xf>
    <xf numFmtId="164" fontId="31" fillId="9" borderId="0" xfId="19" applyNumberFormat="1" applyFont="1" applyFill="1" applyBorder="1" applyAlignment="1">
      <alignment vertical="center"/>
    </xf>
    <xf numFmtId="0" fontId="67" fillId="9" borderId="0" xfId="19" applyFont="1" applyFill="1" applyBorder="1" applyAlignment="1">
      <alignment horizontal="right" vertical="top" wrapText="1" readingOrder="2"/>
    </xf>
    <xf numFmtId="0" fontId="34" fillId="9" borderId="0" xfId="19" applyFont="1" applyFill="1" applyBorder="1" applyAlignment="1">
      <alignment horizontal="right" vertical="top" readingOrder="2"/>
    </xf>
    <xf numFmtId="0" fontId="50" fillId="9" borderId="0" xfId="19" applyFont="1" applyFill="1" applyAlignment="1">
      <alignment horizontal="right" vertical="center" readingOrder="2"/>
    </xf>
    <xf numFmtId="0" fontId="44" fillId="9" borderId="0" xfId="22" applyFont="1" applyFill="1"/>
    <xf numFmtId="0" fontId="60" fillId="9" borderId="0" xfId="12" applyFont="1" applyFill="1" applyAlignment="1">
      <alignment vertical="top" readingOrder="2"/>
    </xf>
    <xf numFmtId="0" fontId="35" fillId="9" borderId="0" xfId="21" applyNumberFormat="1" applyFont="1" applyFill="1" applyBorder="1" applyAlignment="1">
      <alignment horizontal="center" vertical="center" readingOrder="2"/>
    </xf>
    <xf numFmtId="0" fontId="44" fillId="9" borderId="0" xfId="24" applyFont="1" applyFill="1"/>
    <xf numFmtId="0" fontId="44" fillId="9" borderId="0" xfId="24" applyFont="1" applyFill="1" applyAlignment="1">
      <alignment horizontal="right"/>
    </xf>
    <xf numFmtId="0" fontId="40" fillId="9" borderId="0" xfId="24" applyFont="1" applyFill="1" applyAlignment="1">
      <alignment horizontal="right" readingOrder="2"/>
    </xf>
    <xf numFmtId="0" fontId="50" fillId="9" borderId="0" xfId="24" applyFont="1" applyFill="1" applyBorder="1" applyAlignment="1">
      <alignment horizontal="center" readingOrder="2"/>
    </xf>
    <xf numFmtId="0" fontId="50" fillId="9" borderId="0" xfId="24" applyFont="1" applyFill="1" applyAlignment="1">
      <alignment horizontal="right" readingOrder="2"/>
    </xf>
    <xf numFmtId="49" fontId="35" fillId="9" borderId="0" xfId="24" applyNumberFormat="1" applyFont="1" applyFill="1" applyAlignment="1">
      <alignment horizontal="center" readingOrder="2"/>
    </xf>
    <xf numFmtId="0" fontId="34" fillId="9" borderId="0" xfId="24" applyFont="1" applyFill="1" applyAlignment="1">
      <alignment horizontal="right" readingOrder="2"/>
    </xf>
    <xf numFmtId="0" fontId="60" fillId="9" borderId="0" xfId="24" applyFont="1" applyFill="1" applyAlignment="1">
      <alignment horizontal="right"/>
    </xf>
    <xf numFmtId="0" fontId="35" fillId="9" borderId="0" xfId="20" applyFont="1" applyFill="1" applyAlignment="1">
      <alignment horizontal="right" vertical="center" readingOrder="2"/>
    </xf>
    <xf numFmtId="0" fontId="44" fillId="9" borderId="0" xfId="20" applyFont="1" applyFill="1"/>
    <xf numFmtId="0" fontId="44" fillId="9" borderId="0" xfId="31" applyFont="1" applyFill="1"/>
    <xf numFmtId="0" fontId="45" fillId="9" borderId="0" xfId="31" applyFont="1" applyFill="1" applyAlignment="1">
      <alignment horizontal="center" vertical="top"/>
    </xf>
    <xf numFmtId="0" fontId="30" fillId="9" borderId="0" xfId="31" applyFont="1" applyFill="1" applyAlignment="1">
      <alignment horizontal="right" vertical="center" readingOrder="2"/>
    </xf>
    <xf numFmtId="0" fontId="44" fillId="9" borderId="0" xfId="31" applyFont="1" applyFill="1" applyAlignment="1">
      <alignment horizontal="right"/>
    </xf>
    <xf numFmtId="0" fontId="29" fillId="9" borderId="0" xfId="31" applyFont="1" applyFill="1" applyAlignment="1">
      <alignment horizontal="left" vertical="top" readingOrder="2"/>
    </xf>
    <xf numFmtId="0" fontId="86" fillId="9" borderId="0" xfId="31" applyFont="1" applyFill="1" applyAlignment="1">
      <alignment horizontal="right" vertical="center" readingOrder="2"/>
    </xf>
    <xf numFmtId="0" fontId="48" fillId="9" borderId="0" xfId="31" applyFont="1" applyFill="1" applyAlignment="1">
      <alignment horizontal="right" vertical="top"/>
    </xf>
    <xf numFmtId="0" fontId="48" fillId="9" borderId="0" xfId="31" applyFont="1" applyFill="1" applyAlignment="1">
      <alignment vertical="top"/>
    </xf>
    <xf numFmtId="0" fontId="49" fillId="9" borderId="0" xfId="31" applyFont="1" applyFill="1"/>
    <xf numFmtId="0" fontId="87" fillId="9" borderId="0" xfId="31" applyFont="1" applyFill="1" applyBorder="1" applyAlignment="1">
      <alignment horizontal="center" readingOrder="2"/>
    </xf>
    <xf numFmtId="0" fontId="49" fillId="9" borderId="0" xfId="31" applyFont="1" applyFill="1" applyAlignment="1">
      <alignment horizontal="right"/>
    </xf>
    <xf numFmtId="0" fontId="44" fillId="9" borderId="0" xfId="31" applyFont="1" applyFill="1" applyAlignment="1">
      <alignment vertical="center"/>
    </xf>
    <xf numFmtId="0" fontId="50" fillId="9" borderId="0" xfId="31" applyFont="1" applyFill="1" applyAlignment="1">
      <alignment horizontal="right" readingOrder="2"/>
    </xf>
    <xf numFmtId="0" fontId="29" fillId="0" borderId="0" xfId="33" applyFont="1" applyAlignment="1">
      <alignment horizontal="right" vertical="center" readingOrder="2"/>
    </xf>
    <xf numFmtId="0" fontId="43" fillId="9" borderId="0" xfId="0" applyFont="1" applyFill="1" applyAlignment="1">
      <alignment horizontal="left"/>
    </xf>
    <xf numFmtId="0" fontId="29" fillId="0" borderId="0" xfId="8" applyFont="1" applyAlignment="1">
      <alignment horizontal="right" vertical="top" readingOrder="2"/>
    </xf>
    <xf numFmtId="0" fontId="45" fillId="0" borderId="0" xfId="6" applyFont="1" applyAlignment="1">
      <alignment horizontal="center" vertical="top"/>
    </xf>
    <xf numFmtId="0" fontId="44" fillId="0" borderId="0" xfId="6" applyFont="1" applyAlignment="1"/>
    <xf numFmtId="0" fontId="35" fillId="0" borderId="0" xfId="6" applyFont="1" applyAlignment="1">
      <alignment horizontal="center"/>
    </xf>
    <xf numFmtId="49" fontId="46" fillId="0" borderId="0" xfId="6" applyNumberFormat="1" applyFont="1" applyAlignment="1">
      <alignment horizontal="justify" readingOrder="2"/>
    </xf>
    <xf numFmtId="0" fontId="46" fillId="0" borderId="0" xfId="6" applyFont="1" applyAlignment="1">
      <alignment horizontal="justify" readingOrder="2"/>
    </xf>
    <xf numFmtId="0" fontId="34" fillId="0" borderId="0" xfId="6" applyFont="1" applyAlignment="1">
      <alignment horizontal="right" readingOrder="2"/>
    </xf>
    <xf numFmtId="0" fontId="47" fillId="0" borderId="0" xfId="6" applyFont="1" applyAlignment="1">
      <alignment horizontal="right" readingOrder="2"/>
    </xf>
    <xf numFmtId="49" fontId="47" fillId="0" borderId="0" xfId="6" applyNumberFormat="1" applyFont="1" applyAlignment="1">
      <alignment horizontal="center"/>
    </xf>
    <xf numFmtId="0" fontId="47" fillId="0" borderId="0" xfId="6" applyFont="1"/>
    <xf numFmtId="0" fontId="47" fillId="0" borderId="0" xfId="6" applyFont="1" applyAlignment="1">
      <alignment horizontal="center"/>
    </xf>
    <xf numFmtId="49" fontId="31" fillId="0" borderId="0" xfId="6" applyNumberFormat="1" applyFont="1" applyBorder="1" applyAlignment="1">
      <alignment horizontal="center" vertical="center"/>
    </xf>
    <xf numFmtId="164" fontId="31" fillId="0" borderId="35" xfId="6" applyNumberFormat="1" applyFont="1" applyBorder="1" applyAlignment="1">
      <alignment vertical="center"/>
    </xf>
    <xf numFmtId="164" fontId="31" fillId="0" borderId="0" xfId="6" applyNumberFormat="1" applyFont="1" applyFill="1" applyBorder="1" applyAlignment="1">
      <alignment vertical="center"/>
    </xf>
    <xf numFmtId="164" fontId="31" fillId="9" borderId="34" xfId="6" applyNumberFormat="1" applyFont="1" applyFill="1" applyBorder="1" applyAlignment="1">
      <alignment vertical="center"/>
    </xf>
    <xf numFmtId="164" fontId="31" fillId="0" borderId="34" xfId="6" applyNumberFormat="1" applyFont="1" applyBorder="1" applyAlignment="1">
      <alignment vertical="center"/>
    </xf>
    <xf numFmtId="167" fontId="31" fillId="0" borderId="0" xfId="36" applyNumberFormat="1" applyFont="1" applyAlignment="1">
      <alignment vertical="center"/>
    </xf>
    <xf numFmtId="164" fontId="31" fillId="9" borderId="0" xfId="6" applyNumberFormat="1" applyFont="1" applyFill="1" applyBorder="1" applyAlignment="1">
      <alignment vertical="center"/>
    </xf>
    <xf numFmtId="164" fontId="31" fillId="0" borderId="24" xfId="6" applyNumberFormat="1" applyFont="1" applyBorder="1" applyAlignment="1">
      <alignment vertical="center"/>
    </xf>
    <xf numFmtId="164" fontId="31" fillId="9" borderId="35" xfId="6" applyNumberFormat="1" applyFont="1" applyFill="1" applyBorder="1" applyAlignment="1">
      <alignment vertical="center"/>
    </xf>
    <xf numFmtId="164" fontId="46" fillId="0" borderId="0" xfId="0" applyNumberFormat="1" applyFont="1"/>
    <xf numFmtId="0" fontId="105" fillId="0" borderId="0" xfId="6" applyFont="1" applyAlignment="1">
      <alignment horizontal="right" readingOrder="2"/>
    </xf>
    <xf numFmtId="0" fontId="147" fillId="0" borderId="0" xfId="6" applyFont="1" applyAlignment="1">
      <alignment horizontal="center" readingOrder="2"/>
    </xf>
    <xf numFmtId="49" fontId="64" fillId="0" borderId="0" xfId="6" applyNumberFormat="1" applyFont="1"/>
    <xf numFmtId="0" fontId="64" fillId="0" borderId="0" xfId="6" applyFont="1"/>
    <xf numFmtId="43" fontId="95" fillId="0" borderId="0" xfId="0" applyNumberFormat="1" applyFont="1"/>
    <xf numFmtId="0" fontId="49" fillId="9" borderId="0" xfId="0" applyFont="1" applyFill="1"/>
    <xf numFmtId="0" fontId="90" fillId="0" borderId="0" xfId="0" applyFont="1" applyFill="1"/>
    <xf numFmtId="0" fontId="44" fillId="9" borderId="0" xfId="31" applyFont="1" applyFill="1" applyAlignment="1">
      <alignment horizontal="left" vertical="top"/>
    </xf>
    <xf numFmtId="164" fontId="34" fillId="9" borderId="0" xfId="31" applyNumberFormat="1" applyFont="1" applyFill="1" applyBorder="1" applyAlignment="1">
      <alignment vertical="center"/>
    </xf>
    <xf numFmtId="167" fontId="47" fillId="9" borderId="32" xfId="8" applyNumberFormat="1" applyFont="1" applyFill="1" applyBorder="1" applyAlignment="1">
      <alignment horizontal="right" vertical="top" readingOrder="2"/>
    </xf>
    <xf numFmtId="0" fontId="46" fillId="9" borderId="0" xfId="0" applyFont="1" applyFill="1" applyAlignment="1">
      <alignment horizontal="center" vertical="center"/>
    </xf>
    <xf numFmtId="0" fontId="49" fillId="9" borderId="19" xfId="3" applyFont="1" applyFill="1" applyBorder="1" applyAlignment="1" applyProtection="1">
      <alignment horizontal="center" vertical="center"/>
      <protection locked="0"/>
    </xf>
    <xf numFmtId="49" fontId="49" fillId="9" borderId="19" xfId="3" applyNumberFormat="1" applyFont="1" applyFill="1" applyBorder="1" applyAlignment="1" applyProtection="1">
      <alignment horizontal="center" vertical="center"/>
      <protection locked="0"/>
    </xf>
    <xf numFmtId="0" fontId="49" fillId="9" borderId="19" xfId="3" applyFont="1" applyFill="1" applyBorder="1" applyAlignment="1" applyProtection="1">
      <alignment horizontal="right" vertical="center"/>
      <protection locked="0"/>
    </xf>
    <xf numFmtId="0" fontId="44" fillId="9" borderId="19" xfId="3" applyFont="1" applyFill="1" applyBorder="1" applyAlignment="1" applyProtection="1">
      <alignment horizontal="right" vertical="center"/>
      <protection locked="0"/>
    </xf>
    <xf numFmtId="0" fontId="46" fillId="9" borderId="19" xfId="3" applyFont="1" applyFill="1" applyBorder="1" applyAlignment="1" applyProtection="1">
      <alignment horizontal="right" vertical="center"/>
      <protection locked="0"/>
    </xf>
    <xf numFmtId="0" fontId="46" fillId="9" borderId="19" xfId="3" applyFont="1" applyFill="1" applyBorder="1" applyAlignment="1" applyProtection="1">
      <alignment horizontal="right" vertical="center" wrapText="1"/>
      <protection locked="0"/>
    </xf>
    <xf numFmtId="0" fontId="88" fillId="9" borderId="19" xfId="3" applyFont="1" applyFill="1" applyBorder="1" applyAlignment="1" applyProtection="1">
      <alignment horizontal="right" vertical="center"/>
      <protection locked="0"/>
    </xf>
    <xf numFmtId="0" fontId="49" fillId="9" borderId="11" xfId="3" applyFont="1" applyFill="1" applyBorder="1" applyAlignment="1" applyProtection="1">
      <alignment horizontal="center" vertical="center"/>
      <protection locked="0"/>
    </xf>
    <xf numFmtId="0" fontId="49" fillId="9" borderId="38" xfId="3" applyFont="1" applyFill="1" applyBorder="1" applyAlignment="1" applyProtection="1">
      <alignment horizontal="right" vertical="center"/>
      <protection locked="0"/>
    </xf>
    <xf numFmtId="0" fontId="49" fillId="11" borderId="19" xfId="3" applyFont="1" applyFill="1" applyBorder="1" applyAlignment="1" applyProtection="1">
      <alignment horizontal="center" vertical="center"/>
      <protection locked="0"/>
    </xf>
    <xf numFmtId="0" fontId="49" fillId="11" borderId="19" xfId="3" applyFont="1" applyFill="1" applyBorder="1" applyAlignment="1" applyProtection="1">
      <alignment horizontal="right" vertical="center"/>
      <protection locked="0"/>
    </xf>
    <xf numFmtId="168" fontId="63" fillId="12" borderId="19" xfId="10" applyNumberFormat="1" applyFont="1" applyFill="1" applyBorder="1" applyAlignment="1">
      <alignment horizontal="right" vertical="center"/>
    </xf>
    <xf numFmtId="0" fontId="63" fillId="12" borderId="19" xfId="10" applyNumberFormat="1" applyFont="1" applyFill="1" applyBorder="1" applyAlignment="1">
      <alignment horizontal="right" vertical="center"/>
    </xf>
    <xf numFmtId="174" fontId="63" fillId="12" borderId="19" xfId="42" applyNumberFormat="1" applyFont="1" applyFill="1" applyBorder="1" applyAlignment="1">
      <alignment horizontal="right"/>
    </xf>
    <xf numFmtId="168" fontId="63" fillId="12" borderId="38" xfId="10" applyNumberFormat="1" applyFont="1" applyFill="1" applyBorder="1" applyAlignment="1">
      <alignment horizontal="right" vertical="center"/>
    </xf>
    <xf numFmtId="168" fontId="63" fillId="11" borderId="19" xfId="10" applyNumberFormat="1" applyFont="1" applyFill="1" applyBorder="1" applyAlignment="1">
      <alignment horizontal="right" vertical="center"/>
    </xf>
    <xf numFmtId="0" fontId="46" fillId="9" borderId="0" xfId="0" applyFont="1" applyFill="1" applyAlignment="1">
      <alignment horizontal="right" vertical="center"/>
    </xf>
    <xf numFmtId="3" fontId="46" fillId="9" borderId="0" xfId="0" applyNumberFormat="1" applyFont="1" applyFill="1" applyAlignment="1">
      <alignment horizontal="right" vertical="center"/>
    </xf>
    <xf numFmtId="168" fontId="49" fillId="9" borderId="19" xfId="10" applyNumberFormat="1" applyFont="1" applyFill="1" applyBorder="1" applyAlignment="1">
      <alignment horizontal="right" vertical="center"/>
    </xf>
    <xf numFmtId="0" fontId="49" fillId="9" borderId="19" xfId="10" applyNumberFormat="1" applyFont="1" applyFill="1" applyBorder="1" applyAlignment="1">
      <alignment horizontal="right" vertical="center"/>
    </xf>
    <xf numFmtId="168" fontId="129" fillId="9" borderId="19" xfId="10" applyNumberFormat="1" applyFont="1" applyFill="1" applyBorder="1" applyAlignment="1">
      <alignment horizontal="right" vertical="center"/>
    </xf>
    <xf numFmtId="168" fontId="63" fillId="9" borderId="19" xfId="10" applyNumberFormat="1" applyFont="1" applyFill="1" applyBorder="1" applyAlignment="1">
      <alignment horizontal="right" vertical="center"/>
    </xf>
    <xf numFmtId="174" fontId="49" fillId="9" borderId="19" xfId="42" applyNumberFormat="1" applyFont="1" applyFill="1" applyBorder="1" applyAlignment="1">
      <alignment horizontal="right"/>
    </xf>
    <xf numFmtId="168" fontId="49" fillId="9" borderId="11" xfId="10" applyNumberFormat="1" applyFont="1" applyFill="1" applyBorder="1" applyAlignment="1">
      <alignment horizontal="right" vertical="center"/>
    </xf>
    <xf numFmtId="168" fontId="49" fillId="11" borderId="19" xfId="10" applyNumberFormat="1" applyFont="1" applyFill="1" applyBorder="1" applyAlignment="1">
      <alignment horizontal="right" vertical="center"/>
    </xf>
    <xf numFmtId="0" fontId="46" fillId="9" borderId="19" xfId="0" applyFont="1" applyFill="1" applyBorder="1" applyAlignment="1">
      <alignment horizontal="right" vertical="center"/>
    </xf>
    <xf numFmtId="168" fontId="49" fillId="9" borderId="38" xfId="10" applyNumberFormat="1" applyFont="1" applyFill="1" applyBorder="1" applyAlignment="1">
      <alignment horizontal="right" vertical="center"/>
    </xf>
    <xf numFmtId="0" fontId="44" fillId="9" borderId="0" xfId="0" applyFont="1" applyFill="1" applyAlignment="1">
      <alignment horizontal="right" vertical="center"/>
    </xf>
    <xf numFmtId="0" fontId="49" fillId="9" borderId="0" xfId="0" applyFont="1" applyFill="1" applyAlignment="1">
      <alignment horizontal="right" vertical="center"/>
    </xf>
    <xf numFmtId="0" fontId="49" fillId="9" borderId="11" xfId="3" applyFont="1" applyFill="1" applyBorder="1" applyAlignment="1" applyProtection="1">
      <alignment horizontal="right" vertical="center"/>
      <protection locked="0"/>
    </xf>
    <xf numFmtId="168" fontId="64" fillId="9" borderId="19" xfId="10" applyNumberFormat="1" applyFont="1" applyFill="1" applyBorder="1" applyAlignment="1">
      <alignment horizontal="right" vertical="center"/>
    </xf>
    <xf numFmtId="0" fontId="46" fillId="9" borderId="0" xfId="0" applyFont="1" applyFill="1" applyBorder="1" applyAlignment="1">
      <alignment horizontal="right" vertical="center"/>
    </xf>
    <xf numFmtId="3" fontId="46" fillId="9" borderId="0" xfId="0" applyNumberFormat="1" applyFont="1" applyFill="1" applyBorder="1" applyAlignment="1">
      <alignment horizontal="right" vertical="center"/>
    </xf>
    <xf numFmtId="0" fontId="112" fillId="9" borderId="0" xfId="0" applyFont="1" applyFill="1"/>
    <xf numFmtId="1" fontId="108" fillId="9" borderId="0" xfId="19" applyNumberFormat="1" applyFont="1" applyFill="1" applyAlignment="1">
      <alignment horizontal="center" vertical="center"/>
    </xf>
    <xf numFmtId="0" fontId="150" fillId="9" borderId="0" xfId="0" applyFont="1" applyFill="1"/>
    <xf numFmtId="0" fontId="30" fillId="9" borderId="0" xfId="0" applyFont="1" applyFill="1"/>
    <xf numFmtId="0" fontId="47" fillId="9" borderId="0" xfId="0" applyFont="1" applyFill="1"/>
    <xf numFmtId="0" fontId="152" fillId="0" borderId="0" xfId="0" applyFont="1" applyAlignment="1">
      <alignment vertical="top"/>
    </xf>
    <xf numFmtId="168" fontId="63" fillId="10" borderId="19" xfId="10" applyNumberFormat="1" applyFont="1" applyFill="1" applyBorder="1" applyAlignment="1">
      <alignment horizontal="right" vertical="center"/>
    </xf>
    <xf numFmtId="0" fontId="63" fillId="10" borderId="19" xfId="3" applyFont="1" applyFill="1" applyBorder="1" applyAlignment="1" applyProtection="1">
      <alignment horizontal="right" vertical="center"/>
      <protection locked="0"/>
    </xf>
    <xf numFmtId="0" fontId="63" fillId="10" borderId="19" xfId="10" applyNumberFormat="1" applyFont="1" applyFill="1" applyBorder="1" applyAlignment="1">
      <alignment horizontal="right" vertical="center"/>
    </xf>
    <xf numFmtId="0" fontId="111" fillId="10" borderId="19" xfId="3" applyFont="1" applyFill="1" applyBorder="1" applyAlignment="1" applyProtection="1">
      <alignment horizontal="right" vertical="center"/>
      <protection locked="0"/>
    </xf>
    <xf numFmtId="0" fontId="59" fillId="10" borderId="19" xfId="3" applyFont="1" applyFill="1" applyBorder="1" applyAlignment="1" applyProtection="1">
      <alignment horizontal="right" vertical="center"/>
      <protection locked="0"/>
    </xf>
    <xf numFmtId="0" fontId="59" fillId="10" borderId="19" xfId="3" applyFont="1" applyFill="1" applyBorder="1" applyAlignment="1" applyProtection="1">
      <alignment horizontal="right" vertical="center" wrapText="1"/>
      <protection locked="0"/>
    </xf>
    <xf numFmtId="174" fontId="63" fillId="10" borderId="19" xfId="42" applyNumberFormat="1" applyFont="1" applyFill="1" applyBorder="1" applyAlignment="1">
      <alignment horizontal="right"/>
    </xf>
    <xf numFmtId="0" fontId="148" fillId="10" borderId="19" xfId="3" applyFont="1" applyFill="1" applyBorder="1" applyAlignment="1" applyProtection="1">
      <alignment horizontal="right" vertical="center"/>
      <protection locked="0"/>
    </xf>
    <xf numFmtId="168" fontId="63" fillId="10" borderId="19" xfId="3" applyNumberFormat="1" applyFont="1" applyFill="1" applyBorder="1" applyAlignment="1" applyProtection="1">
      <alignment horizontal="right" vertical="center"/>
      <protection locked="0"/>
    </xf>
    <xf numFmtId="168" fontId="63" fillId="10" borderId="38" xfId="10" applyNumberFormat="1" applyFont="1" applyFill="1" applyBorder="1" applyAlignment="1">
      <alignment horizontal="right" vertical="center"/>
    </xf>
    <xf numFmtId="168" fontId="63" fillId="10" borderId="38" xfId="3" applyNumberFormat="1" applyFont="1" applyFill="1" applyBorder="1" applyAlignment="1" applyProtection="1">
      <alignment horizontal="right" vertical="center"/>
      <protection locked="0"/>
    </xf>
    <xf numFmtId="0" fontId="56" fillId="0" borderId="0" xfId="5" applyFont="1" applyAlignment="1">
      <alignment horizontal="center" vertical="top" readingOrder="2"/>
    </xf>
    <xf numFmtId="0" fontId="32" fillId="0" borderId="0" xfId="28" applyFont="1" applyAlignment="1">
      <alignment vertical="center"/>
    </xf>
    <xf numFmtId="164" fontId="97" fillId="0" borderId="0" xfId="14" applyNumberFormat="1" applyFont="1" applyBorder="1" applyAlignment="1">
      <alignment horizontal="right" vertical="center"/>
    </xf>
    <xf numFmtId="0" fontId="34" fillId="0" borderId="0" xfId="14" applyFont="1" applyAlignment="1">
      <alignment horizontal="right"/>
    </xf>
    <xf numFmtId="174" fontId="60" fillId="0" borderId="0" xfId="42" applyNumberFormat="1" applyFont="1" applyAlignment="1">
      <alignment horizontal="right" readingOrder="2"/>
    </xf>
    <xf numFmtId="174" fontId="60" fillId="0" borderId="0" xfId="42" applyNumberFormat="1" applyFont="1" applyAlignment="1">
      <alignment horizontal="right"/>
    </xf>
    <xf numFmtId="174" fontId="34" fillId="0" borderId="0" xfId="42" applyNumberFormat="1" applyFont="1" applyBorder="1" applyAlignment="1">
      <alignment horizontal="right"/>
    </xf>
    <xf numFmtId="174" fontId="34" fillId="0" borderId="0" xfId="42" applyNumberFormat="1" applyFont="1" applyFill="1" applyAlignment="1">
      <alignment horizontal="right" readingOrder="2"/>
    </xf>
    <xf numFmtId="174" fontId="34" fillId="0" borderId="0" xfId="42" applyNumberFormat="1" applyFont="1" applyAlignment="1">
      <alignment horizontal="right" readingOrder="2"/>
    </xf>
    <xf numFmtId="174" fontId="64" fillId="0" borderId="0" xfId="42" applyNumberFormat="1" applyFont="1" applyAlignment="1">
      <alignment horizontal="right" readingOrder="2"/>
    </xf>
    <xf numFmtId="0" fontId="31" fillId="0" borderId="0" xfId="27" applyFont="1" applyBorder="1" applyAlignment="1">
      <alignment horizontal="center" readingOrder="2"/>
    </xf>
    <xf numFmtId="0" fontId="64" fillId="0" borderId="0" xfId="27" applyFont="1"/>
    <xf numFmtId="0" fontId="64" fillId="0" borderId="0" xfId="27" applyFont="1" applyBorder="1" applyAlignment="1"/>
    <xf numFmtId="0" fontId="31" fillId="0" borderId="0" xfId="27" applyFont="1" applyAlignment="1">
      <alignment readingOrder="2"/>
    </xf>
    <xf numFmtId="0" fontId="31" fillId="0" borderId="0" xfId="27" applyFont="1" applyAlignment="1">
      <alignment horizontal="center" readingOrder="2"/>
    </xf>
    <xf numFmtId="0" fontId="64" fillId="0" borderId="0" xfId="27" applyFont="1" applyAlignment="1">
      <alignment vertical="center"/>
    </xf>
    <xf numFmtId="164" fontId="31" fillId="0" borderId="0" xfId="23" applyNumberFormat="1" applyFont="1" applyBorder="1" applyAlignment="1">
      <alignment horizontal="right" vertical="center"/>
    </xf>
    <xf numFmtId="164" fontId="31" fillId="0" borderId="0" xfId="27" applyNumberFormat="1" applyFont="1" applyFill="1" applyBorder="1" applyAlignment="1">
      <alignment vertical="center"/>
    </xf>
    <xf numFmtId="0" fontId="31" fillId="0" borderId="0" xfId="33" applyFont="1" applyAlignment="1">
      <alignment horizontal="right" vertical="center" readingOrder="2"/>
    </xf>
    <xf numFmtId="0" fontId="31" fillId="0" borderId="0" xfId="27" applyFont="1" applyFill="1" applyAlignment="1">
      <alignment readingOrder="2"/>
    </xf>
    <xf numFmtId="164" fontId="31" fillId="0" borderId="36" xfId="23" applyNumberFormat="1" applyFont="1" applyBorder="1" applyAlignment="1">
      <alignment horizontal="right" vertical="center"/>
    </xf>
    <xf numFmtId="164" fontId="31" fillId="0" borderId="36" xfId="27" applyNumberFormat="1" applyFont="1" applyFill="1" applyBorder="1" applyAlignment="1">
      <alignment vertical="center"/>
    </xf>
    <xf numFmtId="0" fontId="64" fillId="0" borderId="0" xfId="33" applyFont="1" applyAlignment="1">
      <alignment horizontal="right" vertical="center" readingOrder="2"/>
    </xf>
    <xf numFmtId="164" fontId="31" fillId="0" borderId="34" xfId="27" applyNumberFormat="1" applyFont="1" applyFill="1" applyBorder="1" applyAlignment="1">
      <alignment vertical="center"/>
    </xf>
    <xf numFmtId="0" fontId="125" fillId="0" borderId="0" xfId="0" applyFont="1" applyAlignment="1">
      <alignment vertical="top"/>
    </xf>
    <xf numFmtId="0" fontId="154" fillId="0" borderId="0" xfId="0" applyFont="1" applyAlignment="1">
      <alignment vertical="top"/>
    </xf>
    <xf numFmtId="0" fontId="43" fillId="0" borderId="0" xfId="37" applyFont="1" applyAlignment="1">
      <alignment horizontal="left" vertical="top"/>
    </xf>
    <xf numFmtId="0" fontId="48" fillId="9" borderId="0" xfId="25" applyFont="1" applyFill="1" applyAlignment="1">
      <alignment horizontal="left" vertical="top" readingOrder="2"/>
    </xf>
    <xf numFmtId="0" fontId="90" fillId="9" borderId="0" xfId="0" applyFont="1" applyFill="1"/>
    <xf numFmtId="0" fontId="44" fillId="9" borderId="0" xfId="26" applyFont="1" applyFill="1"/>
    <xf numFmtId="0" fontId="44" fillId="9" borderId="0" xfId="26" applyFont="1" applyFill="1" applyAlignment="1">
      <alignment horizontal="right"/>
    </xf>
    <xf numFmtId="0" fontId="44" fillId="9" borderId="0" xfId="26" applyFont="1" applyFill="1" applyAlignment="1"/>
    <xf numFmtId="0" fontId="44" fillId="9" borderId="0" xfId="26" applyFont="1" applyFill="1" applyBorder="1"/>
    <xf numFmtId="179" fontId="44" fillId="9" borderId="0" xfId="26" applyNumberFormat="1" applyFont="1" applyFill="1" applyAlignment="1">
      <alignment horizontal="right"/>
    </xf>
    <xf numFmtId="0" fontId="35" fillId="9" borderId="0" xfId="26" applyFont="1" applyFill="1" applyAlignment="1">
      <alignment horizontal="right" readingOrder="2"/>
    </xf>
    <xf numFmtId="0" fontId="50" fillId="9" borderId="0" xfId="26" applyFont="1" applyFill="1" applyBorder="1" applyAlignment="1">
      <alignment horizontal="center" readingOrder="2"/>
    </xf>
    <xf numFmtId="0" fontId="34" fillId="9" borderId="0" xfId="26" applyFont="1" applyFill="1" applyAlignment="1">
      <alignment vertical="center"/>
    </xf>
    <xf numFmtId="0" fontId="49" fillId="9" borderId="0" xfId="26" applyFont="1" applyFill="1" applyAlignment="1">
      <alignment horizontal="right" readingOrder="2"/>
    </xf>
    <xf numFmtId="0" fontId="34" fillId="9" borderId="0" xfId="25" applyFont="1" applyFill="1" applyAlignment="1">
      <alignment horizontal="right" vertical="center" readingOrder="2"/>
    </xf>
    <xf numFmtId="0" fontId="36" fillId="9" borderId="0" xfId="26" applyFont="1" applyFill="1" applyBorder="1" applyAlignment="1">
      <alignment horizontal="right" wrapText="1"/>
    </xf>
    <xf numFmtId="0" fontId="36" fillId="9" borderId="0" xfId="26" applyFont="1" applyFill="1" applyAlignment="1">
      <alignment horizontal="center"/>
    </xf>
    <xf numFmtId="0" fontId="36" fillId="9" borderId="0" xfId="26" applyFont="1" applyFill="1" applyBorder="1" applyAlignment="1">
      <alignment horizontal="center"/>
    </xf>
    <xf numFmtId="0" fontId="36" fillId="9" borderId="0" xfId="26" applyFont="1" applyFill="1" applyBorder="1" applyAlignment="1"/>
    <xf numFmtId="0" fontId="36" fillId="9" borderId="0" xfId="26" applyFont="1" applyFill="1" applyBorder="1" applyAlignment="1">
      <alignment horizontal="center" wrapText="1"/>
    </xf>
    <xf numFmtId="0" fontId="60" fillId="9" borderId="0" xfId="25" applyFont="1" applyFill="1" applyAlignment="1">
      <alignment horizontal="right" vertical="center" readingOrder="2"/>
    </xf>
    <xf numFmtId="3" fontId="35" fillId="9" borderId="0" xfId="17" applyNumberFormat="1" applyFont="1" applyFill="1" applyBorder="1" applyAlignment="1">
      <alignment horizontal="right" vertical="center"/>
    </xf>
    <xf numFmtId="3" fontId="35" fillId="9" borderId="0" xfId="23" applyNumberFormat="1" applyFont="1" applyFill="1" applyBorder="1" applyAlignment="1">
      <alignment horizontal="right" vertical="center"/>
    </xf>
    <xf numFmtId="176" fontId="35" fillId="9" borderId="0" xfId="23" applyNumberFormat="1" applyFont="1" applyFill="1" applyBorder="1" applyAlignment="1">
      <alignment horizontal="center" vertical="center" shrinkToFit="1"/>
    </xf>
    <xf numFmtId="164" fontId="34" fillId="9" borderId="0" xfId="23" applyNumberFormat="1" applyFont="1" applyFill="1" applyBorder="1" applyAlignment="1">
      <alignment vertical="center"/>
    </xf>
    <xf numFmtId="179" fontId="35" fillId="9" borderId="0" xfId="23" applyNumberFormat="1" applyFont="1" applyFill="1" applyBorder="1" applyAlignment="1">
      <alignment horizontal="right" vertical="center"/>
    </xf>
    <xf numFmtId="172" fontId="35" fillId="9" borderId="0" xfId="17" applyNumberFormat="1" applyFont="1" applyFill="1" applyBorder="1" applyAlignment="1">
      <alignment vertical="top"/>
    </xf>
    <xf numFmtId="2" fontId="35" fillId="9" borderId="0" xfId="23" applyNumberFormat="1" applyFont="1" applyFill="1" applyBorder="1" applyAlignment="1">
      <alignment horizontal="center" vertical="center" shrinkToFit="1"/>
    </xf>
    <xf numFmtId="3" fontId="35" fillId="9" borderId="35" xfId="17" applyNumberFormat="1" applyFont="1" applyFill="1" applyBorder="1" applyAlignment="1">
      <alignment horizontal="right" vertical="center"/>
    </xf>
    <xf numFmtId="164" fontId="34" fillId="9" borderId="35" xfId="23" applyNumberFormat="1" applyFont="1" applyFill="1" applyBorder="1" applyAlignment="1">
      <alignment vertical="center"/>
    </xf>
    <xf numFmtId="3" fontId="35" fillId="9" borderId="32" xfId="17" applyNumberFormat="1" applyFont="1" applyFill="1" applyBorder="1" applyAlignment="1">
      <alignment horizontal="right" vertical="top"/>
    </xf>
    <xf numFmtId="164" fontId="34" fillId="9" borderId="32" xfId="23" applyNumberFormat="1" applyFont="1" applyFill="1" applyBorder="1" applyAlignment="1">
      <alignment vertical="center"/>
    </xf>
    <xf numFmtId="3" fontId="35" fillId="9" borderId="0" xfId="17" applyNumberFormat="1" applyFont="1" applyFill="1" applyBorder="1" applyAlignment="1">
      <alignment horizontal="right" vertical="top"/>
    </xf>
    <xf numFmtId="0" fontId="60" fillId="9" borderId="0" xfId="26" applyFont="1" applyFill="1" applyBorder="1" applyAlignment="1">
      <alignment vertical="center" readingOrder="2"/>
    </xf>
    <xf numFmtId="172" fontId="35" fillId="9" borderId="0" xfId="23" applyNumberFormat="1" applyFont="1" applyFill="1" applyBorder="1" applyAlignment="1">
      <alignment horizontal="right" vertical="center"/>
    </xf>
    <xf numFmtId="0" fontId="60" fillId="9" borderId="0" xfId="26" applyFont="1" applyFill="1" applyBorder="1" applyAlignment="1">
      <alignment horizontal="right" vertical="center" readingOrder="2"/>
    </xf>
    <xf numFmtId="3" fontId="35" fillId="9" borderId="32" xfId="17" applyNumberFormat="1" applyFont="1" applyFill="1" applyBorder="1" applyAlignment="1">
      <alignment horizontal="right" vertical="center"/>
    </xf>
    <xf numFmtId="0" fontId="31" fillId="9" borderId="0" xfId="25" applyFont="1" applyFill="1" applyAlignment="1">
      <alignment horizontal="right" vertical="center" readingOrder="2"/>
    </xf>
    <xf numFmtId="3" fontId="35" fillId="9" borderId="34" xfId="23" applyNumberFormat="1" applyFont="1" applyFill="1" applyBorder="1" applyAlignment="1">
      <alignment horizontal="right" vertical="center"/>
    </xf>
    <xf numFmtId="164" fontId="35" fillId="9" borderId="0" xfId="17" applyNumberFormat="1" applyFont="1" applyFill="1" applyBorder="1" applyAlignment="1">
      <alignment vertical="top"/>
    </xf>
    <xf numFmtId="177" fontId="35" fillId="9" borderId="0" xfId="23" applyNumberFormat="1" applyFont="1" applyFill="1" applyBorder="1" applyAlignment="1">
      <alignment horizontal="center" vertical="center" shrinkToFit="1"/>
    </xf>
    <xf numFmtId="164" fontId="34" fillId="9" borderId="36" xfId="23" applyNumberFormat="1" applyFont="1" applyFill="1" applyBorder="1" applyAlignment="1">
      <alignment vertical="center"/>
    </xf>
    <xf numFmtId="179" fontId="34" fillId="9" borderId="0" xfId="23" applyNumberFormat="1" applyFont="1" applyFill="1" applyBorder="1" applyAlignment="1">
      <alignment horizontal="right" vertical="center"/>
    </xf>
    <xf numFmtId="0" fontId="60" fillId="9" borderId="0" xfId="26" applyFont="1" applyFill="1" applyBorder="1" applyAlignment="1">
      <alignment horizontal="center" readingOrder="2"/>
    </xf>
    <xf numFmtId="164" fontId="34" fillId="9" borderId="33" xfId="23" applyNumberFormat="1" applyFont="1" applyFill="1" applyBorder="1" applyAlignment="1">
      <alignment vertical="center"/>
    </xf>
    <xf numFmtId="0" fontId="34" fillId="9" borderId="0" xfId="25" applyFont="1" applyFill="1" applyAlignment="1">
      <alignment horizontal="left" vertical="top" readingOrder="2"/>
    </xf>
    <xf numFmtId="0" fontId="49" fillId="9" borderId="0" xfId="26" applyFont="1" applyFill="1"/>
    <xf numFmtId="0" fontId="49" fillId="9" borderId="0" xfId="26" applyFont="1" applyFill="1" applyAlignment="1">
      <alignment horizontal="right"/>
    </xf>
    <xf numFmtId="0" fontId="49" fillId="9" borderId="0" xfId="26" applyFont="1" applyFill="1" applyAlignment="1"/>
    <xf numFmtId="0" fontId="50" fillId="9" borderId="0" xfId="26" applyFont="1" applyFill="1" applyAlignment="1">
      <alignment horizontal="center" readingOrder="2"/>
    </xf>
    <xf numFmtId="0" fontId="60" fillId="9" borderId="0" xfId="26" applyFont="1" applyFill="1" applyBorder="1"/>
    <xf numFmtId="0" fontId="60" fillId="9" borderId="0" xfId="26" applyFont="1" applyFill="1"/>
    <xf numFmtId="0" fontId="33" fillId="9" borderId="0" xfId="26" applyFont="1" applyFill="1"/>
    <xf numFmtId="0" fontId="33" fillId="9" borderId="0" xfId="26" applyFont="1" applyFill="1" applyAlignment="1">
      <alignment horizontal="right"/>
    </xf>
    <xf numFmtId="0" fontId="33" fillId="9" borderId="0" xfId="26" applyFont="1" applyFill="1" applyAlignment="1"/>
    <xf numFmtId="0" fontId="33" fillId="9" borderId="0" xfId="26" applyFont="1" applyFill="1" applyAlignment="1">
      <alignment horizontal="center" readingOrder="2"/>
    </xf>
    <xf numFmtId="0" fontId="33" fillId="9" borderId="0" xfId="26" applyFont="1" applyFill="1" applyBorder="1"/>
    <xf numFmtId="0" fontId="48" fillId="9" borderId="0" xfId="26" applyFont="1" applyFill="1" applyAlignment="1">
      <alignment vertical="center"/>
    </xf>
    <xf numFmtId="0" fontId="60" fillId="9" borderId="0" xfId="26" applyFont="1" applyFill="1" applyAlignment="1">
      <alignment horizontal="right" vertical="center" readingOrder="2"/>
    </xf>
    <xf numFmtId="0" fontId="48" fillId="9" borderId="0" xfId="26" applyFont="1" applyFill="1" applyAlignment="1">
      <alignment horizontal="right" vertical="center"/>
    </xf>
    <xf numFmtId="3" fontId="48" fillId="9" borderId="0" xfId="26" applyNumberFormat="1" applyFont="1" applyFill="1" applyAlignment="1">
      <alignment vertical="center" readingOrder="2"/>
    </xf>
    <xf numFmtId="0" fontId="60" fillId="9" borderId="0" xfId="26" applyFont="1" applyFill="1" applyBorder="1" applyAlignment="1">
      <alignment vertical="center"/>
    </xf>
    <xf numFmtId="0" fontId="60" fillId="9" borderId="0" xfId="26" applyFont="1" applyFill="1" applyAlignment="1">
      <alignment vertical="center"/>
    </xf>
    <xf numFmtId="3" fontId="48" fillId="9" borderId="0" xfId="26" applyNumberFormat="1" applyFont="1" applyFill="1" applyAlignment="1">
      <alignment horizontal="right" vertical="center" readingOrder="2"/>
    </xf>
    <xf numFmtId="3" fontId="48" fillId="9" borderId="0" xfId="26" applyNumberFormat="1" applyFont="1" applyFill="1" applyAlignment="1">
      <alignment horizontal="right" vertical="center"/>
    </xf>
    <xf numFmtId="3" fontId="48" fillId="9" borderId="0" xfId="26" applyNumberFormat="1" applyFont="1" applyFill="1" applyAlignment="1">
      <alignment vertical="center"/>
    </xf>
    <xf numFmtId="168" fontId="34" fillId="9" borderId="0" xfId="10" applyNumberFormat="1" applyFont="1" applyFill="1" applyBorder="1" applyAlignment="1">
      <alignment vertical="center"/>
    </xf>
    <xf numFmtId="168" fontId="34" fillId="9" borderId="34" xfId="10" applyNumberFormat="1" applyFont="1" applyFill="1" applyBorder="1" applyAlignment="1">
      <alignment vertical="center"/>
    </xf>
    <xf numFmtId="0" fontId="46" fillId="9" borderId="0" xfId="0" applyFont="1" applyFill="1" applyAlignment="1">
      <alignment horizontal="right"/>
    </xf>
    <xf numFmtId="0" fontId="46" fillId="9" borderId="0" xfId="0" applyFont="1" applyFill="1" applyAlignment="1"/>
    <xf numFmtId="179" fontId="46" fillId="9" borderId="0" xfId="0" applyNumberFormat="1" applyFont="1" applyFill="1"/>
    <xf numFmtId="164" fontId="103" fillId="9" borderId="0" xfId="23" applyNumberFormat="1" applyFont="1" applyFill="1" applyBorder="1" applyAlignment="1">
      <alignment horizontal="right" vertical="center"/>
    </xf>
    <xf numFmtId="0" fontId="30" fillId="9" borderId="0" xfId="0" applyFont="1" applyFill="1" applyAlignment="1">
      <alignment horizontal="left" vertical="center"/>
    </xf>
    <xf numFmtId="164" fontId="35" fillId="0" borderId="19" xfId="5" applyNumberFormat="1" applyFont="1" applyBorder="1" applyAlignment="1">
      <alignment horizontal="center" vertical="center"/>
    </xf>
    <xf numFmtId="0" fontId="56" fillId="0" borderId="0" xfId="5" applyFont="1" applyAlignment="1">
      <alignment horizontal="center" vertical="top" readingOrder="2"/>
    </xf>
    <xf numFmtId="164" fontId="35" fillId="0" borderId="31" xfId="5" applyNumberFormat="1" applyFont="1" applyBorder="1" applyAlignment="1">
      <alignment horizontal="right" vertical="center"/>
    </xf>
    <xf numFmtId="164" fontId="35" fillId="0" borderId="32" xfId="5" applyNumberFormat="1" applyFont="1" applyBorder="1" applyAlignment="1">
      <alignment horizontal="right" vertical="center"/>
    </xf>
    <xf numFmtId="0" fontId="31" fillId="9" borderId="0" xfId="24" applyFont="1" applyFill="1" applyAlignment="1">
      <alignment horizontal="center" readingOrder="2"/>
    </xf>
    <xf numFmtId="0" fontId="48" fillId="0" borderId="3" xfId="34" applyFont="1" applyBorder="1" applyAlignment="1">
      <alignment horizontal="center" vertical="top" wrapText="1"/>
    </xf>
    <xf numFmtId="3" fontId="35" fillId="9" borderId="48" xfId="34" applyNumberFormat="1" applyFont="1" applyFill="1" applyBorder="1" applyAlignment="1">
      <alignment vertical="top"/>
    </xf>
    <xf numFmtId="167" fontId="54" fillId="0" borderId="0" xfId="15" applyNumberFormat="1" applyFont="1" applyFill="1" applyBorder="1"/>
    <xf numFmtId="0" fontId="54" fillId="0" borderId="0" xfId="15" applyFont="1" applyFill="1" applyBorder="1"/>
    <xf numFmtId="167" fontId="52" fillId="9" borderId="0" xfId="15" applyNumberFormat="1" applyFont="1" applyFill="1" applyBorder="1"/>
    <xf numFmtId="168" fontId="49" fillId="10" borderId="19" xfId="10" applyNumberFormat="1" applyFont="1" applyFill="1" applyBorder="1" applyAlignment="1">
      <alignment horizontal="right" vertical="center"/>
    </xf>
    <xf numFmtId="0" fontId="56" fillId="0" borderId="0" xfId="5" applyFont="1" applyAlignment="1">
      <alignment horizontal="center" vertical="top" readingOrder="2"/>
    </xf>
    <xf numFmtId="0" fontId="109" fillId="0" borderId="0" xfId="6" applyFont="1" applyAlignment="1">
      <alignment horizontal="center" readingOrder="2"/>
    </xf>
    <xf numFmtId="0" fontId="31" fillId="0" borderId="0" xfId="11" applyFont="1" applyBorder="1" applyAlignment="1">
      <alignment horizontal="center" vertical="center" readingOrder="2"/>
    </xf>
    <xf numFmtId="0" fontId="31" fillId="0" borderId="35" xfId="11" applyFont="1" applyBorder="1" applyAlignment="1">
      <alignment horizontal="center" vertical="center" shrinkToFit="1" readingOrder="2"/>
    </xf>
    <xf numFmtId="0" fontId="31" fillId="0" borderId="0" xfId="11" applyFont="1" applyAlignment="1">
      <alignment vertical="center" readingOrder="2"/>
    </xf>
    <xf numFmtId="164" fontId="31" fillId="0" borderId="32" xfId="6" applyNumberFormat="1" applyFont="1" applyBorder="1" applyAlignment="1">
      <alignment vertical="center"/>
    </xf>
    <xf numFmtId="164" fontId="31" fillId="0" borderId="33" xfId="6" applyNumberFormat="1" applyFont="1" applyBorder="1" applyAlignment="1">
      <alignment vertical="center"/>
    </xf>
    <xf numFmtId="49" fontId="31" fillId="0" borderId="35" xfId="6" applyNumberFormat="1" applyFont="1" applyBorder="1" applyAlignment="1">
      <alignment horizontal="center" readingOrder="2"/>
    </xf>
    <xf numFmtId="0" fontId="31" fillId="0" borderId="0" xfId="6" applyFont="1" applyBorder="1" applyAlignment="1">
      <alignment horizontal="center" readingOrder="2"/>
    </xf>
    <xf numFmtId="0" fontId="31" fillId="0" borderId="0" xfId="6" applyFont="1"/>
    <xf numFmtId="0" fontId="31" fillId="0" borderId="35" xfId="6" applyFont="1" applyBorder="1" applyAlignment="1">
      <alignment horizontal="center"/>
    </xf>
    <xf numFmtId="49" fontId="31" fillId="0" borderId="0" xfId="6" applyNumberFormat="1" applyFont="1"/>
    <xf numFmtId="0" fontId="31" fillId="0" borderId="0" xfId="6" applyFont="1" applyAlignment="1">
      <alignment horizontal="center"/>
    </xf>
    <xf numFmtId="0" fontId="31" fillId="0" borderId="0" xfId="6" applyFont="1" applyAlignment="1">
      <alignment vertical="center" readingOrder="2"/>
    </xf>
    <xf numFmtId="178" fontId="31" fillId="0" borderId="0" xfId="9" applyNumberFormat="1" applyFont="1" applyBorder="1" applyAlignment="1">
      <alignment vertical="center"/>
    </xf>
    <xf numFmtId="49" fontId="31" fillId="0" borderId="0" xfId="6" applyNumberFormat="1" applyFont="1" applyBorder="1" applyAlignment="1">
      <alignment horizontal="right" vertical="center" readingOrder="2"/>
    </xf>
    <xf numFmtId="0" fontId="115" fillId="0" borderId="0" xfId="6" applyFont="1" applyAlignment="1">
      <alignment readingOrder="2"/>
    </xf>
    <xf numFmtId="1" fontId="31" fillId="0" borderId="0" xfId="11" applyNumberFormat="1" applyFont="1" applyAlignment="1">
      <alignment vertical="center"/>
    </xf>
    <xf numFmtId="0" fontId="31" fillId="0" borderId="0" xfId="11" applyFont="1" applyAlignment="1">
      <alignment vertical="center"/>
    </xf>
    <xf numFmtId="0" fontId="31" fillId="0" borderId="0" xfId="11" applyFont="1" applyAlignment="1">
      <alignment horizontal="right" vertical="center" readingOrder="2"/>
    </xf>
    <xf numFmtId="0" fontId="31" fillId="0" borderId="0" xfId="11" applyFont="1" applyAlignment="1">
      <alignment horizontal="center" vertical="center"/>
    </xf>
    <xf numFmtId="0" fontId="31" fillId="0" borderId="0" xfId="11" applyFont="1" applyAlignment="1">
      <alignment horizontal="center" vertical="center" shrinkToFit="1"/>
    </xf>
    <xf numFmtId="0" fontId="110" fillId="0" borderId="0" xfId="0" applyFont="1"/>
    <xf numFmtId="0" fontId="32" fillId="0" borderId="0" xfId="6" applyFont="1" applyAlignment="1">
      <alignment readingOrder="2"/>
    </xf>
    <xf numFmtId="0" fontId="48" fillId="0" borderId="0" xfId="5" applyFont="1" applyFill="1" applyAlignment="1">
      <alignment horizontal="right" vertical="center" readingOrder="2"/>
    </xf>
    <xf numFmtId="0" fontId="48" fillId="0" borderId="0" xfId="5" applyFont="1" applyAlignment="1">
      <alignment horizontal="right" vertical="center" readingOrder="2"/>
    </xf>
    <xf numFmtId="0" fontId="34" fillId="9" borderId="0" xfId="0" applyFont="1" applyFill="1"/>
    <xf numFmtId="164" fontId="34" fillId="9" borderId="0" xfId="23" applyNumberFormat="1" applyFont="1" applyFill="1" applyBorder="1" applyAlignment="1">
      <alignment horizontal="right"/>
    </xf>
    <xf numFmtId="3" fontId="159" fillId="0" borderId="0" xfId="40" applyNumberFormat="1" applyFont="1" applyBorder="1" applyAlignment="1">
      <alignment horizontal="center" vertical="center" readingOrder="2"/>
    </xf>
    <xf numFmtId="0" fontId="160" fillId="0" borderId="0" xfId="40" applyFont="1" applyBorder="1" applyAlignment="1">
      <alignment horizontal="center" vertical="center" readingOrder="2"/>
    </xf>
    <xf numFmtId="0" fontId="157" fillId="6" borderId="0" xfId="0" applyNumberFormat="1" applyFont="1" applyFill="1" applyBorder="1" applyAlignment="1" applyProtection="1">
      <alignment horizontal="center" vertical="center"/>
      <protection hidden="1"/>
    </xf>
    <xf numFmtId="0" fontId="161" fillId="6" borderId="0" xfId="0" applyNumberFormat="1" applyFont="1" applyFill="1" applyBorder="1" applyAlignment="1" applyProtection="1">
      <alignment horizontal="center" vertical="center"/>
      <protection hidden="1"/>
    </xf>
    <xf numFmtId="0" fontId="159" fillId="0" borderId="0" xfId="40" applyFont="1" applyBorder="1" applyAlignment="1">
      <alignment horizontal="center" vertical="center" textRotation="90" readingOrder="2"/>
    </xf>
    <xf numFmtId="0" fontId="159" fillId="0" borderId="0" xfId="40" applyNumberFormat="1" applyFont="1" applyBorder="1" applyAlignment="1">
      <alignment horizontal="center" vertical="center" readingOrder="2"/>
    </xf>
    <xf numFmtId="0" fontId="159" fillId="0" borderId="0" xfId="40" applyNumberFormat="1" applyFont="1" applyBorder="1" applyAlignment="1">
      <alignment vertical="center" readingOrder="2"/>
    </xf>
    <xf numFmtId="0" fontId="159" fillId="0" borderId="0" xfId="40" applyFont="1" applyBorder="1" applyAlignment="1">
      <alignment horizontal="center" vertical="center" readingOrder="2"/>
    </xf>
    <xf numFmtId="49" fontId="162" fillId="0" borderId="0" xfId="5" applyNumberFormat="1" applyFont="1" applyFill="1" applyBorder="1" applyAlignment="1">
      <alignment horizontal="right" vertical="center" wrapText="1" readingOrder="2"/>
    </xf>
    <xf numFmtId="3" fontId="157" fillId="0" borderId="0" xfId="0" applyNumberFormat="1" applyFont="1" applyFill="1" applyBorder="1" applyProtection="1">
      <protection hidden="1"/>
    </xf>
    <xf numFmtId="3" fontId="157" fillId="0" borderId="0" xfId="0" applyNumberFormat="1" applyFont="1" applyFill="1" applyBorder="1" applyAlignment="1" applyProtection="1">
      <protection hidden="1"/>
    </xf>
    <xf numFmtId="0" fontId="159" fillId="0" borderId="0" xfId="40" applyFont="1" applyBorder="1" applyAlignment="1">
      <alignment horizontal="right" vertical="center" readingOrder="2"/>
    </xf>
    <xf numFmtId="3" fontId="160" fillId="0" borderId="0" xfId="40" applyNumberFormat="1" applyFont="1" applyBorder="1" applyAlignment="1">
      <alignment horizontal="center" vertical="center" readingOrder="2"/>
    </xf>
    <xf numFmtId="3" fontId="160" fillId="0" borderId="35" xfId="40" applyNumberFormat="1" applyFont="1" applyBorder="1" applyAlignment="1">
      <alignment horizontal="center" readingOrder="2"/>
    </xf>
    <xf numFmtId="3" fontId="160" fillId="0" borderId="0" xfId="40" applyNumberFormat="1" applyFont="1" applyBorder="1" applyAlignment="1">
      <alignment horizontal="center" readingOrder="2"/>
    </xf>
    <xf numFmtId="3" fontId="160" fillId="0" borderId="35" xfId="40" applyNumberFormat="1" applyFont="1" applyBorder="1" applyAlignment="1">
      <alignment horizontal="center" vertical="center" readingOrder="2"/>
    </xf>
    <xf numFmtId="0" fontId="160" fillId="0" borderId="0" xfId="40" applyFont="1" applyBorder="1" applyAlignment="1">
      <alignment horizontal="right" vertical="center" readingOrder="2"/>
    </xf>
    <xf numFmtId="3" fontId="160" fillId="0" borderId="0" xfId="40" applyNumberFormat="1" applyFont="1" applyBorder="1" applyAlignment="1">
      <alignment horizontal="center" vertical="top" readingOrder="2"/>
    </xf>
    <xf numFmtId="3" fontId="160" fillId="0" borderId="35" xfId="40" applyNumberFormat="1" applyFont="1" applyBorder="1" applyAlignment="1">
      <alignment horizontal="center" vertical="center" readingOrder="2"/>
    </xf>
    <xf numFmtId="0" fontId="159" fillId="0" borderId="0" xfId="40" applyFont="1" applyBorder="1" applyAlignment="1">
      <alignment horizontal="right" vertical="center" wrapText="1" readingOrder="2"/>
    </xf>
    <xf numFmtId="49" fontId="162" fillId="0" borderId="19" xfId="5" applyNumberFormat="1" applyFont="1" applyFill="1" applyBorder="1" applyAlignment="1">
      <alignment horizontal="right" vertical="center" wrapText="1" readingOrder="2"/>
    </xf>
    <xf numFmtId="3" fontId="157" fillId="3" borderId="0" xfId="0" applyNumberFormat="1" applyFont="1" applyFill="1" applyBorder="1" applyAlignment="1" applyProtection="1">
      <protection hidden="1"/>
    </xf>
    <xf numFmtId="3" fontId="157" fillId="3" borderId="19" xfId="0" applyNumberFormat="1" applyFont="1" applyFill="1" applyBorder="1" applyAlignment="1" applyProtection="1">
      <protection hidden="1"/>
    </xf>
    <xf numFmtId="49" fontId="162" fillId="0" borderId="0" xfId="5" applyNumberFormat="1" applyFont="1" applyBorder="1" applyAlignment="1">
      <alignment horizontal="right" vertical="center" wrapText="1" readingOrder="2"/>
    </xf>
    <xf numFmtId="3" fontId="157" fillId="6" borderId="19" xfId="0" applyNumberFormat="1" applyFont="1" applyFill="1" applyBorder="1" applyAlignment="1" applyProtection="1">
      <alignment horizontal="center"/>
      <protection hidden="1"/>
    </xf>
    <xf numFmtId="3" fontId="157" fillId="4" borderId="19" xfId="0" applyNumberFormat="1" applyFont="1" applyFill="1" applyBorder="1" applyAlignment="1" applyProtection="1">
      <protection hidden="1"/>
    </xf>
    <xf numFmtId="3" fontId="157" fillId="9" borderId="0" xfId="0" applyNumberFormat="1" applyFont="1" applyFill="1" applyBorder="1" applyAlignment="1" applyProtection="1">
      <alignment horizontal="center"/>
      <protection hidden="1"/>
    </xf>
    <xf numFmtId="3" fontId="157" fillId="6" borderId="0" xfId="0" applyNumberFormat="1" applyFont="1" applyFill="1" applyBorder="1" applyAlignment="1" applyProtection="1">
      <alignment horizontal="center"/>
      <protection hidden="1"/>
    </xf>
    <xf numFmtId="0" fontId="157" fillId="0" borderId="0" xfId="0" applyNumberFormat="1" applyFont="1" applyFill="1" applyBorder="1" applyAlignment="1" applyProtection="1">
      <alignment horizontal="center"/>
      <protection hidden="1"/>
    </xf>
    <xf numFmtId="3" fontId="163" fillId="0" borderId="35" xfId="40" applyNumberFormat="1" applyFont="1" applyBorder="1" applyAlignment="1">
      <alignment horizontal="center" readingOrder="2"/>
    </xf>
    <xf numFmtId="3" fontId="163" fillId="0" borderId="0" xfId="40" applyNumberFormat="1" applyFont="1" applyBorder="1" applyAlignment="1">
      <alignment horizontal="center" vertical="top" readingOrder="2"/>
    </xf>
    <xf numFmtId="3" fontId="157" fillId="9" borderId="0" xfId="0" applyNumberFormat="1" applyFont="1" applyFill="1" applyBorder="1" applyAlignment="1" applyProtection="1">
      <protection hidden="1"/>
    </xf>
    <xf numFmtId="0" fontId="160" fillId="0" borderId="35" xfId="40" applyFont="1" applyBorder="1" applyAlignment="1">
      <alignment horizontal="center" wrapText="1" readingOrder="2"/>
    </xf>
    <xf numFmtId="0" fontId="160" fillId="0" borderId="0" xfId="40" applyFont="1" applyBorder="1" applyAlignment="1">
      <alignment horizontal="center" vertical="top" wrapText="1" readingOrder="2"/>
    </xf>
    <xf numFmtId="0" fontId="160" fillId="0" borderId="0" xfId="40" applyFont="1" applyBorder="1" applyAlignment="1">
      <alignment horizontal="left" vertical="center" readingOrder="2"/>
    </xf>
    <xf numFmtId="4" fontId="160" fillId="0" borderId="0" xfId="40" applyNumberFormat="1" applyFont="1" applyBorder="1" applyAlignment="1">
      <alignment horizontal="center" vertical="center" readingOrder="2"/>
    </xf>
    <xf numFmtId="0" fontId="159" fillId="0" borderId="0" xfId="40" applyFont="1" applyBorder="1" applyAlignment="1">
      <alignment vertical="center" readingOrder="2"/>
    </xf>
    <xf numFmtId="49" fontId="162" fillId="0" borderId="0" xfId="5" applyNumberFormat="1" applyFont="1" applyFill="1" applyBorder="1" applyAlignment="1">
      <alignment horizontal="center" vertical="center" wrapText="1" readingOrder="2"/>
    </xf>
    <xf numFmtId="176" fontId="157" fillId="0" borderId="0" xfId="0" applyNumberFormat="1" applyFont="1" applyFill="1" applyBorder="1" applyAlignment="1" applyProtection="1">
      <protection hidden="1"/>
    </xf>
    <xf numFmtId="2" fontId="157" fillId="0" borderId="0" xfId="0" applyNumberFormat="1" applyFont="1" applyFill="1" applyBorder="1" applyAlignment="1" applyProtection="1">
      <protection hidden="1"/>
    </xf>
    <xf numFmtId="0" fontId="165" fillId="0" borderId="0" xfId="0" applyFont="1" applyFill="1" applyBorder="1" applyAlignment="1">
      <alignment horizontal="center" vertical="center"/>
    </xf>
    <xf numFmtId="175" fontId="157" fillId="6" borderId="0" xfId="0" applyNumberFormat="1" applyFont="1" applyFill="1" applyBorder="1" applyAlignment="1" applyProtection="1">
      <alignment horizontal="center"/>
      <protection hidden="1"/>
    </xf>
    <xf numFmtId="0" fontId="157" fillId="6" borderId="0" xfId="42" applyNumberFormat="1" applyFont="1" applyFill="1" applyBorder="1" applyAlignment="1" applyProtection="1">
      <alignment horizontal="center"/>
      <protection hidden="1"/>
    </xf>
    <xf numFmtId="175" fontId="157" fillId="6" borderId="0" xfId="0" applyNumberFormat="1" applyFont="1" applyFill="1" applyBorder="1" applyAlignment="1" applyProtection="1">
      <protection hidden="1"/>
    </xf>
    <xf numFmtId="164" fontId="157" fillId="0" borderId="0" xfId="0" applyNumberFormat="1" applyFont="1" applyFill="1" applyBorder="1" applyProtection="1">
      <protection hidden="1"/>
    </xf>
    <xf numFmtId="164" fontId="157" fillId="0" borderId="0" xfId="42" applyNumberFormat="1" applyFont="1" applyFill="1" applyBorder="1" applyAlignment="1" applyProtection="1">
      <protection hidden="1"/>
    </xf>
    <xf numFmtId="3" fontId="157" fillId="0" borderId="19" xfId="0" applyNumberFormat="1" applyFont="1" applyFill="1" applyBorder="1" applyProtection="1">
      <protection hidden="1"/>
    </xf>
    <xf numFmtId="49" fontId="162" fillId="0" borderId="19" xfId="5" applyNumberFormat="1" applyFont="1" applyBorder="1" applyAlignment="1">
      <alignment horizontal="right" vertical="center" wrapText="1" readingOrder="2"/>
    </xf>
    <xf numFmtId="3" fontId="63" fillId="12" borderId="19" xfId="3" applyNumberFormat="1" applyFont="1" applyFill="1" applyBorder="1" applyAlignment="1" applyProtection="1">
      <alignment horizontal="right" vertical="center"/>
      <protection locked="0"/>
    </xf>
    <xf numFmtId="3" fontId="35" fillId="9" borderId="32" xfId="23" applyNumberFormat="1" applyFont="1" applyFill="1" applyBorder="1" applyAlignment="1">
      <alignment horizontal="right" vertical="center"/>
    </xf>
    <xf numFmtId="3" fontId="35" fillId="9" borderId="32" xfId="17" applyNumberFormat="1" applyFont="1" applyFill="1" applyBorder="1" applyAlignment="1">
      <alignment vertical="top"/>
    </xf>
    <xf numFmtId="167" fontId="92" fillId="9" borderId="0" xfId="8" applyNumberFormat="1" applyFont="1" applyFill="1" applyAlignment="1">
      <alignment horizontal="right" vertical="center" readingOrder="2"/>
    </xf>
    <xf numFmtId="173" fontId="92" fillId="9" borderId="0" xfId="8" applyNumberFormat="1" applyFont="1" applyFill="1" applyAlignment="1">
      <alignment horizontal="right" vertical="center" readingOrder="2"/>
    </xf>
    <xf numFmtId="180" fontId="92" fillId="9" borderId="0" xfId="8" applyNumberFormat="1" applyFont="1" applyFill="1" applyAlignment="1">
      <alignment horizontal="right" vertical="center" readingOrder="2"/>
    </xf>
    <xf numFmtId="164" fontId="35" fillId="0" borderId="0" xfId="5" applyNumberFormat="1" applyFont="1" applyFill="1" applyBorder="1" applyAlignment="1">
      <alignment vertical="center"/>
    </xf>
    <xf numFmtId="0" fontId="49" fillId="0" borderId="0" xfId="5" applyFont="1" applyAlignment="1">
      <alignment horizontal="right" vertical="center" readingOrder="2"/>
    </xf>
    <xf numFmtId="0" fontId="139" fillId="0" borderId="0" xfId="5" applyFont="1" applyAlignment="1">
      <alignment horizontal="center" vertical="top" readingOrder="2"/>
    </xf>
    <xf numFmtId="164" fontId="31" fillId="9" borderId="11" xfId="6" applyNumberFormat="1" applyFont="1" applyFill="1" applyBorder="1" applyAlignment="1">
      <alignment vertical="center"/>
    </xf>
    <xf numFmtId="164" fontId="31" fillId="9" borderId="21" xfId="6" applyNumberFormat="1" applyFont="1" applyFill="1" applyBorder="1" applyAlignment="1">
      <alignment vertical="center"/>
    </xf>
    <xf numFmtId="0" fontId="29" fillId="9" borderId="0" xfId="19" applyFont="1" applyFill="1" applyAlignment="1">
      <alignment horizontal="left" vertical="center" readingOrder="2"/>
    </xf>
    <xf numFmtId="0" fontId="64" fillId="0" borderId="0" xfId="33" applyFont="1" applyBorder="1" applyAlignment="1">
      <alignment vertical="center" readingOrder="2"/>
    </xf>
    <xf numFmtId="0" fontId="44" fillId="0" borderId="0" xfId="27" applyFont="1" applyBorder="1"/>
    <xf numFmtId="0" fontId="44" fillId="0" borderId="0" xfId="27" applyFont="1" applyBorder="1" applyAlignment="1"/>
    <xf numFmtId="0" fontId="64" fillId="0" borderId="0" xfId="33" applyFont="1" applyAlignment="1">
      <alignment vertical="center" readingOrder="2"/>
    </xf>
    <xf numFmtId="0" fontId="34" fillId="9" borderId="0" xfId="26" applyFont="1" applyFill="1" applyBorder="1" applyAlignment="1">
      <alignment vertical="center"/>
    </xf>
    <xf numFmtId="164" fontId="34" fillId="9" borderId="0" xfId="5" applyNumberFormat="1" applyFont="1" applyFill="1" applyBorder="1" applyAlignment="1">
      <alignment horizontal="right" vertical="center"/>
    </xf>
    <xf numFmtId="0" fontId="42" fillId="9" borderId="0" xfId="19" applyFont="1" applyFill="1" applyAlignment="1">
      <alignment horizontal="right" vertical="top" wrapText="1" readingOrder="2"/>
    </xf>
    <xf numFmtId="0" fontId="35" fillId="0" borderId="35" xfId="11" applyFont="1" applyBorder="1" applyAlignment="1">
      <alignment horizontal="center" vertical="center" readingOrder="2"/>
    </xf>
    <xf numFmtId="174" fontId="31" fillId="0" borderId="0" xfId="42" applyNumberFormat="1" applyFont="1" applyBorder="1" applyAlignment="1">
      <alignment horizontal="right"/>
    </xf>
    <xf numFmtId="0" fontId="31" fillId="0" borderId="35" xfId="12" applyNumberFormat="1" applyFont="1" applyBorder="1" applyAlignment="1">
      <alignment horizontal="center" readingOrder="2"/>
    </xf>
    <xf numFmtId="0" fontId="31" fillId="0" borderId="0" xfId="12" applyNumberFormat="1" applyFont="1" applyAlignment="1">
      <alignment horizontal="center" readingOrder="2"/>
    </xf>
    <xf numFmtId="174" fontId="64" fillId="0" borderId="0" xfId="42" applyNumberFormat="1" applyFont="1" applyAlignment="1">
      <alignment horizontal="right" vertical="center" readingOrder="2"/>
    </xf>
    <xf numFmtId="174" fontId="31" fillId="0" borderId="34" xfId="42" applyNumberFormat="1" applyFont="1" applyBorder="1" applyAlignment="1">
      <alignment horizontal="center" vertical="center"/>
    </xf>
    <xf numFmtId="174" fontId="31" fillId="0" borderId="0" xfId="42" applyNumberFormat="1" applyFont="1" applyBorder="1" applyAlignment="1">
      <alignment horizontal="center" vertical="center"/>
    </xf>
    <xf numFmtId="174" fontId="110" fillId="9" borderId="34" xfId="42" applyNumberFormat="1" applyFont="1" applyFill="1" applyBorder="1" applyAlignment="1">
      <alignment horizontal="center" vertical="center"/>
    </xf>
    <xf numFmtId="174" fontId="74" fillId="0" borderId="0" xfId="42" applyNumberFormat="1" applyFont="1" applyAlignment="1">
      <alignment horizontal="center" vertical="center"/>
    </xf>
    <xf numFmtId="0" fontId="32" fillId="9" borderId="0" xfId="19" applyFont="1" applyFill="1" applyAlignment="1">
      <alignment horizontal="right" vertical="top" wrapText="1" readingOrder="2"/>
    </xf>
    <xf numFmtId="0" fontId="64" fillId="0" borderId="41" xfId="33" applyFont="1" applyBorder="1" applyAlignment="1">
      <alignment horizontal="center" vertical="center" readingOrder="2"/>
    </xf>
    <xf numFmtId="0" fontId="29" fillId="9" borderId="0" xfId="31" applyFont="1" applyFill="1" applyAlignment="1">
      <alignment horizontal="left" vertical="center" readingOrder="2"/>
    </xf>
    <xf numFmtId="0" fontId="64" fillId="9" borderId="0" xfId="31" applyFont="1" applyFill="1" applyAlignment="1">
      <alignment vertical="center"/>
    </xf>
    <xf numFmtId="0" fontId="35" fillId="9" borderId="0" xfId="31" applyFont="1" applyFill="1" applyBorder="1" applyAlignment="1">
      <alignment horizontal="center" readingOrder="2"/>
    </xf>
    <xf numFmtId="0" fontId="31" fillId="0" borderId="0" xfId="11" applyFont="1" applyAlignment="1">
      <alignment horizontal="right" vertical="center" readingOrder="2"/>
    </xf>
    <xf numFmtId="164" fontId="92" fillId="9" borderId="32" xfId="19" applyNumberFormat="1" applyFont="1" applyFill="1" applyBorder="1" applyAlignment="1">
      <alignment vertical="center"/>
    </xf>
    <xf numFmtId="164" fontId="92" fillId="9" borderId="32" xfId="17" applyNumberFormat="1" applyFont="1" applyFill="1" applyBorder="1" applyAlignment="1">
      <alignment vertical="center"/>
    </xf>
    <xf numFmtId="0" fontId="48" fillId="9" borderId="0" xfId="31" applyFont="1" applyFill="1" applyAlignment="1">
      <alignment vertical="center" readingOrder="2"/>
    </xf>
    <xf numFmtId="164" fontId="34" fillId="9" borderId="33" xfId="27" applyNumberFormat="1" applyFont="1" applyFill="1" applyBorder="1" applyAlignment="1">
      <alignment vertical="center"/>
    </xf>
    <xf numFmtId="0" fontId="32" fillId="0" borderId="0" xfId="6" applyFont="1" applyAlignment="1">
      <alignment horizontal="center" readingOrder="2"/>
    </xf>
    <xf numFmtId="0" fontId="158" fillId="0" borderId="0" xfId="11" applyFont="1" applyAlignment="1">
      <alignment horizontal="center" readingOrder="2"/>
    </xf>
    <xf numFmtId="0" fontId="60" fillId="9" borderId="0" xfId="8" applyFont="1" applyFill="1" applyAlignment="1">
      <alignment vertical="top" wrapText="1" readingOrder="2"/>
    </xf>
    <xf numFmtId="0" fontId="60" fillId="9" borderId="0" xfId="19" applyFont="1" applyFill="1" applyAlignment="1">
      <alignment vertical="center" readingOrder="2"/>
    </xf>
    <xf numFmtId="0" fontId="42" fillId="9" borderId="0" xfId="19" applyFont="1" applyFill="1" applyAlignment="1">
      <alignment vertical="center" readingOrder="2"/>
    </xf>
    <xf numFmtId="0" fontId="32" fillId="9" borderId="0" xfId="19" applyFont="1" applyFill="1" applyAlignment="1">
      <alignment horizontal="right" vertical="top" readingOrder="2"/>
    </xf>
    <xf numFmtId="1" fontId="35" fillId="9" borderId="0" xfId="23" applyNumberFormat="1" applyFont="1" applyFill="1" applyBorder="1" applyAlignment="1">
      <alignment horizontal="center" vertical="center" shrinkToFit="1"/>
    </xf>
    <xf numFmtId="0" fontId="32" fillId="0" borderId="0" xfId="28" applyFont="1" applyAlignment="1">
      <alignment horizontal="right" vertical="top" readingOrder="2"/>
    </xf>
    <xf numFmtId="0" fontId="34" fillId="0" borderId="0" xfId="28" applyFont="1" applyAlignment="1">
      <alignment horizontal="right" vertical="top" readingOrder="2"/>
    </xf>
    <xf numFmtId="0" fontId="35" fillId="0" borderId="0" xfId="28" applyFont="1" applyAlignment="1">
      <alignment horizontal="left" vertical="center" readingOrder="2"/>
    </xf>
    <xf numFmtId="0" fontId="34" fillId="0" borderId="0" xfId="28" applyFont="1" applyAlignment="1">
      <alignment horizontal="left" vertical="center" readingOrder="2"/>
    </xf>
    <xf numFmtId="0" fontId="67" fillId="0" borderId="0" xfId="0" applyFont="1"/>
    <xf numFmtId="0" fontId="42" fillId="0" borderId="0" xfId="0" applyFont="1"/>
    <xf numFmtId="0" fontId="166" fillId="0" borderId="0" xfId="0" applyFont="1"/>
    <xf numFmtId="0" fontId="48" fillId="0" borderId="0" xfId="12" applyFont="1" applyAlignment="1">
      <alignment vertical="center" readingOrder="2"/>
    </xf>
    <xf numFmtId="0" fontId="35" fillId="0" borderId="0" xfId="8" applyFont="1" applyAlignment="1">
      <alignment vertical="top" readingOrder="2"/>
    </xf>
    <xf numFmtId="0" fontId="52" fillId="9" borderId="0" xfId="31" applyFont="1" applyFill="1" applyAlignment="1">
      <alignment vertical="center"/>
    </xf>
    <xf numFmtId="0" fontId="32" fillId="9" borderId="0" xfId="25" applyFont="1" applyFill="1" applyAlignment="1">
      <alignment horizontal="center" vertical="top"/>
    </xf>
    <xf numFmtId="0" fontId="167" fillId="9" borderId="0" xfId="19" applyFont="1" applyFill="1" applyAlignment="1">
      <alignment horizontal="right" vertical="center" readingOrder="2"/>
    </xf>
    <xf numFmtId="0" fontId="32" fillId="9" borderId="0" xfId="21" applyFont="1" applyFill="1" applyAlignment="1">
      <alignment horizontal="left" vertical="center" readingOrder="2"/>
    </xf>
    <xf numFmtId="0" fontId="34" fillId="9" borderId="0" xfId="26" applyFont="1" applyFill="1" applyBorder="1" applyAlignment="1">
      <alignment horizontal="center" vertical="center"/>
    </xf>
    <xf numFmtId="0" fontId="34" fillId="9" borderId="0" xfId="26" applyFont="1" applyFill="1" applyAlignment="1">
      <alignment horizontal="center"/>
    </xf>
    <xf numFmtId="0" fontId="34" fillId="9" borderId="0" xfId="26" applyFont="1" applyFill="1" applyBorder="1" applyAlignment="1">
      <alignment horizontal="center"/>
    </xf>
    <xf numFmtId="0" fontId="34" fillId="9" borderId="0" xfId="26" applyFont="1" applyFill="1" applyBorder="1" applyAlignment="1">
      <alignment horizontal="center" wrapText="1"/>
    </xf>
    <xf numFmtId="0" fontId="34" fillId="9" borderId="41" xfId="26" applyFont="1" applyFill="1" applyBorder="1" applyAlignment="1">
      <alignment horizontal="center" vertical="center"/>
    </xf>
    <xf numFmtId="0" fontId="34" fillId="9" borderId="35" xfId="26" applyFont="1" applyFill="1" applyBorder="1" applyAlignment="1">
      <alignment horizontal="center" vertical="center"/>
    </xf>
    <xf numFmtId="0" fontId="28" fillId="9" borderId="0" xfId="5" applyFont="1" applyFill="1" applyAlignment="1">
      <alignment horizontal="center" vertical="top" readingOrder="2"/>
    </xf>
    <xf numFmtId="0" fontId="35" fillId="9" borderId="0" xfId="15" applyFont="1" applyFill="1" applyAlignment="1">
      <alignment vertical="top" wrapText="1" readingOrder="2"/>
    </xf>
    <xf numFmtId="0" fontId="29" fillId="9" borderId="0" xfId="31" applyFont="1" applyFill="1" applyAlignment="1">
      <alignment vertical="center" readingOrder="2"/>
    </xf>
    <xf numFmtId="168" fontId="49" fillId="13" borderId="19" xfId="10" applyNumberFormat="1" applyFont="1" applyFill="1" applyBorder="1" applyAlignment="1">
      <alignment horizontal="right" vertical="center"/>
    </xf>
    <xf numFmtId="0" fontId="53" fillId="9" borderId="35" xfId="21" applyNumberFormat="1" applyFont="1" applyFill="1" applyBorder="1" applyAlignment="1">
      <alignment vertical="center" readingOrder="2"/>
    </xf>
    <xf numFmtId="0" fontId="35" fillId="9" borderId="35" xfId="20" applyNumberFormat="1" applyFont="1" applyFill="1" applyBorder="1" applyAlignment="1">
      <alignment vertical="center" readingOrder="2"/>
    </xf>
    <xf numFmtId="0" fontId="53" fillId="9" borderId="35" xfId="20" applyNumberFormat="1" applyFont="1" applyFill="1" applyBorder="1" applyAlignment="1">
      <alignment vertical="center" readingOrder="2"/>
    </xf>
    <xf numFmtId="0" fontId="109" fillId="0" borderId="0" xfId="6" applyFont="1" applyAlignment="1">
      <alignment horizontal="center" readingOrder="2"/>
    </xf>
    <xf numFmtId="0" fontId="128" fillId="0" borderId="0" xfId="0" applyFont="1" applyAlignment="1">
      <alignment horizontal="center"/>
    </xf>
    <xf numFmtId="0" fontId="170" fillId="0" borderId="0" xfId="5" applyFont="1" applyAlignment="1">
      <alignment horizontal="center" vertical="top" readingOrder="2"/>
    </xf>
    <xf numFmtId="0" fontId="156" fillId="9" borderId="0" xfId="0" applyFont="1" applyFill="1"/>
    <xf numFmtId="0" fontId="51" fillId="9" borderId="0" xfId="0" applyFont="1" applyFill="1"/>
    <xf numFmtId="0" fontId="129" fillId="0" borderId="0" xfId="5" applyFont="1" applyAlignment="1">
      <alignment vertical="center"/>
    </xf>
    <xf numFmtId="0" fontId="106" fillId="0" borderId="0" xfId="5" applyFont="1" applyAlignment="1">
      <alignment horizontal="right" vertical="center" readingOrder="2"/>
    </xf>
    <xf numFmtId="0" fontId="156" fillId="0" borderId="0" xfId="5" applyFont="1" applyAlignment="1">
      <alignment horizontal="center" vertical="center"/>
    </xf>
    <xf numFmtId="0" fontId="171" fillId="0" borderId="0" xfId="5" applyFont="1" applyAlignment="1">
      <alignment horizontal="right" vertical="center" readingOrder="2"/>
    </xf>
    <xf numFmtId="0" fontId="172" fillId="0" borderId="0" xfId="5" applyFont="1" applyFill="1" applyAlignment="1">
      <alignment horizontal="center" vertical="center" readingOrder="2"/>
    </xf>
    <xf numFmtId="0" fontId="104" fillId="0" borderId="0" xfId="5" applyFont="1" applyAlignment="1">
      <alignment vertical="center" readingOrder="2"/>
    </xf>
    <xf numFmtId="0" fontId="104" fillId="0" borderId="0" xfId="5" applyFont="1" applyAlignment="1">
      <alignment vertical="center"/>
    </xf>
    <xf numFmtId="0" fontId="104" fillId="0" borderId="0" xfId="5" applyFont="1" applyAlignment="1">
      <alignment horizontal="right" vertical="center" readingOrder="2"/>
    </xf>
    <xf numFmtId="0" fontId="104" fillId="0" borderId="0" xfId="5" applyFont="1" applyFill="1" applyAlignment="1">
      <alignment vertical="center"/>
    </xf>
    <xf numFmtId="0" fontId="173" fillId="0" borderId="0" xfId="0" applyFont="1"/>
    <xf numFmtId="0" fontId="109" fillId="0" borderId="0" xfId="5" applyFont="1" applyAlignment="1">
      <alignment vertical="center"/>
    </xf>
    <xf numFmtId="0" fontId="109" fillId="9" borderId="0" xfId="23" applyFont="1" applyFill="1" applyAlignment="1">
      <alignment horizontal="right" vertical="top"/>
    </xf>
    <xf numFmtId="0" fontId="106" fillId="9" borderId="0" xfId="23" applyFont="1" applyFill="1" applyAlignment="1">
      <alignment horizontal="right" vertical="top"/>
    </xf>
    <xf numFmtId="0" fontId="106" fillId="9" borderId="0" xfId="23" applyFont="1" applyFill="1" applyAlignment="1">
      <alignment horizontal="right" vertical="top" readingOrder="2"/>
    </xf>
    <xf numFmtId="0" fontId="156" fillId="9" borderId="0" xfId="0" applyFont="1" applyFill="1" applyAlignment="1">
      <alignment vertical="center"/>
    </xf>
    <xf numFmtId="0" fontId="106" fillId="9" borderId="0" xfId="23" applyFont="1" applyFill="1" applyAlignment="1">
      <alignment horizontal="right" vertical="center" readingOrder="2"/>
    </xf>
    <xf numFmtId="0" fontId="174" fillId="9" borderId="0" xfId="19" applyFont="1" applyFill="1" applyAlignment="1">
      <alignment vertical="top" readingOrder="2"/>
    </xf>
    <xf numFmtId="0" fontId="129" fillId="0" borderId="0" xfId="0" applyFont="1" applyAlignment="1">
      <alignment horizontal="right"/>
    </xf>
    <xf numFmtId="0" fontId="169" fillId="0" borderId="0" xfId="0" applyFont="1"/>
    <xf numFmtId="168" fontId="46" fillId="9" borderId="0" xfId="0" applyNumberFormat="1" applyFont="1" applyFill="1" applyAlignment="1">
      <alignment horizontal="right" vertical="center"/>
    </xf>
    <xf numFmtId="168" fontId="63" fillId="14" borderId="19" xfId="10" applyNumberFormat="1" applyFont="1" applyFill="1" applyBorder="1" applyAlignment="1">
      <alignment horizontal="right" vertical="center"/>
    </xf>
    <xf numFmtId="164" fontId="92" fillId="0" borderId="0" xfId="19" applyNumberFormat="1" applyFont="1" applyFill="1" applyBorder="1" applyAlignment="1">
      <alignment vertical="center"/>
    </xf>
    <xf numFmtId="164" fontId="92" fillId="0" borderId="0" xfId="17" applyNumberFormat="1" applyFont="1" applyFill="1" applyBorder="1" applyAlignment="1">
      <alignment vertical="center"/>
    </xf>
    <xf numFmtId="0" fontId="51" fillId="0" borderId="0" xfId="0" applyFont="1" applyAlignment="1">
      <alignment vertical="center"/>
    </xf>
    <xf numFmtId="164" fontId="31" fillId="0" borderId="36" xfId="23" applyNumberFormat="1" applyFont="1" applyFill="1" applyBorder="1" applyAlignment="1">
      <alignment horizontal="right" vertical="center"/>
    </xf>
    <xf numFmtId="164" fontId="34" fillId="0" borderId="34" xfId="23" applyNumberFormat="1" applyFont="1" applyFill="1" applyBorder="1" applyAlignment="1">
      <alignment horizontal="right" vertical="center"/>
    </xf>
    <xf numFmtId="0" fontId="35" fillId="0" borderId="0" xfId="27" applyFont="1" applyFill="1" applyAlignment="1">
      <alignment horizontal="left" vertical="top" readingOrder="2"/>
    </xf>
    <xf numFmtId="0" fontId="41" fillId="9" borderId="0" xfId="8" applyFont="1" applyFill="1" applyAlignment="1">
      <alignment horizontal="left" vertical="top" readingOrder="2"/>
    </xf>
    <xf numFmtId="0" fontId="128" fillId="0" borderId="0" xfId="0" applyFont="1" applyAlignment="1">
      <alignment horizontal="center"/>
    </xf>
    <xf numFmtId="0" fontId="59" fillId="0" borderId="0" xfId="0" applyFont="1"/>
    <xf numFmtId="0" fontId="112" fillId="0" borderId="0" xfId="0" applyFont="1" applyAlignment="1">
      <alignment vertical="center"/>
    </xf>
    <xf numFmtId="164" fontId="34" fillId="0" borderId="0" xfId="17" applyNumberFormat="1" applyFont="1" applyFill="1" applyBorder="1" applyAlignment="1">
      <alignment vertical="center"/>
    </xf>
    <xf numFmtId="164" fontId="34" fillId="0" borderId="0" xfId="25" applyNumberFormat="1" applyFont="1" applyFill="1" applyBorder="1" applyAlignment="1">
      <alignment horizontal="right" vertical="center"/>
    </xf>
    <xf numFmtId="0" fontId="34" fillId="0" borderId="0" xfId="21" applyFont="1" applyFill="1" applyAlignment="1">
      <alignment vertical="top" wrapText="1" readingOrder="2"/>
    </xf>
    <xf numFmtId="0" fontId="35" fillId="0" borderId="0" xfId="21" applyNumberFormat="1" applyFont="1" applyFill="1" applyBorder="1" applyAlignment="1">
      <alignment horizontal="center" vertical="center" readingOrder="2"/>
    </xf>
    <xf numFmtId="0" fontId="64" fillId="0" borderId="0" xfId="21" applyFont="1" applyFill="1" applyAlignment="1">
      <alignment horizontal="right" readingOrder="2"/>
    </xf>
    <xf numFmtId="0" fontId="84" fillId="0" borderId="0" xfId="0" applyFont="1" applyFill="1"/>
    <xf numFmtId="0" fontId="149" fillId="9" borderId="0" xfId="0" applyFont="1" applyFill="1"/>
    <xf numFmtId="164" fontId="31" fillId="9" borderId="34" xfId="27" applyNumberFormat="1" applyFont="1" applyFill="1" applyBorder="1" applyAlignment="1">
      <alignment vertical="center"/>
    </xf>
    <xf numFmtId="164" fontId="34" fillId="0" borderId="35" xfId="25" applyNumberFormat="1" applyFont="1" applyFill="1" applyBorder="1" applyAlignment="1">
      <alignment horizontal="right" vertical="center"/>
    </xf>
    <xf numFmtId="0" fontId="160" fillId="0" borderId="0" xfId="40" applyFont="1" applyBorder="1" applyAlignment="1">
      <alignment horizontal="center" vertical="center" readingOrder="2"/>
    </xf>
    <xf numFmtId="3" fontId="160" fillId="0" borderId="0" xfId="40" applyNumberFormat="1" applyFont="1" applyBorder="1" applyAlignment="1">
      <alignment horizontal="center" vertical="center" readingOrder="2"/>
    </xf>
    <xf numFmtId="4" fontId="160" fillId="0" borderId="0" xfId="40" applyNumberFormat="1" applyFont="1" applyBorder="1" applyAlignment="1">
      <alignment horizontal="center" vertical="center" readingOrder="2"/>
    </xf>
    <xf numFmtId="3" fontId="160" fillId="0" borderId="0" xfId="40" applyNumberFormat="1" applyFont="1" applyBorder="1" applyAlignment="1">
      <alignment horizontal="center" vertical="top" readingOrder="2"/>
    </xf>
    <xf numFmtId="3" fontId="160" fillId="0" borderId="35" xfId="40" applyNumberFormat="1" applyFont="1" applyBorder="1" applyAlignment="1">
      <alignment horizontal="center" readingOrder="2"/>
    </xf>
    <xf numFmtId="4" fontId="160" fillId="0" borderId="0" xfId="40" applyNumberFormat="1" applyFont="1" applyBorder="1" applyAlignment="1">
      <alignment horizontal="center" vertical="center" readingOrder="2"/>
    </xf>
    <xf numFmtId="4" fontId="157" fillId="0" borderId="0" xfId="0" applyNumberFormat="1" applyFont="1" applyFill="1" applyBorder="1" applyProtection="1">
      <protection hidden="1"/>
    </xf>
    <xf numFmtId="4" fontId="162" fillId="0" borderId="0" xfId="5" applyNumberFormat="1" applyFont="1" applyFill="1" applyBorder="1" applyAlignment="1">
      <alignment horizontal="right" vertical="center" wrapText="1" readingOrder="2"/>
    </xf>
    <xf numFmtId="4" fontId="162" fillId="0" borderId="19" xfId="5" applyNumberFormat="1" applyFont="1" applyFill="1" applyBorder="1" applyAlignment="1">
      <alignment horizontal="right" vertical="center" wrapText="1" readingOrder="2"/>
    </xf>
    <xf numFmtId="4" fontId="157" fillId="6" borderId="0" xfId="0" applyNumberFormat="1" applyFont="1" applyFill="1" applyBorder="1" applyAlignment="1" applyProtection="1">
      <alignment horizontal="center" vertical="center"/>
      <protection hidden="1"/>
    </xf>
    <xf numFmtId="4" fontId="162" fillId="0" borderId="0" xfId="5" applyNumberFormat="1" applyFont="1" applyBorder="1" applyAlignment="1">
      <alignment horizontal="right" vertical="center" wrapText="1" readingOrder="2"/>
    </xf>
    <xf numFmtId="4" fontId="162" fillId="0" borderId="19" xfId="5" applyNumberFormat="1" applyFont="1" applyBorder="1" applyAlignment="1">
      <alignment horizontal="right" vertical="center" wrapText="1" readingOrder="2"/>
    </xf>
    <xf numFmtId="4" fontId="157" fillId="6" borderId="19" xfId="0" applyNumberFormat="1" applyFont="1" applyFill="1" applyBorder="1" applyAlignment="1" applyProtection="1">
      <alignment horizontal="center"/>
      <protection hidden="1"/>
    </xf>
    <xf numFmtId="4" fontId="157" fillId="9" borderId="0" xfId="0" applyNumberFormat="1" applyFont="1" applyFill="1" applyBorder="1" applyAlignment="1" applyProtection="1">
      <alignment horizontal="center"/>
      <protection hidden="1"/>
    </xf>
    <xf numFmtId="4" fontId="157" fillId="6" borderId="0" xfId="0" applyNumberFormat="1" applyFont="1" applyFill="1" applyBorder="1" applyAlignment="1" applyProtection="1">
      <alignment horizontal="center"/>
      <protection hidden="1"/>
    </xf>
    <xf numFmtId="4" fontId="162" fillId="0" borderId="0" xfId="5" applyNumberFormat="1" applyFont="1" applyFill="1" applyBorder="1" applyAlignment="1">
      <alignment horizontal="center" vertical="center" wrapText="1" readingOrder="2"/>
    </xf>
    <xf numFmtId="4" fontId="165" fillId="0" borderId="0" xfId="0" applyNumberFormat="1" applyFont="1" applyFill="1" applyBorder="1" applyAlignment="1">
      <alignment horizontal="center" vertical="center"/>
    </xf>
    <xf numFmtId="4" fontId="157" fillId="6" borderId="0" xfId="0" applyNumberFormat="1" applyFont="1" applyFill="1" applyBorder="1" applyAlignment="1" applyProtection="1">
      <protection hidden="1"/>
    </xf>
    <xf numFmtId="0" fontId="59" fillId="0" borderId="0" xfId="0" applyFont="1"/>
    <xf numFmtId="0" fontId="87" fillId="9" borderId="0" xfId="15" applyFont="1" applyFill="1" applyAlignment="1">
      <alignment horizontal="right" vertical="top" wrapText="1" readingOrder="2"/>
    </xf>
    <xf numFmtId="0" fontId="112" fillId="0" borderId="0" xfId="37" applyFont="1"/>
    <xf numFmtId="3" fontId="113" fillId="9" borderId="0" xfId="23" applyNumberFormat="1" applyFont="1" applyFill="1" applyBorder="1" applyAlignment="1">
      <alignment horizontal="right" vertical="center"/>
    </xf>
    <xf numFmtId="2" fontId="113" fillId="9" borderId="0" xfId="23" applyNumberFormat="1" applyFont="1" applyFill="1" applyBorder="1" applyAlignment="1">
      <alignment horizontal="center" vertical="center" shrinkToFit="1"/>
    </xf>
    <xf numFmtId="176" fontId="113" fillId="9" borderId="0" xfId="23" applyNumberFormat="1" applyFont="1" applyFill="1" applyBorder="1" applyAlignment="1">
      <alignment horizontal="center" vertical="center" shrinkToFit="1"/>
    </xf>
    <xf numFmtId="0" fontId="52" fillId="0" borderId="0" xfId="8" applyFont="1"/>
    <xf numFmtId="0" fontId="52" fillId="0" borderId="0" xfId="11" applyFont="1" applyAlignment="1">
      <alignment vertical="center"/>
    </xf>
    <xf numFmtId="0" fontId="41" fillId="9" borderId="0" xfId="8" applyFont="1" applyFill="1" applyAlignment="1">
      <alignment horizontal="right" vertical="top" wrapText="1" readingOrder="2"/>
    </xf>
    <xf numFmtId="172" fontId="48" fillId="9" borderId="0" xfId="26" applyNumberFormat="1" applyFont="1" applyFill="1" applyAlignment="1">
      <alignment vertical="center"/>
    </xf>
    <xf numFmtId="0" fontId="52" fillId="0" borderId="0" xfId="27" applyFont="1" applyFill="1"/>
    <xf numFmtId="0" fontId="37" fillId="9" borderId="0" xfId="8" applyFont="1" applyFill="1" applyAlignment="1">
      <alignment vertical="top" wrapText="1" readingOrder="2"/>
    </xf>
    <xf numFmtId="167" fontId="34" fillId="0" borderId="0" xfId="8" applyNumberFormat="1" applyFont="1" applyFill="1" applyBorder="1" applyAlignment="1">
      <alignment horizontal="center" vertical="center" readingOrder="2"/>
    </xf>
    <xf numFmtId="164" fontId="54" fillId="0" borderId="0" xfId="15" applyNumberFormat="1" applyFont="1" applyFill="1" applyBorder="1"/>
    <xf numFmtId="169" fontId="185" fillId="0" borderId="0" xfId="15" applyNumberFormat="1" applyFont="1" applyFill="1" applyBorder="1"/>
    <xf numFmtId="164" fontId="185" fillId="0" borderId="0" xfId="15" applyNumberFormat="1" applyFont="1" applyFill="1" applyBorder="1"/>
    <xf numFmtId="3" fontId="186" fillId="0" borderId="0" xfId="15" applyNumberFormat="1" applyFont="1" applyFill="1" applyBorder="1"/>
    <xf numFmtId="3" fontId="128" fillId="0" borderId="0" xfId="15" applyNumberFormat="1" applyFont="1" applyFill="1" applyBorder="1"/>
    <xf numFmtId="167" fontId="34" fillId="0" borderId="35" xfId="8" applyNumberFormat="1" applyFont="1" applyFill="1" applyBorder="1" applyAlignment="1">
      <alignment horizontal="center" vertical="center" readingOrder="2"/>
    </xf>
    <xf numFmtId="0" fontId="41" fillId="9" borderId="0" xfId="8" applyFont="1" applyFill="1" applyAlignment="1">
      <alignment horizontal="right" vertical="top" wrapText="1" readingOrder="2"/>
    </xf>
    <xf numFmtId="0" fontId="31" fillId="0" borderId="0" xfId="21" applyFont="1" applyFill="1" applyAlignment="1">
      <alignment horizontal="right" vertical="top" wrapText="1" readingOrder="2"/>
    </xf>
    <xf numFmtId="164" fontId="31" fillId="9" borderId="2" xfId="6" applyNumberFormat="1" applyFont="1" applyFill="1" applyBorder="1" applyAlignment="1">
      <alignment vertical="center"/>
    </xf>
    <xf numFmtId="164" fontId="31" fillId="0" borderId="58" xfId="6" applyNumberFormat="1" applyFont="1" applyBorder="1" applyAlignment="1">
      <alignment vertical="center"/>
    </xf>
    <xf numFmtId="0" fontId="34" fillId="0" borderId="0" xfId="11" applyFont="1" applyAlignment="1">
      <alignment vertical="center" readingOrder="2"/>
    </xf>
    <xf numFmtId="0" fontId="188" fillId="0" borderId="0" xfId="11" applyFont="1" applyAlignment="1">
      <alignment horizontal="justify" vertical="center" readingOrder="2"/>
    </xf>
    <xf numFmtId="0" fontId="107" fillId="0" borderId="0" xfId="0" applyFont="1" applyAlignment="1">
      <alignment horizontal="center"/>
    </xf>
    <xf numFmtId="0" fontId="189" fillId="0" borderId="0" xfId="0" applyFont="1" applyAlignment="1">
      <alignment horizontal="center"/>
    </xf>
    <xf numFmtId="0" fontId="84" fillId="0" borderId="0" xfId="0" applyFont="1"/>
    <xf numFmtId="0" fontId="150" fillId="0" borderId="0" xfId="13" applyFont="1" applyFill="1" applyAlignment="1">
      <alignment horizontal="center"/>
    </xf>
    <xf numFmtId="0" fontId="107" fillId="0" borderId="0" xfId="13" applyFont="1" applyFill="1" applyAlignment="1">
      <alignment horizontal="center"/>
    </xf>
    <xf numFmtId="0" fontId="34" fillId="9" borderId="0" xfId="24" applyFont="1" applyFill="1" applyAlignment="1"/>
    <xf numFmtId="0" fontId="60" fillId="0" borderId="0" xfId="13" applyFont="1" applyAlignment="1">
      <alignment horizontal="right" readingOrder="2"/>
    </xf>
    <xf numFmtId="49" fontId="34" fillId="0" borderId="0" xfId="13" applyNumberFormat="1" applyFont="1" applyAlignment="1">
      <alignment horizontal="center" vertical="center"/>
    </xf>
    <xf numFmtId="0" fontId="150" fillId="0" borderId="0" xfId="13" applyFont="1" applyAlignment="1">
      <alignment horizontal="center"/>
    </xf>
    <xf numFmtId="0" fontId="107" fillId="0" borderId="0" xfId="13" applyFont="1" applyAlignment="1">
      <alignment horizontal="center"/>
    </xf>
    <xf numFmtId="0" fontId="34" fillId="9" borderId="0" xfId="24" applyFont="1" applyFill="1" applyAlignment="1">
      <alignment horizontal="right"/>
    </xf>
    <xf numFmtId="0" fontId="150" fillId="0" borderId="0" xfId="14" applyFont="1" applyFill="1"/>
    <xf numFmtId="0" fontId="60" fillId="0" borderId="0" xfId="14" applyFont="1" applyAlignment="1">
      <alignment horizontal="right"/>
    </xf>
    <xf numFmtId="0" fontId="190" fillId="0" borderId="0" xfId="14" applyFont="1" applyFill="1" applyBorder="1"/>
    <xf numFmtId="49" fontId="190" fillId="0" borderId="0" xfId="14" applyNumberFormat="1" applyFont="1" applyFill="1" applyBorder="1"/>
    <xf numFmtId="3" fontId="190" fillId="0" borderId="0" xfId="14" applyNumberFormat="1" applyFont="1" applyFill="1" applyBorder="1" applyAlignment="1">
      <alignment horizontal="right" readingOrder="2"/>
    </xf>
    <xf numFmtId="0" fontId="60" fillId="0" borderId="0" xfId="14" applyFont="1" applyFill="1"/>
    <xf numFmtId="0" fontId="34" fillId="0" borderId="0" xfId="14" applyFont="1" applyAlignment="1">
      <alignment horizontal="right" readingOrder="2"/>
    </xf>
    <xf numFmtId="0" fontId="60" fillId="0" borderId="0" xfId="14" applyFont="1" applyFill="1" applyBorder="1"/>
    <xf numFmtId="0" fontId="34" fillId="0" borderId="0" xfId="13" applyNumberFormat="1" applyFont="1" applyBorder="1" applyAlignment="1">
      <alignment horizontal="center" vertical="center" readingOrder="2"/>
    </xf>
    <xf numFmtId="3" fontId="34" fillId="9" borderId="0" xfId="0" applyNumberFormat="1" applyFont="1" applyFill="1" applyBorder="1" applyAlignment="1">
      <alignment horizontal="center" vertical="center"/>
    </xf>
    <xf numFmtId="0" fontId="34" fillId="0" borderId="0" xfId="14" applyFont="1" applyBorder="1" applyAlignment="1">
      <alignment horizontal="right" readingOrder="2"/>
    </xf>
    <xf numFmtId="0" fontId="34" fillId="0" borderId="0" xfId="14" applyNumberFormat="1" applyFont="1" applyBorder="1" applyAlignment="1">
      <alignment horizontal="right" readingOrder="2"/>
    </xf>
    <xf numFmtId="3" fontId="60" fillId="0" borderId="0" xfId="14" applyNumberFormat="1" applyFont="1" applyFill="1" applyBorder="1" applyAlignment="1">
      <alignment horizontal="right" readingOrder="2"/>
    </xf>
    <xf numFmtId="49" fontId="60" fillId="0" borderId="0" xfId="14" applyNumberFormat="1" applyFont="1" applyFill="1" applyBorder="1"/>
    <xf numFmtId="0" fontId="60" fillId="0" borderId="0" xfId="14" applyFont="1" applyAlignment="1">
      <alignment horizontal="right" vertical="center"/>
    </xf>
    <xf numFmtId="0" fontId="60" fillId="0" borderId="0" xfId="14" applyFont="1" applyAlignment="1">
      <alignment horizontal="right" readingOrder="2"/>
    </xf>
    <xf numFmtId="0" fontId="34" fillId="0" borderId="0" xfId="14" applyFont="1" applyBorder="1" applyAlignment="1">
      <alignment horizontal="right"/>
    </xf>
    <xf numFmtId="3" fontId="150" fillId="0" borderId="0" xfId="14" applyNumberFormat="1" applyFont="1" applyFill="1" applyBorder="1" applyAlignment="1">
      <alignment horizontal="right" readingOrder="2"/>
    </xf>
    <xf numFmtId="0" fontId="150" fillId="0" borderId="0" xfId="0" applyFont="1" applyFill="1"/>
    <xf numFmtId="0" fontId="56" fillId="9" borderId="0" xfId="5" applyFont="1" applyFill="1" applyAlignment="1">
      <alignment vertical="top" readingOrder="2"/>
    </xf>
    <xf numFmtId="3" fontId="47" fillId="9" borderId="48" xfId="34" applyNumberFormat="1" applyFont="1" applyFill="1" applyBorder="1" applyAlignment="1">
      <alignment horizontal="center" vertical="top" wrapText="1"/>
    </xf>
    <xf numFmtId="0" fontId="48" fillId="9" borderId="43" xfId="34" applyFont="1" applyFill="1" applyBorder="1" applyAlignment="1">
      <alignment horizontal="center" vertical="top" wrapText="1"/>
    </xf>
    <xf numFmtId="3" fontId="35" fillId="9" borderId="17" xfId="34" applyNumberFormat="1" applyFont="1" applyFill="1" applyBorder="1" applyAlignment="1">
      <alignment vertical="top"/>
    </xf>
    <xf numFmtId="3" fontId="82" fillId="9" borderId="0" xfId="47" applyNumberFormat="1" applyFont="1" applyFill="1" applyBorder="1" applyAlignment="1">
      <alignment vertical="top"/>
    </xf>
    <xf numFmtId="49" fontId="82" fillId="9" borderId="44" xfId="47" applyNumberFormat="1" applyFont="1" applyFill="1" applyBorder="1" applyAlignment="1">
      <alignment vertical="top"/>
    </xf>
    <xf numFmtId="0" fontId="48" fillId="9" borderId="3" xfId="34" applyFont="1" applyFill="1" applyBorder="1" applyAlignment="1">
      <alignment horizontal="center" vertical="center" wrapText="1"/>
    </xf>
    <xf numFmtId="3" fontId="35" fillId="9" borderId="48" xfId="34" applyNumberFormat="1" applyFont="1" applyFill="1" applyBorder="1" applyAlignment="1">
      <alignment horizontal="right" vertical="center"/>
    </xf>
    <xf numFmtId="0" fontId="48" fillId="9" borderId="43" xfId="34" applyFont="1" applyFill="1" applyBorder="1" applyAlignment="1">
      <alignment horizontal="center" vertical="center" wrapText="1"/>
    </xf>
    <xf numFmtId="0" fontId="191" fillId="9" borderId="0" xfId="31" applyFont="1" applyFill="1" applyAlignment="1">
      <alignment horizontal="right" vertical="center" readingOrder="2"/>
    </xf>
    <xf numFmtId="0" fontId="64" fillId="9" borderId="0" xfId="31" applyFont="1" applyFill="1" applyAlignment="1">
      <alignment horizontal="right" vertical="center" readingOrder="2"/>
    </xf>
    <xf numFmtId="0" fontId="64" fillId="9" borderId="0" xfId="31" applyFont="1" applyFill="1" applyAlignment="1">
      <alignment horizontal="right" vertical="center"/>
    </xf>
    <xf numFmtId="164" fontId="31" fillId="9" borderId="0" xfId="27" applyNumberFormat="1" applyFont="1" applyFill="1" applyBorder="1" applyAlignment="1">
      <alignment vertical="center"/>
    </xf>
    <xf numFmtId="0" fontId="43" fillId="9" borderId="0" xfId="0" applyFont="1" applyFill="1"/>
    <xf numFmtId="0" fontId="92" fillId="9" borderId="35" xfId="19" applyNumberFormat="1" applyFont="1" applyFill="1" applyBorder="1" applyAlignment="1">
      <alignment horizontal="center" vertical="center" readingOrder="2"/>
    </xf>
    <xf numFmtId="0" fontId="92" fillId="9" borderId="35" xfId="19" applyNumberFormat="1" applyFont="1" applyFill="1" applyBorder="1" applyAlignment="1">
      <alignment horizontal="center" vertical="center" wrapText="1" readingOrder="2"/>
    </xf>
    <xf numFmtId="0" fontId="92" fillId="9" borderId="0" xfId="19" applyNumberFormat="1" applyFont="1" applyFill="1" applyBorder="1" applyAlignment="1">
      <alignment horizontal="center" vertical="center" readingOrder="2"/>
    </xf>
    <xf numFmtId="0" fontId="92" fillId="9" borderId="0" xfId="19" applyNumberFormat="1" applyFont="1" applyFill="1" applyBorder="1" applyAlignment="1">
      <alignment horizontal="center" vertical="center" wrapText="1" readingOrder="2"/>
    </xf>
    <xf numFmtId="0" fontId="117" fillId="9" borderId="0" xfId="19" applyFont="1" applyFill="1" applyAlignment="1">
      <alignment horizontal="right" vertical="top" readingOrder="2"/>
    </xf>
    <xf numFmtId="164" fontId="35" fillId="9" borderId="48" xfId="34" applyNumberFormat="1" applyFont="1" applyFill="1" applyBorder="1" applyAlignment="1">
      <alignment horizontal="center" vertical="center"/>
    </xf>
    <xf numFmtId="0" fontId="192" fillId="9" borderId="0" xfId="19" applyFont="1" applyFill="1" applyAlignment="1">
      <alignment horizontal="right" vertical="top" readingOrder="2"/>
    </xf>
    <xf numFmtId="0" fontId="192" fillId="9" borderId="0" xfId="19" applyFont="1" applyFill="1" applyAlignment="1">
      <alignment vertical="center" readingOrder="2"/>
    </xf>
    <xf numFmtId="0" fontId="52" fillId="0" borderId="0" xfId="11" applyFont="1"/>
    <xf numFmtId="0" fontId="46" fillId="9" borderId="0" xfId="31" applyFont="1" applyFill="1" applyAlignment="1">
      <alignment vertical="center"/>
    </xf>
    <xf numFmtId="0" fontId="46" fillId="0" borderId="0" xfId="28" applyFont="1" applyAlignment="1">
      <alignment vertical="center"/>
    </xf>
    <xf numFmtId="0" fontId="156" fillId="9" borderId="0" xfId="23" applyFont="1" applyFill="1" applyAlignment="1">
      <alignment horizontal="right" vertical="center" readingOrder="2"/>
    </xf>
    <xf numFmtId="0" fontId="47" fillId="0" borderId="0" xfId="11" applyFont="1" applyAlignment="1">
      <alignment horizontal="justify" vertical="center" readingOrder="2"/>
    </xf>
    <xf numFmtId="0" fontId="47" fillId="0" borderId="0" xfId="5" applyFont="1" applyFill="1" applyAlignment="1">
      <alignment vertical="center"/>
    </xf>
    <xf numFmtId="0" fontId="60" fillId="0" borderId="0" xfId="28" applyFont="1" applyAlignment="1">
      <alignment vertical="center"/>
    </xf>
    <xf numFmtId="0" fontId="60" fillId="0" borderId="0" xfId="0" applyFont="1"/>
    <xf numFmtId="0" fontId="60" fillId="0" borderId="0" xfId="6" applyFont="1" applyAlignment="1">
      <alignment horizontal="center" readingOrder="2"/>
    </xf>
    <xf numFmtId="0" fontId="48" fillId="9" borderId="0" xfId="31" applyFont="1" applyFill="1" applyAlignment="1">
      <alignment horizontal="right" vertical="center" readingOrder="2"/>
    </xf>
    <xf numFmtId="164" fontId="48" fillId="0" borderId="0" xfId="27" applyNumberFormat="1" applyFont="1" applyFill="1" applyBorder="1" applyAlignment="1">
      <alignment vertical="center"/>
    </xf>
    <xf numFmtId="0" fontId="48" fillId="9" borderId="0" xfId="19" applyFont="1" applyFill="1" applyAlignment="1">
      <alignment vertical="center" readingOrder="2"/>
    </xf>
    <xf numFmtId="164" fontId="48" fillId="0" borderId="0" xfId="6" applyNumberFormat="1" applyFont="1" applyBorder="1" applyAlignment="1">
      <alignment vertical="center"/>
    </xf>
    <xf numFmtId="0" fontId="48" fillId="0" borderId="0" xfId="5" applyFont="1" applyFill="1" applyAlignment="1">
      <alignment vertical="center" readingOrder="2"/>
    </xf>
    <xf numFmtId="49" fontId="82" fillId="9" borderId="0" xfId="17" applyNumberFormat="1" applyFont="1" applyFill="1" applyAlignment="1">
      <alignment horizontal="left" vertical="top"/>
    </xf>
    <xf numFmtId="0" fontId="44" fillId="9" borderId="16" xfId="17" applyFont="1" applyFill="1" applyBorder="1" applyAlignment="1">
      <alignment horizontal="center" vertical="top" wrapText="1"/>
    </xf>
    <xf numFmtId="0" fontId="46" fillId="9" borderId="0" xfId="17" applyFont="1" applyFill="1" applyAlignment="1">
      <alignment horizontal="center"/>
    </xf>
    <xf numFmtId="164" fontId="44" fillId="9" borderId="0" xfId="17" applyNumberFormat="1" applyFont="1" applyFill="1" applyAlignment="1">
      <alignment vertical="center"/>
    </xf>
    <xf numFmtId="0" fontId="90" fillId="9" borderId="0" xfId="8" applyFont="1" applyFill="1" applyAlignment="1">
      <alignment horizontal="left" vertical="top" readingOrder="2"/>
    </xf>
    <xf numFmtId="0" fontId="59" fillId="0" borderId="0" xfId="0" applyFont="1"/>
    <xf numFmtId="0" fontId="50" fillId="9" borderId="0" xfId="17" applyFont="1" applyFill="1" applyAlignment="1">
      <alignment horizontal="center" vertical="center"/>
    </xf>
    <xf numFmtId="0" fontId="49" fillId="9" borderId="16" xfId="17" applyFont="1" applyFill="1" applyBorder="1" applyAlignment="1">
      <alignment horizontal="center"/>
    </xf>
    <xf numFmtId="0" fontId="68" fillId="0" borderId="0" xfId="0" applyFont="1" applyAlignment="1">
      <alignment horizontal="center" vertical="center"/>
    </xf>
    <xf numFmtId="49" fontId="49" fillId="9" borderId="0" xfId="16" applyNumberFormat="1" applyFont="1" applyFill="1"/>
    <xf numFmtId="0" fontId="44" fillId="9" borderId="0" xfId="16" applyFont="1" applyFill="1"/>
    <xf numFmtId="49" fontId="60" fillId="9" borderId="0" xfId="16" applyNumberFormat="1" applyFont="1" applyFill="1" applyBorder="1"/>
    <xf numFmtId="0" fontId="64" fillId="9" borderId="0" xfId="16" applyFont="1" applyFill="1" applyBorder="1"/>
    <xf numFmtId="3" fontId="166" fillId="9" borderId="0" xfId="0" applyNumberFormat="1" applyFont="1" applyFill="1" applyAlignment="1">
      <alignment horizontal="center" vertical="center"/>
    </xf>
    <xf numFmtId="0" fontId="49" fillId="9" borderId="0" xfId="17" applyFont="1" applyFill="1" applyBorder="1" applyAlignment="1">
      <alignment horizontal="center"/>
    </xf>
    <xf numFmtId="3" fontId="166" fillId="9" borderId="35" xfId="0" applyNumberFormat="1" applyFont="1" applyFill="1" applyBorder="1" applyAlignment="1">
      <alignment horizontal="center" vertical="center"/>
    </xf>
    <xf numFmtId="3" fontId="166" fillId="9" borderId="0" xfId="0" applyNumberFormat="1" applyFont="1" applyFill="1" applyBorder="1" applyAlignment="1">
      <alignment horizontal="center" vertical="center"/>
    </xf>
    <xf numFmtId="164" fontId="35" fillId="9" borderId="34" xfId="17" applyNumberFormat="1" applyFont="1" applyFill="1" applyBorder="1" applyAlignment="1">
      <alignment vertical="center"/>
    </xf>
    <xf numFmtId="3" fontId="113" fillId="9" borderId="0" xfId="0" applyNumberFormat="1" applyFont="1" applyFill="1" applyAlignment="1">
      <alignment horizontal="center" vertical="center"/>
    </xf>
    <xf numFmtId="43" fontId="59" fillId="0" borderId="0" xfId="0" applyNumberFormat="1" applyFont="1"/>
    <xf numFmtId="0" fontId="32" fillId="0" borderId="0" xfId="14" applyFont="1" applyAlignment="1">
      <alignment horizontal="center" readingOrder="2"/>
    </xf>
    <xf numFmtId="0" fontId="59" fillId="0" borderId="0" xfId="0" applyFont="1"/>
    <xf numFmtId="0" fontId="31" fillId="9" borderId="0" xfId="31" applyFont="1" applyFill="1" applyAlignment="1">
      <alignment horizontal="right" vertical="top" wrapText="1" readingOrder="2"/>
    </xf>
    <xf numFmtId="0" fontId="133" fillId="0" borderId="0" xfId="0" applyFont="1" applyAlignment="1">
      <alignment horizontal="center" vertical="center" shrinkToFit="1"/>
    </xf>
    <xf numFmtId="0" fontId="90" fillId="0" borderId="0" xfId="32" applyFont="1" applyBorder="1" applyAlignment="1">
      <alignment horizontal="right" vertical="top" shrinkToFit="1" readingOrder="2"/>
    </xf>
    <xf numFmtId="14" fontId="32" fillId="9" borderId="0" xfId="15" applyNumberFormat="1" applyFont="1" applyFill="1" applyAlignment="1">
      <alignment vertical="top" wrapText="1" readingOrder="2"/>
    </xf>
    <xf numFmtId="0" fontId="32" fillId="9" borderId="0" xfId="15" applyFont="1" applyFill="1" applyAlignment="1">
      <alignment vertical="top" wrapText="1" readingOrder="2"/>
    </xf>
    <xf numFmtId="0" fontId="51" fillId="9" borderId="0" xfId="0" applyFont="1" applyFill="1" applyAlignment="1">
      <alignment horizontal="center"/>
    </xf>
    <xf numFmtId="0" fontId="110" fillId="9" borderId="0" xfId="0" applyFont="1" applyFill="1"/>
    <xf numFmtId="0" fontId="59" fillId="0" borderId="0" xfId="0" applyFont="1"/>
    <xf numFmtId="0" fontId="138" fillId="9" borderId="0" xfId="0" applyFont="1" applyFill="1"/>
    <xf numFmtId="0" fontId="48" fillId="9" borderId="0" xfId="24" applyFont="1" applyFill="1" applyAlignment="1">
      <alignment horizontal="right"/>
    </xf>
    <xf numFmtId="0" fontId="50" fillId="9" borderId="35" xfId="21" applyNumberFormat="1" applyFont="1" applyFill="1" applyBorder="1" applyAlignment="1">
      <alignment horizontal="center" vertical="center" readingOrder="2"/>
    </xf>
    <xf numFmtId="0" fontId="50" fillId="9" borderId="0" xfId="24" applyNumberFormat="1" applyFont="1" applyFill="1" applyBorder="1" applyAlignment="1">
      <alignment horizontal="center" readingOrder="2"/>
    </xf>
    <xf numFmtId="0" fontId="49" fillId="9" borderId="0" xfId="21" applyFont="1" applyFill="1" applyAlignment="1">
      <alignment horizontal="center" vertical="top"/>
    </xf>
    <xf numFmtId="0" fontId="50" fillId="9" borderId="0" xfId="24" applyFont="1" applyFill="1" applyAlignment="1">
      <alignment horizontal="center" readingOrder="2"/>
    </xf>
    <xf numFmtId="164" fontId="50" fillId="9" borderId="0" xfId="23" applyNumberFormat="1" applyFont="1" applyFill="1" applyBorder="1" applyAlignment="1">
      <alignment horizontal="right" vertical="center"/>
    </xf>
    <xf numFmtId="164" fontId="50" fillId="9" borderId="0" xfId="25" applyNumberFormat="1" applyFont="1" applyFill="1" applyBorder="1" applyAlignment="1">
      <alignment horizontal="right" vertical="center"/>
    </xf>
    <xf numFmtId="0" fontId="50" fillId="9" borderId="0" xfId="22" applyFont="1" applyFill="1" applyAlignment="1">
      <alignment horizontal="left" vertical="top" readingOrder="2"/>
    </xf>
    <xf numFmtId="0" fontId="50" fillId="9" borderId="0" xfId="20" applyFont="1" applyFill="1" applyAlignment="1">
      <alignment horizontal="right" vertical="top" readingOrder="2"/>
    </xf>
    <xf numFmtId="0" fontId="63" fillId="9" borderId="0" xfId="0" applyFont="1" applyFill="1"/>
    <xf numFmtId="164" fontId="110" fillId="0" borderId="0" xfId="14" applyNumberFormat="1" applyFont="1" applyBorder="1" applyAlignment="1">
      <alignment horizontal="right" vertical="center"/>
    </xf>
    <xf numFmtId="174" fontId="31" fillId="0" borderId="0" xfId="42" applyNumberFormat="1" applyFont="1" applyFill="1" applyAlignment="1">
      <alignment horizontal="right" readingOrder="2"/>
    </xf>
    <xf numFmtId="174" fontId="64" fillId="0" borderId="0" xfId="42" applyNumberFormat="1" applyFont="1" applyAlignment="1">
      <alignment horizontal="right"/>
    </xf>
    <xf numFmtId="49" fontId="82" fillId="9" borderId="40" xfId="47" applyNumberFormat="1" applyFont="1" applyFill="1" applyBorder="1" applyAlignment="1">
      <alignment vertical="center"/>
    </xf>
    <xf numFmtId="0" fontId="59" fillId="0" borderId="0" xfId="0" applyFont="1"/>
    <xf numFmtId="0" fontId="34" fillId="0" borderId="0" xfId="12" applyFont="1" applyAlignment="1">
      <alignment horizontal="center" vertical="center" readingOrder="2"/>
    </xf>
    <xf numFmtId="0" fontId="34" fillId="0" borderId="0" xfId="12" applyFont="1" applyAlignment="1">
      <alignment horizontal="right" vertical="center" readingOrder="2"/>
    </xf>
    <xf numFmtId="0" fontId="35" fillId="0" borderId="0" xfId="12" applyFont="1" applyAlignment="1">
      <alignment horizontal="center" vertical="center" readingOrder="2"/>
    </xf>
    <xf numFmtId="0" fontId="35" fillId="0" borderId="0" xfId="12" applyFont="1" applyAlignment="1">
      <alignment horizontal="right" vertical="center" readingOrder="2"/>
    </xf>
    <xf numFmtId="0" fontId="87" fillId="0" borderId="0" xfId="37" applyFont="1"/>
    <xf numFmtId="0" fontId="87" fillId="0" borderId="0" xfId="28" applyFont="1" applyAlignment="1">
      <alignment vertical="center"/>
    </xf>
    <xf numFmtId="0" fontId="87" fillId="9" borderId="0" xfId="0" applyFont="1" applyFill="1"/>
    <xf numFmtId="0" fontId="87" fillId="0" borderId="0" xfId="0" applyFont="1" applyAlignment="1">
      <alignment horizontal="center" vertical="center"/>
    </xf>
    <xf numFmtId="0" fontId="87" fillId="0" borderId="0" xfId="11" applyFont="1" applyAlignment="1">
      <alignment horizontal="justify" vertical="center" readingOrder="2"/>
    </xf>
    <xf numFmtId="49" fontId="87" fillId="0" borderId="0" xfId="6" applyNumberFormat="1" applyFont="1" applyBorder="1" applyAlignment="1">
      <alignment horizontal="center" vertical="center"/>
    </xf>
    <xf numFmtId="168" fontId="49" fillId="12" borderId="19" xfId="10" applyNumberFormat="1" applyFont="1" applyFill="1" applyBorder="1" applyAlignment="1">
      <alignment horizontal="right" vertical="center"/>
    </xf>
    <xf numFmtId="168" fontId="49" fillId="0" borderId="19" xfId="10" applyNumberFormat="1" applyFont="1" applyFill="1" applyBorder="1" applyAlignment="1">
      <alignment horizontal="right" vertical="center"/>
    </xf>
    <xf numFmtId="168" fontId="63" fillId="0" borderId="19" xfId="10" applyNumberFormat="1" applyFont="1" applyFill="1" applyBorder="1" applyAlignment="1">
      <alignment horizontal="right" vertical="center"/>
    </xf>
    <xf numFmtId="3" fontId="46" fillId="0" borderId="0" xfId="0" applyNumberFormat="1" applyFont="1" applyFill="1" applyAlignment="1">
      <alignment horizontal="right" vertical="center"/>
    </xf>
    <xf numFmtId="0" fontId="46" fillId="0" borderId="0" xfId="0" applyFont="1" applyFill="1" applyBorder="1" applyAlignment="1">
      <alignment horizontal="right" vertical="center"/>
    </xf>
    <xf numFmtId="3" fontId="46" fillId="0" borderId="0" xfId="0" applyNumberFormat="1" applyFont="1" applyFill="1" applyBorder="1" applyAlignment="1">
      <alignment horizontal="right" vertical="center"/>
    </xf>
    <xf numFmtId="0" fontId="46" fillId="0" borderId="0" xfId="0" applyFont="1" applyFill="1" applyAlignment="1">
      <alignment horizontal="right" vertical="center"/>
    </xf>
    <xf numFmtId="0" fontId="54" fillId="9" borderId="0" xfId="26" applyFont="1" applyFill="1"/>
    <xf numFmtId="0" fontId="109" fillId="9" borderId="0" xfId="26" applyFont="1" applyFill="1" applyAlignment="1">
      <alignment horizontal="right" readingOrder="2"/>
    </xf>
    <xf numFmtId="0" fontId="103" fillId="9" borderId="0" xfId="26" applyFont="1" applyFill="1" applyAlignment="1">
      <alignment horizontal="right" readingOrder="2"/>
    </xf>
    <xf numFmtId="0" fontId="106" fillId="9" borderId="0" xfId="26" applyFont="1" applyFill="1" applyAlignment="1">
      <alignment horizontal="right" readingOrder="2"/>
    </xf>
    <xf numFmtId="0" fontId="129" fillId="9" borderId="0" xfId="26" applyFont="1" applyFill="1" applyAlignment="1">
      <alignment horizontal="right" readingOrder="2"/>
    </xf>
    <xf numFmtId="0" fontId="129" fillId="9" borderId="0" xfId="26" applyFont="1" applyFill="1"/>
    <xf numFmtId="0" fontId="129" fillId="9" borderId="0" xfId="26" applyFont="1" applyFill="1" applyAlignment="1">
      <alignment horizontal="right"/>
    </xf>
    <xf numFmtId="0" fontId="137" fillId="9" borderId="0" xfId="26" applyFont="1" applyFill="1" applyAlignment="1">
      <alignment horizontal="right" readingOrder="2"/>
    </xf>
    <xf numFmtId="0" fontId="128" fillId="9" borderId="0" xfId="26" applyFont="1" applyFill="1" applyAlignment="1">
      <alignment vertical="center"/>
    </xf>
    <xf numFmtId="0" fontId="128" fillId="9" borderId="0" xfId="26" applyFont="1" applyFill="1" applyAlignment="1">
      <alignment horizontal="right" vertical="center" readingOrder="2"/>
    </xf>
    <xf numFmtId="49" fontId="82" fillId="9" borderId="60" xfId="47" applyNumberFormat="1" applyFont="1" applyFill="1" applyBorder="1" applyAlignment="1">
      <alignment vertical="center"/>
    </xf>
    <xf numFmtId="168" fontId="49" fillId="16" borderId="19" xfId="10" applyNumberFormat="1" applyFont="1" applyFill="1" applyBorder="1" applyAlignment="1">
      <alignment horizontal="right" vertical="center"/>
    </xf>
    <xf numFmtId="168" fontId="63" fillId="16" borderId="19" xfId="10" applyNumberFormat="1" applyFont="1" applyFill="1" applyBorder="1" applyAlignment="1">
      <alignment horizontal="right" vertical="center"/>
    </xf>
    <xf numFmtId="3" fontId="46" fillId="16" borderId="0" xfId="0" applyNumberFormat="1" applyFont="1" applyFill="1" applyAlignment="1">
      <alignment horizontal="right" vertical="center"/>
    </xf>
    <xf numFmtId="0" fontId="46" fillId="16" borderId="0" xfId="0" applyFont="1" applyFill="1" applyBorder="1" applyAlignment="1">
      <alignment horizontal="right" vertical="center"/>
    </xf>
    <xf numFmtId="3" fontId="46" fillId="16" borderId="0" xfId="0" applyNumberFormat="1" applyFont="1" applyFill="1" applyBorder="1" applyAlignment="1">
      <alignment horizontal="right" vertical="center"/>
    </xf>
    <xf numFmtId="0" fontId="46" fillId="16" borderId="0" xfId="0" applyFont="1" applyFill="1" applyAlignment="1">
      <alignment horizontal="right" vertical="center"/>
    </xf>
    <xf numFmtId="164" fontId="92" fillId="0" borderId="32" xfId="19" applyNumberFormat="1" applyFont="1" applyFill="1" applyBorder="1" applyAlignment="1">
      <alignment vertical="center"/>
    </xf>
    <xf numFmtId="3" fontId="34" fillId="9" borderId="0" xfId="34" applyNumberFormat="1" applyFont="1" applyFill="1" applyBorder="1" applyAlignment="1">
      <alignment horizontal="left" vertical="center" wrapText="1"/>
    </xf>
    <xf numFmtId="3" fontId="35" fillId="9" borderId="0" xfId="34" applyNumberFormat="1" applyFont="1" applyFill="1" applyBorder="1" applyAlignment="1">
      <alignment horizontal="right" vertical="center"/>
    </xf>
    <xf numFmtId="164" fontId="35" fillId="9" borderId="0" xfId="34" applyNumberFormat="1" applyFont="1" applyFill="1" applyBorder="1" applyAlignment="1">
      <alignment horizontal="center" vertical="center"/>
    </xf>
    <xf numFmtId="0" fontId="59" fillId="0" borderId="0" xfId="37" applyFont="1" applyBorder="1"/>
    <xf numFmtId="3" fontId="35" fillId="9" borderId="51" xfId="34" applyNumberFormat="1" applyFont="1" applyFill="1" applyBorder="1" applyAlignment="1">
      <alignment horizontal="right" vertical="center"/>
    </xf>
    <xf numFmtId="3" fontId="35" fillId="9" borderId="24" xfId="34" applyNumberFormat="1" applyFont="1" applyFill="1" applyBorder="1" applyAlignment="1">
      <alignment vertical="top"/>
    </xf>
    <xf numFmtId="174" fontId="110" fillId="0" borderId="34" xfId="42" applyNumberFormat="1" applyFont="1" applyFill="1" applyBorder="1" applyAlignment="1">
      <alignment horizontal="center" vertical="center"/>
    </xf>
    <xf numFmtId="174" fontId="31" fillId="0" borderId="34" xfId="42" applyNumberFormat="1" applyFont="1" applyFill="1" applyBorder="1" applyAlignment="1">
      <alignment horizontal="center" vertical="center"/>
    </xf>
    <xf numFmtId="0" fontId="29" fillId="9" borderId="0" xfId="14" applyFont="1" applyFill="1" applyAlignment="1">
      <alignment horizontal="center" readingOrder="2"/>
    </xf>
    <xf numFmtId="0" fontId="49" fillId="10" borderId="19" xfId="3" applyFont="1" applyFill="1" applyBorder="1" applyAlignment="1" applyProtection="1">
      <alignment horizontal="right" vertical="center"/>
      <protection locked="0"/>
    </xf>
    <xf numFmtId="0" fontId="49" fillId="10" borderId="19" xfId="3" applyFont="1" applyFill="1" applyBorder="1" applyAlignment="1" applyProtection="1">
      <alignment horizontal="center" vertical="center"/>
      <protection locked="0"/>
    </xf>
    <xf numFmtId="0" fontId="34" fillId="0" borderId="35" xfId="12" applyNumberFormat="1" applyFont="1" applyBorder="1" applyAlignment="1">
      <alignment horizontal="center" vertical="center" readingOrder="2"/>
    </xf>
    <xf numFmtId="0" fontId="34" fillId="0" borderId="0" xfId="12" applyNumberFormat="1" applyFont="1" applyAlignment="1">
      <alignment horizontal="center" vertical="center" readingOrder="2"/>
    </xf>
    <xf numFmtId="0" fontId="44" fillId="0" borderId="0" xfId="12" applyFont="1" applyAlignment="1">
      <alignment vertical="center"/>
    </xf>
    <xf numFmtId="0" fontId="49" fillId="10" borderId="19" xfId="3" applyFont="1" applyFill="1" applyBorder="1" applyAlignment="1" applyProtection="1">
      <alignment horizontal="right" vertical="center"/>
      <protection locked="0"/>
    </xf>
    <xf numFmtId="0" fontId="60" fillId="9" borderId="0" xfId="34" applyFont="1" applyFill="1" applyBorder="1" applyAlignment="1">
      <alignment horizontal="center" vertical="center" wrapText="1"/>
    </xf>
    <xf numFmtId="0" fontId="49" fillId="9" borderId="19" xfId="3" applyNumberFormat="1" applyFont="1" applyFill="1" applyBorder="1" applyAlignment="1" applyProtection="1">
      <alignment horizontal="center" vertical="center"/>
      <protection locked="0"/>
    </xf>
    <xf numFmtId="0" fontId="144" fillId="9" borderId="19" xfId="3" applyFont="1" applyFill="1" applyBorder="1" applyAlignment="1" applyProtection="1">
      <alignment horizontal="right" vertical="center"/>
      <protection locked="0"/>
    </xf>
    <xf numFmtId="0" fontId="144" fillId="9" borderId="19" xfId="3" applyFont="1" applyFill="1" applyBorder="1" applyAlignment="1" applyProtection="1">
      <alignment horizontal="right" vertical="center" wrapText="1"/>
      <protection locked="0"/>
    </xf>
    <xf numFmtId="0" fontId="144" fillId="9" borderId="0" xfId="0" applyFont="1" applyFill="1" applyAlignment="1">
      <alignment horizontal="right" vertical="center"/>
    </xf>
    <xf numFmtId="3" fontId="144" fillId="9" borderId="0" xfId="0" applyNumberFormat="1" applyFont="1" applyFill="1" applyAlignment="1">
      <alignment horizontal="right" vertical="center"/>
    </xf>
    <xf numFmtId="0" fontId="49" fillId="9" borderId="24" xfId="3" applyNumberFormat="1" applyFont="1" applyFill="1" applyBorder="1" applyAlignment="1" applyProtection="1">
      <alignment horizontal="center" vertical="center"/>
      <protection locked="0"/>
    </xf>
    <xf numFmtId="0" fontId="49" fillId="9" borderId="21" xfId="3" applyNumberFormat="1" applyFont="1" applyFill="1" applyBorder="1" applyAlignment="1" applyProtection="1">
      <alignment horizontal="center" vertical="center"/>
      <protection locked="0"/>
    </xf>
    <xf numFmtId="0" fontId="46" fillId="9" borderId="0" xfId="0" applyNumberFormat="1" applyFont="1" applyFill="1" applyAlignment="1">
      <alignment horizontal="right" vertical="center"/>
    </xf>
    <xf numFmtId="0" fontId="46" fillId="9" borderId="0" xfId="0" applyNumberFormat="1" applyFont="1" applyFill="1" applyAlignment="1">
      <alignment horizontal="center" vertical="center"/>
    </xf>
    <xf numFmtId="164" fontId="31" fillId="0" borderId="36" xfId="6" applyNumberFormat="1" applyFont="1" applyFill="1" applyBorder="1" applyAlignment="1">
      <alignment vertical="center"/>
    </xf>
    <xf numFmtId="0" fontId="59" fillId="0" borderId="0" xfId="0" applyFont="1"/>
    <xf numFmtId="0" fontId="197" fillId="0" borderId="0" xfId="11" applyFont="1" applyAlignment="1">
      <alignment vertical="center" readingOrder="2"/>
    </xf>
    <xf numFmtId="0" fontId="197" fillId="0" borderId="0" xfId="11" applyFont="1" applyAlignment="1">
      <alignment horizontal="justify" vertical="center" readingOrder="2"/>
    </xf>
    <xf numFmtId="164" fontId="197" fillId="0" borderId="0" xfId="6" applyNumberFormat="1" applyFont="1" applyBorder="1" applyAlignment="1">
      <alignment vertical="center"/>
    </xf>
    <xf numFmtId="164" fontId="198" fillId="0" borderId="0" xfId="6" applyNumberFormat="1" applyFont="1" applyBorder="1" applyAlignment="1">
      <alignment vertical="center"/>
    </xf>
    <xf numFmtId="49" fontId="198" fillId="0" borderId="0" xfId="6" applyNumberFormat="1" applyFont="1" applyBorder="1" applyAlignment="1">
      <alignment vertical="center"/>
    </xf>
    <xf numFmtId="0" fontId="199" fillId="0" borderId="0" xfId="11" applyFont="1" applyAlignment="1">
      <alignment horizontal="center" readingOrder="2"/>
    </xf>
    <xf numFmtId="0" fontId="49" fillId="10" borderId="19" xfId="3" applyFont="1" applyFill="1" applyBorder="1" applyAlignment="1" applyProtection="1">
      <alignment horizontal="right" vertical="center"/>
      <protection locked="0"/>
    </xf>
    <xf numFmtId="0" fontId="109" fillId="0" borderId="0" xfId="6" applyFont="1" applyAlignment="1">
      <alignment horizontal="center" readingOrder="2"/>
    </xf>
    <xf numFmtId="0" fontId="59" fillId="0" borderId="0" xfId="0" applyFont="1"/>
    <xf numFmtId="164" fontId="115" fillId="0" borderId="0" xfId="6" applyNumberFormat="1" applyFont="1" applyBorder="1" applyAlignment="1">
      <alignment vertical="center"/>
    </xf>
    <xf numFmtId="174" fontId="60" fillId="0" borderId="0" xfId="14" applyNumberFormat="1" applyFont="1" applyAlignment="1">
      <alignment horizontal="right" vertical="center"/>
    </xf>
    <xf numFmtId="174" fontId="60" fillId="0" borderId="0" xfId="14" applyNumberFormat="1" applyFont="1" applyAlignment="1">
      <alignment horizontal="right"/>
    </xf>
    <xf numFmtId="174" fontId="46" fillId="0" borderId="0" xfId="0" applyNumberFormat="1" applyFont="1"/>
    <xf numFmtId="0" fontId="49" fillId="10" borderId="19" xfId="3" applyFont="1" applyFill="1" applyBorder="1" applyAlignment="1" applyProtection="1">
      <alignment horizontal="right" vertical="center"/>
      <protection locked="0"/>
    </xf>
    <xf numFmtId="168" fontId="124" fillId="9" borderId="19" xfId="10" applyNumberFormat="1" applyFont="1" applyFill="1" applyBorder="1" applyAlignment="1">
      <alignment horizontal="right" vertical="center"/>
    </xf>
    <xf numFmtId="168" fontId="144" fillId="9" borderId="0" xfId="0" applyNumberFormat="1" applyFont="1" applyFill="1" applyAlignment="1">
      <alignment horizontal="right" vertical="center"/>
    </xf>
    <xf numFmtId="0" fontId="31" fillId="9" borderId="0" xfId="31" applyFont="1" applyFill="1" applyAlignment="1">
      <alignment vertical="top" wrapText="1" readingOrder="2"/>
    </xf>
    <xf numFmtId="0" fontId="56" fillId="0" borderId="0" xfId="5" applyFont="1" applyAlignment="1">
      <alignment horizontal="center" vertical="top" readingOrder="2"/>
    </xf>
    <xf numFmtId="0" fontId="139" fillId="0" borderId="0" xfId="5" applyFont="1" applyAlignment="1">
      <alignment horizontal="center" vertical="top" readingOrder="2"/>
    </xf>
    <xf numFmtId="174" fontId="34" fillId="0" borderId="36" xfId="42" applyNumberFormat="1" applyFont="1" applyBorder="1" applyAlignment="1">
      <alignment horizontal="right" wrapText="1"/>
    </xf>
    <xf numFmtId="174" fontId="34" fillId="0" borderId="0" xfId="42" applyNumberFormat="1" applyFont="1" applyBorder="1" applyAlignment="1">
      <alignment horizontal="right" wrapText="1"/>
    </xf>
    <xf numFmtId="164" fontId="97" fillId="0" borderId="34" xfId="14" applyNumberFormat="1" applyFont="1" applyBorder="1" applyAlignment="1">
      <alignment horizontal="right" vertical="center"/>
    </xf>
    <xf numFmtId="0" fontId="56" fillId="0" borderId="0" xfId="5" applyFont="1" applyBorder="1" applyAlignment="1">
      <alignment horizontal="center" vertical="top" readingOrder="2"/>
    </xf>
    <xf numFmtId="0" fontId="64" fillId="0" borderId="6" xfId="33" applyFont="1" applyBorder="1" applyAlignment="1">
      <alignment vertical="center" readingOrder="2"/>
    </xf>
    <xf numFmtId="0" fontId="31" fillId="0" borderId="6" xfId="27" applyFont="1" applyBorder="1" applyAlignment="1">
      <alignment readingOrder="2"/>
    </xf>
    <xf numFmtId="0" fontId="59" fillId="0" borderId="6" xfId="0" applyFont="1" applyBorder="1"/>
    <xf numFmtId="0" fontId="64" fillId="0" borderId="41" xfId="33" applyFont="1" applyBorder="1" applyAlignment="1">
      <alignment horizontal="center" vertical="center" wrapText="1" readingOrder="2"/>
    </xf>
    <xf numFmtId="0" fontId="200" fillId="0" borderId="0" xfId="5" applyFont="1" applyBorder="1" applyAlignment="1">
      <alignment horizontal="center" vertical="top" readingOrder="2"/>
    </xf>
    <xf numFmtId="0" fontId="202" fillId="0" borderId="0" xfId="5" applyFont="1" applyAlignment="1">
      <alignment vertical="top" readingOrder="2"/>
    </xf>
    <xf numFmtId="0" fontId="201" fillId="0" borderId="0" xfId="5" applyFont="1" applyAlignment="1">
      <alignment horizontal="center" vertical="top" readingOrder="2"/>
    </xf>
    <xf numFmtId="0" fontId="201" fillId="0" borderId="0" xfId="5" applyFont="1" applyAlignment="1">
      <alignment vertical="top" readingOrder="2"/>
    </xf>
    <xf numFmtId="0" fontId="201" fillId="0" borderId="0" xfId="5" applyFont="1" applyBorder="1" applyAlignment="1">
      <alignment horizontal="center" vertical="top" readingOrder="2"/>
    </xf>
    <xf numFmtId="0" fontId="49" fillId="0" borderId="41" xfId="33" applyFont="1" applyBorder="1" applyAlignment="1">
      <alignment horizontal="center" vertical="center" wrapText="1"/>
    </xf>
    <xf numFmtId="0" fontId="67" fillId="0" borderId="41" xfId="33" applyFont="1" applyBorder="1" applyAlignment="1">
      <alignment horizontal="center" vertical="center" wrapText="1" readingOrder="2"/>
    </xf>
    <xf numFmtId="183" fontId="34" fillId="9" borderId="0" xfId="5" applyNumberFormat="1" applyFont="1" applyFill="1" applyBorder="1" applyAlignment="1">
      <alignment vertical="center"/>
    </xf>
    <xf numFmtId="0" fontId="34" fillId="9" borderId="35" xfId="31" applyFont="1" applyFill="1" applyBorder="1" applyAlignment="1">
      <alignment horizontal="center" vertical="center" wrapText="1" readingOrder="2"/>
    </xf>
    <xf numFmtId="164" fontId="34" fillId="0" borderId="0" xfId="5" applyNumberFormat="1" applyFont="1" applyFill="1" applyAlignment="1">
      <alignment horizontal="right" vertical="center" readingOrder="2"/>
    </xf>
    <xf numFmtId="164" fontId="31" fillId="0" borderId="62" xfId="23" applyNumberFormat="1" applyFont="1" applyBorder="1" applyAlignment="1">
      <alignment horizontal="right" vertical="center"/>
    </xf>
    <xf numFmtId="174" fontId="34" fillId="0" borderId="0" xfId="42" applyNumberFormat="1" applyFont="1" applyFill="1" applyBorder="1" applyAlignment="1">
      <alignment horizontal="right"/>
    </xf>
    <xf numFmtId="164" fontId="31" fillId="0" borderId="0" xfId="36" applyNumberFormat="1" applyFont="1" applyAlignment="1">
      <alignment vertical="center"/>
    </xf>
    <xf numFmtId="167" fontId="47" fillId="9" borderId="0" xfId="8" applyNumberFormat="1" applyFont="1" applyFill="1" applyAlignment="1">
      <alignment horizontal="center" vertical="center" readingOrder="2"/>
    </xf>
    <xf numFmtId="167" fontId="47" fillId="0" borderId="0" xfId="8" applyNumberFormat="1" applyFont="1" applyAlignment="1">
      <alignment horizontal="center" vertical="center" readingOrder="2"/>
    </xf>
    <xf numFmtId="0" fontId="84" fillId="0" borderId="0" xfId="0" applyFont="1" applyAlignment="1">
      <alignment horizontal="right"/>
    </xf>
    <xf numFmtId="3" fontId="84" fillId="0" borderId="0" xfId="0" applyNumberFormat="1" applyFont="1"/>
    <xf numFmtId="3" fontId="59" fillId="0" borderId="0" xfId="0" applyNumberFormat="1" applyFont="1"/>
    <xf numFmtId="164" fontId="119" fillId="9" borderId="0" xfId="6" applyNumberFormat="1" applyFont="1" applyFill="1" applyAlignment="1">
      <alignment horizontal="center" readingOrder="2"/>
    </xf>
    <xf numFmtId="0" fontId="59" fillId="0" borderId="0" xfId="0" applyFont="1"/>
    <xf numFmtId="0" fontId="139" fillId="0" borderId="0" xfId="5" applyFont="1" applyAlignment="1">
      <alignment horizontal="center" vertical="top" readingOrder="2"/>
    </xf>
    <xf numFmtId="167" fontId="119" fillId="0" borderId="0" xfId="6" applyNumberFormat="1" applyFont="1" applyAlignment="1">
      <alignment horizontal="center" readingOrder="2"/>
    </xf>
    <xf numFmtId="3" fontId="160" fillId="10" borderId="0" xfId="40" applyNumberFormat="1" applyFont="1" applyFill="1" applyBorder="1" applyAlignment="1">
      <alignment horizontal="center" vertical="center" readingOrder="2"/>
    </xf>
    <xf numFmtId="4" fontId="160" fillId="10" borderId="0" xfId="40" applyNumberFormat="1" applyFont="1" applyFill="1" applyBorder="1" applyAlignment="1">
      <alignment horizontal="center" vertical="center" readingOrder="2"/>
    </xf>
    <xf numFmtId="0" fontId="160" fillId="10" borderId="0" xfId="40" applyFont="1" applyFill="1" applyBorder="1" applyAlignment="1">
      <alignment horizontal="center" vertical="center" readingOrder="2"/>
    </xf>
    <xf numFmtId="3" fontId="205" fillId="10" borderId="0" xfId="40" applyNumberFormat="1" applyFont="1" applyFill="1" applyBorder="1" applyAlignment="1">
      <alignment horizontal="center" vertical="center" readingOrder="2"/>
    </xf>
    <xf numFmtId="4" fontId="205" fillId="10" borderId="0" xfId="40" applyNumberFormat="1" applyFont="1" applyFill="1" applyBorder="1" applyAlignment="1">
      <alignment horizontal="center" vertical="center" readingOrder="2"/>
    </xf>
    <xf numFmtId="0" fontId="205" fillId="10" borderId="0" xfId="40" applyFont="1" applyFill="1" applyBorder="1" applyAlignment="1">
      <alignment horizontal="center" vertical="center" readingOrder="2"/>
    </xf>
    <xf numFmtId="0" fontId="49" fillId="10" borderId="19" xfId="3" applyFont="1" applyFill="1" applyBorder="1" applyAlignment="1" applyProtection="1">
      <alignment horizontal="right" vertical="center"/>
      <protection locked="0"/>
    </xf>
    <xf numFmtId="177" fontId="205" fillId="10" borderId="0" xfId="40" applyNumberFormat="1" applyFont="1" applyFill="1" applyBorder="1" applyAlignment="1">
      <alignment horizontal="center" vertical="center" readingOrder="2"/>
    </xf>
    <xf numFmtId="0" fontId="158" fillId="0" borderId="0" xfId="5" applyFont="1" applyFill="1" applyAlignment="1">
      <alignment horizontal="center" vertical="center" readingOrder="2"/>
    </xf>
    <xf numFmtId="0" fontId="155" fillId="0" borderId="0" xfId="6" applyFont="1" applyAlignment="1">
      <alignment horizontal="center" vertical="top"/>
    </xf>
    <xf numFmtId="0" fontId="54" fillId="0" borderId="0" xfId="6" applyFont="1" applyAlignment="1"/>
    <xf numFmtId="0" fontId="103" fillId="0" borderId="0" xfId="6" applyFont="1" applyAlignment="1">
      <alignment horizontal="right" readingOrder="2"/>
    </xf>
    <xf numFmtId="0" fontId="156" fillId="0" borderId="0" xfId="6" applyFont="1" applyAlignment="1">
      <alignment horizontal="right" readingOrder="2"/>
    </xf>
    <xf numFmtId="49" fontId="109" fillId="0" borderId="0" xfId="6" applyNumberFormat="1" applyFont="1" applyBorder="1" applyAlignment="1">
      <alignment horizontal="right" vertical="center" readingOrder="2"/>
    </xf>
    <xf numFmtId="164" fontId="109" fillId="0" borderId="0" xfId="6" applyNumberFormat="1" applyFont="1" applyBorder="1" applyAlignment="1">
      <alignment horizontal="right" vertical="center"/>
    </xf>
    <xf numFmtId="0" fontId="158" fillId="0" borderId="0" xfId="6" applyFont="1" applyAlignment="1">
      <alignment horizontal="center" readingOrder="2"/>
    </xf>
    <xf numFmtId="0" fontId="206" fillId="0" borderId="0" xfId="6" applyFont="1" applyAlignment="1">
      <alignment horizontal="center" readingOrder="2"/>
    </xf>
    <xf numFmtId="0" fontId="136" fillId="0" borderId="0" xfId="0" applyFont="1"/>
    <xf numFmtId="0" fontId="129" fillId="9" borderId="0" xfId="0" applyFont="1" applyFill="1"/>
    <xf numFmtId="0" fontId="156" fillId="18" borderId="0" xfId="0" applyFont="1" applyFill="1"/>
    <xf numFmtId="0" fontId="207" fillId="0" borderId="0" xfId="0" applyFont="1"/>
    <xf numFmtId="0" fontId="51" fillId="0" borderId="0" xfId="0" applyFont="1" applyAlignment="1">
      <alignment horizontal="center" vertical="center"/>
    </xf>
    <xf numFmtId="0" fontId="203" fillId="0" borderId="0" xfId="0" applyFont="1" applyAlignment="1">
      <alignment vertical="top"/>
    </xf>
    <xf numFmtId="0" fontId="203" fillId="0" borderId="0" xfId="0" applyFont="1" applyAlignment="1"/>
    <xf numFmtId="164" fontId="31" fillId="18" borderId="35" xfId="6" applyNumberFormat="1" applyFont="1" applyFill="1" applyBorder="1" applyAlignment="1">
      <alignment vertical="center"/>
    </xf>
    <xf numFmtId="0" fontId="54" fillId="9" borderId="0" xfId="26" applyFont="1" applyFill="1" applyAlignment="1">
      <alignment horizontal="right"/>
    </xf>
    <xf numFmtId="0" fontId="106" fillId="9" borderId="0" xfId="26" applyFont="1" applyFill="1" applyBorder="1" applyAlignment="1">
      <alignment horizontal="right" readingOrder="2"/>
    </xf>
    <xf numFmtId="0" fontId="103" fillId="9" borderId="0" xfId="25" applyFont="1" applyFill="1" applyAlignment="1">
      <alignment horizontal="right" vertical="center" readingOrder="2"/>
    </xf>
    <xf numFmtId="0" fontId="107" fillId="9" borderId="0" xfId="26" applyFont="1" applyFill="1" applyBorder="1" applyAlignment="1">
      <alignment horizontal="right" vertical="center" readingOrder="2"/>
    </xf>
    <xf numFmtId="0" fontId="107" fillId="9" borderId="0" xfId="26" applyFont="1" applyFill="1" applyBorder="1" applyAlignment="1">
      <alignment horizontal="center" readingOrder="2"/>
    </xf>
    <xf numFmtId="0" fontId="129" fillId="9" borderId="0" xfId="26" applyFont="1" applyFill="1" applyAlignment="1">
      <alignment vertical="top" wrapText="1" readingOrder="2"/>
    </xf>
    <xf numFmtId="0" fontId="137" fillId="9" borderId="0" xfId="26" applyFont="1" applyFill="1"/>
    <xf numFmtId="0" fontId="107" fillId="9" borderId="0" xfId="26" applyFont="1" applyFill="1" applyAlignment="1">
      <alignment horizontal="right" vertical="center" readingOrder="2"/>
    </xf>
    <xf numFmtId="0" fontId="49" fillId="18" borderId="19" xfId="3" applyNumberFormat="1" applyFont="1" applyFill="1" applyBorder="1" applyAlignment="1" applyProtection="1">
      <alignment horizontal="center" vertical="center"/>
      <protection locked="0"/>
    </xf>
    <xf numFmtId="0" fontId="49" fillId="18" borderId="19" xfId="3" applyFont="1" applyFill="1" applyBorder="1" applyAlignment="1" applyProtection="1">
      <alignment horizontal="center" vertical="center"/>
      <protection locked="0"/>
    </xf>
    <xf numFmtId="0" fontId="49" fillId="19" borderId="19" xfId="3" applyFont="1" applyFill="1" applyBorder="1" applyAlignment="1" applyProtection="1">
      <alignment horizontal="right" vertical="center"/>
      <protection locked="0"/>
    </xf>
    <xf numFmtId="0" fontId="49" fillId="21" borderId="19" xfId="3" applyFont="1" applyFill="1" applyBorder="1" applyAlignment="1" applyProtection="1">
      <alignment horizontal="right" vertical="center"/>
      <protection locked="0"/>
    </xf>
    <xf numFmtId="0" fontId="63" fillId="20" borderId="19" xfId="3" applyFont="1" applyFill="1" applyBorder="1" applyAlignment="1" applyProtection="1">
      <alignment horizontal="center" vertical="center"/>
      <protection locked="0"/>
    </xf>
    <xf numFmtId="0" fontId="49" fillId="20" borderId="19" xfId="3" applyFont="1" applyFill="1" applyBorder="1" applyAlignment="1" applyProtection="1">
      <alignment horizontal="center" vertical="center"/>
      <protection locked="0"/>
    </xf>
    <xf numFmtId="0" fontId="174" fillId="9" borderId="0" xfId="0" applyFont="1" applyFill="1" applyAlignment="1">
      <alignment horizontal="left" vertical="center"/>
    </xf>
    <xf numFmtId="0" fontId="51" fillId="9" borderId="0" xfId="0" applyFont="1" applyFill="1" applyAlignment="1">
      <alignment vertical="top"/>
    </xf>
    <xf numFmtId="0" fontId="49" fillId="20" borderId="19" xfId="3" applyFont="1" applyFill="1" applyBorder="1" applyAlignment="1" applyProtection="1">
      <alignment horizontal="right" vertical="center"/>
      <protection locked="0"/>
    </xf>
    <xf numFmtId="0" fontId="194" fillId="0" borderId="0" xfId="33" applyFont="1" applyAlignment="1">
      <alignment horizontal="right" vertical="center" readingOrder="2"/>
    </xf>
    <xf numFmtId="0" fontId="34" fillId="9" borderId="0" xfId="30" applyFont="1" applyFill="1" applyAlignment="1">
      <alignment horizontal="right" readingOrder="2"/>
    </xf>
    <xf numFmtId="0" fontId="133" fillId="9" borderId="0" xfId="0" applyFont="1" applyFill="1" applyAlignment="1">
      <alignment horizontal="left" vertical="top"/>
    </xf>
    <xf numFmtId="0" fontId="92" fillId="9" borderId="0" xfId="32" applyFont="1" applyFill="1" applyBorder="1" applyAlignment="1">
      <alignment horizontal="right" vertical="top" readingOrder="2"/>
    </xf>
    <xf numFmtId="0" fontId="57" fillId="9" borderId="0" xfId="32" applyFont="1" applyFill="1" applyBorder="1" applyAlignment="1">
      <alignment horizontal="right" vertical="top" readingOrder="2"/>
    </xf>
    <xf numFmtId="0" fontId="90" fillId="9" borderId="0" xfId="32" applyFont="1" applyFill="1" applyBorder="1" applyAlignment="1">
      <alignment horizontal="right" vertical="top" shrinkToFit="1"/>
    </xf>
    <xf numFmtId="0" fontId="90" fillId="9" borderId="0" xfId="32" applyFont="1" applyFill="1" applyBorder="1" applyAlignment="1">
      <alignment horizontal="center" vertical="top"/>
    </xf>
    <xf numFmtId="0" fontId="90" fillId="9" borderId="0" xfId="32" applyFont="1" applyFill="1" applyBorder="1" applyAlignment="1">
      <alignment horizontal="right" vertical="top"/>
    </xf>
    <xf numFmtId="0" fontId="90" fillId="9" borderId="0" xfId="32" applyFont="1" applyFill="1" applyBorder="1" applyAlignment="1">
      <alignment vertical="top"/>
    </xf>
    <xf numFmtId="0" fontId="78" fillId="9" borderId="0" xfId="0" applyFont="1" applyFill="1" applyAlignment="1">
      <alignment vertical="top"/>
    </xf>
    <xf numFmtId="0" fontId="125" fillId="9" borderId="0" xfId="0" applyFont="1" applyFill="1" applyAlignment="1">
      <alignment vertical="top"/>
    </xf>
    <xf numFmtId="0" fontId="89" fillId="9" borderId="0" xfId="32" applyFont="1" applyFill="1" applyBorder="1" applyAlignment="1">
      <alignment vertical="top" wrapText="1" readingOrder="2"/>
    </xf>
    <xf numFmtId="0" fontId="43" fillId="9" borderId="0" xfId="32" applyFont="1" applyFill="1" applyBorder="1" applyAlignment="1">
      <alignment horizontal="center" vertical="center" wrapText="1"/>
    </xf>
    <xf numFmtId="0" fontId="43" fillId="9" borderId="0" xfId="32" applyFont="1" applyFill="1" applyBorder="1" applyAlignment="1">
      <alignment horizontal="center"/>
    </xf>
    <xf numFmtId="0" fontId="43" fillId="9" borderId="0" xfId="32" applyFont="1" applyFill="1" applyBorder="1" applyAlignment="1">
      <alignment horizontal="center" wrapText="1"/>
    </xf>
    <xf numFmtId="0" fontId="43" fillId="9" borderId="23" xfId="32" applyFont="1" applyFill="1" applyBorder="1" applyAlignment="1">
      <alignment horizontal="center" vertical="center" wrapText="1"/>
    </xf>
    <xf numFmtId="164" fontId="43" fillId="9" borderId="19" xfId="23" applyNumberFormat="1" applyFont="1" applyFill="1" applyBorder="1" applyAlignment="1">
      <alignment horizontal="center" vertical="center"/>
    </xf>
    <xf numFmtId="0" fontId="154" fillId="9" borderId="0" xfId="0" applyFont="1" applyFill="1" applyAlignment="1">
      <alignment vertical="top"/>
    </xf>
    <xf numFmtId="0" fontId="43" fillId="9" borderId="19" xfId="32" applyFont="1" applyFill="1" applyBorder="1" applyAlignment="1">
      <alignment vertical="center" wrapText="1"/>
    </xf>
    <xf numFmtId="9" fontId="43" fillId="9" borderId="19" xfId="43" applyFont="1" applyFill="1" applyBorder="1" applyAlignment="1">
      <alignment horizontal="center" vertical="center" wrapText="1"/>
    </xf>
    <xf numFmtId="164" fontId="43" fillId="9" borderId="19" xfId="23" applyNumberFormat="1" applyFont="1" applyFill="1" applyBorder="1" applyAlignment="1">
      <alignment horizontal="right" vertical="center"/>
    </xf>
    <xf numFmtId="164" fontId="43" fillId="9" borderId="23" xfId="23" applyNumberFormat="1" applyFont="1" applyFill="1" applyBorder="1" applyAlignment="1">
      <alignment horizontal="right" vertical="center"/>
    </xf>
    <xf numFmtId="164" fontId="43" fillId="9" borderId="0" xfId="23" applyNumberFormat="1" applyFont="1" applyFill="1" applyBorder="1" applyAlignment="1">
      <alignment horizontal="right" vertical="center"/>
    </xf>
    <xf numFmtId="0" fontId="43" fillId="9" borderId="24" xfId="32" applyFont="1" applyFill="1" applyBorder="1" applyAlignment="1">
      <alignment vertical="center" wrapText="1"/>
    </xf>
    <xf numFmtId="164" fontId="43" fillId="9" borderId="24" xfId="23" applyNumberFormat="1" applyFont="1" applyFill="1" applyBorder="1" applyAlignment="1">
      <alignment horizontal="center" vertical="center"/>
    </xf>
    <xf numFmtId="9" fontId="30" fillId="9" borderId="51" xfId="43" applyFont="1" applyFill="1" applyBorder="1" applyAlignment="1">
      <alignment horizontal="center" vertical="center" wrapText="1"/>
    </xf>
    <xf numFmtId="164" fontId="30" fillId="9" borderId="51" xfId="23" applyNumberFormat="1" applyFont="1" applyFill="1" applyBorder="1" applyAlignment="1">
      <alignment horizontal="center" vertical="center"/>
    </xf>
    <xf numFmtId="164" fontId="30" fillId="9" borderId="51" xfId="23" applyNumberFormat="1" applyFont="1" applyFill="1" applyBorder="1" applyAlignment="1">
      <alignment horizontal="right" vertical="center"/>
    </xf>
    <xf numFmtId="164" fontId="30" fillId="9" borderId="25" xfId="23" applyNumberFormat="1" applyFont="1" applyFill="1" applyBorder="1" applyAlignment="1">
      <alignment horizontal="right" vertical="center"/>
    </xf>
    <xf numFmtId="0" fontId="43" fillId="9" borderId="21" xfId="32" applyFont="1" applyFill="1" applyBorder="1" applyAlignment="1">
      <alignment vertical="center" wrapText="1"/>
    </xf>
    <xf numFmtId="164" fontId="43" fillId="9" borderId="21" xfId="23" applyNumberFormat="1" applyFont="1" applyFill="1" applyBorder="1" applyAlignment="1">
      <alignment horizontal="center" vertical="center"/>
    </xf>
    <xf numFmtId="164" fontId="43" fillId="9" borderId="21" xfId="23" applyNumberFormat="1" applyFont="1" applyFill="1" applyBorder="1" applyAlignment="1">
      <alignment horizontal="right" vertical="center"/>
    </xf>
    <xf numFmtId="164" fontId="43" fillId="9" borderId="0" xfId="23" applyNumberFormat="1" applyFont="1" applyFill="1" applyBorder="1" applyAlignment="1">
      <alignment horizontal="center" vertical="center"/>
    </xf>
    <xf numFmtId="0" fontId="43" fillId="9" borderId="19" xfId="32" applyFont="1" applyFill="1" applyBorder="1" applyAlignment="1">
      <alignment horizontal="right" vertical="center" shrinkToFit="1" readingOrder="2"/>
    </xf>
    <xf numFmtId="0" fontId="43" fillId="9" borderId="24" xfId="32" applyFont="1" applyFill="1" applyBorder="1" applyAlignment="1">
      <alignment horizontal="right" vertical="center" shrinkToFit="1" readingOrder="2"/>
    </xf>
    <xf numFmtId="0" fontId="59" fillId="9" borderId="0" xfId="0" applyFont="1" applyFill="1" applyAlignment="1">
      <alignment vertical="top"/>
    </xf>
    <xf numFmtId="164" fontId="43" fillId="9" borderId="51" xfId="23" applyNumberFormat="1" applyFont="1" applyFill="1" applyBorder="1" applyAlignment="1">
      <alignment horizontal="center" vertical="center"/>
    </xf>
    <xf numFmtId="164" fontId="43" fillId="9" borderId="51" xfId="23" applyNumberFormat="1" applyFont="1" applyFill="1" applyBorder="1" applyAlignment="1">
      <alignment horizontal="right" vertical="center"/>
    </xf>
    <xf numFmtId="164" fontId="57" fillId="9" borderId="25" xfId="23" applyNumberFormat="1" applyFont="1" applyFill="1" applyBorder="1" applyAlignment="1">
      <alignment horizontal="right" vertical="top"/>
    </xf>
    <xf numFmtId="164" fontId="43" fillId="9" borderId="54" xfId="23" applyNumberFormat="1" applyFont="1" applyFill="1" applyBorder="1" applyAlignment="1">
      <alignment horizontal="right" vertical="top"/>
    </xf>
    <xf numFmtId="164" fontId="43" fillId="9" borderId="42" xfId="23" applyNumberFormat="1" applyFont="1" applyFill="1" applyBorder="1" applyAlignment="1">
      <alignment horizontal="right" vertical="top"/>
    </xf>
    <xf numFmtId="164" fontId="43" fillId="9" borderId="0" xfId="23" applyNumberFormat="1" applyFont="1" applyFill="1" applyBorder="1" applyAlignment="1">
      <alignment horizontal="right" vertical="top"/>
    </xf>
    <xf numFmtId="0" fontId="154" fillId="9" borderId="0" xfId="0" applyFont="1" applyFill="1" applyAlignment="1">
      <alignment vertical="top" shrinkToFit="1"/>
    </xf>
    <xf numFmtId="0" fontId="43" fillId="9" borderId="0" xfId="26" applyFont="1" applyFill="1" applyBorder="1" applyAlignment="1">
      <alignment vertical="top" readingOrder="2"/>
    </xf>
    <xf numFmtId="0" fontId="29" fillId="9" borderId="0" xfId="26" applyFont="1" applyFill="1" applyBorder="1" applyAlignment="1">
      <alignment vertical="top" readingOrder="2"/>
    </xf>
    <xf numFmtId="0" fontId="29" fillId="9" borderId="0" xfId="32" applyFont="1" applyFill="1" applyBorder="1" applyAlignment="1">
      <alignment vertical="top"/>
    </xf>
    <xf numFmtId="0" fontId="29" fillId="9" borderId="0" xfId="32" applyFont="1" applyFill="1" applyBorder="1" applyAlignment="1">
      <alignment horizontal="center" wrapText="1"/>
    </xf>
    <xf numFmtId="0" fontId="29" fillId="9" borderId="23" xfId="32" applyFont="1" applyFill="1" applyBorder="1" applyAlignment="1">
      <alignment wrapText="1"/>
    </xf>
    <xf numFmtId="0" fontId="78" fillId="9" borderId="0" xfId="0" applyFont="1" applyFill="1" applyAlignment="1"/>
    <xf numFmtId="0" fontId="43" fillId="9" borderId="0" xfId="32" applyFont="1" applyFill="1" applyBorder="1" applyAlignment="1">
      <alignment wrapText="1"/>
    </xf>
    <xf numFmtId="0" fontId="87" fillId="9" borderId="0" xfId="32" applyFont="1" applyFill="1" applyBorder="1" applyAlignment="1">
      <alignment horizontal="center" vertical="top" textRotation="90" wrapText="1" readingOrder="2"/>
    </xf>
    <xf numFmtId="0" fontId="43" fillId="9" borderId="0" xfId="32" applyFont="1" applyFill="1" applyBorder="1" applyAlignment="1">
      <alignment vertical="center" wrapText="1"/>
    </xf>
    <xf numFmtId="0" fontId="29" fillId="9" borderId="0" xfId="32" applyFont="1" applyFill="1" applyBorder="1" applyAlignment="1">
      <alignment horizontal="center" vertical="center" wrapText="1"/>
    </xf>
    <xf numFmtId="0" fontId="29" fillId="9" borderId="23" xfId="32" applyFont="1" applyFill="1" applyBorder="1" applyAlignment="1">
      <alignment horizontal="center" vertical="center" wrapText="1"/>
    </xf>
    <xf numFmtId="0" fontId="29" fillId="9" borderId="0" xfId="32" applyFont="1" applyFill="1" applyBorder="1" applyAlignment="1">
      <alignment horizontal="center" vertical="top" wrapText="1" readingOrder="2"/>
    </xf>
    <xf numFmtId="164" fontId="43" fillId="9" borderId="19" xfId="23" applyNumberFormat="1" applyFont="1" applyFill="1" applyBorder="1" applyAlignment="1">
      <alignment vertical="center"/>
    </xf>
    <xf numFmtId="164" fontId="29" fillId="9" borderId="0" xfId="23" applyNumberFormat="1" applyFont="1" applyFill="1" applyBorder="1" applyAlignment="1">
      <alignment horizontal="right" vertical="center"/>
    </xf>
    <xf numFmtId="164" fontId="29" fillId="9" borderId="23" xfId="23" applyNumberFormat="1" applyFont="1" applyFill="1" applyBorder="1" applyAlignment="1">
      <alignment horizontal="right" vertical="center"/>
    </xf>
    <xf numFmtId="164" fontId="43" fillId="9" borderId="24" xfId="23" applyNumberFormat="1" applyFont="1" applyFill="1" applyBorder="1" applyAlignment="1">
      <alignment vertical="center"/>
    </xf>
    <xf numFmtId="164" fontId="30" fillId="9" borderId="51" xfId="23" applyNumberFormat="1" applyFont="1" applyFill="1" applyBorder="1" applyAlignment="1">
      <alignment vertical="center"/>
    </xf>
    <xf numFmtId="164" fontId="43" fillId="9" borderId="21" xfId="23" applyNumberFormat="1" applyFont="1" applyFill="1" applyBorder="1" applyAlignment="1">
      <alignment vertical="center"/>
    </xf>
    <xf numFmtId="164" fontId="43" fillId="9" borderId="0" xfId="23" applyNumberFormat="1" applyFont="1" applyFill="1" applyBorder="1" applyAlignment="1">
      <alignment vertical="center"/>
    </xf>
    <xf numFmtId="164" fontId="29" fillId="9" borderId="0" xfId="23" applyNumberFormat="1" applyFont="1" applyFill="1" applyBorder="1" applyAlignment="1">
      <alignment horizontal="center" vertical="center"/>
    </xf>
    <xf numFmtId="164" fontId="29" fillId="9" borderId="23" xfId="23" applyNumberFormat="1" applyFont="1" applyFill="1" applyBorder="1" applyAlignment="1">
      <alignment horizontal="center" vertical="center"/>
    </xf>
    <xf numFmtId="164" fontId="183" fillId="9" borderId="23" xfId="23" applyNumberFormat="1" applyFont="1" applyFill="1" applyBorder="1" applyAlignment="1">
      <alignment horizontal="right" vertical="center"/>
    </xf>
    <xf numFmtId="0" fontId="182" fillId="9" borderId="0" xfId="0" applyFont="1" applyFill="1" applyAlignment="1">
      <alignment vertical="top"/>
    </xf>
    <xf numFmtId="164" fontId="43" fillId="9" borderId="0" xfId="12" applyNumberFormat="1" applyFont="1" applyFill="1" applyBorder="1" applyAlignment="1">
      <alignment vertical="center" readingOrder="2"/>
    </xf>
    <xf numFmtId="164" fontId="29" fillId="9" borderId="0" xfId="12" applyNumberFormat="1" applyFont="1" applyFill="1" applyBorder="1" applyAlignment="1">
      <alignment horizontal="right" vertical="center" readingOrder="2"/>
    </xf>
    <xf numFmtId="0" fontId="91" fillId="9" borderId="0" xfId="32" applyFont="1" applyFill="1" applyBorder="1" applyAlignment="1">
      <alignment horizontal="right" readingOrder="2"/>
    </xf>
    <xf numFmtId="0" fontId="29" fillId="9" borderId="0" xfId="31" applyFont="1" applyFill="1" applyBorder="1" applyAlignment="1">
      <alignment horizontal="left" vertical="top" readingOrder="2"/>
    </xf>
    <xf numFmtId="0" fontId="92" fillId="9" borderId="0" xfId="32" applyFont="1" applyFill="1" applyBorder="1" applyAlignment="1">
      <alignment horizontal="left" vertical="top" readingOrder="2"/>
    </xf>
    <xf numFmtId="0" fontId="92" fillId="9" borderId="0" xfId="12" applyFont="1" applyFill="1" applyBorder="1" applyAlignment="1">
      <alignment horizontal="right" vertical="top" readingOrder="2"/>
    </xf>
    <xf numFmtId="0" fontId="37" fillId="9" borderId="0" xfId="0" applyFont="1" applyFill="1" applyAlignment="1"/>
    <xf numFmtId="0" fontId="29" fillId="9" borderId="0" xfId="12" applyFont="1" applyFill="1" applyBorder="1" applyAlignment="1">
      <alignment vertical="center" readingOrder="2"/>
    </xf>
    <xf numFmtId="49" fontId="43" fillId="9" borderId="0" xfId="32" applyNumberFormat="1" applyFont="1" applyFill="1" applyBorder="1" applyAlignment="1">
      <alignment horizontal="center"/>
    </xf>
    <xf numFmtId="0" fontId="154" fillId="9" borderId="0" xfId="0" applyFont="1" applyFill="1" applyBorder="1" applyAlignment="1">
      <alignment horizontal="center"/>
    </xf>
    <xf numFmtId="0" fontId="130" fillId="9" borderId="0" xfId="0" applyFont="1" applyFill="1" applyBorder="1" applyAlignment="1">
      <alignment horizontal="center"/>
    </xf>
    <xf numFmtId="0" fontId="37" fillId="9" borderId="0" xfId="0" applyFont="1" applyFill="1" applyBorder="1" applyAlignment="1">
      <alignment horizontal="center"/>
    </xf>
    <xf numFmtId="3" fontId="57" fillId="9" borderId="0" xfId="32" applyNumberFormat="1" applyFont="1" applyFill="1" applyBorder="1" applyAlignment="1">
      <alignment horizontal="center"/>
    </xf>
    <xf numFmtId="3" fontId="29" fillId="9" borderId="0" xfId="32" applyNumberFormat="1" applyFont="1" applyFill="1" applyBorder="1" applyAlignment="1">
      <alignment horizontal="right"/>
    </xf>
    <xf numFmtId="0" fontId="29" fillId="9" borderId="0" xfId="32" applyFont="1" applyFill="1" applyBorder="1" applyAlignment="1">
      <alignment horizontal="center" readingOrder="2"/>
    </xf>
    <xf numFmtId="0" fontId="78" fillId="9" borderId="0" xfId="0" applyFont="1" applyFill="1" applyAlignment="1">
      <alignment vertical="top" shrinkToFit="1"/>
    </xf>
    <xf numFmtId="164" fontId="110" fillId="9" borderId="0" xfId="0" applyNumberFormat="1" applyFont="1" applyFill="1"/>
    <xf numFmtId="164" fontId="34" fillId="9" borderId="34" xfId="25" applyNumberFormat="1" applyFont="1" applyFill="1" applyBorder="1" applyAlignment="1">
      <alignment horizontal="right" vertical="center"/>
    </xf>
    <xf numFmtId="164" fontId="29" fillId="9" borderId="0" xfId="23" applyNumberFormat="1" applyFont="1" applyFill="1" applyBorder="1" applyAlignment="1">
      <alignment vertical="center"/>
    </xf>
    <xf numFmtId="164" fontId="29" fillId="9" borderId="35" xfId="17" applyNumberFormat="1" applyFont="1" applyFill="1" applyBorder="1" applyAlignment="1">
      <alignment vertical="center"/>
    </xf>
    <xf numFmtId="174" fontId="37" fillId="9" borderId="0" xfId="42" applyNumberFormat="1" applyFont="1" applyFill="1" applyBorder="1" applyAlignment="1">
      <alignment vertical="top" wrapText="1" readingOrder="2"/>
    </xf>
    <xf numFmtId="0" fontId="183" fillId="9" borderId="0" xfId="8" applyFont="1" applyFill="1" applyAlignment="1">
      <alignment vertical="top" wrapText="1" readingOrder="2"/>
    </xf>
    <xf numFmtId="0" fontId="48" fillId="9" borderId="0" xfId="0" applyFont="1" applyFill="1" applyAlignment="1">
      <alignment vertical="center"/>
    </xf>
    <xf numFmtId="164" fontId="34" fillId="9" borderId="0" xfId="6" applyNumberFormat="1" applyFont="1" applyFill="1" applyBorder="1" applyAlignment="1">
      <alignment vertical="center"/>
    </xf>
    <xf numFmtId="0" fontId="43" fillId="9" borderId="0" xfId="29" applyFont="1" applyFill="1" applyAlignment="1">
      <alignment vertical="top" wrapText="1" readingOrder="2"/>
    </xf>
    <xf numFmtId="0" fontId="64" fillId="9" borderId="0" xfId="29" applyFont="1" applyFill="1" applyAlignment="1">
      <alignment horizontal="justify" vertical="top" wrapText="1" readingOrder="2"/>
    </xf>
    <xf numFmtId="0" fontId="44" fillId="9" borderId="0" xfId="30" applyFont="1" applyFill="1"/>
    <xf numFmtId="0" fontId="50" fillId="9" borderId="0" xfId="30" applyFont="1" applyFill="1" applyAlignment="1">
      <alignment horizontal="right" readingOrder="2"/>
    </xf>
    <xf numFmtId="0" fontId="79" fillId="9" borderId="0" xfId="0" applyFont="1" applyFill="1" applyAlignment="1">
      <alignment horizontal="left" vertical="top"/>
    </xf>
    <xf numFmtId="0" fontId="50" fillId="9" borderId="0" xfId="31" applyFont="1" applyFill="1" applyBorder="1" applyAlignment="1">
      <alignment horizontal="center" readingOrder="2"/>
    </xf>
    <xf numFmtId="164" fontId="35" fillId="9" borderId="0" xfId="23" applyNumberFormat="1" applyFont="1" applyFill="1" applyBorder="1" applyAlignment="1">
      <alignment horizontal="right" vertical="center"/>
    </xf>
    <xf numFmtId="0" fontId="107" fillId="0" borderId="0" xfId="13" applyFont="1" applyAlignment="1">
      <alignment horizontal="right" readingOrder="2"/>
    </xf>
    <xf numFmtId="0" fontId="59" fillId="9" borderId="0" xfId="0" applyFont="1" applyFill="1" applyAlignment="1">
      <alignment vertical="center"/>
    </xf>
    <xf numFmtId="0" fontId="112" fillId="9" borderId="0" xfId="37" applyFont="1" applyFill="1"/>
    <xf numFmtId="0" fontId="81" fillId="0" borderId="0" xfId="0" applyFont="1"/>
    <xf numFmtId="0" fontId="149" fillId="9" borderId="0" xfId="0" applyFont="1" applyFill="1" applyAlignment="1">
      <alignment vertical="center"/>
    </xf>
    <xf numFmtId="0" fontId="81" fillId="0" borderId="0" xfId="15" applyFont="1"/>
    <xf numFmtId="0" fontId="81" fillId="9" borderId="0" xfId="15" applyFont="1" applyFill="1" applyAlignment="1">
      <alignment vertical="top"/>
    </xf>
    <xf numFmtId="0" fontId="81" fillId="9" borderId="0" xfId="15" applyFont="1" applyFill="1" applyBorder="1" applyAlignment="1">
      <alignment vertical="top" readingOrder="2"/>
    </xf>
    <xf numFmtId="0" fontId="81" fillId="9" borderId="0" xfId="15" applyFont="1" applyFill="1" applyBorder="1" applyAlignment="1">
      <alignment vertical="center" readingOrder="2"/>
    </xf>
    <xf numFmtId="164" fontId="34" fillId="9" borderId="35" xfId="25" applyNumberFormat="1" applyFont="1" applyFill="1" applyBorder="1" applyAlignment="1">
      <alignment horizontal="right" vertical="center"/>
    </xf>
    <xf numFmtId="164" fontId="112" fillId="0" borderId="0" xfId="0" applyNumberFormat="1" applyFont="1"/>
    <xf numFmtId="164" fontId="34" fillId="9" borderId="35" xfId="23" applyNumberFormat="1" applyFont="1" applyFill="1" applyBorder="1" applyAlignment="1">
      <alignment horizontal="right" vertical="center"/>
    </xf>
    <xf numFmtId="167" fontId="47" fillId="0" borderId="32" xfId="8" applyNumberFormat="1" applyFont="1" applyBorder="1" applyAlignment="1">
      <alignment horizontal="center" vertical="center" readingOrder="2"/>
    </xf>
    <xf numFmtId="0" fontId="139" fillId="9" borderId="0" xfId="5" applyFont="1" applyFill="1" applyAlignment="1">
      <alignment horizontal="center" vertical="top" readingOrder="2"/>
    </xf>
    <xf numFmtId="41" fontId="140" fillId="9" borderId="0" xfId="9" applyNumberFormat="1" applyFont="1" applyFill="1" applyAlignment="1">
      <alignment horizontal="center" vertical="top" shrinkToFit="1"/>
    </xf>
    <xf numFmtId="0" fontId="142" fillId="9" borderId="0" xfId="47" applyNumberFormat="1" applyFont="1" applyFill="1" applyAlignment="1"/>
    <xf numFmtId="174" fontId="84" fillId="0" borderId="0" xfId="0" applyNumberFormat="1" applyFont="1"/>
    <xf numFmtId="0" fontId="59" fillId="0" borderId="0" xfId="0" applyFont="1"/>
    <xf numFmtId="0" fontId="29" fillId="0" borderId="0" xfId="5" applyFont="1" applyFill="1" applyAlignment="1">
      <alignment horizontal="left" readingOrder="2"/>
    </xf>
    <xf numFmtId="0" fontId="48" fillId="0" borderId="0" xfId="13" applyFont="1" applyAlignment="1">
      <alignment horizontal="center"/>
    </xf>
    <xf numFmtId="0" fontId="48" fillId="0" borderId="0" xfId="13" applyFont="1" applyFill="1" applyAlignment="1">
      <alignment horizontal="center"/>
    </xf>
    <xf numFmtId="0" fontId="46" fillId="0" borderId="0" xfId="13" applyFont="1" applyAlignment="1">
      <alignment horizontal="center"/>
    </xf>
    <xf numFmtId="0" fontId="60" fillId="0" borderId="0" xfId="14" applyFont="1"/>
    <xf numFmtId="0" fontId="48" fillId="0" borderId="0" xfId="0" applyFont="1" applyAlignment="1">
      <alignment horizontal="center"/>
    </xf>
    <xf numFmtId="0" fontId="60" fillId="0" borderId="0" xfId="0" applyFont="1" applyAlignment="1">
      <alignment horizontal="center"/>
    </xf>
    <xf numFmtId="0" fontId="208" fillId="0" borderId="0" xfId="15" applyFont="1" applyAlignment="1">
      <alignment horizontal="center" vertical="justify"/>
    </xf>
    <xf numFmtId="0" fontId="153" fillId="0" borderId="0" xfId="15" applyFont="1" applyFill="1" applyAlignment="1">
      <alignment horizontal="right" readingOrder="2"/>
    </xf>
    <xf numFmtId="0" fontId="81" fillId="0" borderId="0" xfId="15" applyFont="1" applyFill="1" applyAlignment="1">
      <alignment horizontal="right" readingOrder="2"/>
    </xf>
    <xf numFmtId="0" fontId="149" fillId="0" borderId="0" xfId="15" applyFont="1" applyFill="1" applyBorder="1" applyAlignment="1">
      <alignment horizontal="center" vertical="center" wrapText="1"/>
    </xf>
    <xf numFmtId="0" fontId="149" fillId="0" borderId="0" xfId="15" applyFont="1" applyFill="1" applyBorder="1" applyAlignment="1">
      <alignment vertical="top" wrapText="1"/>
    </xf>
    <xf numFmtId="164" fontId="112" fillId="0" borderId="0" xfId="15" applyNumberFormat="1" applyFont="1" applyFill="1" applyBorder="1" applyAlignment="1">
      <alignment vertical="top"/>
    </xf>
    <xf numFmtId="167" fontId="149" fillId="0" borderId="0" xfId="8" applyNumberFormat="1" applyFont="1" applyBorder="1" applyAlignment="1">
      <alignment horizontal="right" vertical="top" readingOrder="2"/>
    </xf>
    <xf numFmtId="167" fontId="149" fillId="0" borderId="0" xfId="8" applyNumberFormat="1" applyFont="1" applyBorder="1" applyAlignment="1">
      <alignment horizontal="right" vertical="center" readingOrder="2"/>
    </xf>
    <xf numFmtId="0" fontId="155" fillId="9" borderId="0" xfId="15" applyFont="1" applyFill="1" applyAlignment="1">
      <alignment horizontal="center" vertical="justify"/>
    </xf>
    <xf numFmtId="0" fontId="54" fillId="9" borderId="0" xfId="15" applyFont="1" applyFill="1"/>
    <xf numFmtId="0" fontId="184" fillId="9" borderId="0" xfId="15" applyFont="1" applyFill="1" applyBorder="1" applyAlignment="1">
      <alignment horizontal="center" vertical="center" wrapText="1"/>
    </xf>
    <xf numFmtId="0" fontId="156" fillId="9" borderId="0" xfId="15" applyFont="1" applyFill="1" applyBorder="1" applyAlignment="1">
      <alignment horizontal="center" vertical="center" wrapText="1"/>
    </xf>
    <xf numFmtId="167" fontId="184" fillId="9" borderId="0" xfId="8" applyNumberFormat="1" applyFont="1" applyFill="1" applyBorder="1" applyAlignment="1">
      <alignment horizontal="right" vertical="top" readingOrder="2"/>
    </xf>
    <xf numFmtId="167" fontId="184" fillId="9" borderId="0" xfId="8" applyNumberFormat="1" applyFont="1" applyFill="1" applyBorder="1" applyAlignment="1">
      <alignment horizontal="right" vertical="center" readingOrder="2"/>
    </xf>
    <xf numFmtId="167" fontId="54" fillId="9" borderId="0" xfId="15" applyNumberFormat="1" applyFont="1" applyFill="1" applyBorder="1"/>
    <xf numFmtId="0" fontId="37" fillId="0" borderId="0" xfId="5" applyFont="1" applyFill="1" applyAlignment="1">
      <alignment horizontal="left" vertical="top" readingOrder="2"/>
    </xf>
    <xf numFmtId="0" fontId="166" fillId="0" borderId="0" xfId="8" applyFont="1" applyAlignment="1">
      <alignment vertical="center" readingOrder="2"/>
    </xf>
    <xf numFmtId="0" fontId="111" fillId="0" borderId="0" xfId="8" applyFont="1" applyBorder="1" applyAlignment="1">
      <alignment vertical="center" readingOrder="2"/>
    </xf>
    <xf numFmtId="0" fontId="166" fillId="0" borderId="0" xfId="8" applyFont="1" applyBorder="1" applyAlignment="1">
      <alignment horizontal="right" vertical="center" readingOrder="2"/>
    </xf>
    <xf numFmtId="0" fontId="209" fillId="0" borderId="0" xfId="8" applyFont="1" applyAlignment="1">
      <alignment horizontal="right" vertical="center" readingOrder="2"/>
    </xf>
    <xf numFmtId="0" fontId="110" fillId="0" borderId="0" xfId="8" applyFont="1" applyAlignment="1">
      <alignment horizontal="right" vertical="center" readingOrder="2"/>
    </xf>
    <xf numFmtId="0" fontId="135" fillId="9" borderId="0" xfId="17" applyFont="1" applyFill="1" applyAlignment="1">
      <alignment horizontal="center" vertical="center"/>
    </xf>
    <xf numFmtId="0" fontId="135" fillId="9" borderId="0" xfId="17" applyFont="1" applyFill="1" applyAlignment="1">
      <alignment vertical="center"/>
    </xf>
    <xf numFmtId="164" fontId="35" fillId="9" borderId="33" xfId="17" applyNumberFormat="1" applyFont="1" applyFill="1" applyBorder="1" applyAlignment="1">
      <alignment vertical="center"/>
    </xf>
    <xf numFmtId="0" fontId="210" fillId="0" borderId="0" xfId="0" applyFont="1" applyAlignment="1">
      <alignment horizontal="right" vertical="center" wrapText="1"/>
    </xf>
    <xf numFmtId="0" fontId="128" fillId="9" borderId="0" xfId="0" applyFont="1" applyFill="1"/>
    <xf numFmtId="0" fontId="211" fillId="0" borderId="0" xfId="0" applyFont="1" applyAlignment="1">
      <alignment horizontal="right" vertical="center" wrapText="1"/>
    </xf>
    <xf numFmtId="0" fontId="34" fillId="9" borderId="0" xfId="24" applyFont="1" applyFill="1" applyAlignment="1">
      <alignment horizontal="right" vertical="top"/>
    </xf>
    <xf numFmtId="174" fontId="34" fillId="0" borderId="0" xfId="42" applyNumberFormat="1" applyFont="1" applyFill="1" applyAlignment="1">
      <alignment horizontal="right" vertical="top" readingOrder="2"/>
    </xf>
    <xf numFmtId="0" fontId="60" fillId="0" borderId="0" xfId="13" applyFont="1" applyAlignment="1">
      <alignment horizontal="right" vertical="top" readingOrder="2"/>
    </xf>
    <xf numFmtId="164" fontId="97" fillId="0" borderId="36" xfId="14" applyNumberFormat="1" applyFont="1" applyBorder="1" applyAlignment="1">
      <alignment horizontal="right" vertical="top"/>
    </xf>
    <xf numFmtId="0" fontId="32" fillId="0" borderId="0" xfId="47" applyNumberFormat="1" applyFont="1" applyAlignment="1">
      <alignment vertical="center"/>
    </xf>
    <xf numFmtId="0" fontId="59" fillId="9" borderId="0" xfId="0" applyFont="1" applyFill="1" applyAlignment="1"/>
    <xf numFmtId="0" fontId="211" fillId="0" borderId="0" xfId="0" applyFont="1" applyAlignment="1">
      <alignment horizontal="right" vertical="top" wrapText="1"/>
    </xf>
    <xf numFmtId="169" fontId="54" fillId="0" borderId="0" xfId="15" applyNumberFormat="1" applyFont="1" applyFill="1" applyBorder="1"/>
    <xf numFmtId="3" fontId="186" fillId="0" borderId="0" xfId="15" applyNumberFormat="1" applyFont="1" applyFill="1" applyBorder="1" applyAlignment="1">
      <alignment horizontal="right" readingOrder="2"/>
    </xf>
    <xf numFmtId="0" fontId="59" fillId="0" borderId="0" xfId="0" applyFont="1"/>
    <xf numFmtId="3" fontId="31" fillId="0" borderId="0" xfId="17" applyNumberFormat="1" applyFont="1" applyFill="1" applyBorder="1" applyAlignment="1">
      <alignment horizontal="center"/>
    </xf>
    <xf numFmtId="3" fontId="64" fillId="0" borderId="0" xfId="42" applyNumberFormat="1" applyFont="1" applyAlignment="1">
      <alignment horizontal="right"/>
    </xf>
    <xf numFmtId="164" fontId="84" fillId="0" borderId="0" xfId="0" applyNumberFormat="1" applyFont="1"/>
    <xf numFmtId="0" fontId="158" fillId="0" borderId="0" xfId="11" applyFont="1" applyAlignment="1">
      <alignment horizontal="center" readingOrder="2"/>
    </xf>
    <xf numFmtId="0" fontId="59" fillId="0" borderId="0" xfId="0" applyFont="1"/>
    <xf numFmtId="0" fontId="48" fillId="0" borderId="0" xfId="27" applyFont="1" applyFill="1" applyAlignment="1">
      <alignment horizontal="right" vertical="top" wrapText="1" readingOrder="2"/>
    </xf>
    <xf numFmtId="49" fontId="38" fillId="9" borderId="0" xfId="17" applyNumberFormat="1" applyFont="1" applyFill="1" applyAlignment="1">
      <alignment horizontal="left" vertical="top"/>
    </xf>
    <xf numFmtId="0" fontId="49" fillId="18" borderId="19" xfId="3" applyFont="1" applyFill="1" applyBorder="1" applyAlignment="1" applyProtection="1">
      <alignment horizontal="right" vertical="center"/>
      <protection locked="0"/>
    </xf>
    <xf numFmtId="0" fontId="144" fillId="18" borderId="19" xfId="3" applyFont="1" applyFill="1" applyBorder="1" applyAlignment="1" applyProtection="1">
      <alignment horizontal="right" vertical="center"/>
      <protection locked="0"/>
    </xf>
    <xf numFmtId="168" fontId="49" fillId="18" borderId="19" xfId="10" applyNumberFormat="1" applyFont="1" applyFill="1" applyBorder="1" applyAlignment="1">
      <alignment horizontal="right" vertical="center"/>
    </xf>
    <xf numFmtId="168" fontId="63" fillId="18" borderId="19" xfId="10" applyNumberFormat="1" applyFont="1" applyFill="1" applyBorder="1" applyAlignment="1">
      <alignment horizontal="right" vertical="center"/>
    </xf>
    <xf numFmtId="0" fontId="63" fillId="18" borderId="19" xfId="3" applyFont="1" applyFill="1" applyBorder="1" applyAlignment="1" applyProtection="1">
      <alignment horizontal="right" vertical="center"/>
      <protection locked="0"/>
    </xf>
    <xf numFmtId="0" fontId="46" fillId="18" borderId="0" xfId="0" applyFont="1" applyFill="1" applyAlignment="1">
      <alignment horizontal="right" vertical="center"/>
    </xf>
    <xf numFmtId="0" fontId="52" fillId="0" borderId="0" xfId="15" applyFont="1"/>
    <xf numFmtId="0" fontId="112" fillId="0" borderId="0" xfId="15" applyFont="1" applyAlignment="1">
      <alignment vertical="top"/>
    </xf>
    <xf numFmtId="0" fontId="112" fillId="0" borderId="0" xfId="15" applyFont="1" applyBorder="1" applyAlignment="1">
      <alignment vertical="top"/>
    </xf>
    <xf numFmtId="0" fontId="52" fillId="9" borderId="0" xfId="15" applyFont="1" applyFill="1" applyBorder="1" applyAlignment="1">
      <alignment vertical="top" readingOrder="2"/>
    </xf>
    <xf numFmtId="0" fontId="52" fillId="0" borderId="0" xfId="15" applyFont="1" applyFill="1" applyBorder="1" applyAlignment="1">
      <alignment vertical="center" readingOrder="2"/>
    </xf>
    <xf numFmtId="168" fontId="46" fillId="16" borderId="0" xfId="0" applyNumberFormat="1" applyFont="1" applyFill="1" applyBorder="1" applyAlignment="1">
      <alignment horizontal="right" vertical="center"/>
    </xf>
    <xf numFmtId="0" fontId="49" fillId="12" borderId="21" xfId="3" applyFont="1" applyFill="1" applyBorder="1" applyAlignment="1" applyProtection="1">
      <alignment horizontal="right" vertical="center"/>
      <protection locked="0"/>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164" fontId="59" fillId="9" borderId="0" xfId="0" applyNumberFormat="1" applyFont="1" applyFill="1"/>
    <xf numFmtId="167" fontId="103" fillId="9" borderId="0" xfId="5" applyNumberFormat="1" applyFont="1" applyFill="1" applyAlignment="1">
      <alignment vertical="center"/>
    </xf>
    <xf numFmtId="1" fontId="169" fillId="9" borderId="0" xfId="0" applyNumberFormat="1" applyFont="1" applyFill="1"/>
    <xf numFmtId="164" fontId="109" fillId="9" borderId="0" xfId="6" applyNumberFormat="1" applyFont="1" applyFill="1" applyBorder="1" applyAlignment="1">
      <alignment vertical="center"/>
    </xf>
    <xf numFmtId="0" fontId="49" fillId="10" borderId="19" xfId="3" applyFont="1" applyFill="1" applyBorder="1" applyAlignment="1" applyProtection="1">
      <alignment horizontal="right" vertical="center"/>
      <protection locked="0"/>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0" fontId="49" fillId="22" borderId="19" xfId="3" applyFont="1" applyFill="1" applyBorder="1" applyAlignment="1" applyProtection="1">
      <alignment horizontal="right" vertical="center"/>
      <protection locked="0"/>
    </xf>
    <xf numFmtId="0" fontId="49" fillId="22" borderId="19" xfId="3" applyNumberFormat="1" applyFont="1" applyFill="1" applyBorder="1" applyAlignment="1" applyProtection="1">
      <alignment horizontal="center" vertical="center"/>
      <protection locked="0"/>
    </xf>
    <xf numFmtId="0" fontId="144" fillId="22" borderId="19" xfId="3" applyFont="1" applyFill="1" applyBorder="1" applyAlignment="1" applyProtection="1">
      <alignment horizontal="right" vertical="center"/>
      <protection locked="0"/>
    </xf>
    <xf numFmtId="168" fontId="49" fillId="22" borderId="19" xfId="10" applyNumberFormat="1" applyFont="1" applyFill="1" applyBorder="1" applyAlignment="1">
      <alignment horizontal="right" vertical="center"/>
    </xf>
    <xf numFmtId="168" fontId="63" fillId="22" borderId="19" xfId="10" applyNumberFormat="1" applyFont="1" applyFill="1" applyBorder="1" applyAlignment="1">
      <alignment horizontal="right" vertical="center"/>
    </xf>
    <xf numFmtId="0" fontId="63" fillId="22" borderId="19" xfId="3" applyFont="1" applyFill="1" applyBorder="1" applyAlignment="1" applyProtection="1">
      <alignment horizontal="right" vertical="center"/>
      <protection locked="0"/>
    </xf>
    <xf numFmtId="0" fontId="46" fillId="22" borderId="0" xfId="0" applyFont="1" applyFill="1" applyAlignment="1">
      <alignment horizontal="right" vertical="center"/>
    </xf>
    <xf numFmtId="0" fontId="128" fillId="0" borderId="0" xfId="0" applyFont="1"/>
    <xf numFmtId="0" fontId="32" fillId="0" borderId="0" xfId="6" applyFont="1" applyAlignment="1">
      <alignment horizontal="center" readingOrder="2"/>
    </xf>
    <xf numFmtId="0" fontId="59" fillId="0" borderId="0" xfId="0" applyFont="1"/>
    <xf numFmtId="0" fontId="32" fillId="0" borderId="0" xfId="6" applyFont="1" applyAlignment="1">
      <alignment horizontal="center" readingOrder="2"/>
    </xf>
    <xf numFmtId="0" fontId="158" fillId="0" borderId="0" xfId="11" applyFont="1" applyAlignment="1">
      <alignment horizontal="center" readingOrder="2"/>
    </xf>
    <xf numFmtId="0" fontId="59" fillId="0" borderId="0" xfId="0" applyFont="1"/>
    <xf numFmtId="0" fontId="59" fillId="0" borderId="0" xfId="0" applyFont="1"/>
    <xf numFmtId="164" fontId="31" fillId="9" borderId="32" xfId="6" applyNumberFormat="1" applyFont="1" applyFill="1" applyBorder="1" applyAlignment="1">
      <alignment vertical="center"/>
    </xf>
    <xf numFmtId="49" fontId="37" fillId="0" borderId="0" xfId="6" applyNumberFormat="1" applyFont="1" applyBorder="1" applyAlignment="1">
      <alignment horizontal="right" vertical="center" readingOrder="2"/>
    </xf>
    <xf numFmtId="49" fontId="138" fillId="0" borderId="0" xfId="6" applyNumberFormat="1" applyFont="1" applyBorder="1" applyAlignment="1">
      <alignment horizontal="right" vertical="center" readingOrder="2"/>
    </xf>
    <xf numFmtId="164" fontId="31" fillId="0" borderId="32" xfId="6" applyNumberFormat="1" applyFont="1" applyFill="1" applyBorder="1" applyAlignment="1">
      <alignment vertical="center"/>
    </xf>
    <xf numFmtId="164" fontId="31" fillId="9" borderId="36" xfId="6" applyNumberFormat="1" applyFont="1" applyFill="1" applyBorder="1" applyAlignment="1">
      <alignment vertical="center"/>
    </xf>
    <xf numFmtId="0" fontId="214" fillId="0" borderId="0" xfId="0" applyFont="1"/>
    <xf numFmtId="0" fontId="175" fillId="0" borderId="0" xfId="0" applyFont="1"/>
    <xf numFmtId="0" fontId="216" fillId="0" borderId="0" xfId="0" applyFont="1" applyAlignment="1">
      <alignment horizontal="center" vertical="center"/>
    </xf>
    <xf numFmtId="0" fontId="175" fillId="0" borderId="35" xfId="0" applyFont="1" applyBorder="1"/>
    <xf numFmtId="0" fontId="175" fillId="0" borderId="0" xfId="0" applyFont="1" applyBorder="1"/>
    <xf numFmtId="0" fontId="213" fillId="0" borderId="35" xfId="0" applyFont="1" applyBorder="1" applyAlignment="1">
      <alignment horizontal="center" vertical="center"/>
    </xf>
    <xf numFmtId="0" fontId="213" fillId="0" borderId="0" xfId="0" applyFont="1" applyAlignment="1">
      <alignment horizontal="center" vertical="center"/>
    </xf>
    <xf numFmtId="0" fontId="213" fillId="0" borderId="35" xfId="0" applyFont="1" applyBorder="1" applyAlignment="1">
      <alignment horizontal="center" vertical="center" wrapText="1"/>
    </xf>
    <xf numFmtId="0" fontId="213" fillId="0" borderId="0" xfId="0" applyFont="1" applyAlignment="1">
      <alignment horizontal="center" vertical="center" wrapText="1"/>
    </xf>
    <xf numFmtId="0" fontId="215" fillId="0" borderId="0" xfId="0" applyFont="1"/>
    <xf numFmtId="0" fontId="175" fillId="0" borderId="32" xfId="0" applyFont="1" applyBorder="1"/>
    <xf numFmtId="0" fontId="175" fillId="0" borderId="63" xfId="0" applyFont="1" applyBorder="1"/>
    <xf numFmtId="0" fontId="59" fillId="0" borderId="0" xfId="0" applyFont="1"/>
    <xf numFmtId="164" fontId="31" fillId="0" borderId="36" xfId="6" applyNumberFormat="1" applyFont="1" applyBorder="1" applyAlignment="1">
      <alignment vertical="center"/>
    </xf>
    <xf numFmtId="164" fontId="64" fillId="0" borderId="0" xfId="6" applyNumberFormat="1" applyFont="1" applyBorder="1" applyAlignment="1">
      <alignment vertical="center"/>
    </xf>
    <xf numFmtId="0" fontId="158" fillId="0" borderId="0" xfId="11" applyFont="1" applyAlignment="1">
      <alignment horizontal="center" readingOrder="2"/>
    </xf>
    <xf numFmtId="0" fontId="59" fillId="0" borderId="0" xfId="0" applyFont="1"/>
    <xf numFmtId="0" fontId="218" fillId="9" borderId="0" xfId="5" applyFont="1" applyFill="1" applyAlignment="1">
      <alignment horizontal="center" vertical="top" readingOrder="2"/>
    </xf>
    <xf numFmtId="0" fontId="128" fillId="9" borderId="0" xfId="19" applyFont="1" applyFill="1" applyAlignment="1">
      <alignment horizontal="right" vertical="center" readingOrder="2"/>
    </xf>
    <xf numFmtId="0" fontId="219" fillId="9" borderId="0" xfId="19" applyFont="1" applyFill="1" applyAlignment="1">
      <alignment horizontal="left" vertical="top" readingOrder="2"/>
    </xf>
    <xf numFmtId="0" fontId="212" fillId="9" borderId="0" xfId="19" applyFont="1" applyFill="1" applyAlignment="1">
      <alignment horizontal="left" vertical="top" readingOrder="2"/>
    </xf>
    <xf numFmtId="0" fontId="32" fillId="0" borderId="0" xfId="8" applyFont="1" applyAlignment="1">
      <alignment horizontal="left" vertical="top" readingOrder="2"/>
    </xf>
    <xf numFmtId="0" fontId="32" fillId="9" borderId="0" xfId="20" applyFont="1" applyFill="1" applyAlignment="1">
      <alignment horizontal="left" vertical="top" readingOrder="2"/>
    </xf>
    <xf numFmtId="0" fontId="32" fillId="9" borderId="0" xfId="0" applyFont="1" applyFill="1"/>
    <xf numFmtId="0" fontId="50" fillId="0" borderId="35" xfId="15" applyNumberFormat="1" applyFont="1" applyFill="1" applyBorder="1" applyAlignment="1">
      <alignment horizontal="center" readingOrder="2"/>
    </xf>
    <xf numFmtId="0" fontId="47" fillId="0" borderId="0" xfId="15" applyFont="1" applyFill="1" applyBorder="1" applyAlignment="1">
      <alignment horizontal="center" vertical="center" wrapText="1"/>
    </xf>
    <xf numFmtId="0" fontId="36" fillId="0" borderId="0" xfId="15" applyFont="1" applyFill="1" applyBorder="1" applyAlignment="1">
      <alignment horizontal="center" vertical="center" wrapText="1"/>
    </xf>
    <xf numFmtId="0" fontId="50" fillId="0" borderId="0" xfId="15" applyFont="1" applyFill="1" applyBorder="1" applyAlignment="1">
      <alignment horizontal="center" vertical="center" wrapText="1"/>
    </xf>
    <xf numFmtId="0" fontId="33" fillId="0" borderId="0" xfId="15" applyFont="1" applyFill="1" applyBorder="1" applyAlignment="1">
      <alignment horizontal="center" vertical="center" wrapText="1"/>
    </xf>
    <xf numFmtId="0" fontId="220" fillId="0" borderId="0" xfId="0" applyFont="1"/>
    <xf numFmtId="0" fontId="50" fillId="0" borderId="0" xfId="15" applyFont="1" applyFill="1" applyBorder="1" applyAlignment="1">
      <alignment vertical="top" wrapText="1"/>
    </xf>
    <xf numFmtId="0" fontId="47" fillId="0" borderId="0" xfId="15" applyFont="1" applyFill="1" applyBorder="1" applyAlignment="1">
      <alignment horizontal="right" vertical="center" wrapText="1"/>
    </xf>
    <xf numFmtId="167" fontId="47" fillId="0" borderId="32" xfId="8" applyNumberFormat="1" applyFont="1" applyBorder="1" applyAlignment="1">
      <alignment horizontal="right" vertical="center" readingOrder="2"/>
    </xf>
    <xf numFmtId="0" fontId="128" fillId="0" borderId="0" xfId="15" applyFont="1"/>
    <xf numFmtId="0" fontId="54" fillId="0" borderId="0" xfId="15" applyFont="1"/>
    <xf numFmtId="0" fontId="109" fillId="0" borderId="0" xfId="15" applyFont="1" applyAlignment="1">
      <alignment horizontal="left" readingOrder="2"/>
    </xf>
    <xf numFmtId="0" fontId="129" fillId="0" borderId="0" xfId="15" applyFont="1" applyFill="1"/>
    <xf numFmtId="0" fontId="128" fillId="9" borderId="0" xfId="15" applyFont="1" applyFill="1" applyAlignment="1">
      <alignment vertical="top"/>
    </xf>
    <xf numFmtId="0" fontId="51" fillId="0" borderId="0" xfId="15" applyFont="1" applyAlignment="1">
      <alignment vertical="top"/>
    </xf>
    <xf numFmtId="0" fontId="51" fillId="0" borderId="0" xfId="15" applyFont="1" applyBorder="1" applyAlignment="1">
      <alignment vertical="top"/>
    </xf>
    <xf numFmtId="0" fontId="128" fillId="9" borderId="0" xfId="15" applyFont="1" applyFill="1" applyBorder="1" applyAlignment="1">
      <alignment vertical="top" readingOrder="2"/>
    </xf>
    <xf numFmtId="0" fontId="54" fillId="9" borderId="0" xfId="15" applyFont="1" applyFill="1" applyBorder="1" applyAlignment="1">
      <alignment vertical="top" readingOrder="2"/>
    </xf>
    <xf numFmtId="0" fontId="128" fillId="9" borderId="0" xfId="15" applyFont="1" applyFill="1" applyBorder="1" applyAlignment="1">
      <alignment vertical="center" readingOrder="2"/>
    </xf>
    <xf numFmtId="0" fontId="54" fillId="0" borderId="0" xfId="15" applyFont="1" applyFill="1" applyBorder="1" applyAlignment="1">
      <alignment vertical="center" readingOrder="2"/>
    </xf>
    <xf numFmtId="0" fontId="128" fillId="0" borderId="0" xfId="15" applyFont="1" applyFill="1" applyBorder="1" applyAlignment="1">
      <alignment readingOrder="2"/>
    </xf>
    <xf numFmtId="0" fontId="54" fillId="0" borderId="0" xfId="15" applyFont="1" applyFill="1" applyBorder="1" applyAlignment="1">
      <alignment readingOrder="2"/>
    </xf>
    <xf numFmtId="0" fontId="106" fillId="9" borderId="0" xfId="15" applyNumberFormat="1" applyFont="1" applyFill="1" applyAlignment="1">
      <alignment horizontal="left" vertical="top" wrapText="1" readingOrder="2"/>
    </xf>
    <xf numFmtId="0" fontId="106" fillId="9" borderId="0" xfId="15" applyFont="1" applyFill="1" applyAlignment="1">
      <alignment horizontal="left" vertical="top" wrapText="1" readingOrder="2"/>
    </xf>
    <xf numFmtId="0" fontId="60" fillId="0" borderId="0" xfId="8" applyFont="1" applyAlignment="1">
      <alignment horizontal="right" vertical="center" wrapText="1" readingOrder="2"/>
    </xf>
    <xf numFmtId="0" fontId="59" fillId="0" borderId="0" xfId="0" applyFont="1"/>
    <xf numFmtId="174" fontId="48" fillId="0" borderId="0" xfId="13" applyNumberFormat="1" applyFont="1" applyAlignment="1">
      <alignment horizontal="right" readingOrder="2"/>
    </xf>
    <xf numFmtId="0" fontId="59" fillId="0" borderId="0" xfId="0" applyFont="1" applyBorder="1"/>
    <xf numFmtId="164" fontId="31" fillId="0" borderId="0" xfId="36" applyNumberFormat="1" applyFont="1" applyBorder="1" applyAlignment="1">
      <alignment vertical="center"/>
    </xf>
    <xf numFmtId="167" fontId="31" fillId="0" borderId="0" xfId="36" applyNumberFormat="1" applyFont="1" applyBorder="1" applyAlignment="1">
      <alignment vertical="center"/>
    </xf>
    <xf numFmtId="0" fontId="46" fillId="0" borderId="0" xfId="0" applyFont="1" applyBorder="1"/>
    <xf numFmtId="164" fontId="46" fillId="0" borderId="0" xfId="0" applyNumberFormat="1" applyFont="1" applyBorder="1"/>
    <xf numFmtId="1" fontId="169" fillId="9" borderId="0" xfId="19" applyNumberFormat="1" applyFont="1" applyFill="1" applyAlignment="1">
      <alignment horizontal="center" vertical="center"/>
    </xf>
    <xf numFmtId="0" fontId="107" fillId="9" borderId="0" xfId="0" applyFont="1" applyFill="1"/>
    <xf numFmtId="0" fontId="169" fillId="9" borderId="0" xfId="0" applyFont="1" applyFill="1"/>
    <xf numFmtId="0" fontId="109" fillId="9" borderId="0" xfId="22" applyFont="1" applyFill="1" applyAlignment="1">
      <alignment horizontal="right" readingOrder="2"/>
    </xf>
    <xf numFmtId="0" fontId="59" fillId="0" borderId="0" xfId="0" applyFont="1"/>
    <xf numFmtId="164" fontId="32" fillId="9" borderId="0" xfId="8" applyNumberFormat="1" applyFont="1" applyFill="1" applyBorder="1" applyAlignment="1">
      <alignment vertical="center"/>
    </xf>
    <xf numFmtId="0" fontId="81" fillId="0" borderId="0" xfId="0" applyFont="1" applyAlignment="1">
      <alignment vertical="center"/>
    </xf>
    <xf numFmtId="0" fontId="32" fillId="0" borderId="0" xfId="14" applyFont="1" applyAlignment="1">
      <alignment horizontal="right" readingOrder="2"/>
    </xf>
    <xf numFmtId="0" fontId="221" fillId="0" borderId="0" xfId="0" applyFont="1"/>
    <xf numFmtId="0" fontId="222" fillId="9" borderId="0" xfId="15" applyFont="1" applyFill="1" applyAlignment="1">
      <alignment horizontal="left" vertical="top" wrapText="1" readingOrder="2"/>
    </xf>
    <xf numFmtId="0" fontId="224" fillId="0" borderId="0" xfId="0" applyFont="1"/>
    <xf numFmtId="0" fontId="144" fillId="10" borderId="19" xfId="3" applyFont="1" applyFill="1" applyBorder="1" applyAlignment="1" applyProtection="1">
      <alignment horizontal="right" vertical="center"/>
      <protection locked="0"/>
    </xf>
    <xf numFmtId="0" fontId="124" fillId="9" borderId="0" xfId="0" applyFont="1" applyFill="1" applyAlignment="1">
      <alignment vertical="top"/>
    </xf>
    <xf numFmtId="0" fontId="31" fillId="9" borderId="0" xfId="21" applyFont="1" applyFill="1" applyAlignment="1">
      <alignment horizontal="left" vertical="top" readingOrder="2"/>
    </xf>
    <xf numFmtId="167" fontId="51" fillId="0" borderId="0" xfId="0" applyNumberFormat="1" applyFont="1"/>
    <xf numFmtId="164" fontId="225" fillId="19" borderId="0" xfId="0" applyNumberFormat="1" applyFont="1" applyFill="1"/>
    <xf numFmtId="0" fontId="143" fillId="9" borderId="0" xfId="5" applyFont="1" applyFill="1" applyAlignment="1">
      <alignment horizontal="center" vertical="top" readingOrder="2"/>
    </xf>
    <xf numFmtId="0" fontId="59" fillId="0" borderId="0" xfId="0" applyFont="1"/>
    <xf numFmtId="0" fontId="35" fillId="9" borderId="0" xfId="19" applyFont="1" applyFill="1" applyAlignment="1">
      <alignment horizontal="right" vertical="top" wrapText="1" readingOrder="2"/>
    </xf>
    <xf numFmtId="0" fontId="166" fillId="0" borderId="0" xfId="0" applyFont="1" applyAlignment="1">
      <alignment vertical="top" wrapText="1"/>
    </xf>
    <xf numFmtId="168" fontId="49" fillId="23" borderId="19" xfId="10" applyNumberFormat="1" applyFont="1" applyFill="1" applyBorder="1" applyAlignment="1">
      <alignment horizontal="right" vertical="center"/>
    </xf>
    <xf numFmtId="0" fontId="34" fillId="0" borderId="0" xfId="15" applyFont="1" applyFill="1" applyBorder="1" applyAlignment="1">
      <alignment vertical="top" wrapText="1"/>
    </xf>
    <xf numFmtId="0" fontId="31" fillId="0" borderId="35" xfId="6" applyFont="1" applyBorder="1" applyAlignment="1"/>
    <xf numFmtId="0" fontId="31" fillId="0" borderId="35" xfId="6" applyFont="1" applyBorder="1" applyAlignment="1">
      <alignment horizontal="center" vertical="center"/>
    </xf>
    <xf numFmtId="0" fontId="56" fillId="0" borderId="0" xfId="5" applyFont="1" applyAlignment="1">
      <alignment horizontal="center" vertical="top" readingOrder="2"/>
    </xf>
    <xf numFmtId="0" fontId="139" fillId="0" borderId="0" xfId="7" applyFont="1" applyAlignment="1">
      <alignment horizontal="center" vertical="top"/>
    </xf>
    <xf numFmtId="0" fontId="56" fillId="0" borderId="0" xfId="7" applyFont="1" applyAlignment="1">
      <alignment horizontal="center" vertical="top"/>
    </xf>
    <xf numFmtId="0" fontId="59" fillId="0" borderId="0" xfId="0" applyFont="1"/>
    <xf numFmtId="49" fontId="154" fillId="0" borderId="0" xfId="6" applyNumberFormat="1" applyFont="1" applyBorder="1" applyAlignment="1">
      <alignment horizontal="right" vertical="center" readingOrder="2"/>
    </xf>
    <xf numFmtId="49" fontId="130" fillId="0" borderId="0" xfId="6" applyNumberFormat="1" applyFont="1" applyBorder="1" applyAlignment="1">
      <alignment horizontal="right" vertical="center" readingOrder="2"/>
    </xf>
    <xf numFmtId="164" fontId="43" fillId="9" borderId="34" xfId="6" applyNumberFormat="1" applyFont="1" applyFill="1" applyBorder="1" applyAlignment="1">
      <alignment vertical="center"/>
    </xf>
    <xf numFmtId="164" fontId="43" fillId="0" borderId="0" xfId="6" applyNumberFormat="1" applyFont="1" applyBorder="1" applyAlignment="1">
      <alignment vertical="center"/>
    </xf>
    <xf numFmtId="164" fontId="43" fillId="0" borderId="34" xfId="6" applyNumberFormat="1" applyFont="1" applyBorder="1" applyAlignment="1">
      <alignment vertical="center"/>
    </xf>
    <xf numFmtId="164" fontId="64" fillId="0" borderId="0" xfId="6" applyNumberFormat="1" applyFont="1" applyBorder="1" applyAlignment="1">
      <alignment horizontal="center" vertical="center"/>
    </xf>
    <xf numFmtId="0" fontId="175" fillId="0" borderId="0" xfId="0" applyFont="1" applyAlignment="1">
      <alignment vertical="center"/>
    </xf>
    <xf numFmtId="164" fontId="64" fillId="0" borderId="0" xfId="6" applyNumberFormat="1" applyFont="1" applyBorder="1" applyAlignment="1">
      <alignment horizontal="right" vertical="center"/>
    </xf>
    <xf numFmtId="171" fontId="34" fillId="9" borderId="0" xfId="5" applyNumberFormat="1" applyFont="1" applyFill="1" applyBorder="1" applyAlignment="1">
      <alignment horizontal="center" vertical="center"/>
    </xf>
    <xf numFmtId="174" fontId="31" fillId="0" borderId="0" xfId="42" applyNumberFormat="1" applyFont="1" applyFill="1" applyAlignment="1">
      <alignment horizontal="center" vertical="center" readingOrder="2"/>
    </xf>
    <xf numFmtId="3" fontId="34" fillId="0" borderId="0" xfId="12" applyNumberFormat="1" applyFont="1" applyBorder="1" applyAlignment="1">
      <alignment horizontal="center" vertical="center" readingOrder="2"/>
    </xf>
    <xf numFmtId="3" fontId="34" fillId="0" borderId="0" xfId="8" applyNumberFormat="1" applyFont="1" applyAlignment="1">
      <alignment horizontal="center" vertical="center" readingOrder="2"/>
    </xf>
    <xf numFmtId="3" fontId="34" fillId="0" borderId="34" xfId="8" applyNumberFormat="1" applyFont="1" applyBorder="1" applyAlignment="1">
      <alignment horizontal="center" vertical="center" readingOrder="2"/>
    </xf>
    <xf numFmtId="3" fontId="34" fillId="9" borderId="0" xfId="8" applyNumberFormat="1" applyFont="1" applyFill="1" applyBorder="1" applyAlignment="1">
      <alignment vertical="center"/>
    </xf>
    <xf numFmtId="3" fontId="48" fillId="0" borderId="0" xfId="42" applyNumberFormat="1" applyFont="1" applyAlignment="1">
      <alignment horizontal="right"/>
    </xf>
    <xf numFmtId="3" fontId="48" fillId="0" borderId="0" xfId="42" applyNumberFormat="1" applyFont="1" applyFill="1" applyAlignment="1">
      <alignment horizontal="right"/>
    </xf>
    <xf numFmtId="174" fontId="52" fillId="0" borderId="0" xfId="13" applyNumberFormat="1" applyFont="1" applyAlignment="1">
      <alignment horizontal="right"/>
    </xf>
    <xf numFmtId="167" fontId="34" fillId="9" borderId="0" xfId="8" applyNumberFormat="1" applyFont="1" applyFill="1" applyBorder="1" applyAlignment="1">
      <alignment horizontal="center" vertical="center" readingOrder="2"/>
    </xf>
    <xf numFmtId="0" fontId="65" fillId="0" borderId="0" xfId="13" applyNumberFormat="1" applyFont="1" applyBorder="1" applyAlignment="1">
      <alignment horizontal="center" readingOrder="2"/>
    </xf>
    <xf numFmtId="0" fontId="33" fillId="0" borderId="0" xfId="13" applyFont="1" applyBorder="1" applyAlignment="1">
      <alignment horizontal="center"/>
    </xf>
    <xf numFmtId="174" fontId="34" fillId="0" borderId="0" xfId="42" applyNumberFormat="1" applyFont="1" applyBorder="1" applyAlignment="1">
      <alignment horizontal="right" readingOrder="2"/>
    </xf>
    <xf numFmtId="0" fontId="50" fillId="9" borderId="0" xfId="21" applyNumberFormat="1" applyFont="1" applyFill="1" applyBorder="1" applyAlignment="1">
      <alignment horizontal="center" vertical="center" readingOrder="2"/>
    </xf>
    <xf numFmtId="0" fontId="75" fillId="0" borderId="0" xfId="6" applyFont="1" applyAlignment="1">
      <alignment horizontal="center" vertical="top"/>
    </xf>
    <xf numFmtId="0" fontId="50" fillId="9" borderId="0" xfId="15" applyFont="1" applyFill="1" applyAlignment="1">
      <alignment horizontal="right" vertical="top" wrapText="1" readingOrder="2"/>
    </xf>
    <xf numFmtId="0" fontId="59" fillId="0" borderId="0" xfId="0" applyFont="1"/>
    <xf numFmtId="168" fontId="49" fillId="24" borderId="19" xfId="10" applyNumberFormat="1" applyFont="1" applyFill="1" applyBorder="1" applyAlignment="1">
      <alignment horizontal="right" vertical="center"/>
    </xf>
    <xf numFmtId="0" fontId="32" fillId="9" borderId="0" xfId="30" applyFont="1" applyFill="1" applyAlignment="1">
      <alignment horizontal="right" vertical="top" readingOrder="2"/>
    </xf>
    <xf numFmtId="0" fontId="95" fillId="0" borderId="0" xfId="0" applyFont="1" applyAlignment="1">
      <alignment horizontal="right" vertical="center" wrapText="1" readingOrder="2"/>
    </xf>
    <xf numFmtId="0" fontId="49" fillId="25" borderId="19" xfId="3" applyFont="1" applyFill="1" applyBorder="1" applyAlignment="1" applyProtection="1">
      <alignment horizontal="right" vertical="center"/>
      <protection locked="0"/>
    </xf>
    <xf numFmtId="0" fontId="64" fillId="0" borderId="0" xfId="0" applyFont="1" applyAlignment="1">
      <alignment horizontal="center"/>
    </xf>
    <xf numFmtId="0" fontId="63" fillId="0" borderId="0" xfId="0" applyFont="1"/>
    <xf numFmtId="0" fontId="123" fillId="0" borderId="35" xfId="0" applyFont="1" applyBorder="1" applyAlignment="1">
      <alignment horizontal="center" vertical="center"/>
    </xf>
    <xf numFmtId="0" fontId="123" fillId="0" borderId="0" xfId="0" applyFont="1" applyAlignment="1">
      <alignment horizontal="center" vertical="center" wrapText="1"/>
    </xf>
    <xf numFmtId="0" fontId="123" fillId="0" borderId="35" xfId="0" applyFont="1" applyBorder="1" applyAlignment="1">
      <alignment horizontal="center" vertical="center" wrapText="1"/>
    </xf>
    <xf numFmtId="0" fontId="63" fillId="0" borderId="0" xfId="0" applyFont="1" applyAlignment="1">
      <alignment horizontal="center" vertical="center"/>
    </xf>
    <xf numFmtId="0" fontId="63" fillId="0" borderId="0" xfId="0" applyFont="1" applyBorder="1" applyAlignment="1">
      <alignment vertical="center"/>
    </xf>
    <xf numFmtId="0" fontId="63" fillId="0" borderId="0" xfId="0" applyFont="1" applyAlignment="1">
      <alignment vertical="center"/>
    </xf>
    <xf numFmtId="0" fontId="138" fillId="0" borderId="0" xfId="0" applyFont="1" applyAlignment="1">
      <alignment vertical="center"/>
    </xf>
    <xf numFmtId="0" fontId="74" fillId="0" borderId="0" xfId="0" applyFont="1" applyAlignment="1">
      <alignment vertical="center"/>
    </xf>
    <xf numFmtId="0" fontId="90" fillId="9" borderId="0" xfId="31" applyFont="1" applyFill="1"/>
    <xf numFmtId="0" fontId="90" fillId="9" borderId="0" xfId="31" applyFont="1" applyFill="1" applyAlignment="1">
      <alignment horizontal="right"/>
    </xf>
    <xf numFmtId="0" fontId="59" fillId="0" borderId="0" xfId="0" applyFont="1"/>
    <xf numFmtId="0" fontId="59" fillId="0" borderId="0" xfId="0" applyFont="1"/>
    <xf numFmtId="0" fontId="48" fillId="0" borderId="0" xfId="28" applyFont="1" applyBorder="1" applyAlignment="1">
      <alignment vertical="center"/>
    </xf>
    <xf numFmtId="0" fontId="59" fillId="0" borderId="0" xfId="0" applyFont="1"/>
    <xf numFmtId="0" fontId="32" fillId="0" borderId="0" xfId="6" applyFont="1" applyAlignment="1">
      <alignment horizontal="center" readingOrder="2"/>
    </xf>
    <xf numFmtId="0" fontId="59" fillId="0" borderId="0" xfId="0" applyFont="1"/>
    <xf numFmtId="0" fontId="31" fillId="0" borderId="35" xfId="6" applyFont="1" applyBorder="1" applyAlignment="1">
      <alignment horizontal="center"/>
    </xf>
    <xf numFmtId="0" fontId="90" fillId="0" borderId="0" xfId="0" applyFont="1" applyFill="1" applyAlignment="1">
      <alignment vertical="center"/>
    </xf>
    <xf numFmtId="0" fontId="31" fillId="0" borderId="0" xfId="8" applyFont="1" applyAlignment="1">
      <alignment horizontal="left" vertical="center" readingOrder="2"/>
    </xf>
    <xf numFmtId="0" fontId="44" fillId="0" borderId="0" xfId="12" applyFont="1" applyAlignment="1">
      <alignment vertical="center" wrapText="1" readingOrder="2"/>
    </xf>
    <xf numFmtId="174" fontId="31" fillId="0" borderId="0" xfId="42" applyNumberFormat="1" applyFont="1" applyBorder="1" applyAlignment="1">
      <alignment horizontal="right" vertical="center"/>
    </xf>
    <xf numFmtId="0" fontId="60" fillId="9" borderId="0" xfId="12" applyFont="1" applyFill="1" applyAlignment="1">
      <alignment vertical="center" readingOrder="2"/>
    </xf>
    <xf numFmtId="0" fontId="59" fillId="0" borderId="0" xfId="0" applyFont="1" applyFill="1" applyAlignment="1">
      <alignment vertical="center"/>
    </xf>
    <xf numFmtId="174" fontId="31" fillId="9" borderId="0" xfId="42" applyNumberFormat="1" applyFont="1" applyFill="1" applyBorder="1" applyAlignment="1">
      <alignment horizontal="right" vertical="center"/>
    </xf>
    <xf numFmtId="3" fontId="48" fillId="0" borderId="0" xfId="12" applyNumberFormat="1" applyFont="1" applyBorder="1" applyAlignment="1">
      <alignment horizontal="right" vertical="center" readingOrder="2"/>
    </xf>
    <xf numFmtId="0" fontId="64" fillId="0" borderId="0" xfId="21" applyFont="1" applyFill="1" applyAlignment="1">
      <alignment horizontal="right" vertical="center" readingOrder="2"/>
    </xf>
    <xf numFmtId="0" fontId="84" fillId="0" borderId="0" xfId="0" applyFont="1" applyFill="1" applyAlignment="1">
      <alignment vertical="center"/>
    </xf>
    <xf numFmtId="164" fontId="31" fillId="0" borderId="0" xfId="17" applyNumberFormat="1" applyFont="1" applyFill="1" applyBorder="1" applyAlignment="1">
      <alignment horizontal="center" vertical="center"/>
    </xf>
    <xf numFmtId="164" fontId="31" fillId="0" borderId="34" xfId="17" applyNumberFormat="1" applyFont="1" applyFill="1" applyBorder="1" applyAlignment="1">
      <alignment horizontal="center" vertical="center"/>
    </xf>
    <xf numFmtId="164" fontId="31" fillId="9" borderId="0" xfId="17" applyNumberFormat="1" applyFont="1" applyFill="1" applyBorder="1" applyAlignment="1">
      <alignment horizontal="center" vertical="center" wrapText="1"/>
    </xf>
    <xf numFmtId="174" fontId="110" fillId="9" borderId="34" xfId="42" applyNumberFormat="1" applyFont="1" applyFill="1" applyBorder="1" applyAlignment="1">
      <alignment horizontal="center" vertical="center" wrapText="1"/>
    </xf>
    <xf numFmtId="0" fontId="34" fillId="0" borderId="0" xfId="8" applyFont="1" applyAlignment="1">
      <alignment horizontal="left" readingOrder="2"/>
    </xf>
    <xf numFmtId="164" fontId="35" fillId="9" borderId="24" xfId="34" applyNumberFormat="1" applyFont="1" applyFill="1" applyBorder="1" applyAlignment="1">
      <alignment horizontal="center" vertical="center"/>
    </xf>
    <xf numFmtId="0" fontId="48" fillId="9" borderId="61" xfId="34" applyFont="1" applyFill="1" applyBorder="1" applyAlignment="1">
      <alignment horizontal="center" vertical="top" wrapText="1"/>
    </xf>
    <xf numFmtId="0" fontId="60" fillId="9" borderId="38" xfId="34" applyFont="1" applyFill="1" applyBorder="1" applyAlignment="1">
      <alignment horizontal="center" vertical="center" wrapText="1"/>
    </xf>
    <xf numFmtId="0" fontId="48" fillId="9" borderId="48" xfId="34" applyFont="1" applyFill="1" applyBorder="1" applyAlignment="1">
      <alignment horizontal="right" vertical="center" wrapText="1"/>
    </xf>
    <xf numFmtId="0" fontId="48" fillId="9" borderId="13" xfId="34" applyFont="1" applyFill="1" applyBorder="1" applyAlignment="1">
      <alignment horizontal="center" vertical="center" wrapText="1"/>
    </xf>
    <xf numFmtId="0" fontId="48" fillId="9" borderId="17" xfId="34" applyFont="1" applyFill="1" applyBorder="1" applyAlignment="1">
      <alignment horizontal="right" vertical="center" wrapText="1"/>
    </xf>
    <xf numFmtId="164" fontId="35" fillId="9" borderId="17" xfId="34" applyNumberFormat="1" applyFont="1" applyFill="1" applyBorder="1" applyAlignment="1">
      <alignment horizontal="center" vertical="center"/>
    </xf>
    <xf numFmtId="3" fontId="35" fillId="9" borderId="17" xfId="34" applyNumberFormat="1" applyFont="1" applyFill="1" applyBorder="1" applyAlignment="1">
      <alignment horizontal="right" vertical="center"/>
    </xf>
    <xf numFmtId="3" fontId="35" fillId="9" borderId="48" xfId="34" applyNumberFormat="1" applyFont="1" applyFill="1" applyBorder="1" applyAlignment="1">
      <alignment horizontal="left" vertical="center" wrapText="1"/>
    </xf>
    <xf numFmtId="3" fontId="34" fillId="9" borderId="51" xfId="34" applyNumberFormat="1" applyFont="1" applyFill="1" applyBorder="1" applyAlignment="1">
      <alignment horizontal="left" vertical="center" wrapText="1"/>
    </xf>
    <xf numFmtId="49" fontId="82" fillId="9" borderId="0" xfId="47" applyNumberFormat="1" applyFont="1" applyFill="1" applyBorder="1" applyAlignment="1">
      <alignment vertical="center"/>
    </xf>
    <xf numFmtId="0" fontId="227" fillId="0" borderId="0" xfId="5" applyFont="1" applyAlignment="1">
      <alignment vertical="top" readingOrder="2"/>
    </xf>
    <xf numFmtId="164" fontId="40" fillId="0" borderId="0" xfId="6" applyNumberFormat="1" applyFont="1" applyBorder="1" applyAlignment="1">
      <alignment vertical="center"/>
    </xf>
    <xf numFmtId="49" fontId="40" fillId="0" borderId="0" xfId="6" applyNumberFormat="1" applyFont="1" applyBorder="1" applyAlignment="1">
      <alignment vertical="center"/>
    </xf>
    <xf numFmtId="0" fontId="32" fillId="0" borderId="0" xfId="11" applyFont="1" applyAlignment="1">
      <alignment horizontal="center" readingOrder="2"/>
    </xf>
    <xf numFmtId="0" fontId="134" fillId="9" borderId="0" xfId="19" applyFont="1" applyFill="1" applyBorder="1" applyAlignment="1">
      <alignment horizontal="right" vertical="center" wrapText="1"/>
    </xf>
    <xf numFmtId="0" fontId="134" fillId="9" borderId="0" xfId="19" applyFont="1" applyFill="1" applyBorder="1" applyAlignment="1">
      <alignment horizontal="right" vertical="center" wrapText="1" readingOrder="2"/>
    </xf>
    <xf numFmtId="0" fontId="134" fillId="9" borderId="0" xfId="0" applyFont="1" applyFill="1"/>
    <xf numFmtId="0" fontId="134" fillId="9" borderId="0" xfId="0" applyFont="1" applyFill="1" applyBorder="1"/>
    <xf numFmtId="0" fontId="29" fillId="0" borderId="0" xfId="5" applyFont="1" applyFill="1" applyAlignment="1">
      <alignment horizontal="left" vertical="center" readingOrder="2"/>
    </xf>
    <xf numFmtId="0" fontId="31" fillId="0" borderId="0" xfId="13" applyFont="1" applyAlignment="1">
      <alignment vertical="center" readingOrder="2"/>
    </xf>
    <xf numFmtId="3" fontId="49" fillId="9" borderId="0" xfId="21" applyNumberFormat="1" applyFont="1" applyFill="1" applyAlignment="1">
      <alignment horizontal="right" vertical="top"/>
    </xf>
    <xf numFmtId="3" fontId="49" fillId="9" borderId="34" xfId="21" applyNumberFormat="1" applyFont="1" applyFill="1" applyBorder="1" applyAlignment="1">
      <alignment horizontal="right" vertical="top"/>
    </xf>
    <xf numFmtId="0" fontId="35" fillId="9" borderId="0" xfId="24" applyFont="1" applyFill="1" applyAlignment="1">
      <alignment horizontal="right" readingOrder="2"/>
    </xf>
    <xf numFmtId="0" fontId="48" fillId="9" borderId="0" xfId="0" applyFont="1" applyFill="1"/>
    <xf numFmtId="0" fontId="30" fillId="9" borderId="0" xfId="31" applyFont="1" applyFill="1" applyAlignment="1">
      <alignment horizontal="left" vertical="top" readingOrder="2"/>
    </xf>
    <xf numFmtId="0" fontId="68" fillId="9" borderId="0" xfId="0" applyFont="1" applyFill="1" applyAlignment="1">
      <alignment vertical="top"/>
    </xf>
    <xf numFmtId="164" fontId="43" fillId="9" borderId="30" xfId="23" applyNumberFormat="1" applyFont="1" applyFill="1" applyBorder="1" applyAlignment="1">
      <alignment horizontal="right" vertical="center"/>
    </xf>
    <xf numFmtId="164" fontId="43" fillId="9" borderId="22" xfId="23" applyNumberFormat="1" applyFont="1" applyFill="1" applyBorder="1" applyAlignment="1">
      <alignment horizontal="right" vertical="center"/>
    </xf>
    <xf numFmtId="164" fontId="43" fillId="9" borderId="25" xfId="23" applyNumberFormat="1" applyFont="1" applyFill="1" applyBorder="1" applyAlignment="1">
      <alignment horizontal="right" vertical="center"/>
    </xf>
    <xf numFmtId="0" fontId="43" fillId="9" borderId="7" xfId="32" applyFont="1" applyFill="1" applyBorder="1" applyAlignment="1">
      <alignment horizontal="center" vertical="center" wrapText="1"/>
    </xf>
    <xf numFmtId="0" fontId="43" fillId="9" borderId="4" xfId="32" applyFont="1" applyFill="1" applyBorder="1" applyAlignment="1">
      <alignment horizontal="center" vertical="center" shrinkToFit="1"/>
    </xf>
    <xf numFmtId="0" fontId="43" fillId="9" borderId="4" xfId="32" applyFont="1" applyFill="1" applyBorder="1" applyAlignment="1">
      <alignment horizontal="center" vertical="center" wrapText="1"/>
    </xf>
    <xf numFmtId="0" fontId="43" fillId="9" borderId="5" xfId="32" applyFont="1" applyFill="1" applyBorder="1" applyAlignment="1">
      <alignment horizontal="center" vertical="center" wrapText="1"/>
    </xf>
    <xf numFmtId="0" fontId="43" fillId="9" borderId="48" xfId="32" applyFont="1" applyFill="1" applyBorder="1" applyAlignment="1">
      <alignment vertical="center" wrapText="1"/>
    </xf>
    <xf numFmtId="9" fontId="43" fillId="9" borderId="48" xfId="43" applyFont="1" applyFill="1" applyBorder="1" applyAlignment="1">
      <alignment horizontal="center" vertical="center" wrapText="1"/>
    </xf>
    <xf numFmtId="164" fontId="43" fillId="9" borderId="48" xfId="23" applyNumberFormat="1" applyFont="1" applyFill="1" applyBorder="1" applyAlignment="1">
      <alignment horizontal="center" vertical="center"/>
    </xf>
    <xf numFmtId="164" fontId="43" fillId="9" borderId="48" xfId="23" applyNumberFormat="1" applyFont="1" applyFill="1" applyBorder="1" applyAlignment="1">
      <alignment horizontal="right" vertical="center"/>
    </xf>
    <xf numFmtId="164" fontId="43" fillId="9" borderId="47" xfId="23" applyNumberFormat="1" applyFont="1" applyFill="1" applyBorder="1" applyAlignment="1">
      <alignment horizontal="right" vertical="center"/>
    </xf>
    <xf numFmtId="0" fontId="43" fillId="9" borderId="17" xfId="32" applyFont="1" applyFill="1" applyBorder="1" applyAlignment="1">
      <alignment vertical="center" wrapText="1"/>
    </xf>
    <xf numFmtId="9" fontId="43" fillId="9" borderId="17" xfId="43" applyFont="1" applyFill="1" applyBorder="1" applyAlignment="1">
      <alignment horizontal="center" vertical="center" wrapText="1"/>
    </xf>
    <xf numFmtId="164" fontId="43" fillId="9" borderId="17" xfId="23" applyNumberFormat="1" applyFont="1" applyFill="1" applyBorder="1" applyAlignment="1">
      <alignment horizontal="center" vertical="center"/>
    </xf>
    <xf numFmtId="164" fontId="43" fillId="9" borderId="17" xfId="23" applyNumberFormat="1" applyFont="1" applyFill="1" applyBorder="1" applyAlignment="1">
      <alignment horizontal="right" vertical="center"/>
    </xf>
    <xf numFmtId="0" fontId="43" fillId="9" borderId="17" xfId="32" applyFont="1" applyFill="1" applyBorder="1" applyAlignment="1">
      <alignment horizontal="right" vertical="center" shrinkToFit="1" readingOrder="2"/>
    </xf>
    <xf numFmtId="164" fontId="30" fillId="9" borderId="25" xfId="23" applyNumberFormat="1" applyFont="1" applyFill="1" applyBorder="1" applyAlignment="1">
      <alignment vertical="center"/>
    </xf>
    <xf numFmtId="164" fontId="43" fillId="9" borderId="46" xfId="23" applyNumberFormat="1" applyFont="1" applyFill="1" applyBorder="1" applyAlignment="1">
      <alignment vertical="center"/>
    </xf>
    <xf numFmtId="164" fontId="43" fillId="9" borderId="30" xfId="23" applyNumberFormat="1" applyFont="1" applyFill="1" applyBorder="1" applyAlignment="1">
      <alignment vertical="center"/>
    </xf>
    <xf numFmtId="0" fontId="92" fillId="9" borderId="61" xfId="32" applyFont="1" applyFill="1" applyBorder="1" applyAlignment="1">
      <alignment horizontal="center" vertical="center" wrapText="1" readingOrder="2"/>
    </xf>
    <xf numFmtId="0" fontId="35" fillId="9" borderId="7" xfId="32" applyFont="1" applyFill="1" applyBorder="1" applyAlignment="1">
      <alignment vertical="center" wrapText="1" readingOrder="2"/>
    </xf>
    <xf numFmtId="0" fontId="43" fillId="9" borderId="4" xfId="32" applyFont="1" applyFill="1" applyBorder="1" applyAlignment="1">
      <alignment horizontal="right" vertical="center" shrinkToFit="1" readingOrder="2"/>
    </xf>
    <xf numFmtId="164" fontId="43" fillId="9" borderId="4" xfId="23" applyNumberFormat="1" applyFont="1" applyFill="1" applyBorder="1" applyAlignment="1">
      <alignment horizontal="center" vertical="center"/>
    </xf>
    <xf numFmtId="164" fontId="43" fillId="9" borderId="4" xfId="23" applyNumberFormat="1" applyFont="1" applyFill="1" applyBorder="1" applyAlignment="1">
      <alignment vertical="center"/>
    </xf>
    <xf numFmtId="164" fontId="43" fillId="9" borderId="4" xfId="23" applyNumberFormat="1" applyFont="1" applyFill="1" applyBorder="1" applyAlignment="1">
      <alignment horizontal="right" vertical="center"/>
    </xf>
    <xf numFmtId="164" fontId="43" fillId="9" borderId="5" xfId="23" applyNumberFormat="1" applyFont="1" applyFill="1" applyBorder="1" applyAlignment="1">
      <alignment vertical="center"/>
    </xf>
    <xf numFmtId="164" fontId="30" fillId="9" borderId="51" xfId="12" applyNumberFormat="1" applyFont="1" applyFill="1" applyBorder="1" applyAlignment="1">
      <alignment vertical="center" readingOrder="2"/>
    </xf>
    <xf numFmtId="0" fontId="43" fillId="9" borderId="17" xfId="32" applyFont="1" applyFill="1" applyBorder="1" applyAlignment="1">
      <alignment vertical="center" wrapText="1" shrinkToFit="1"/>
    </xf>
    <xf numFmtId="0" fontId="43" fillId="9" borderId="17" xfId="32" applyFont="1" applyFill="1" applyBorder="1" applyAlignment="1">
      <alignment horizontal="center" vertical="center" wrapText="1"/>
    </xf>
    <xf numFmtId="0" fontId="43" fillId="9" borderId="18" xfId="32" applyFont="1" applyFill="1" applyBorder="1" applyAlignment="1">
      <alignment vertical="center" wrapText="1"/>
    </xf>
    <xf numFmtId="3" fontId="48" fillId="9" borderId="51" xfId="34" applyNumberFormat="1" applyFont="1" applyFill="1" applyBorder="1" applyAlignment="1">
      <alignment horizontal="left" vertical="center" wrapText="1"/>
    </xf>
    <xf numFmtId="171" fontId="34" fillId="9" borderId="0" xfId="5" applyNumberFormat="1" applyFont="1" applyFill="1" applyAlignment="1">
      <alignment horizontal="right" vertical="center"/>
    </xf>
    <xf numFmtId="171" fontId="34" fillId="9" borderId="36" xfId="5" applyNumberFormat="1" applyFont="1" applyFill="1" applyBorder="1" applyAlignment="1">
      <alignment horizontal="right" vertical="center"/>
    </xf>
    <xf numFmtId="171" fontId="34" fillId="9" borderId="34" xfId="5" applyNumberFormat="1" applyFont="1" applyFill="1" applyBorder="1" applyAlignment="1">
      <alignment horizontal="right" vertical="center"/>
    </xf>
    <xf numFmtId="0" fontId="63" fillId="0" borderId="0" xfId="0" applyFont="1" applyBorder="1" applyAlignment="1">
      <alignment horizontal="right" vertical="center"/>
    </xf>
    <xf numFmtId="167" fontId="27" fillId="0" borderId="0" xfId="8" applyNumberFormat="1" applyFont="1" applyAlignment="1">
      <alignment horizontal="right" vertical="top" readingOrder="2"/>
    </xf>
    <xf numFmtId="0" fontId="59" fillId="0" borderId="0" xfId="0" applyFont="1" applyBorder="1" applyAlignment="1">
      <alignment vertical="top"/>
    </xf>
    <xf numFmtId="0" fontId="27" fillId="0" borderId="0" xfId="15" applyFont="1" applyFill="1" applyBorder="1" applyAlignment="1">
      <alignment vertical="top" wrapText="1"/>
    </xf>
    <xf numFmtId="164" fontId="59" fillId="0" borderId="0" xfId="15" applyNumberFormat="1" applyFont="1" applyFill="1" applyBorder="1" applyAlignment="1">
      <alignment vertical="top"/>
    </xf>
    <xf numFmtId="0" fontId="79" fillId="0" borderId="0" xfId="0" applyFont="1" applyAlignment="1">
      <alignment horizontal="left" vertical="top"/>
    </xf>
    <xf numFmtId="0" fontId="59" fillId="0" borderId="0" xfId="0" applyFont="1"/>
    <xf numFmtId="0" fontId="39" fillId="0" borderId="0" xfId="0" applyFont="1" applyAlignment="1">
      <alignment horizontal="right" vertical="center" wrapText="1" readingOrder="2"/>
    </xf>
    <xf numFmtId="0" fontId="37" fillId="0" borderId="0" xfId="33" applyFont="1" applyAlignment="1">
      <alignment horizontal="right" vertical="center" readingOrder="2"/>
    </xf>
    <xf numFmtId="0" fontId="32" fillId="9" borderId="0" xfId="14" applyFont="1" applyFill="1" applyAlignment="1">
      <alignment horizontal="center" readingOrder="2"/>
    </xf>
    <xf numFmtId="0" fontId="31" fillId="9" borderId="0" xfId="25" applyFont="1" applyFill="1" applyAlignment="1">
      <alignment horizontal="right" vertical="top" wrapText="1" readingOrder="2"/>
    </xf>
    <xf numFmtId="164" fontId="119" fillId="0" borderId="0" xfId="6" applyNumberFormat="1" applyFont="1" applyBorder="1" applyAlignment="1">
      <alignment vertical="center"/>
    </xf>
    <xf numFmtId="167" fontId="27" fillId="0" borderId="0" xfId="8" applyNumberFormat="1" applyFont="1" applyBorder="1" applyAlignment="1">
      <alignment horizontal="right" vertical="top" readingOrder="2"/>
    </xf>
    <xf numFmtId="167" fontId="47" fillId="0" borderId="36" xfId="8" applyNumberFormat="1" applyFont="1" applyBorder="1" applyAlignment="1">
      <alignment horizontal="right" vertical="top" readingOrder="2"/>
    </xf>
    <xf numFmtId="167" fontId="149" fillId="9" borderId="0" xfId="8" applyNumberFormat="1" applyFont="1" applyFill="1" applyBorder="1" applyAlignment="1">
      <alignment horizontal="right" vertical="top" readingOrder="2"/>
    </xf>
    <xf numFmtId="167" fontId="46" fillId="0" borderId="34" xfId="0" applyNumberFormat="1" applyFont="1" applyBorder="1"/>
    <xf numFmtId="167" fontId="47" fillId="0" borderId="69" xfId="8" applyNumberFormat="1" applyFont="1" applyBorder="1" applyAlignment="1">
      <alignment horizontal="right" vertical="center" readingOrder="2"/>
    </xf>
    <xf numFmtId="0" fontId="46" fillId="0" borderId="0" xfId="0" applyFont="1" applyBorder="1" applyAlignment="1">
      <alignment vertical="top"/>
    </xf>
    <xf numFmtId="0" fontId="132" fillId="9" borderId="0" xfId="19" applyFont="1" applyFill="1" applyAlignment="1">
      <alignment vertical="center" readingOrder="2"/>
    </xf>
    <xf numFmtId="0" fontId="132" fillId="9" borderId="0" xfId="19" applyFont="1" applyFill="1" applyAlignment="1">
      <alignment horizontal="right" vertical="center" readingOrder="2"/>
    </xf>
    <xf numFmtId="0" fontId="242" fillId="9" borderId="0" xfId="19" applyFont="1" applyFill="1" applyAlignment="1">
      <alignment vertical="top" readingOrder="2"/>
    </xf>
    <xf numFmtId="0" fontId="242" fillId="9" borderId="0" xfId="19" applyNumberFormat="1" applyFont="1" applyFill="1" applyBorder="1" applyAlignment="1">
      <alignment horizontal="center" vertical="center" readingOrder="2"/>
    </xf>
    <xf numFmtId="0" fontId="243" fillId="9" borderId="0" xfId="0" applyFont="1" applyFill="1"/>
    <xf numFmtId="0" fontId="244" fillId="9" borderId="0" xfId="0" applyFont="1" applyFill="1"/>
    <xf numFmtId="164" fontId="167" fillId="9" borderId="0" xfId="6" applyNumberFormat="1" applyFont="1" applyFill="1" applyBorder="1" applyAlignment="1">
      <alignment vertical="center"/>
    </xf>
    <xf numFmtId="0" fontId="244" fillId="0" borderId="0" xfId="0" applyFont="1"/>
    <xf numFmtId="0" fontId="167" fillId="9" borderId="35" xfId="30" applyFont="1" applyFill="1" applyBorder="1" applyAlignment="1">
      <alignment horizontal="center" readingOrder="2"/>
    </xf>
    <xf numFmtId="0" fontId="29" fillId="9" borderId="0" xfId="31" applyFont="1" applyFill="1" applyAlignment="1">
      <alignment horizontal="right" vertical="center" readingOrder="2"/>
    </xf>
    <xf numFmtId="0" fontId="248" fillId="9" borderId="0" xfId="0" applyFont="1" applyFill="1"/>
    <xf numFmtId="0" fontId="251" fillId="0" borderId="0" xfId="0" applyFont="1" applyAlignment="1">
      <alignment horizontal="right" vertical="center" wrapText="1" readingOrder="2"/>
    </xf>
    <xf numFmtId="0" fontId="252" fillId="9" borderId="0" xfId="31" applyFont="1" applyFill="1"/>
    <xf numFmtId="0" fontId="251" fillId="9" borderId="0" xfId="0" applyFont="1" applyFill="1"/>
    <xf numFmtId="0" fontId="37" fillId="0" borderId="0" xfId="0" applyFont="1" applyAlignment="1">
      <alignment horizontal="right" vertical="center" wrapText="1" readingOrder="2"/>
    </xf>
    <xf numFmtId="164" fontId="29" fillId="9" borderId="0" xfId="27" applyNumberFormat="1" applyFont="1" applyFill="1" applyBorder="1" applyAlignment="1">
      <alignment vertical="center"/>
    </xf>
    <xf numFmtId="0" fontId="173" fillId="9" borderId="0" xfId="0" applyFont="1" applyFill="1"/>
    <xf numFmtId="0" fontId="95" fillId="0" borderId="35" xfId="0" applyFont="1" applyBorder="1" applyAlignment="1">
      <alignment horizontal="center" vertical="center" wrapText="1" readingOrder="2"/>
    </xf>
    <xf numFmtId="0" fontId="95" fillId="0" borderId="0" xfId="0" applyFont="1" applyBorder="1" applyAlignment="1">
      <alignment vertical="center" wrapText="1" readingOrder="2"/>
    </xf>
    <xf numFmtId="0" fontId="42" fillId="9" borderId="0" xfId="31" applyFont="1" applyFill="1" applyAlignment="1">
      <alignment vertical="center"/>
    </xf>
    <xf numFmtId="164" fontId="32" fillId="9" borderId="0" xfId="27" applyNumberFormat="1" applyFont="1" applyFill="1" applyBorder="1" applyAlignment="1">
      <alignment vertical="center"/>
    </xf>
    <xf numFmtId="0" fontId="80" fillId="0" borderId="0" xfId="0" applyFont="1"/>
    <xf numFmtId="0" fontId="219" fillId="9" borderId="0" xfId="0" applyFont="1" applyFill="1"/>
    <xf numFmtId="0" fontId="219" fillId="9" borderId="0" xfId="19" applyFont="1" applyFill="1" applyBorder="1" applyAlignment="1">
      <alignment horizontal="right" vertical="center" readingOrder="2"/>
    </xf>
    <xf numFmtId="0" fontId="253" fillId="9" borderId="0" xfId="0" applyFont="1" applyFill="1"/>
    <xf numFmtId="0" fontId="43" fillId="9" borderId="0" xfId="25" applyFont="1" applyFill="1" applyAlignment="1">
      <alignment horizontal="right" vertical="top"/>
    </xf>
    <xf numFmtId="0" fontId="43" fillId="0" borderId="0" xfId="5" applyFont="1" applyFill="1" applyAlignment="1">
      <alignment horizontal="left" vertical="center" readingOrder="2"/>
    </xf>
    <xf numFmtId="0" fontId="43" fillId="0" borderId="0" xfId="13" applyFont="1" applyAlignment="1">
      <alignment vertical="center" readingOrder="2"/>
    </xf>
    <xf numFmtId="0" fontId="89" fillId="0" borderId="0" xfId="8" applyFont="1" applyAlignment="1">
      <alignment horizontal="right" vertical="center" wrapText="1" readingOrder="2"/>
    </xf>
    <xf numFmtId="0" fontId="43" fillId="9" borderId="0" xfId="25" applyFont="1" applyFill="1" applyAlignment="1">
      <alignment horizontal="right" vertical="center" readingOrder="2"/>
    </xf>
    <xf numFmtId="0" fontId="43" fillId="9" borderId="0" xfId="25" applyFont="1" applyFill="1" applyAlignment="1">
      <alignment vertical="top"/>
    </xf>
    <xf numFmtId="0" fontId="43" fillId="9" borderId="0" xfId="25" applyFont="1" applyFill="1" applyAlignment="1">
      <alignment horizontal="right" vertical="top" wrapText="1" readingOrder="2"/>
    </xf>
    <xf numFmtId="164" fontId="154" fillId="0" borderId="0" xfId="14" applyNumberFormat="1" applyFont="1" applyBorder="1" applyAlignment="1">
      <alignment horizontal="right" vertical="center"/>
    </xf>
    <xf numFmtId="0" fontId="43" fillId="9" borderId="0" xfId="25" applyFont="1" applyFill="1" applyAlignment="1">
      <alignment vertical="center"/>
    </xf>
    <xf numFmtId="0" fontId="32" fillId="9" borderId="0" xfId="25" applyFont="1" applyFill="1" applyAlignment="1">
      <alignment horizontal="left" vertical="center" readingOrder="2"/>
    </xf>
    <xf numFmtId="0" fontId="32" fillId="9" borderId="0" xfId="25" applyFont="1" applyFill="1" applyAlignment="1">
      <alignment vertical="top"/>
    </xf>
    <xf numFmtId="164" fontId="39" fillId="0" borderId="0" xfId="14" applyNumberFormat="1" applyFont="1" applyBorder="1" applyAlignment="1">
      <alignment horizontal="right" vertical="center"/>
    </xf>
    <xf numFmtId="0" fontId="32" fillId="9" borderId="0" xfId="25" applyFont="1" applyFill="1" applyAlignment="1">
      <alignment vertical="center"/>
    </xf>
    <xf numFmtId="164" fontId="39" fillId="0" borderId="0" xfId="14" applyNumberFormat="1" applyFont="1" applyBorder="1" applyAlignment="1">
      <alignment horizontal="right" vertical="top"/>
    </xf>
    <xf numFmtId="0" fontId="31" fillId="9" borderId="0" xfId="25" applyFont="1" applyFill="1" applyAlignment="1">
      <alignment vertical="top" wrapText="1" readingOrder="2"/>
    </xf>
    <xf numFmtId="0" fontId="43" fillId="0" borderId="0" xfId="13" applyFont="1" applyAlignment="1">
      <alignment horizontal="right" vertical="center" readingOrder="2"/>
    </xf>
    <xf numFmtId="0" fontId="32" fillId="0" borderId="0" xfId="6" applyFont="1" applyAlignment="1">
      <alignment horizontal="center" readingOrder="2"/>
    </xf>
    <xf numFmtId="0" fontId="59" fillId="0" borderId="0" xfId="0" applyFont="1"/>
    <xf numFmtId="0" fontId="31" fillId="0" borderId="0" xfId="6" applyFont="1" applyBorder="1" applyAlignment="1">
      <alignment horizontal="center"/>
    </xf>
    <xf numFmtId="164" fontId="43" fillId="9" borderId="0" xfId="6" applyNumberFormat="1" applyFont="1" applyFill="1" applyBorder="1" applyAlignment="1">
      <alignment vertical="center"/>
    </xf>
    <xf numFmtId="0" fontId="49" fillId="0" borderId="0" xfId="8" applyFont="1" applyAlignment="1">
      <alignment horizontal="right" vertical="center" readingOrder="2"/>
    </xf>
    <xf numFmtId="0" fontId="48" fillId="9" borderId="0" xfId="26" applyFont="1" applyFill="1" applyAlignment="1">
      <alignment horizontal="right" vertical="top" wrapText="1" readingOrder="2"/>
    </xf>
    <xf numFmtId="0" fontId="48" fillId="9" borderId="0" xfId="26" applyFont="1" applyFill="1" applyAlignment="1">
      <alignment horizontal="right" vertical="top" wrapText="1" readingOrder="2"/>
    </xf>
    <xf numFmtId="0" fontId="48" fillId="9" borderId="0" xfId="26" applyFont="1" applyFill="1" applyAlignment="1">
      <alignment horizontal="center" vertical="top" wrapText="1" readingOrder="2"/>
    </xf>
    <xf numFmtId="49" fontId="60" fillId="9" borderId="0" xfId="25" applyNumberFormat="1" applyFont="1" applyFill="1" applyAlignment="1">
      <alignment horizontal="left" vertical="top" readingOrder="2"/>
    </xf>
    <xf numFmtId="0" fontId="60" fillId="9" borderId="0" xfId="26" applyFont="1" applyFill="1" applyAlignment="1">
      <alignment horizontal="center" vertical="top" wrapText="1" readingOrder="2"/>
    </xf>
    <xf numFmtId="4" fontId="48" fillId="9" borderId="0" xfId="26" applyNumberFormat="1" applyFont="1" applyFill="1" applyAlignment="1">
      <alignment vertical="center" wrapText="1" readingOrder="2"/>
    </xf>
    <xf numFmtId="4" fontId="48" fillId="9" borderId="0" xfId="26" applyNumberFormat="1" applyFont="1" applyFill="1" applyBorder="1" applyAlignment="1">
      <alignment vertical="top" wrapText="1" readingOrder="2"/>
    </xf>
    <xf numFmtId="0" fontId="48" fillId="9" borderId="32" xfId="26" applyFont="1" applyFill="1" applyBorder="1" applyAlignment="1">
      <alignment horizontal="center" vertical="top" wrapText="1" readingOrder="2"/>
    </xf>
    <xf numFmtId="0" fontId="48" fillId="9" borderId="36" xfId="26" applyFont="1" applyFill="1" applyBorder="1" applyAlignment="1">
      <alignment horizontal="center" vertical="top" wrapText="1" readingOrder="2"/>
    </xf>
    <xf numFmtId="3" fontId="35" fillId="9" borderId="34" xfId="17" applyNumberFormat="1" applyFont="1" applyFill="1" applyBorder="1" applyAlignment="1">
      <alignment horizontal="right" vertical="center"/>
    </xf>
    <xf numFmtId="0" fontId="60" fillId="9" borderId="0" xfId="26" applyFont="1" applyFill="1" applyAlignment="1">
      <alignment horizontal="center" vertical="top" wrapText="1" readingOrder="2"/>
    </xf>
    <xf numFmtId="0" fontId="48" fillId="9" borderId="0" xfId="26" applyFont="1" applyFill="1" applyBorder="1" applyAlignment="1">
      <alignment horizontal="center" vertical="top" wrapText="1" readingOrder="2"/>
    </xf>
    <xf numFmtId="0" fontId="129" fillId="9" borderId="0" xfId="26" applyFont="1" applyFill="1" applyAlignment="1">
      <alignment horizontal="right" vertical="center"/>
    </xf>
    <xf numFmtId="0" fontId="51" fillId="9" borderId="0" xfId="0" applyFont="1" applyFill="1" applyAlignment="1">
      <alignment horizontal="right" vertical="center"/>
    </xf>
    <xf numFmtId="0" fontId="78" fillId="0" borderId="0" xfId="0" applyFont="1" applyBorder="1" applyAlignment="1">
      <alignment vertical="center" wrapText="1" readingOrder="2"/>
    </xf>
    <xf numFmtId="0" fontId="74" fillId="9" borderId="0" xfId="0" applyFont="1" applyFill="1"/>
    <xf numFmtId="0" fontId="74" fillId="0" borderId="0" xfId="0" applyFont="1" applyBorder="1" applyAlignment="1">
      <alignment vertical="center" wrapText="1" readingOrder="2"/>
    </xf>
    <xf numFmtId="3" fontId="49" fillId="12" borderId="24" xfId="3" applyNumberFormat="1" applyFont="1" applyFill="1" applyBorder="1" applyAlignment="1" applyProtection="1">
      <alignment horizontal="right" vertical="center"/>
      <protection locked="0"/>
    </xf>
    <xf numFmtId="3" fontId="49" fillId="9" borderId="19" xfId="10" applyNumberFormat="1" applyFont="1" applyFill="1" applyBorder="1" applyAlignment="1">
      <alignment horizontal="right" vertical="center"/>
    </xf>
    <xf numFmtId="3" fontId="63" fillId="14" borderId="19" xfId="10" applyNumberFormat="1" applyFont="1" applyFill="1" applyBorder="1" applyAlignment="1">
      <alignment horizontal="right" vertical="center"/>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0" fontId="31" fillId="0" borderId="35" xfId="6" applyFont="1" applyBorder="1" applyAlignment="1">
      <alignment horizontal="center"/>
    </xf>
    <xf numFmtId="0" fontId="128" fillId="9" borderId="0" xfId="0" applyFont="1" applyFill="1" applyAlignment="1">
      <alignment horizontal="center"/>
    </xf>
    <xf numFmtId="0" fontId="107" fillId="9" borderId="0" xfId="0" applyFont="1" applyFill="1" applyAlignment="1">
      <alignment horizontal="center"/>
    </xf>
    <xf numFmtId="0" fontId="64" fillId="0" borderId="0" xfId="16" applyFont="1" applyAlignment="1">
      <alignment horizontal="left"/>
    </xf>
    <xf numFmtId="0" fontId="59" fillId="0" borderId="0" xfId="0" applyFont="1"/>
    <xf numFmtId="0" fontId="51" fillId="0" borderId="0" xfId="0" applyFont="1" applyBorder="1"/>
    <xf numFmtId="0" fontId="59" fillId="9" borderId="0" xfId="0" applyFont="1" applyFill="1" applyBorder="1"/>
    <xf numFmtId="167" fontId="87" fillId="17" borderId="19" xfId="8" applyNumberFormat="1" applyFont="1" applyFill="1" applyBorder="1" applyAlignment="1">
      <alignment horizontal="right" vertical="top" readingOrder="2"/>
    </xf>
    <xf numFmtId="1" fontId="87" fillId="17" borderId="19" xfId="8" applyNumberFormat="1" applyFont="1" applyFill="1" applyBorder="1" applyAlignment="1">
      <alignment horizontal="right" vertical="top" readingOrder="2"/>
    </xf>
    <xf numFmtId="1" fontId="35" fillId="17" borderId="19" xfId="8" applyNumberFormat="1" applyFont="1" applyFill="1" applyBorder="1" applyAlignment="1">
      <alignment horizontal="right" vertical="top" readingOrder="2"/>
    </xf>
    <xf numFmtId="0" fontId="34" fillId="17" borderId="19" xfId="16" applyFont="1" applyFill="1" applyBorder="1" applyAlignment="1">
      <alignment horizontal="justify" vertical="center" wrapText="1"/>
    </xf>
    <xf numFmtId="0" fontId="46" fillId="17" borderId="19" xfId="16" applyFont="1" applyFill="1" applyBorder="1" applyAlignment="1">
      <alignment horizontal="center" vertical="center" wrapText="1"/>
    </xf>
    <xf numFmtId="167" fontId="35" fillId="17" borderId="19" xfId="8" applyNumberFormat="1" applyFont="1" applyFill="1" applyBorder="1" applyAlignment="1">
      <alignment horizontal="right" vertical="top" readingOrder="2"/>
    </xf>
    <xf numFmtId="0" fontId="50" fillId="17" borderId="19" xfId="16" applyFont="1" applyFill="1" applyBorder="1" applyAlignment="1">
      <alignment horizontal="justify" vertical="center" wrapText="1"/>
    </xf>
    <xf numFmtId="0" fontId="47" fillId="9" borderId="19" xfId="16" applyFont="1" applyFill="1" applyBorder="1" applyAlignment="1">
      <alignment horizontal="center" vertical="center" wrapText="1"/>
    </xf>
    <xf numFmtId="167" fontId="35" fillId="9" borderId="19" xfId="8" applyNumberFormat="1" applyFont="1" applyFill="1" applyBorder="1" applyAlignment="1">
      <alignment horizontal="right" vertical="top" readingOrder="2"/>
    </xf>
    <xf numFmtId="0" fontId="50" fillId="9" borderId="19" xfId="16" applyFont="1" applyFill="1" applyBorder="1" applyAlignment="1">
      <alignment horizontal="justify" vertical="center" wrapText="1"/>
    </xf>
    <xf numFmtId="1" fontId="35" fillId="9" borderId="19" xfId="8" applyNumberFormat="1" applyFont="1" applyFill="1" applyBorder="1" applyAlignment="1">
      <alignment horizontal="right" vertical="top" readingOrder="2"/>
    </xf>
    <xf numFmtId="0" fontId="59" fillId="9" borderId="37" xfId="0" applyFont="1" applyFill="1" applyBorder="1"/>
    <xf numFmtId="167" fontId="35" fillId="9" borderId="46" xfId="8" applyNumberFormat="1" applyFont="1" applyFill="1" applyBorder="1" applyAlignment="1">
      <alignment horizontal="right" vertical="top" readingOrder="2"/>
    </xf>
    <xf numFmtId="167" fontId="35" fillId="9" borderId="24" xfId="8" applyNumberFormat="1" applyFont="1" applyFill="1" applyBorder="1" applyAlignment="1">
      <alignment horizontal="right" vertical="top" readingOrder="2"/>
    </xf>
    <xf numFmtId="167" fontId="35" fillId="0" borderId="24" xfId="8" applyNumberFormat="1" applyFont="1" applyFill="1" applyBorder="1" applyAlignment="1">
      <alignment horizontal="right" vertical="top" readingOrder="2"/>
    </xf>
    <xf numFmtId="167" fontId="35" fillId="9" borderId="24" xfId="8" applyNumberFormat="1" applyFont="1" applyFill="1" applyBorder="1" applyAlignment="1">
      <alignment horizontal="center" vertical="top" readingOrder="2"/>
    </xf>
    <xf numFmtId="167" fontId="35" fillId="9" borderId="28" xfId="8" applyNumberFormat="1" applyFont="1" applyFill="1" applyBorder="1" applyAlignment="1">
      <alignment horizontal="center" vertical="top" readingOrder="2"/>
    </xf>
    <xf numFmtId="0" fontId="60" fillId="9" borderId="37" xfId="34" applyFont="1" applyFill="1" applyBorder="1" applyAlignment="1">
      <alignment horizontal="right" vertical="center" wrapText="1"/>
    </xf>
    <xf numFmtId="167" fontId="35" fillId="0" borderId="19" xfId="8" applyNumberFormat="1" applyFont="1" applyFill="1" applyBorder="1" applyAlignment="1">
      <alignment horizontal="right" vertical="top" readingOrder="2"/>
    </xf>
    <xf numFmtId="167" fontId="35" fillId="9" borderId="19" xfId="8" applyNumberFormat="1" applyFont="1" applyFill="1" applyBorder="1" applyAlignment="1">
      <alignment horizontal="center" vertical="top" readingOrder="2"/>
    </xf>
    <xf numFmtId="167" fontId="35" fillId="9" borderId="43" xfId="8" applyNumberFormat="1" applyFont="1" applyFill="1" applyBorder="1" applyAlignment="1">
      <alignment horizontal="center" vertical="top" readingOrder="2"/>
    </xf>
    <xf numFmtId="0" fontId="60" fillId="9" borderId="31" xfId="34" applyFont="1" applyFill="1" applyBorder="1" applyAlignment="1">
      <alignment horizontal="right" vertical="center" wrapText="1"/>
    </xf>
    <xf numFmtId="0" fontId="68" fillId="0" borderId="0" xfId="0" applyFont="1" applyAlignment="1">
      <alignment horizontal="left"/>
    </xf>
    <xf numFmtId="167" fontId="35" fillId="9" borderId="25" xfId="8" applyNumberFormat="1" applyFont="1" applyFill="1" applyBorder="1" applyAlignment="1">
      <alignment horizontal="right" vertical="top" readingOrder="2"/>
    </xf>
    <xf numFmtId="167" fontId="35" fillId="9" borderId="51" xfId="8" applyNumberFormat="1" applyFont="1" applyFill="1" applyBorder="1" applyAlignment="1">
      <alignment horizontal="right" vertical="top" readingOrder="2"/>
    </xf>
    <xf numFmtId="167" fontId="35" fillId="0" borderId="51" xfId="8" applyNumberFormat="1" applyFont="1" applyFill="1" applyBorder="1" applyAlignment="1">
      <alignment horizontal="right" vertical="top" readingOrder="2"/>
    </xf>
    <xf numFmtId="0" fontId="60" fillId="9" borderId="49" xfId="34" applyFont="1" applyFill="1" applyBorder="1" applyAlignment="1">
      <alignment horizontal="right" vertical="center" wrapText="1"/>
    </xf>
    <xf numFmtId="167" fontId="35" fillId="9" borderId="30" xfId="8" applyNumberFormat="1" applyFont="1" applyFill="1" applyBorder="1" applyAlignment="1">
      <alignment horizontal="right" vertical="top" readingOrder="2"/>
    </xf>
    <xf numFmtId="167" fontId="35" fillId="9" borderId="48" xfId="8" applyNumberFormat="1" applyFont="1" applyFill="1" applyBorder="1" applyAlignment="1">
      <alignment horizontal="center" vertical="top" readingOrder="2"/>
    </xf>
    <xf numFmtId="167" fontId="35" fillId="9" borderId="47" xfId="8" applyNumberFormat="1" applyFont="1" applyFill="1" applyBorder="1" applyAlignment="1">
      <alignment horizontal="right" vertical="top" readingOrder="2"/>
    </xf>
    <xf numFmtId="167" fontId="35" fillId="9" borderId="48" xfId="8" applyNumberFormat="1" applyFont="1" applyFill="1" applyBorder="1" applyAlignment="1">
      <alignment horizontal="right" vertical="top" readingOrder="2"/>
    </xf>
    <xf numFmtId="167" fontId="35" fillId="0" borderId="48" xfId="8" applyNumberFormat="1" applyFont="1" applyFill="1" applyBorder="1" applyAlignment="1">
      <alignment horizontal="right" vertical="top" readingOrder="2"/>
    </xf>
    <xf numFmtId="167" fontId="35" fillId="9" borderId="3" xfId="8" applyNumberFormat="1" applyFont="1" applyFill="1" applyBorder="1" applyAlignment="1">
      <alignment horizontal="center" vertical="top" readingOrder="2"/>
    </xf>
    <xf numFmtId="0" fontId="60" fillId="9" borderId="39" xfId="34" applyFont="1" applyFill="1" applyBorder="1" applyAlignment="1">
      <alignment horizontal="right" vertical="center" wrapText="1"/>
    </xf>
    <xf numFmtId="0" fontId="47" fillId="9" borderId="21" xfId="16" applyFont="1" applyFill="1" applyBorder="1" applyAlignment="1">
      <alignment horizontal="center" vertical="center" wrapText="1"/>
    </xf>
    <xf numFmtId="167" fontId="35" fillId="9" borderId="60" xfId="8" applyNumberFormat="1" applyFont="1" applyFill="1" applyBorder="1" applyAlignment="1">
      <alignment horizontal="right" vertical="top" readingOrder="2"/>
    </xf>
    <xf numFmtId="167" fontId="35" fillId="9" borderId="40" xfId="8" applyNumberFormat="1" applyFont="1" applyFill="1" applyBorder="1" applyAlignment="1">
      <alignment horizontal="right" vertical="top" readingOrder="2"/>
    </xf>
    <xf numFmtId="1" fontId="35" fillId="9" borderId="16" xfId="8" applyNumberFormat="1" applyFont="1" applyFill="1" applyBorder="1" applyAlignment="1">
      <alignment horizontal="right" vertical="top" readingOrder="2"/>
    </xf>
    <xf numFmtId="167" fontId="35" fillId="9" borderId="49" xfId="8" applyNumberFormat="1" applyFont="1" applyFill="1" applyBorder="1" applyAlignment="1">
      <alignment horizontal="right" vertical="top" readingOrder="2"/>
    </xf>
    <xf numFmtId="0" fontId="68" fillId="0" borderId="0" xfId="0" applyFont="1" applyAlignment="1">
      <alignment horizontal="center"/>
    </xf>
    <xf numFmtId="167" fontId="35" fillId="9" borderId="12" xfId="8" applyNumberFormat="1" applyFont="1" applyFill="1" applyBorder="1" applyAlignment="1">
      <alignment horizontal="right" vertical="top" readingOrder="2"/>
    </xf>
    <xf numFmtId="167" fontId="35" fillId="9" borderId="11" xfId="8" applyNumberFormat="1" applyFont="1" applyFill="1" applyBorder="1" applyAlignment="1">
      <alignment horizontal="right" vertical="top" readingOrder="2"/>
    </xf>
    <xf numFmtId="0" fontId="59" fillId="9" borderId="24" xfId="0" applyFont="1" applyFill="1" applyBorder="1"/>
    <xf numFmtId="167" fontId="35" fillId="9" borderId="18" xfId="8" applyNumberFormat="1" applyFont="1" applyFill="1" applyBorder="1" applyAlignment="1">
      <alignment horizontal="right" vertical="top" readingOrder="2"/>
    </xf>
    <xf numFmtId="167" fontId="35" fillId="9" borderId="17" xfId="8" applyNumberFormat="1" applyFont="1" applyFill="1" applyBorder="1" applyAlignment="1">
      <alignment horizontal="right" vertical="top" readingOrder="2"/>
    </xf>
    <xf numFmtId="167" fontId="35" fillId="0" borderId="17" xfId="8" applyNumberFormat="1" applyFont="1" applyFill="1" applyBorder="1" applyAlignment="1">
      <alignment horizontal="right" vertical="top" readingOrder="2"/>
    </xf>
    <xf numFmtId="167" fontId="35" fillId="9" borderId="17" xfId="8" applyNumberFormat="1" applyFont="1" applyFill="1" applyBorder="1" applyAlignment="1">
      <alignment horizontal="center" vertical="top" readingOrder="2"/>
    </xf>
    <xf numFmtId="0" fontId="60" fillId="9" borderId="31" xfId="16" applyFont="1" applyFill="1" applyBorder="1" applyAlignment="1">
      <alignment horizontal="right" vertical="center" wrapText="1"/>
    </xf>
    <xf numFmtId="2" fontId="50" fillId="9" borderId="19" xfId="16" applyNumberFormat="1" applyFont="1" applyFill="1" applyBorder="1" applyAlignment="1">
      <alignment horizontal="center" vertical="center" wrapText="1"/>
    </xf>
    <xf numFmtId="166" fontId="50" fillId="9" borderId="19" xfId="16" applyNumberFormat="1" applyFont="1" applyFill="1" applyBorder="1" applyAlignment="1">
      <alignment horizontal="center" vertical="center" readingOrder="2"/>
    </xf>
    <xf numFmtId="0" fontId="123" fillId="9" borderId="19" xfId="0" applyFont="1" applyFill="1" applyBorder="1" applyAlignment="1">
      <alignment horizontal="center" vertical="center"/>
    </xf>
    <xf numFmtId="0" fontId="123" fillId="9" borderId="43" xfId="0" applyFont="1" applyFill="1" applyBorder="1" applyAlignment="1">
      <alignment horizontal="center" vertical="center"/>
    </xf>
    <xf numFmtId="0" fontId="69" fillId="0" borderId="35" xfId="28" applyFont="1" applyBorder="1" applyAlignment="1">
      <alignment horizontal="center" vertical="center" wrapText="1" readingOrder="2"/>
    </xf>
    <xf numFmtId="0" fontId="107" fillId="9" borderId="0" xfId="14" applyFont="1" applyFill="1"/>
    <xf numFmtId="0" fontId="10" fillId="0" borderId="0" xfId="1" applyFont="1" applyBorder="1" applyAlignment="1" applyProtection="1">
      <alignment horizontal="center" vertical="center" readingOrder="2"/>
    </xf>
    <xf numFmtId="0" fontId="48" fillId="0" borderId="0" xfId="15" applyFont="1" applyFill="1" applyBorder="1" applyAlignment="1">
      <alignment readingOrder="2"/>
    </xf>
    <xf numFmtId="0" fontId="44" fillId="0" borderId="0" xfId="15" applyFont="1" applyFill="1" applyBorder="1" applyAlignment="1">
      <alignment readingOrder="2"/>
    </xf>
    <xf numFmtId="0" fontId="34" fillId="0" borderId="35" xfId="12" applyNumberFormat="1" applyFont="1" applyBorder="1" applyAlignment="1">
      <alignment horizontal="center" vertical="center" wrapText="1" readingOrder="2"/>
    </xf>
    <xf numFmtId="0" fontId="150" fillId="0" borderId="0" xfId="14" applyFont="1" applyAlignment="1">
      <alignment horizontal="right"/>
    </xf>
    <xf numFmtId="0" fontId="50" fillId="9" borderId="35" xfId="21" applyNumberFormat="1" applyFont="1" applyFill="1" applyBorder="1" applyAlignment="1">
      <alignment horizontal="center" vertical="center" wrapText="1" readingOrder="2"/>
    </xf>
    <xf numFmtId="0" fontId="167" fillId="9" borderId="35" xfId="30" applyFont="1" applyFill="1" applyBorder="1" applyAlignment="1">
      <alignment horizontal="center" wrapText="1" readingOrder="2"/>
    </xf>
    <xf numFmtId="0" fontId="103" fillId="0" borderId="0" xfId="15" applyFont="1" applyAlignment="1">
      <alignment readingOrder="2"/>
    </xf>
    <xf numFmtId="0" fontId="103" fillId="0" borderId="0" xfId="15" applyFont="1" applyFill="1" applyAlignment="1">
      <alignment horizontal="right" readingOrder="2"/>
    </xf>
    <xf numFmtId="3" fontId="44" fillId="0" borderId="0" xfId="13" applyNumberFormat="1" applyFont="1" applyAlignment="1">
      <alignment horizontal="right"/>
    </xf>
    <xf numFmtId="164" fontId="112" fillId="9" borderId="0" xfId="0" applyNumberFormat="1" applyFont="1" applyFill="1"/>
    <xf numFmtId="164" fontId="255" fillId="0" borderId="0" xfId="0" applyNumberFormat="1" applyFont="1"/>
    <xf numFmtId="0" fontId="124" fillId="0" borderId="0" xfId="0" applyFont="1" applyAlignment="1">
      <alignment horizontal="right"/>
    </xf>
    <xf numFmtId="0" fontId="108" fillId="0" borderId="0" xfId="0" applyFont="1"/>
    <xf numFmtId="49" fontId="60" fillId="0" borderId="0" xfId="28" applyNumberFormat="1" applyFont="1" applyAlignment="1">
      <alignment vertical="center"/>
    </xf>
    <xf numFmtId="49" fontId="35" fillId="0" borderId="0" xfId="28" applyNumberFormat="1" applyFont="1" applyAlignment="1">
      <alignment vertical="top"/>
    </xf>
    <xf numFmtId="0" fontId="48" fillId="0" borderId="0" xfId="28" applyFont="1" applyAlignment="1">
      <alignment horizontal="right" vertical="top" readingOrder="2"/>
    </xf>
    <xf numFmtId="0" fontId="81" fillId="9" borderId="0" xfId="15" applyFont="1" applyFill="1" applyBorder="1" applyAlignment="1">
      <alignment readingOrder="2"/>
    </xf>
    <xf numFmtId="0" fontId="52" fillId="9" borderId="0" xfId="15" applyFont="1" applyFill="1" applyBorder="1" applyAlignment="1">
      <alignment readingOrder="2"/>
    </xf>
    <xf numFmtId="0" fontId="52" fillId="9" borderId="0" xfId="15" applyFont="1" applyFill="1" applyBorder="1"/>
    <xf numFmtId="164" fontId="52" fillId="9" borderId="0" xfId="15" applyNumberFormat="1" applyFont="1" applyFill="1" applyBorder="1"/>
    <xf numFmtId="0" fontId="81" fillId="9" borderId="0" xfId="0" applyFont="1" applyFill="1"/>
    <xf numFmtId="0" fontId="35" fillId="0" borderId="35" xfId="13" applyNumberFormat="1" applyFont="1" applyBorder="1" applyAlignment="1">
      <alignment horizontal="center" wrapText="1" readingOrder="2"/>
    </xf>
    <xf numFmtId="49" fontId="49" fillId="10" borderId="19" xfId="3" applyNumberFormat="1" applyFont="1" applyFill="1" applyBorder="1" applyAlignment="1" applyProtection="1">
      <alignment horizontal="center" vertical="center"/>
      <protection locked="0"/>
    </xf>
    <xf numFmtId="168" fontId="49" fillId="9" borderId="19" xfId="10" applyNumberFormat="1" applyFont="1" applyFill="1" applyBorder="1" applyAlignment="1">
      <alignment horizontal="center" vertical="center"/>
    </xf>
    <xf numFmtId="168" fontId="63" fillId="14" borderId="19" xfId="10" applyNumberFormat="1" applyFont="1" applyFill="1" applyBorder="1" applyAlignment="1">
      <alignment horizontal="center" vertical="center"/>
    </xf>
    <xf numFmtId="168" fontId="63" fillId="0" borderId="19" xfId="0" applyNumberFormat="1" applyFont="1" applyFill="1" applyBorder="1" applyAlignment="1">
      <alignment horizontal="center" vertical="center"/>
    </xf>
    <xf numFmtId="168" fontId="257" fillId="0" borderId="19" xfId="0" applyNumberFormat="1" applyFont="1" applyFill="1" applyBorder="1" applyAlignment="1" applyProtection="1">
      <alignment horizontal="center" vertical="center"/>
    </xf>
    <xf numFmtId="168" fontId="50" fillId="0" borderId="19" xfId="0" applyNumberFormat="1" applyFont="1" applyFill="1" applyBorder="1" applyAlignment="1" applyProtection="1">
      <alignment horizontal="center" vertical="center"/>
    </xf>
    <xf numFmtId="168" fontId="257" fillId="10" borderId="19" xfId="0" applyNumberFormat="1" applyFont="1" applyFill="1" applyBorder="1" applyAlignment="1" applyProtection="1">
      <alignment horizontal="center" vertical="center"/>
    </xf>
    <xf numFmtId="168" fontId="50" fillId="10" borderId="19" xfId="0" applyNumberFormat="1" applyFont="1" applyFill="1" applyBorder="1" applyAlignment="1" applyProtection="1">
      <alignment horizontal="center" vertical="center"/>
    </xf>
    <xf numFmtId="168" fontId="258" fillId="0" borderId="19" xfId="0" applyNumberFormat="1" applyFont="1" applyFill="1" applyBorder="1" applyAlignment="1">
      <alignment horizontal="center" vertical="center"/>
    </xf>
    <xf numFmtId="164" fontId="60" fillId="9" borderId="0" xfId="26" applyNumberFormat="1" applyFont="1" applyFill="1" applyBorder="1" applyAlignment="1">
      <alignment horizontal="right" vertical="center" readingOrder="2"/>
    </xf>
    <xf numFmtId="164" fontId="48" fillId="9" borderId="0" xfId="26" applyNumberFormat="1" applyFont="1" applyFill="1" applyAlignment="1">
      <alignment vertical="center"/>
    </xf>
    <xf numFmtId="0" fontId="31" fillId="0" borderId="35" xfId="12" applyNumberFormat="1" applyFont="1" applyBorder="1" applyAlignment="1">
      <alignment horizontal="center" wrapText="1" readingOrder="2"/>
    </xf>
    <xf numFmtId="37" fontId="258" fillId="0" borderId="0" xfId="0" applyNumberFormat="1" applyFont="1" applyFill="1"/>
    <xf numFmtId="0" fontId="33" fillId="0" borderId="0" xfId="15" applyFont="1" applyFill="1" applyBorder="1" applyAlignment="1">
      <alignment horizontal="right" vertical="center" wrapText="1"/>
    </xf>
    <xf numFmtId="0" fontId="48" fillId="0" borderId="0" xfId="15" applyFont="1"/>
    <xf numFmtId="49" fontId="259" fillId="9" borderId="0" xfId="17" applyNumberFormat="1" applyFont="1" applyFill="1" applyAlignment="1">
      <alignment horizontal="left" vertical="top"/>
    </xf>
    <xf numFmtId="0" fontId="42" fillId="10" borderId="0" xfId="0" applyFont="1" applyFill="1"/>
    <xf numFmtId="164" fontId="32" fillId="10" borderId="0" xfId="17" applyNumberFormat="1" applyFont="1" applyFill="1" applyBorder="1" applyAlignment="1">
      <alignment vertical="center"/>
    </xf>
    <xf numFmtId="0" fontId="90" fillId="9" borderId="0" xfId="18" applyFont="1" applyFill="1" applyAlignment="1">
      <alignment vertical="center" readingOrder="2"/>
    </xf>
    <xf numFmtId="0" fontId="42" fillId="9" borderId="0" xfId="18" applyFont="1" applyFill="1" applyAlignment="1">
      <alignment vertical="center"/>
    </xf>
    <xf numFmtId="164" fontId="29" fillId="9" borderId="0" xfId="17" applyNumberFormat="1" applyFont="1" applyFill="1" applyBorder="1" applyAlignment="1">
      <alignment vertical="center"/>
    </xf>
    <xf numFmtId="3" fontId="90" fillId="9" borderId="0" xfId="18" applyNumberFormat="1" applyFont="1" applyFill="1" applyAlignment="1">
      <alignment vertical="center" readingOrder="2"/>
    </xf>
    <xf numFmtId="164" fontId="32" fillId="9" borderId="0" xfId="18" applyNumberFormat="1" applyFont="1" applyFill="1" applyBorder="1" applyAlignment="1">
      <alignment vertical="center"/>
    </xf>
    <xf numFmtId="0" fontId="42" fillId="9" borderId="0" xfId="18" applyFont="1" applyFill="1" applyAlignment="1">
      <alignment vertical="center" readingOrder="2"/>
    </xf>
    <xf numFmtId="0" fontId="48" fillId="9" borderId="0" xfId="18" applyFont="1" applyFill="1" applyAlignment="1">
      <alignment vertical="center"/>
    </xf>
    <xf numFmtId="164" fontId="29" fillId="9" borderId="36" xfId="17" applyNumberFormat="1" applyFont="1" applyFill="1" applyBorder="1" applyAlignment="1">
      <alignment vertical="center"/>
    </xf>
    <xf numFmtId="164" fontId="29" fillId="9" borderId="0" xfId="18" applyNumberFormat="1" applyFont="1" applyFill="1" applyBorder="1" applyAlignment="1">
      <alignment vertical="center"/>
    </xf>
    <xf numFmtId="0" fontId="218" fillId="9" borderId="0" xfId="5" applyFont="1" applyFill="1" applyBorder="1" applyAlignment="1">
      <alignment horizontal="center" vertical="top" readingOrder="2"/>
    </xf>
    <xf numFmtId="0" fontId="92" fillId="9" borderId="0" xfId="19" applyFont="1" applyFill="1" applyBorder="1" applyAlignment="1">
      <alignment vertical="center" readingOrder="2"/>
    </xf>
    <xf numFmtId="0" fontId="92" fillId="9" borderId="0" xfId="19" applyFont="1" applyFill="1" applyBorder="1" applyAlignment="1">
      <alignment horizontal="center" vertical="center" readingOrder="2"/>
    </xf>
    <xf numFmtId="0" fontId="117" fillId="9" borderId="0" xfId="19" applyFont="1" applyFill="1" applyBorder="1" applyAlignment="1">
      <alignment horizontal="right" vertical="center" wrapText="1"/>
    </xf>
    <xf numFmtId="0" fontId="92" fillId="9" borderId="35" xfId="19" applyFont="1" applyFill="1" applyBorder="1" applyAlignment="1">
      <alignment vertical="center" readingOrder="2"/>
    </xf>
    <xf numFmtId="164" fontId="92" fillId="9" borderId="0" xfId="19" applyNumberFormat="1" applyFont="1" applyFill="1" applyBorder="1" applyAlignment="1">
      <alignment horizontal="center" vertical="center"/>
    </xf>
    <xf numFmtId="0" fontId="51" fillId="9" borderId="0" xfId="0" applyFont="1" applyFill="1" applyBorder="1"/>
    <xf numFmtId="0" fontId="134" fillId="9" borderId="0" xfId="19" applyFont="1" applyFill="1" applyBorder="1" applyAlignment="1">
      <alignment vertical="center" readingOrder="2"/>
    </xf>
    <xf numFmtId="164" fontId="92" fillId="9" borderId="36" xfId="19" applyNumberFormat="1" applyFont="1" applyFill="1" applyBorder="1" applyAlignment="1">
      <alignment vertical="center"/>
    </xf>
    <xf numFmtId="0" fontId="30" fillId="9" borderId="0" xfId="29" applyFont="1" applyFill="1" applyAlignment="1">
      <alignment horizontal="right" vertical="top" wrapText="1" readingOrder="2"/>
    </xf>
    <xf numFmtId="0" fontId="76" fillId="9" borderId="0" xfId="0" applyFont="1" applyFill="1"/>
    <xf numFmtId="0" fontId="44" fillId="9" borderId="0" xfId="28" applyFont="1" applyFill="1" applyAlignment="1">
      <alignment horizontal="right" vertical="center"/>
    </xf>
    <xf numFmtId="164" fontId="34" fillId="9" borderId="34" xfId="23" applyNumberFormat="1" applyFont="1" applyFill="1" applyBorder="1" applyAlignment="1">
      <alignment horizontal="right" vertical="center"/>
    </xf>
    <xf numFmtId="0" fontId="35" fillId="9" borderId="0" xfId="25" applyFont="1" applyFill="1" applyBorder="1" applyAlignment="1">
      <alignment vertical="center" readingOrder="2"/>
    </xf>
    <xf numFmtId="164" fontId="48" fillId="9" borderId="0" xfId="25" applyNumberFormat="1" applyFont="1" applyFill="1" applyBorder="1" applyAlignment="1">
      <alignment horizontal="right" vertical="center"/>
    </xf>
    <xf numFmtId="168" fontId="49" fillId="9" borderId="31" xfId="10" applyNumberFormat="1" applyFont="1" applyFill="1" applyBorder="1" applyAlignment="1">
      <alignment horizontal="right" vertical="center"/>
    </xf>
    <xf numFmtId="0" fontId="143" fillId="9" borderId="0" xfId="5" applyFont="1" applyFill="1" applyAlignment="1">
      <alignment horizontal="center" vertical="top" readingOrder="2"/>
    </xf>
    <xf numFmtId="0" fontId="57" fillId="9" borderId="0" xfId="18" applyFont="1" applyFill="1" applyAlignment="1">
      <alignment horizontal="center" readingOrder="2"/>
    </xf>
    <xf numFmtId="0" fontId="57" fillId="9" borderId="0" xfId="18" applyFont="1" applyFill="1" applyAlignment="1">
      <alignment horizontal="right" vertical="center" readingOrder="2"/>
    </xf>
    <xf numFmtId="0" fontId="85" fillId="9" borderId="0" xfId="18" applyFont="1" applyFill="1" applyAlignment="1">
      <alignment horizontal="center" vertical="top"/>
    </xf>
    <xf numFmtId="0" fontId="32" fillId="9" borderId="0" xfId="18" applyFont="1" applyFill="1" applyAlignment="1">
      <alignment horizontal="center" vertical="center" readingOrder="2"/>
    </xf>
    <xf numFmtId="0" fontId="30" fillId="9" borderId="0" xfId="18" applyFont="1" applyFill="1" applyAlignment="1">
      <alignment horizontal="right" vertical="center" readingOrder="2"/>
    </xf>
    <xf numFmtId="164" fontId="203" fillId="9" borderId="0" xfId="0" applyNumberFormat="1" applyFont="1" applyFill="1" applyBorder="1"/>
    <xf numFmtId="0" fontId="42" fillId="9" borderId="0" xfId="18" applyFont="1" applyFill="1" applyAlignment="1">
      <alignment horizontal="right" vertical="center" readingOrder="2"/>
    </xf>
    <xf numFmtId="164" fontId="194" fillId="9" borderId="0" xfId="17" applyNumberFormat="1" applyFont="1" applyFill="1" applyBorder="1" applyAlignment="1">
      <alignment vertical="center"/>
    </xf>
    <xf numFmtId="0" fontId="90" fillId="9" borderId="0" xfId="18" applyFont="1" applyFill="1" applyAlignment="1">
      <alignment horizontal="right" vertical="center" readingOrder="2"/>
    </xf>
    <xf numFmtId="164" fontId="29" fillId="9" borderId="34" xfId="18" applyNumberFormat="1" applyFont="1" applyFill="1" applyBorder="1" applyAlignment="1">
      <alignment vertical="center"/>
    </xf>
    <xf numFmtId="0" fontId="41" fillId="9" borderId="0" xfId="12" applyFont="1" applyFill="1" applyAlignment="1">
      <alignment horizontal="center" readingOrder="2"/>
    </xf>
    <xf numFmtId="49" fontId="33" fillId="9" borderId="0" xfId="20" applyNumberFormat="1" applyFont="1" applyFill="1" applyAlignment="1">
      <alignment horizontal="right" vertical="center" readingOrder="2"/>
    </xf>
    <xf numFmtId="0" fontId="48" fillId="9" borderId="0" xfId="20" applyFont="1" applyFill="1" applyAlignment="1">
      <alignment vertical="center" readingOrder="2"/>
    </xf>
    <xf numFmtId="0" fontId="36" fillId="9" borderId="0" xfId="20" applyFont="1" applyFill="1" applyAlignment="1">
      <alignment horizontal="right" vertical="center" readingOrder="2"/>
    </xf>
    <xf numFmtId="3" fontId="33" fillId="9" borderId="0" xfId="20" applyNumberFormat="1" applyFont="1" applyFill="1" applyBorder="1" applyAlignment="1">
      <alignment vertical="center" readingOrder="2"/>
    </xf>
    <xf numFmtId="166" fontId="34" fillId="9" borderId="0" xfId="20" applyNumberFormat="1" applyFont="1" applyFill="1" applyBorder="1" applyAlignment="1">
      <alignment horizontal="center" vertical="center" readingOrder="2"/>
    </xf>
    <xf numFmtId="3" fontId="145" fillId="9" borderId="0" xfId="20" applyNumberFormat="1" applyFont="1" applyFill="1" applyBorder="1" applyAlignment="1">
      <alignment vertical="center" readingOrder="2"/>
    </xf>
    <xf numFmtId="0" fontId="34" fillId="9" borderId="0" xfId="20" applyNumberFormat="1" applyFont="1" applyFill="1" applyBorder="1" applyAlignment="1">
      <alignment vertical="center" readingOrder="2"/>
    </xf>
    <xf numFmtId="0" fontId="50" fillId="9" borderId="0" xfId="20" applyNumberFormat="1" applyFont="1" applyFill="1" applyBorder="1" applyAlignment="1">
      <alignment horizontal="center" vertical="center" readingOrder="2"/>
    </xf>
    <xf numFmtId="0" fontId="33" fillId="9" borderId="0" xfId="20" applyFont="1" applyFill="1" applyAlignment="1">
      <alignment horizontal="right" vertical="center" readingOrder="2"/>
    </xf>
    <xf numFmtId="3" fontId="33" fillId="9" borderId="0" xfId="20" applyNumberFormat="1" applyFont="1" applyFill="1" applyBorder="1" applyAlignment="1">
      <alignment horizontal="right" vertical="center" readingOrder="2"/>
    </xf>
    <xf numFmtId="3" fontId="116" fillId="9" borderId="0" xfId="20" applyNumberFormat="1" applyFont="1" applyFill="1" applyBorder="1" applyAlignment="1">
      <alignment horizontal="right" vertical="center" readingOrder="2"/>
    </xf>
    <xf numFmtId="0" fontId="49" fillId="9" borderId="0" xfId="21" applyFont="1" applyFill="1" applyAlignment="1">
      <alignment horizontal="right" vertical="top"/>
    </xf>
    <xf numFmtId="49" fontId="49" fillId="9" borderId="0" xfId="20" applyNumberFormat="1" applyFont="1" applyFill="1" applyAlignment="1">
      <alignment horizontal="right" vertical="center" readingOrder="2"/>
    </xf>
    <xf numFmtId="0" fontId="60" fillId="9" borderId="0" xfId="20" applyFont="1" applyFill="1" applyAlignment="1">
      <alignment vertical="center" readingOrder="2"/>
    </xf>
    <xf numFmtId="0" fontId="50" fillId="9" borderId="0" xfId="20" applyFont="1" applyFill="1" applyAlignment="1">
      <alignment horizontal="right" vertical="center" readingOrder="2"/>
    </xf>
    <xf numFmtId="3" fontId="146" fillId="9" borderId="0" xfId="20" applyNumberFormat="1" applyFont="1" applyFill="1" applyBorder="1" applyAlignment="1">
      <alignment horizontal="right" vertical="center" readingOrder="2"/>
    </xf>
    <xf numFmtId="3" fontId="60" fillId="9" borderId="0" xfId="20" applyNumberFormat="1" applyFont="1" applyFill="1" applyBorder="1" applyAlignment="1">
      <alignment horizontal="right" vertical="center" readingOrder="2"/>
    </xf>
    <xf numFmtId="3" fontId="63" fillId="9" borderId="0" xfId="21" applyNumberFormat="1" applyFont="1" applyFill="1" applyAlignment="1">
      <alignment vertical="center"/>
    </xf>
    <xf numFmtId="3" fontId="50" fillId="9" borderId="0" xfId="17" applyNumberFormat="1" applyFont="1" applyFill="1" applyBorder="1" applyAlignment="1">
      <alignment vertical="center"/>
    </xf>
    <xf numFmtId="3" fontId="49" fillId="9" borderId="0" xfId="21" applyNumberFormat="1" applyFont="1" applyFill="1" applyAlignment="1">
      <alignment vertical="center"/>
    </xf>
    <xf numFmtId="49" fontId="48" fillId="9" borderId="0" xfId="20" applyNumberFormat="1" applyFont="1" applyFill="1" applyAlignment="1">
      <alignment horizontal="right" vertical="center" readingOrder="2"/>
    </xf>
    <xf numFmtId="49" fontId="66" fillId="9" borderId="0" xfId="20" applyNumberFormat="1" applyFont="1" applyFill="1" applyAlignment="1">
      <alignment horizontal="right" vertical="center" readingOrder="2"/>
    </xf>
    <xf numFmtId="0" fontId="50" fillId="9" borderId="0" xfId="20" applyFont="1" applyFill="1" applyAlignment="1">
      <alignment vertical="center" readingOrder="2"/>
    </xf>
    <xf numFmtId="49" fontId="34" fillId="9" borderId="0" xfId="20" applyNumberFormat="1" applyFont="1" applyFill="1" applyBorder="1" applyAlignment="1">
      <alignment horizontal="center" vertical="center" readingOrder="2"/>
    </xf>
    <xf numFmtId="3" fontId="34" fillId="9" borderId="0" xfId="17" applyNumberFormat="1" applyFont="1" applyFill="1" applyBorder="1" applyAlignment="1">
      <alignment vertical="center"/>
    </xf>
    <xf numFmtId="49" fontId="46" fillId="9" borderId="0" xfId="20" applyNumberFormat="1" applyFont="1" applyFill="1" applyAlignment="1">
      <alignment horizontal="right" vertical="center" readingOrder="2"/>
    </xf>
    <xf numFmtId="164" fontId="63" fillId="9" borderId="0" xfId="21" applyNumberFormat="1" applyFont="1" applyFill="1" applyAlignment="1">
      <alignment vertical="center"/>
    </xf>
    <xf numFmtId="164" fontId="49" fillId="9" borderId="0" xfId="21" applyNumberFormat="1" applyFont="1" applyFill="1" applyAlignment="1">
      <alignment horizontal="center" vertical="top"/>
    </xf>
    <xf numFmtId="164" fontId="49" fillId="9" borderId="0" xfId="21" applyNumberFormat="1" applyFont="1" applyFill="1" applyAlignment="1">
      <alignment vertical="center"/>
    </xf>
    <xf numFmtId="3" fontId="49" fillId="9" borderId="34" xfId="21" applyNumberFormat="1" applyFont="1" applyFill="1" applyBorder="1" applyAlignment="1">
      <alignment horizontal="center" vertical="center"/>
    </xf>
    <xf numFmtId="3" fontId="135" fillId="9" borderId="0" xfId="20" applyNumberFormat="1" applyFont="1" applyFill="1" applyAlignment="1">
      <alignment horizontal="center" vertical="center" readingOrder="2"/>
    </xf>
    <xf numFmtId="164" fontId="153" fillId="9" borderId="0" xfId="17" applyNumberFormat="1" applyFont="1" applyFill="1" applyBorder="1" applyAlignment="1">
      <alignment vertical="center"/>
    </xf>
    <xf numFmtId="164" fontId="50" fillId="9" borderId="0" xfId="20" applyNumberFormat="1" applyFont="1" applyFill="1" applyBorder="1" applyAlignment="1">
      <alignment vertical="top"/>
    </xf>
    <xf numFmtId="164" fontId="34" fillId="9" borderId="0" xfId="20" applyNumberFormat="1" applyFont="1" applyFill="1" applyBorder="1" applyAlignment="1">
      <alignment vertical="center"/>
    </xf>
    <xf numFmtId="164" fontId="50" fillId="9" borderId="0" xfId="20" applyNumberFormat="1" applyFont="1" applyFill="1" applyBorder="1" applyAlignment="1">
      <alignment vertical="center"/>
    </xf>
    <xf numFmtId="0" fontId="60" fillId="9" borderId="0" xfId="20" applyFont="1" applyFill="1" applyBorder="1" applyAlignment="1">
      <alignment horizontal="right" vertical="center" wrapText="1"/>
    </xf>
    <xf numFmtId="0" fontId="31" fillId="9" borderId="0" xfId="20" applyFont="1" applyFill="1" applyBorder="1" applyAlignment="1">
      <alignment horizontal="right" vertical="center" wrapText="1"/>
    </xf>
    <xf numFmtId="0" fontId="49" fillId="9" borderId="0" xfId="20" applyFont="1" applyFill="1"/>
    <xf numFmtId="37" fontId="258" fillId="0" borderId="19" xfId="0" applyNumberFormat="1" applyFont="1" applyFill="1" applyBorder="1"/>
    <xf numFmtId="0" fontId="59" fillId="0" borderId="0" xfId="0" applyFont="1"/>
    <xf numFmtId="167" fontId="27" fillId="9" borderId="0" xfId="8" applyNumberFormat="1" applyFont="1" applyFill="1" applyBorder="1" applyAlignment="1">
      <alignment horizontal="right" vertical="top" readingOrder="2"/>
    </xf>
    <xf numFmtId="167" fontId="27" fillId="9" borderId="0" xfId="8" applyNumberFormat="1" applyFont="1" applyFill="1" applyAlignment="1">
      <alignment horizontal="right" vertical="top" readingOrder="2"/>
    </xf>
    <xf numFmtId="0" fontId="59" fillId="9" borderId="0" xfId="0" applyFont="1" applyFill="1" applyBorder="1" applyAlignment="1">
      <alignment vertical="top"/>
    </xf>
    <xf numFmtId="0" fontId="27" fillId="9" borderId="0" xfId="15" applyFont="1" applyFill="1" applyBorder="1" applyAlignment="1">
      <alignment vertical="top" wrapText="1"/>
    </xf>
    <xf numFmtId="0" fontId="67" fillId="9" borderId="0" xfId="18" applyFont="1" applyFill="1" applyAlignment="1">
      <alignment horizontal="right" vertical="center" readingOrder="2"/>
    </xf>
    <xf numFmtId="0" fontId="89" fillId="9" borderId="0" xfId="18" applyFont="1" applyFill="1" applyAlignment="1">
      <alignment vertical="center" readingOrder="2"/>
    </xf>
    <xf numFmtId="0" fontId="43" fillId="9" borderId="0" xfId="18" applyFont="1" applyFill="1"/>
    <xf numFmtId="164" fontId="43" fillId="9" borderId="0" xfId="17" applyNumberFormat="1" applyFont="1" applyFill="1" applyBorder="1" applyAlignment="1">
      <alignment vertical="center"/>
    </xf>
    <xf numFmtId="0" fontId="64" fillId="9" borderId="0" xfId="18" applyFont="1" applyFill="1" applyAlignment="1">
      <alignment vertical="center" readingOrder="2"/>
    </xf>
    <xf numFmtId="164" fontId="154" fillId="9" borderId="0" xfId="17" applyNumberFormat="1" applyFont="1" applyFill="1" applyBorder="1" applyAlignment="1">
      <alignment vertical="center"/>
    </xf>
    <xf numFmtId="0" fontId="151" fillId="9" borderId="0" xfId="18" applyFont="1" applyFill="1" applyAlignment="1">
      <alignment vertical="center" readingOrder="2"/>
    </xf>
    <xf numFmtId="164" fontId="43" fillId="9" borderId="0" xfId="0" applyNumberFormat="1" applyFont="1" applyFill="1"/>
    <xf numFmtId="164" fontId="43" fillId="9" borderId="35" xfId="17" applyNumberFormat="1" applyFont="1" applyFill="1" applyBorder="1" applyAlignment="1">
      <alignment vertical="center"/>
    </xf>
    <xf numFmtId="164" fontId="43" fillId="9" borderId="33" xfId="17" applyNumberFormat="1" applyFont="1" applyFill="1" applyBorder="1" applyAlignment="1">
      <alignment vertical="center"/>
    </xf>
    <xf numFmtId="164" fontId="42" fillId="9" borderId="0" xfId="0" applyNumberFormat="1" applyFont="1" applyFill="1"/>
    <xf numFmtId="0" fontId="167" fillId="9" borderId="0" xfId="30" applyFont="1" applyFill="1" applyAlignment="1">
      <alignment horizontal="center" vertical="top" readingOrder="2"/>
    </xf>
    <xf numFmtId="0" fontId="246" fillId="9" borderId="0" xfId="31" applyFont="1" applyFill="1" applyAlignment="1">
      <alignment horizontal="right" vertical="center" readingOrder="2"/>
    </xf>
    <xf numFmtId="164" fontId="167" fillId="9" borderId="33" xfId="27" applyNumberFormat="1" applyFont="1" applyFill="1" applyBorder="1" applyAlignment="1">
      <alignment vertical="center"/>
    </xf>
    <xf numFmtId="0" fontId="247" fillId="9" borderId="0" xfId="31" applyFont="1" applyFill="1" applyAlignment="1">
      <alignment horizontal="center" vertical="top"/>
    </xf>
    <xf numFmtId="0" fontId="31" fillId="9" borderId="0" xfId="30" applyFont="1" applyFill="1" applyAlignment="1">
      <alignment horizontal="right" readingOrder="2"/>
    </xf>
    <xf numFmtId="0" fontId="32" fillId="9" borderId="0" xfId="30" applyFont="1" applyFill="1" applyAlignment="1">
      <alignment horizontal="right" readingOrder="2"/>
    </xf>
    <xf numFmtId="0" fontId="48" fillId="9" borderId="0" xfId="30" applyFont="1" applyFill="1" applyAlignment="1">
      <alignment horizontal="right" readingOrder="2"/>
    </xf>
    <xf numFmtId="0" fontId="44" fillId="9" borderId="0" xfId="30" applyFont="1" applyFill="1" applyAlignment="1">
      <alignment horizontal="right"/>
    </xf>
    <xf numFmtId="0" fontId="44" fillId="9" borderId="0" xfId="30" applyFont="1" applyFill="1" applyAlignment="1">
      <alignment vertical="center"/>
    </xf>
    <xf numFmtId="0" fontId="44" fillId="9" borderId="0" xfId="30" applyFont="1" applyFill="1" applyAlignment="1">
      <alignment horizontal="right" vertical="center"/>
    </xf>
    <xf numFmtId="0" fontId="35" fillId="9" borderId="0" xfId="30" applyFont="1" applyFill="1" applyBorder="1" applyAlignment="1">
      <alignment horizontal="center" vertical="center" readingOrder="2"/>
    </xf>
    <xf numFmtId="0" fontId="35" fillId="9" borderId="0" xfId="30" applyFont="1" applyFill="1" applyAlignment="1">
      <alignment horizontal="right" vertical="center" readingOrder="2"/>
    </xf>
    <xf numFmtId="0" fontId="167" fillId="9" borderId="0" xfId="30" applyFont="1" applyFill="1" applyAlignment="1">
      <alignment horizontal="right" vertical="top" readingOrder="2"/>
    </xf>
    <xf numFmtId="0" fontId="204" fillId="9" borderId="0" xfId="30" applyFont="1" applyFill="1" applyAlignment="1">
      <alignment horizontal="right" readingOrder="2"/>
    </xf>
    <xf numFmtId="0" fontId="167" fillId="9" borderId="0" xfId="30" applyFont="1" applyFill="1" applyAlignment="1">
      <alignment horizontal="center" readingOrder="2"/>
    </xf>
    <xf numFmtId="164" fontId="167" fillId="9" borderId="36" xfId="6" applyNumberFormat="1" applyFont="1" applyFill="1" applyBorder="1" applyAlignment="1">
      <alignment vertical="center"/>
    </xf>
    <xf numFmtId="164" fontId="167" fillId="9" borderId="35" xfId="6" applyNumberFormat="1" applyFont="1" applyFill="1" applyBorder="1" applyAlignment="1">
      <alignment vertical="center"/>
    </xf>
    <xf numFmtId="3" fontId="34" fillId="9" borderId="45" xfId="6" applyNumberFormat="1" applyFont="1" applyFill="1" applyBorder="1" applyAlignment="1">
      <alignment vertical="center"/>
    </xf>
    <xf numFmtId="0" fontId="167" fillId="9" borderId="0" xfId="30" applyFont="1" applyFill="1" applyAlignment="1">
      <alignment horizontal="right" readingOrder="2"/>
    </xf>
    <xf numFmtId="164" fontId="245" fillId="9" borderId="34" xfId="30" applyNumberFormat="1" applyFont="1" applyFill="1" applyBorder="1" applyAlignment="1">
      <alignment vertical="center"/>
    </xf>
    <xf numFmtId="164" fontId="245" fillId="9" borderId="0" xfId="30" applyNumberFormat="1" applyFont="1" applyFill="1" applyBorder="1" applyAlignment="1">
      <alignment vertical="center"/>
    </xf>
    <xf numFmtId="0" fontId="251" fillId="9" borderId="0" xfId="0" applyFont="1" applyFill="1" applyAlignment="1">
      <alignment horizontal="right" vertical="center" wrapText="1" readingOrder="2"/>
    </xf>
    <xf numFmtId="0" fontId="250" fillId="9" borderId="0" xfId="0" applyFont="1" applyFill="1" applyAlignment="1">
      <alignment horizontal="right" vertical="center" wrapText="1" readingOrder="2"/>
    </xf>
    <xf numFmtId="0" fontId="95" fillId="9" borderId="0" xfId="0" applyFont="1" applyFill="1" applyAlignment="1">
      <alignment horizontal="right" vertical="center" wrapText="1" readingOrder="2"/>
    </xf>
    <xf numFmtId="0" fontId="39" fillId="9" borderId="0" xfId="0" applyFont="1" applyFill="1" applyAlignment="1">
      <alignment horizontal="right" vertical="center" wrapText="1" readingOrder="2"/>
    </xf>
    <xf numFmtId="0" fontId="37" fillId="9" borderId="0" xfId="0" applyFont="1" applyFill="1" applyAlignment="1">
      <alignment horizontal="right" vertical="center" wrapText="1" readingOrder="2"/>
    </xf>
    <xf numFmtId="0" fontId="37" fillId="9" borderId="35" xfId="0" applyFont="1" applyFill="1" applyBorder="1" applyAlignment="1">
      <alignment horizontal="right" vertical="center" wrapText="1" readingOrder="2"/>
    </xf>
    <xf numFmtId="0" fontId="37" fillId="9" borderId="0" xfId="0" applyFont="1" applyFill="1" applyBorder="1" applyAlignment="1">
      <alignment horizontal="right" vertical="center" wrapText="1" readingOrder="2"/>
    </xf>
    <xf numFmtId="164" fontId="29" fillId="9" borderId="33" xfId="27" applyNumberFormat="1" applyFont="1" applyFill="1" applyBorder="1" applyAlignment="1">
      <alignment vertical="center"/>
    </xf>
    <xf numFmtId="164" fontId="29" fillId="9" borderId="0" xfId="27" applyNumberFormat="1" applyFont="1" applyFill="1" applyBorder="1" applyAlignment="1">
      <alignment horizontal="center" vertical="center"/>
    </xf>
    <xf numFmtId="0" fontId="43" fillId="9" borderId="17" xfId="32" applyFont="1" applyFill="1" applyBorder="1" applyAlignment="1">
      <alignment horizontal="center" vertical="center" wrapText="1" shrinkToFit="1"/>
    </xf>
    <xf numFmtId="164" fontId="43" fillId="9" borderId="22" xfId="23" applyNumberFormat="1" applyFont="1" applyFill="1" applyBorder="1" applyAlignment="1">
      <alignment vertical="center"/>
    </xf>
    <xf numFmtId="164" fontId="43" fillId="9" borderId="24" xfId="23" applyNumberFormat="1" applyFont="1" applyFill="1" applyBorder="1" applyAlignment="1">
      <alignment horizontal="right" vertical="center"/>
    </xf>
    <xf numFmtId="0" fontId="109" fillId="0" borderId="0" xfId="0" applyFont="1"/>
    <xf numFmtId="171" fontId="103" fillId="9" borderId="0" xfId="5" applyNumberFormat="1" applyFont="1" applyFill="1" applyBorder="1" applyAlignment="1">
      <alignment horizontal="center" vertical="center"/>
    </xf>
    <xf numFmtId="0" fontId="129" fillId="0" borderId="0" xfId="0" applyFont="1" applyAlignment="1">
      <alignment vertical="center"/>
    </xf>
    <xf numFmtId="0" fontId="81" fillId="0" borderId="0" xfId="0" applyFont="1" applyFill="1"/>
    <xf numFmtId="0" fontId="81" fillId="9" borderId="0" xfId="0" applyFont="1" applyFill="1" applyAlignment="1">
      <alignment horizontal="center"/>
    </xf>
    <xf numFmtId="0" fontId="81" fillId="9" borderId="0" xfId="13" applyFont="1" applyFill="1" applyAlignment="1">
      <alignment horizontal="center"/>
    </xf>
    <xf numFmtId="0" fontId="108" fillId="9" borderId="0" xfId="0" applyFont="1" applyFill="1" applyAlignment="1">
      <alignment horizontal="center"/>
    </xf>
    <xf numFmtId="0" fontId="150" fillId="9" borderId="0" xfId="0" applyFont="1" applyFill="1" applyAlignment="1">
      <alignment horizontal="center"/>
    </xf>
    <xf numFmtId="0" fontId="81" fillId="0" borderId="0" xfId="0" applyFont="1" applyFill="1" applyAlignment="1">
      <alignment vertical="center"/>
    </xf>
    <xf numFmtId="0" fontId="81" fillId="0" borderId="0" xfId="0" applyFont="1" applyFill="1" applyBorder="1"/>
    <xf numFmtId="0" fontId="254" fillId="9" borderId="0" xfId="25" applyFont="1" applyFill="1" applyAlignment="1">
      <alignment horizontal="left" vertical="top" readingOrder="2"/>
    </xf>
    <xf numFmtId="0" fontId="254" fillId="9" borderId="0" xfId="25" applyFont="1" applyFill="1" applyAlignment="1">
      <alignment horizontal="left" vertical="center" readingOrder="2"/>
    </xf>
    <xf numFmtId="0" fontId="199" fillId="9" borderId="0" xfId="0" applyFont="1" applyFill="1"/>
    <xf numFmtId="168" fontId="49" fillId="26" borderId="19" xfId="10" applyNumberFormat="1" applyFont="1" applyFill="1" applyBorder="1" applyAlignment="1">
      <alignment horizontal="right" vertical="center"/>
    </xf>
    <xf numFmtId="168" fontId="63" fillId="26" borderId="19" xfId="10" applyNumberFormat="1" applyFont="1" applyFill="1" applyBorder="1" applyAlignment="1">
      <alignment horizontal="right" vertical="center"/>
    </xf>
    <xf numFmtId="3" fontId="46" fillId="26" borderId="0" xfId="0" applyNumberFormat="1" applyFont="1" applyFill="1" applyAlignment="1">
      <alignment horizontal="right" vertical="center"/>
    </xf>
    <xf numFmtId="3" fontId="46" fillId="26" borderId="0" xfId="0" applyNumberFormat="1" applyFont="1" applyFill="1" applyBorder="1" applyAlignment="1">
      <alignment horizontal="right" vertical="center"/>
    </xf>
    <xf numFmtId="0" fontId="46" fillId="26" borderId="0" xfId="0" applyFont="1" applyFill="1" applyAlignment="1">
      <alignment horizontal="right" vertical="center"/>
    </xf>
    <xf numFmtId="0" fontId="59" fillId="0" borderId="0" xfId="0" applyFont="1"/>
    <xf numFmtId="0" fontId="29" fillId="0" borderId="0" xfId="26" applyFont="1" applyFill="1" applyAlignment="1">
      <alignment horizontal="right"/>
    </xf>
    <xf numFmtId="3" fontId="261" fillId="0" borderId="0" xfId="2130" applyNumberFormat="1" applyFont="1" applyAlignment="1">
      <alignment vertical="center"/>
    </xf>
    <xf numFmtId="164" fontId="268" fillId="0" borderId="19" xfId="2131" applyNumberFormat="1" applyFont="1" applyFill="1" applyBorder="1" applyAlignment="1">
      <alignment vertical="center"/>
    </xf>
    <xf numFmtId="164" fontId="269" fillId="0" borderId="19" xfId="2131" applyNumberFormat="1" applyFont="1" applyFill="1" applyBorder="1" applyAlignment="1">
      <alignment vertical="center"/>
    </xf>
    <xf numFmtId="164" fontId="269" fillId="0" borderId="0" xfId="2131" applyNumberFormat="1" applyFont="1" applyFill="1" applyBorder="1" applyAlignment="1">
      <alignment vertical="center"/>
    </xf>
    <xf numFmtId="164" fontId="269" fillId="0" borderId="19" xfId="2131" applyNumberFormat="1" applyFont="1" applyBorder="1" applyAlignment="1">
      <alignment vertical="center"/>
    </xf>
    <xf numFmtId="164" fontId="269" fillId="0" borderId="0" xfId="2131" applyNumberFormat="1" applyFont="1" applyBorder="1" applyAlignment="1">
      <alignment vertical="center"/>
    </xf>
    <xf numFmtId="177" fontId="268" fillId="0" borderId="19" xfId="2131" applyNumberFormat="1" applyFont="1" applyFill="1" applyBorder="1" applyAlignment="1">
      <alignment vertical="center"/>
    </xf>
    <xf numFmtId="164" fontId="268" fillId="0" borderId="19" xfId="2131" applyNumberFormat="1" applyFont="1" applyBorder="1" applyAlignment="1">
      <alignment vertical="center"/>
    </xf>
    <xf numFmtId="177" fontId="269" fillId="0" borderId="19" xfId="2131" applyNumberFormat="1" applyFont="1" applyFill="1" applyBorder="1" applyAlignment="1">
      <alignment vertical="center"/>
    </xf>
    <xf numFmtId="177" fontId="269" fillId="0" borderId="0" xfId="2131" applyNumberFormat="1" applyFont="1" applyFill="1" applyBorder="1" applyAlignment="1">
      <alignment vertical="center"/>
    </xf>
    <xf numFmtId="49" fontId="267" fillId="0" borderId="0" xfId="2131" applyNumberFormat="1" applyFont="1" applyBorder="1" applyAlignment="1">
      <alignment horizontal="center" vertical="center" readingOrder="2"/>
    </xf>
    <xf numFmtId="49" fontId="267" fillId="0" borderId="0" xfId="2131" applyNumberFormat="1" applyFont="1" applyBorder="1" applyAlignment="1">
      <alignment horizontal="right" vertical="center" readingOrder="2"/>
    </xf>
    <xf numFmtId="3" fontId="261" fillId="10" borderId="0" xfId="2130" applyNumberFormat="1" applyFont="1" applyFill="1" applyAlignment="1">
      <alignment vertical="center"/>
    </xf>
    <xf numFmtId="49" fontId="267" fillId="0" borderId="19" xfId="2131" applyNumberFormat="1" applyFont="1" applyBorder="1" applyAlignment="1">
      <alignment horizontal="right" vertical="center" readingOrder="2"/>
    </xf>
    <xf numFmtId="49" fontId="267" fillId="0" borderId="24" xfId="2131" applyNumberFormat="1" applyFont="1" applyBorder="1" applyAlignment="1">
      <alignment horizontal="right" vertical="center" readingOrder="2"/>
    </xf>
    <xf numFmtId="3" fontId="261" fillId="0" borderId="0" xfId="2132" applyNumberFormat="1" applyFont="1" applyAlignment="1">
      <alignment vertical="center"/>
    </xf>
    <xf numFmtId="3" fontId="262" fillId="0" borderId="0" xfId="2132" applyNumberFormat="1" applyFont="1" applyAlignment="1">
      <alignment vertical="center"/>
    </xf>
    <xf numFmtId="3" fontId="262" fillId="0" borderId="0" xfId="2132" applyNumberFormat="1" applyFont="1" applyFill="1" applyAlignment="1">
      <alignment vertical="center"/>
    </xf>
    <xf numFmtId="3" fontId="263" fillId="0" borderId="0" xfId="2132" applyNumberFormat="1" applyFont="1" applyAlignment="1">
      <alignment vertical="center"/>
    </xf>
    <xf numFmtId="3" fontId="263" fillId="0" borderId="0" xfId="2132" applyNumberFormat="1" applyFont="1" applyFill="1" applyAlignment="1">
      <alignment vertical="center"/>
    </xf>
    <xf numFmtId="3" fontId="265" fillId="0" borderId="0" xfId="2132" applyNumberFormat="1" applyFont="1" applyFill="1" applyAlignment="1">
      <alignment horizontal="center" vertical="center" wrapText="1"/>
    </xf>
    <xf numFmtId="1" fontId="265" fillId="0" borderId="19" xfId="2132" applyNumberFormat="1" applyFont="1" applyBorder="1" applyAlignment="1">
      <alignment horizontal="center" vertical="center" wrapText="1"/>
    </xf>
    <xf numFmtId="1" fontId="266" fillId="0" borderId="0" xfId="2132" applyNumberFormat="1" applyFont="1" applyAlignment="1">
      <alignment horizontal="center" vertical="center"/>
    </xf>
    <xf numFmtId="3" fontId="267" fillId="0" borderId="0" xfId="2132" applyNumberFormat="1" applyFont="1" applyAlignment="1">
      <alignment vertical="center"/>
    </xf>
    <xf numFmtId="3" fontId="267" fillId="0" borderId="19" xfId="2132" applyNumberFormat="1" applyFont="1" applyBorder="1" applyAlignment="1">
      <alignment vertical="center"/>
    </xf>
    <xf numFmtId="3" fontId="270" fillId="0" borderId="19" xfId="2132" applyNumberFormat="1" applyFont="1" applyBorder="1" applyAlignment="1">
      <alignment vertical="center"/>
    </xf>
    <xf numFmtId="3" fontId="270" fillId="0" borderId="0" xfId="2132" applyNumberFormat="1" applyFont="1" applyAlignment="1">
      <alignment vertical="center"/>
    </xf>
    <xf numFmtId="3" fontId="270" fillId="0" borderId="0" xfId="2132" applyNumberFormat="1" applyFont="1" applyAlignment="1">
      <alignment horizontal="center" vertical="center"/>
    </xf>
    <xf numFmtId="3" fontId="270" fillId="0" borderId="34" xfId="2132" applyNumberFormat="1" applyFont="1" applyBorder="1" applyAlignment="1">
      <alignment horizontal="center" vertical="center"/>
    </xf>
    <xf numFmtId="3" fontId="270" fillId="0" borderId="0" xfId="2132" applyNumberFormat="1" applyFont="1" applyFill="1" applyAlignment="1">
      <alignment horizontal="center" vertical="center"/>
    </xf>
    <xf numFmtId="3" fontId="267" fillId="0" borderId="0" xfId="2132" applyNumberFormat="1" applyFont="1" applyAlignment="1">
      <alignment horizontal="center" vertical="center"/>
    </xf>
    <xf numFmtId="3" fontId="270" fillId="0" borderId="0" xfId="2132" applyNumberFormat="1" applyFont="1" applyFill="1" applyAlignment="1">
      <alignment vertical="center"/>
    </xf>
    <xf numFmtId="185" fontId="263" fillId="0" borderId="0" xfId="2132" applyNumberFormat="1" applyFont="1" applyAlignment="1">
      <alignment vertical="center"/>
    </xf>
    <xf numFmtId="3" fontId="261" fillId="10" borderId="0" xfId="2132" applyNumberFormat="1" applyFont="1" applyFill="1" applyAlignment="1">
      <alignment vertical="center"/>
    </xf>
    <xf numFmtId="0" fontId="113" fillId="0" borderId="0" xfId="15" applyFont="1" applyAlignment="1">
      <alignment readingOrder="2"/>
    </xf>
    <xf numFmtId="0" fontId="113" fillId="0" borderId="0" xfId="15" applyFont="1" applyFill="1" applyAlignment="1">
      <alignment horizontal="right" readingOrder="2"/>
    </xf>
    <xf numFmtId="3" fontId="48" fillId="9" borderId="0" xfId="31" applyNumberFormat="1" applyFont="1" applyFill="1" applyBorder="1" applyAlignment="1">
      <alignment vertical="center" readingOrder="2"/>
    </xf>
    <xf numFmtId="0" fontId="34" fillId="0" borderId="0" xfId="8" applyFont="1" applyAlignment="1">
      <alignment horizontal="left" vertical="center" readingOrder="2"/>
    </xf>
    <xf numFmtId="0" fontId="59" fillId="0" borderId="0" xfId="0" applyFont="1"/>
    <xf numFmtId="0" fontId="64" fillId="9" borderId="0" xfId="31" applyFont="1" applyFill="1" applyBorder="1" applyAlignment="1">
      <alignment horizontal="right" vertical="center"/>
    </xf>
    <xf numFmtId="0" fontId="193" fillId="9" borderId="49" xfId="16" applyFont="1" applyFill="1" applyBorder="1" applyAlignment="1">
      <alignment vertical="center"/>
    </xf>
    <xf numFmtId="0" fontId="166" fillId="9" borderId="0" xfId="22" applyFont="1" applyFill="1" applyAlignment="1">
      <alignment horizontal="left" readingOrder="2"/>
    </xf>
    <xf numFmtId="0" fontId="42" fillId="9" borderId="0" xfId="18" applyFont="1" applyFill="1" applyAlignment="1">
      <alignment horizontal="right" vertical="center" readingOrder="2"/>
    </xf>
    <xf numFmtId="0" fontId="59" fillId="0" borderId="0" xfId="0" applyFont="1"/>
    <xf numFmtId="164" fontId="32" fillId="9" borderId="34" xfId="31" applyNumberFormat="1" applyFont="1" applyFill="1" applyBorder="1" applyAlignment="1">
      <alignment vertical="center"/>
    </xf>
    <xf numFmtId="0" fontId="42" fillId="9" borderId="0" xfId="18" applyFont="1" applyFill="1" applyAlignment="1">
      <alignment horizontal="right" vertical="center" readingOrder="2"/>
    </xf>
    <xf numFmtId="49" fontId="109" fillId="0" borderId="0" xfId="6" applyNumberFormat="1" applyFont="1" applyBorder="1" applyAlignment="1">
      <alignment horizontal="center" vertical="center"/>
    </xf>
    <xf numFmtId="186" fontId="35" fillId="9" borderId="43" xfId="8" applyNumberFormat="1" applyFont="1" applyFill="1" applyBorder="1" applyAlignment="1">
      <alignment horizontal="center" vertical="top" readingOrder="2"/>
    </xf>
    <xf numFmtId="0" fontId="50" fillId="9" borderId="35" xfId="21" applyNumberFormat="1" applyFont="1" applyFill="1" applyBorder="1" applyAlignment="1">
      <alignment horizontal="center" vertical="center" readingOrder="2"/>
    </xf>
    <xf numFmtId="174" fontId="60" fillId="0" borderId="0" xfId="42" applyNumberFormat="1" applyFont="1" applyFill="1" applyBorder="1" applyAlignment="1">
      <alignment horizontal="right"/>
    </xf>
    <xf numFmtId="167" fontId="27" fillId="0" borderId="0" xfId="8" applyNumberFormat="1" applyFont="1" applyAlignment="1">
      <alignment horizontal="center" vertical="center" readingOrder="2"/>
    </xf>
    <xf numFmtId="167" fontId="27" fillId="0" borderId="0" xfId="8" applyNumberFormat="1" applyFont="1" applyBorder="1" applyAlignment="1">
      <alignment horizontal="center" vertical="center" readingOrder="2"/>
    </xf>
    <xf numFmtId="164" fontId="59" fillId="0" borderId="0" xfId="15" applyNumberFormat="1" applyFont="1" applyFill="1" applyBorder="1" applyAlignment="1">
      <alignment horizontal="center" vertical="center"/>
    </xf>
    <xf numFmtId="164" fontId="34" fillId="0" borderId="0" xfId="17" applyNumberFormat="1" applyFont="1" applyFill="1" applyBorder="1" applyAlignment="1">
      <alignment horizontal="center" vertical="center"/>
    </xf>
    <xf numFmtId="0" fontId="44" fillId="9" borderId="0" xfId="22" applyFont="1" applyFill="1" applyAlignment="1">
      <alignment horizontal="center" vertical="center"/>
    </xf>
    <xf numFmtId="167" fontId="46" fillId="0" borderId="0" xfId="0" applyNumberFormat="1" applyFont="1" applyBorder="1"/>
    <xf numFmtId="0" fontId="34" fillId="0" borderId="0" xfId="28" applyFont="1" applyAlignment="1">
      <alignment horizontal="left" readingOrder="2"/>
    </xf>
    <xf numFmtId="0" fontId="32" fillId="0" borderId="0" xfId="28" applyFont="1" applyAlignment="1"/>
    <xf numFmtId="0" fontId="59" fillId="0" borderId="0" xfId="0" applyFont="1" applyAlignment="1"/>
    <xf numFmtId="0" fontId="79" fillId="0" borderId="0" xfId="0" applyFont="1" applyAlignment="1">
      <alignment horizontal="left" vertical="top"/>
    </xf>
    <xf numFmtId="0" fontId="59" fillId="0" borderId="0" xfId="0" applyFont="1"/>
    <xf numFmtId="0" fontId="74" fillId="0" borderId="36" xfId="0" applyFont="1" applyBorder="1" applyAlignment="1">
      <alignment horizontal="center" vertical="center" wrapText="1" readingOrder="2"/>
    </xf>
    <xf numFmtId="0" fontId="78" fillId="0" borderId="0" xfId="0" applyFont="1" applyBorder="1" applyAlignment="1">
      <alignment horizontal="right" vertical="center" wrapText="1" readingOrder="2"/>
    </xf>
    <xf numFmtId="0" fontId="78" fillId="0" borderId="35" xfId="0" applyFont="1" applyBorder="1" applyAlignment="1">
      <alignment horizontal="center" vertical="center" wrapText="1" readingOrder="2"/>
    </xf>
    <xf numFmtId="0" fontId="95" fillId="0" borderId="0" xfId="0" applyFont="1" applyBorder="1" applyAlignment="1">
      <alignment horizontal="right" vertical="center" wrapText="1" readingOrder="2"/>
    </xf>
    <xf numFmtId="164" fontId="32" fillId="9" borderId="0" xfId="27" applyNumberFormat="1" applyFont="1" applyFill="1" applyBorder="1" applyAlignment="1">
      <alignment horizontal="center" vertical="center"/>
    </xf>
    <xf numFmtId="164" fontId="32" fillId="9" borderId="34" xfId="27" applyNumberFormat="1" applyFont="1" applyFill="1" applyBorder="1" applyAlignment="1">
      <alignment horizontal="center" vertical="center"/>
    </xf>
    <xf numFmtId="49" fontId="32" fillId="9" borderId="0" xfId="27" applyNumberFormat="1" applyFont="1" applyFill="1" applyBorder="1" applyAlignment="1">
      <alignment horizontal="center" vertical="center"/>
    </xf>
    <xf numFmtId="49" fontId="32" fillId="9" borderId="0" xfId="27" applyNumberFormat="1" applyFont="1" applyFill="1" applyBorder="1" applyAlignment="1">
      <alignment vertical="center"/>
    </xf>
    <xf numFmtId="174" fontId="110" fillId="9" borderId="0" xfId="42" applyNumberFormat="1" applyFont="1" applyFill="1" applyBorder="1" applyAlignment="1">
      <alignment horizontal="center" vertical="center" wrapText="1"/>
    </xf>
    <xf numFmtId="187" fontId="258" fillId="0" borderId="0" xfId="42" applyNumberFormat="1" applyFont="1" applyFill="1" applyBorder="1" applyAlignment="1" applyProtection="1"/>
    <xf numFmtId="187" fontId="257" fillId="0" borderId="71" xfId="42" applyNumberFormat="1" applyFont="1" applyFill="1" applyBorder="1" applyAlignment="1" applyProtection="1"/>
    <xf numFmtId="49" fontId="49" fillId="9" borderId="24" xfId="3" applyNumberFormat="1" applyFont="1" applyFill="1" applyBorder="1" applyAlignment="1" applyProtection="1">
      <alignment horizontal="center" vertical="center"/>
      <protection locked="0"/>
    </xf>
    <xf numFmtId="49" fontId="49" fillId="9" borderId="21" xfId="3" applyNumberFormat="1" applyFont="1" applyFill="1" applyBorder="1" applyAlignment="1" applyProtection="1">
      <alignment horizontal="center" vertical="center"/>
      <protection locked="0"/>
    </xf>
    <xf numFmtId="0" fontId="49" fillId="9" borderId="71" xfId="3" applyFont="1" applyFill="1" applyBorder="1" applyAlignment="1" applyProtection="1">
      <alignment horizontal="right" vertical="center"/>
      <protection locked="0"/>
    </xf>
    <xf numFmtId="0" fontId="49" fillId="9" borderId="71" xfId="3" applyFont="1" applyFill="1" applyBorder="1" applyAlignment="1" applyProtection="1">
      <alignment horizontal="center" vertical="center"/>
      <protection locked="0"/>
    </xf>
    <xf numFmtId="168" fontId="50" fillId="0" borderId="71" xfId="0" applyNumberFormat="1" applyFont="1" applyFill="1" applyBorder="1" applyAlignment="1" applyProtection="1">
      <alignment horizontal="center" vertical="center"/>
    </xf>
    <xf numFmtId="168" fontId="49" fillId="9" borderId="71" xfId="10" applyNumberFormat="1" applyFont="1" applyFill="1" applyBorder="1" applyAlignment="1">
      <alignment horizontal="right" vertical="center"/>
    </xf>
    <xf numFmtId="168" fontId="49" fillId="0" borderId="71" xfId="10" applyNumberFormat="1" applyFont="1" applyFill="1" applyBorder="1" applyAlignment="1">
      <alignment horizontal="right" vertical="center"/>
    </xf>
    <xf numFmtId="168" fontId="63" fillId="10" borderId="71" xfId="10" applyNumberFormat="1" applyFont="1" applyFill="1" applyBorder="1" applyAlignment="1">
      <alignment horizontal="right" vertical="center"/>
    </xf>
    <xf numFmtId="0" fontId="63" fillId="10" borderId="71" xfId="3" applyFont="1" applyFill="1" applyBorder="1" applyAlignment="1" applyProtection="1">
      <alignment horizontal="right" vertical="center"/>
      <protection locked="0"/>
    </xf>
    <xf numFmtId="168" fontId="49" fillId="12" borderId="71" xfId="10" applyNumberFormat="1" applyFont="1" applyFill="1" applyBorder="1" applyAlignment="1">
      <alignment horizontal="right" vertical="center"/>
    </xf>
    <xf numFmtId="168" fontId="49" fillId="13" borderId="71" xfId="10" applyNumberFormat="1" applyFont="1" applyFill="1" applyBorder="1" applyAlignment="1">
      <alignment horizontal="right" vertical="center"/>
    </xf>
    <xf numFmtId="49" fontId="46" fillId="9" borderId="0" xfId="0" applyNumberFormat="1" applyFont="1" applyFill="1" applyAlignment="1">
      <alignment horizontal="right" vertical="center"/>
    </xf>
    <xf numFmtId="49" fontId="46" fillId="9" borderId="0" xfId="0" applyNumberFormat="1" applyFont="1" applyFill="1" applyAlignment="1">
      <alignment horizontal="center" vertical="center"/>
    </xf>
    <xf numFmtId="49" fontId="49" fillId="9" borderId="71" xfId="3" applyNumberFormat="1" applyFont="1" applyFill="1" applyBorder="1" applyAlignment="1" applyProtection="1">
      <alignment horizontal="center" vertical="center"/>
      <protection locked="0"/>
    </xf>
    <xf numFmtId="0" fontId="144" fillId="9" borderId="71" xfId="3" applyFont="1" applyFill="1" applyBorder="1" applyAlignment="1" applyProtection="1">
      <alignment horizontal="right" vertical="center"/>
      <protection locked="0"/>
    </xf>
    <xf numFmtId="168" fontId="49" fillId="9" borderId="71" xfId="10" applyNumberFormat="1" applyFont="1" applyFill="1" applyBorder="1" applyAlignment="1">
      <alignment horizontal="center" vertical="center"/>
    </xf>
    <xf numFmtId="168" fontId="257" fillId="0" borderId="71" xfId="0" applyNumberFormat="1" applyFont="1" applyFill="1" applyBorder="1" applyAlignment="1" applyProtection="1">
      <alignment horizontal="center" vertical="center"/>
    </xf>
    <xf numFmtId="168" fontId="63" fillId="0" borderId="71" xfId="0" applyNumberFormat="1" applyFont="1" applyFill="1" applyBorder="1" applyAlignment="1">
      <alignment horizontal="center" vertical="center"/>
    </xf>
    <xf numFmtId="168" fontId="258" fillId="0" borderId="71" xfId="0" applyNumberFormat="1" applyFont="1" applyFill="1" applyBorder="1" applyAlignment="1">
      <alignment horizontal="center" vertical="center"/>
    </xf>
    <xf numFmtId="168" fontId="49" fillId="0" borderId="0" xfId="10" applyNumberFormat="1" applyFont="1" applyFill="1" applyBorder="1" applyAlignment="1">
      <alignment horizontal="right" vertical="center"/>
    </xf>
    <xf numFmtId="37" fontId="258" fillId="0" borderId="71" xfId="0" applyNumberFormat="1" applyFont="1" applyFill="1" applyBorder="1"/>
    <xf numFmtId="37" fontId="258" fillId="0" borderId="71" xfId="0" applyNumberFormat="1" applyFont="1" applyFill="1" applyBorder="1" applyAlignment="1">
      <alignment vertical="center"/>
    </xf>
    <xf numFmtId="168" fontId="49" fillId="9" borderId="24" xfId="10" applyNumberFormat="1" applyFont="1" applyFill="1" applyBorder="1" applyAlignment="1">
      <alignment horizontal="center" vertical="center"/>
    </xf>
    <xf numFmtId="168" fontId="49" fillId="9" borderId="24" xfId="10" applyNumberFormat="1" applyFont="1" applyFill="1" applyBorder="1" applyAlignment="1">
      <alignment horizontal="right" vertical="center"/>
    </xf>
    <xf numFmtId="168" fontId="49" fillId="0" borderId="24" xfId="10" applyNumberFormat="1" applyFont="1" applyFill="1" applyBorder="1" applyAlignment="1">
      <alignment horizontal="right" vertical="center"/>
    </xf>
    <xf numFmtId="168" fontId="63" fillId="0" borderId="24" xfId="0" applyNumberFormat="1" applyFont="1" applyFill="1" applyBorder="1" applyAlignment="1">
      <alignment horizontal="center" vertical="center"/>
    </xf>
    <xf numFmtId="168" fontId="258" fillId="0" borderId="24" xfId="0" applyNumberFormat="1" applyFont="1" applyFill="1" applyBorder="1" applyAlignment="1">
      <alignment horizontal="center" vertical="center"/>
    </xf>
    <xf numFmtId="168" fontId="49" fillId="9" borderId="21" xfId="10" applyNumberFormat="1" applyFont="1" applyFill="1" applyBorder="1" applyAlignment="1">
      <alignment horizontal="center" vertical="center"/>
    </xf>
    <xf numFmtId="168" fontId="49" fillId="9" borderId="21" xfId="10" applyNumberFormat="1" applyFont="1" applyFill="1" applyBorder="1" applyAlignment="1">
      <alignment horizontal="right" vertical="center"/>
    </xf>
    <xf numFmtId="168" fontId="49" fillId="0" borderId="21" xfId="10" applyNumberFormat="1" applyFont="1" applyFill="1" applyBorder="1" applyAlignment="1">
      <alignment horizontal="right" vertical="center"/>
    </xf>
    <xf numFmtId="168" fontId="63" fillId="0" borderId="21" xfId="0" applyNumberFormat="1" applyFont="1" applyFill="1" applyBorder="1" applyAlignment="1">
      <alignment horizontal="center" vertical="center"/>
    </xf>
    <xf numFmtId="168" fontId="49" fillId="9" borderId="11" xfId="10" applyNumberFormat="1" applyFont="1" applyFill="1" applyBorder="1" applyAlignment="1">
      <alignment horizontal="center" vertical="center"/>
    </xf>
    <xf numFmtId="168" fontId="258" fillId="0" borderId="11" xfId="0" applyNumberFormat="1" applyFont="1" applyFill="1" applyBorder="1" applyAlignment="1">
      <alignment horizontal="center" vertical="center"/>
    </xf>
    <xf numFmtId="168" fontId="49" fillId="0" borderId="11" xfId="10" applyNumberFormat="1" applyFont="1" applyFill="1" applyBorder="1" applyAlignment="1">
      <alignment horizontal="right" vertical="center"/>
    </xf>
    <xf numFmtId="168" fontId="258" fillId="0" borderId="71" xfId="0" applyNumberFormat="1" applyFont="1" applyFill="1" applyBorder="1"/>
    <xf numFmtId="0" fontId="46" fillId="9" borderId="71" xfId="0" applyFont="1" applyFill="1" applyBorder="1" applyAlignment="1">
      <alignment horizontal="right" vertical="center"/>
    </xf>
    <xf numFmtId="168" fontId="49" fillId="9" borderId="0" xfId="10" applyNumberFormat="1" applyFont="1" applyFill="1" applyBorder="1" applyAlignment="1">
      <alignment horizontal="right" vertical="center"/>
    </xf>
    <xf numFmtId="37" fontId="49" fillId="0" borderId="71" xfId="0" applyNumberFormat="1" applyFont="1" applyFill="1" applyBorder="1"/>
    <xf numFmtId="49" fontId="49" fillId="10" borderId="71" xfId="3" applyNumberFormat="1" applyFont="1" applyFill="1" applyBorder="1" applyAlignment="1" applyProtection="1">
      <alignment horizontal="center" vertical="center"/>
      <protection locked="0"/>
    </xf>
    <xf numFmtId="168" fontId="63" fillId="9" borderId="21" xfId="10" applyNumberFormat="1" applyFont="1" applyFill="1" applyBorder="1" applyAlignment="1">
      <alignment horizontal="right" vertical="center"/>
    </xf>
    <xf numFmtId="0" fontId="63" fillId="9" borderId="21" xfId="3" applyFont="1" applyFill="1" applyBorder="1" applyAlignment="1" applyProtection="1">
      <alignment horizontal="right" vertical="center"/>
      <protection locked="0"/>
    </xf>
    <xf numFmtId="0" fontId="59" fillId="0" borderId="0" xfId="0" applyFont="1"/>
    <xf numFmtId="168" fontId="49" fillId="18" borderId="71" xfId="10" applyNumberFormat="1" applyFont="1" applyFill="1" applyBorder="1" applyAlignment="1">
      <alignment horizontal="right" vertical="center"/>
    </xf>
    <xf numFmtId="0" fontId="54" fillId="9" borderId="0" xfId="30" applyFont="1" applyFill="1"/>
    <xf numFmtId="0" fontId="158" fillId="9" borderId="0" xfId="30" applyFont="1" applyFill="1" applyAlignment="1">
      <alignment horizontal="right" vertical="top" readingOrder="2"/>
    </xf>
    <xf numFmtId="0" fontId="184" fillId="9" borderId="0" xfId="30" applyFont="1" applyFill="1" applyAlignment="1">
      <alignment horizontal="right" readingOrder="2"/>
    </xf>
    <xf numFmtId="164" fontId="103" fillId="9" borderId="0" xfId="30" applyNumberFormat="1" applyFont="1" applyFill="1" applyBorder="1" applyAlignment="1">
      <alignment vertical="center"/>
    </xf>
    <xf numFmtId="0" fontId="271" fillId="9" borderId="0" xfId="0" applyFont="1" applyFill="1"/>
    <xf numFmtId="0" fontId="256" fillId="9" borderId="0" xfId="0" applyFont="1" applyFill="1"/>
    <xf numFmtId="16" fontId="135" fillId="9" borderId="0" xfId="19" applyNumberFormat="1" applyFont="1" applyFill="1" applyAlignment="1">
      <alignment horizontal="right" vertical="top" readingOrder="2"/>
    </xf>
    <xf numFmtId="0" fontId="59" fillId="0" borderId="0" xfId="0" applyFont="1"/>
    <xf numFmtId="0" fontId="59" fillId="0" borderId="0" xfId="0" applyFont="1"/>
    <xf numFmtId="0" fontId="32" fillId="9" borderId="0" xfId="14" applyFont="1" applyFill="1" applyAlignment="1">
      <alignment readingOrder="2"/>
    </xf>
    <xf numFmtId="49" fontId="32" fillId="0" borderId="0" xfId="6" applyNumberFormat="1" applyFont="1" applyBorder="1" applyAlignment="1">
      <alignment horizontal="right" vertical="center" readingOrder="2"/>
    </xf>
    <xf numFmtId="0" fontId="228" fillId="0" borderId="0" xfId="5" applyFont="1" applyAlignment="1">
      <alignment horizontal="center" vertical="top" readingOrder="2"/>
    </xf>
    <xf numFmtId="0" fontId="37" fillId="0" borderId="0" xfId="0" applyFont="1" applyBorder="1" applyAlignment="1">
      <alignment horizontal="right" vertical="center" wrapText="1" readingOrder="2"/>
    </xf>
    <xf numFmtId="0" fontId="244" fillId="0" borderId="0" xfId="0" applyFont="1" applyBorder="1" applyAlignment="1">
      <alignment horizontal="right" vertical="center" wrapText="1" readingOrder="2"/>
    </xf>
    <xf numFmtId="0" fontId="48" fillId="9" borderId="0" xfId="26" applyFont="1" applyFill="1" applyAlignment="1"/>
    <xf numFmtId="0" fontId="35" fillId="0" borderId="0" xfId="6" applyFont="1" applyBorder="1" applyAlignment="1">
      <alignment horizontal="center"/>
    </xf>
    <xf numFmtId="3" fontId="57" fillId="9" borderId="0" xfId="19" applyNumberFormat="1" applyFont="1" applyFill="1" applyBorder="1" applyAlignment="1">
      <alignment horizontal="right" vertical="center" readingOrder="2"/>
    </xf>
    <xf numFmtId="0" fontId="57" fillId="9" borderId="0" xfId="19" applyFont="1" applyFill="1" applyAlignment="1">
      <alignment horizontal="right" vertical="center" readingOrder="2"/>
    </xf>
    <xf numFmtId="0" fontId="58" fillId="9" borderId="0" xfId="0" applyFont="1" applyFill="1"/>
    <xf numFmtId="0" fontId="48" fillId="0" borderId="0" xfId="12" applyFont="1"/>
    <xf numFmtId="0" fontId="167" fillId="9" borderId="35" xfId="30" applyFont="1" applyFill="1" applyBorder="1" applyAlignment="1">
      <alignment horizontal="center" vertical="top" readingOrder="2"/>
    </xf>
    <xf numFmtId="0" fontId="34" fillId="9" borderId="0" xfId="8" applyNumberFormat="1" applyFont="1" applyFill="1" applyBorder="1" applyAlignment="1">
      <alignment horizontal="center" vertical="center" readingOrder="2"/>
    </xf>
    <xf numFmtId="0" fontId="34" fillId="9" borderId="35" xfId="26" applyFont="1" applyFill="1" applyBorder="1" applyAlignment="1">
      <alignment horizontal="center" vertical="center" readingOrder="2"/>
    </xf>
    <xf numFmtId="164" fontId="34" fillId="0" borderId="0" xfId="20" applyNumberFormat="1" applyFont="1" applyFill="1" applyBorder="1" applyAlignment="1">
      <alignment horizontal="center" vertical="center" readingOrder="2"/>
    </xf>
    <xf numFmtId="3" fontId="71" fillId="0" borderId="0" xfId="35" applyNumberFormat="1" applyFont="1" applyBorder="1" applyAlignment="1">
      <alignment horizontal="right" vertical="center"/>
    </xf>
    <xf numFmtId="168" fontId="258" fillId="0" borderId="19" xfId="0" applyNumberFormat="1" applyFont="1" applyFill="1" applyBorder="1"/>
    <xf numFmtId="3" fontId="258" fillId="0" borderId="19" xfId="0" applyNumberFormat="1" applyFont="1" applyFill="1" applyBorder="1"/>
    <xf numFmtId="37" fontId="49" fillId="0" borderId="19" xfId="0" applyNumberFormat="1" applyFont="1" applyFill="1" applyBorder="1"/>
    <xf numFmtId="3" fontId="258" fillId="0" borderId="0" xfId="0" applyNumberFormat="1" applyFont="1" applyFill="1" applyBorder="1"/>
    <xf numFmtId="168" fontId="258" fillId="0" borderId="0" xfId="0" applyNumberFormat="1" applyFont="1" applyFill="1" applyBorder="1" applyAlignment="1">
      <alignment horizontal="center" vertical="center"/>
    </xf>
    <xf numFmtId="37" fontId="258" fillId="0" borderId="0" xfId="0" applyNumberFormat="1" applyFont="1" applyFill="1" applyBorder="1"/>
    <xf numFmtId="168" fontId="258" fillId="0" borderId="0" xfId="0" applyNumberFormat="1" applyFont="1" applyFill="1" applyBorder="1"/>
    <xf numFmtId="168" fontId="63" fillId="0" borderId="0" xfId="0" applyNumberFormat="1" applyFont="1" applyFill="1" applyBorder="1" applyAlignment="1">
      <alignment horizontal="center" vertical="center"/>
    </xf>
    <xf numFmtId="37" fontId="258" fillId="0" borderId="11" xfId="0" applyNumberFormat="1" applyFont="1" applyFill="1" applyBorder="1"/>
    <xf numFmtId="0" fontId="31" fillId="0" borderId="0" xfId="12" applyNumberFormat="1" applyFont="1" applyBorder="1" applyAlignment="1">
      <alignment horizontal="center" readingOrder="2"/>
    </xf>
    <xf numFmtId="0" fontId="35" fillId="0" borderId="0" xfId="8" applyFont="1" applyBorder="1" applyAlignment="1">
      <alignment horizontal="right" vertical="center" readingOrder="2"/>
    </xf>
    <xf numFmtId="174" fontId="64" fillId="0" borderId="0" xfId="42" applyNumberFormat="1" applyFont="1" applyFill="1" applyBorder="1" applyAlignment="1">
      <alignment horizontal="right"/>
    </xf>
    <xf numFmtId="174" fontId="31" fillId="0" borderId="0" xfId="42" applyNumberFormat="1" applyFont="1" applyFill="1" applyBorder="1" applyAlignment="1">
      <alignment horizontal="right" readingOrder="2"/>
    </xf>
    <xf numFmtId="174" fontId="31" fillId="9" borderId="0" xfId="42" applyNumberFormat="1" applyFont="1" applyFill="1" applyBorder="1" applyAlignment="1">
      <alignment horizontal="right" wrapText="1"/>
    </xf>
    <xf numFmtId="174" fontId="31" fillId="9" borderId="0" xfId="42" applyNumberFormat="1" applyFont="1" applyFill="1" applyBorder="1" applyAlignment="1">
      <alignment horizontal="right"/>
    </xf>
    <xf numFmtId="0" fontId="32" fillId="0" borderId="0" xfId="47" applyNumberFormat="1" applyFont="1" applyAlignment="1">
      <alignment horizontal="center"/>
    </xf>
    <xf numFmtId="0" fontId="132" fillId="0" borderId="0" xfId="14" applyFont="1" applyFill="1" applyAlignment="1">
      <alignment readingOrder="2"/>
    </xf>
    <xf numFmtId="0" fontId="272" fillId="0" borderId="0" xfId="14" applyFont="1" applyFill="1" applyAlignment="1">
      <alignment horizontal="center" readingOrder="2"/>
    </xf>
    <xf numFmtId="0" fontId="31" fillId="0" borderId="0" xfId="8" applyFont="1" applyAlignment="1">
      <alignment horizontal="right" readingOrder="2"/>
    </xf>
    <xf numFmtId="0" fontId="31" fillId="0" borderId="0" xfId="21" applyFont="1" applyFill="1" applyAlignment="1">
      <alignment horizontal="right" wrapText="1" readingOrder="2"/>
    </xf>
    <xf numFmtId="0" fontId="34" fillId="0" borderId="0" xfId="21" applyFont="1" applyFill="1" applyAlignment="1">
      <alignment wrapText="1" readingOrder="2"/>
    </xf>
    <xf numFmtId="0" fontId="59" fillId="0" borderId="0" xfId="0" applyFont="1" applyFill="1" applyAlignment="1"/>
    <xf numFmtId="0" fontId="34" fillId="0" borderId="35" xfId="20" applyFont="1" applyFill="1" applyBorder="1" applyAlignment="1">
      <alignment horizontal="center" vertical="center" readingOrder="2"/>
    </xf>
    <xf numFmtId="0" fontId="35" fillId="9" borderId="0" xfId="0" applyFont="1" applyFill="1" applyAlignment="1">
      <alignment horizontal="left" vertical="center"/>
    </xf>
    <xf numFmtId="0" fontId="35" fillId="9" borderId="0" xfId="25" applyFont="1" applyFill="1" applyAlignment="1">
      <alignment horizontal="right" vertical="center" readingOrder="2"/>
    </xf>
    <xf numFmtId="0" fontId="65" fillId="9" borderId="0" xfId="25" applyFont="1" applyFill="1" applyAlignment="1">
      <alignment horizontal="right" vertical="center" readingOrder="2"/>
    </xf>
    <xf numFmtId="0" fontId="35" fillId="9" borderId="0" xfId="25" applyFont="1" applyFill="1" applyAlignment="1">
      <alignment horizontal="right" vertical="center"/>
    </xf>
    <xf numFmtId="0" fontId="35" fillId="9" borderId="0" xfId="0" applyFont="1" applyFill="1"/>
    <xf numFmtId="0" fontId="35" fillId="9" borderId="0" xfId="25" applyFont="1" applyFill="1" applyBorder="1" applyAlignment="1">
      <alignment horizontal="center" vertical="center" readingOrder="2"/>
    </xf>
    <xf numFmtId="0" fontId="35" fillId="9" borderId="35" xfId="25" applyFont="1" applyFill="1" applyBorder="1" applyAlignment="1">
      <alignment horizontal="center" vertical="center" wrapText="1" readingOrder="2"/>
    </xf>
    <xf numFmtId="0" fontId="35" fillId="9" borderId="35" xfId="25" applyFont="1" applyFill="1" applyBorder="1" applyAlignment="1">
      <alignment horizontal="center" vertical="center" readingOrder="2"/>
    </xf>
    <xf numFmtId="0" fontId="35" fillId="9" borderId="0" xfId="25" applyFont="1" applyFill="1" applyBorder="1" applyAlignment="1">
      <alignment horizontal="center" vertical="center"/>
    </xf>
    <xf numFmtId="0" fontId="35" fillId="9" borderId="0" xfId="24" applyFont="1" applyFill="1" applyBorder="1" applyAlignment="1">
      <alignment horizontal="center" vertical="top" readingOrder="2"/>
    </xf>
    <xf numFmtId="0" fontId="35" fillId="9" borderId="0" xfId="24" applyFont="1" applyFill="1" applyAlignment="1">
      <alignment horizontal="center" vertical="top" readingOrder="2"/>
    </xf>
    <xf numFmtId="0" fontId="35" fillId="9" borderId="0" xfId="25" applyFont="1" applyFill="1" applyAlignment="1">
      <alignment vertical="center" readingOrder="2"/>
    </xf>
    <xf numFmtId="164" fontId="35" fillId="9" borderId="0" xfId="25" applyNumberFormat="1" applyFont="1" applyFill="1" applyBorder="1" applyAlignment="1">
      <alignment horizontal="right" vertical="center"/>
    </xf>
    <xf numFmtId="164" fontId="35" fillId="9" borderId="34" xfId="25" applyNumberFormat="1" applyFont="1" applyFill="1" applyBorder="1" applyAlignment="1">
      <alignment horizontal="right" vertical="center"/>
    </xf>
    <xf numFmtId="164" fontId="113" fillId="9" borderId="0" xfId="25" applyNumberFormat="1" applyFont="1" applyFill="1" applyBorder="1" applyAlignment="1">
      <alignment horizontal="right" vertical="center"/>
    </xf>
    <xf numFmtId="0" fontId="31" fillId="0" borderId="0" xfId="6" applyFont="1" applyBorder="1" applyAlignment="1"/>
    <xf numFmtId="0" fontId="59" fillId="0" borderId="0" xfId="0" applyFont="1"/>
    <xf numFmtId="0" fontId="38" fillId="0" borderId="0" xfId="6" applyFont="1" applyAlignment="1">
      <alignment vertical="top"/>
    </xf>
    <xf numFmtId="0" fontId="273" fillId="0" borderId="0" xfId="6" applyFont="1" applyAlignment="1">
      <alignment horizontal="center" readingOrder="2"/>
    </xf>
    <xf numFmtId="49" fontId="108" fillId="0" borderId="0" xfId="6" applyNumberFormat="1" applyFont="1"/>
    <xf numFmtId="0" fontId="108" fillId="0" borderId="0" xfId="6" applyFont="1"/>
    <xf numFmtId="183" fontId="108" fillId="9" borderId="0" xfId="6" applyNumberFormat="1" applyFont="1" applyFill="1"/>
    <xf numFmtId="0" fontId="108" fillId="9" borderId="0" xfId="6" applyFont="1" applyFill="1"/>
    <xf numFmtId="0" fontId="35" fillId="0" borderId="35" xfId="12" applyFont="1" applyBorder="1" applyAlignment="1">
      <alignment horizontal="center" vertical="center" readingOrder="2"/>
    </xf>
    <xf numFmtId="174" fontId="34" fillId="0" borderId="36" xfId="42" applyNumberFormat="1" applyFont="1" applyBorder="1" applyAlignment="1">
      <alignment horizontal="right"/>
    </xf>
    <xf numFmtId="0" fontId="78" fillId="0" borderId="0" xfId="0" applyFont="1" applyBorder="1" applyAlignment="1">
      <alignment horizontal="center" vertical="center" wrapText="1" readingOrder="2"/>
    </xf>
    <xf numFmtId="0" fontId="44" fillId="9" borderId="0" xfId="31" applyFont="1" applyFill="1" applyBorder="1"/>
    <xf numFmtId="0" fontId="49" fillId="9" borderId="0" xfId="31" applyFont="1" applyFill="1" applyBorder="1"/>
    <xf numFmtId="0" fontId="119" fillId="0" borderId="0" xfId="11" applyFont="1" applyAlignment="1">
      <alignment vertical="center" readingOrder="2"/>
    </xf>
    <xf numFmtId="0" fontId="119" fillId="0" borderId="0" xfId="11" applyFont="1" applyAlignment="1">
      <alignment horizontal="justify" vertical="center" readingOrder="2"/>
    </xf>
    <xf numFmtId="3" fontId="119" fillId="9" borderId="0" xfId="6" applyNumberFormat="1" applyFont="1" applyFill="1" applyBorder="1" applyAlignment="1">
      <alignment vertical="top"/>
    </xf>
    <xf numFmtId="164" fontId="119" fillId="9" borderId="0" xfId="6" applyNumberFormat="1" applyFont="1" applyFill="1" applyBorder="1" applyAlignment="1">
      <alignment vertical="top"/>
    </xf>
    <xf numFmtId="0" fontId="59" fillId="0" borderId="0" xfId="0" applyFont="1"/>
    <xf numFmtId="0" fontId="32" fillId="9" borderId="0" xfId="25" applyFont="1" applyFill="1" applyAlignment="1">
      <alignment horizontal="right" vertical="center"/>
    </xf>
    <xf numFmtId="0" fontId="32" fillId="9" borderId="0" xfId="25" applyFont="1" applyFill="1" applyAlignment="1">
      <alignment horizontal="right" vertical="top"/>
    </xf>
    <xf numFmtId="0" fontId="31" fillId="9" borderId="0" xfId="25" applyFont="1" applyFill="1" applyAlignment="1">
      <alignment horizontal="right" vertical="top" wrapText="1" readingOrder="2"/>
    </xf>
    <xf numFmtId="0" fontId="31" fillId="0" borderId="0" xfId="8" applyFont="1" applyAlignment="1">
      <alignment horizontal="center" vertical="center" readingOrder="2"/>
    </xf>
    <xf numFmtId="174" fontId="31" fillId="0" borderId="0" xfId="42" applyNumberFormat="1" applyFont="1" applyAlignment="1">
      <alignment horizontal="center" vertical="center" readingOrder="2"/>
    </xf>
    <xf numFmtId="0" fontId="35" fillId="0" borderId="0" xfId="8" applyFont="1" applyAlignment="1">
      <alignment horizontal="center" vertical="center" readingOrder="2"/>
    </xf>
    <xf numFmtId="0" fontId="35" fillId="0" borderId="35" xfId="8" applyFont="1" applyBorder="1" applyAlignment="1">
      <alignment horizontal="center" vertical="center" readingOrder="2"/>
    </xf>
    <xf numFmtId="0" fontId="35" fillId="0" borderId="0" xfId="8" applyFont="1" applyBorder="1" applyAlignment="1">
      <alignment horizontal="center" vertical="center" readingOrder="2"/>
    </xf>
    <xf numFmtId="174" fontId="35" fillId="0" borderId="0" xfId="42" applyNumberFormat="1" applyFont="1" applyAlignment="1">
      <alignment horizontal="center" vertical="center" readingOrder="2"/>
    </xf>
    <xf numFmtId="3" fontId="35" fillId="0" borderId="0" xfId="12" applyNumberFormat="1" applyFont="1" applyBorder="1" applyAlignment="1">
      <alignment horizontal="center" vertical="center" readingOrder="2"/>
    </xf>
    <xf numFmtId="0" fontId="63" fillId="0" borderId="36" xfId="0" applyFont="1" applyBorder="1" applyAlignment="1">
      <alignment horizontal="center" vertical="center"/>
    </xf>
    <xf numFmtId="0" fontId="110" fillId="0" borderId="0" xfId="37" applyFont="1"/>
    <xf numFmtId="0" fontId="110" fillId="0" borderId="0" xfId="0" applyFont="1" applyAlignment="1">
      <alignment vertical="top"/>
    </xf>
    <xf numFmtId="0" fontId="110" fillId="9" borderId="0" xfId="15" applyFont="1" applyFill="1" applyBorder="1" applyAlignment="1">
      <alignment vertical="top" readingOrder="2"/>
    </xf>
    <xf numFmtId="0" fontId="110" fillId="9" borderId="0" xfId="26" applyFont="1" applyFill="1" applyAlignment="1">
      <alignment horizontal="right" readingOrder="2"/>
    </xf>
    <xf numFmtId="49" fontId="110" fillId="0" borderId="0" xfId="6" applyNumberFormat="1" applyFont="1" applyBorder="1" applyAlignment="1">
      <alignment horizontal="right" vertical="center" readingOrder="2"/>
    </xf>
    <xf numFmtId="0" fontId="30" fillId="9" borderId="0" xfId="13" applyFont="1" applyFill="1" applyAlignment="1">
      <alignment horizontal="right" wrapText="1" readingOrder="2"/>
    </xf>
    <xf numFmtId="0" fontId="111" fillId="0" borderId="0" xfId="15" applyFont="1" applyBorder="1" applyAlignment="1">
      <alignment readingOrder="2"/>
    </xf>
    <xf numFmtId="188" fontId="35" fillId="0" borderId="0" xfId="13" applyNumberFormat="1" applyFont="1" applyBorder="1" applyAlignment="1">
      <alignment horizontal="center" readingOrder="2"/>
    </xf>
    <xf numFmtId="0" fontId="232" fillId="9" borderId="0" xfId="5" applyFont="1" applyFill="1" applyAlignment="1">
      <alignment horizontal="center" vertical="top" readingOrder="2"/>
    </xf>
    <xf numFmtId="0" fontId="237" fillId="9" borderId="0" xfId="2123" applyFont="1" applyFill="1" applyBorder="1" applyAlignment="1">
      <alignment vertical="top" readingOrder="2"/>
    </xf>
    <xf numFmtId="3" fontId="47" fillId="9" borderId="17" xfId="34" applyNumberFormat="1" applyFont="1" applyFill="1" applyBorder="1" applyAlignment="1">
      <alignment horizontal="center" vertical="center" wrapText="1"/>
    </xf>
    <xf numFmtId="0" fontId="59" fillId="0" borderId="0" xfId="0" applyFont="1"/>
    <xf numFmtId="0" fontId="138" fillId="0" borderId="3" xfId="0" applyFont="1" applyBorder="1" applyAlignment="1">
      <alignment horizontal="center" vertical="center" wrapText="1"/>
    </xf>
    <xf numFmtId="0" fontId="138" fillId="0" borderId="48" xfId="0" applyFont="1" applyBorder="1" applyAlignment="1">
      <alignment horizontal="center" vertical="center" wrapText="1"/>
    </xf>
    <xf numFmtId="0" fontId="138" fillId="0" borderId="47" xfId="0" applyFont="1" applyBorder="1" applyAlignment="1">
      <alignment horizontal="center" vertical="center" wrapText="1"/>
    </xf>
    <xf numFmtId="0" fontId="138" fillId="0" borderId="17" xfId="0" applyFont="1" applyBorder="1" applyAlignment="1">
      <alignment horizontal="center" vertical="center" wrapText="1"/>
    </xf>
    <xf numFmtId="3" fontId="63" fillId="0" borderId="22" xfId="0" applyNumberFormat="1" applyFont="1" applyBorder="1" applyAlignment="1">
      <alignment horizontal="center" vertical="center"/>
    </xf>
    <xf numFmtId="3" fontId="63" fillId="0" borderId="46" xfId="0" applyNumberFormat="1" applyFont="1" applyBorder="1" applyAlignment="1">
      <alignment horizontal="center" vertical="center"/>
    </xf>
    <xf numFmtId="3" fontId="63" fillId="0" borderId="30" xfId="0" applyNumberFormat="1" applyFont="1" applyBorder="1" applyAlignment="1">
      <alignment horizontal="center" vertical="center"/>
    </xf>
    <xf numFmtId="0" fontId="48" fillId="9" borderId="64" xfId="34" applyFont="1" applyFill="1" applyBorder="1" applyAlignment="1">
      <alignment horizontal="center" vertical="top" wrapText="1"/>
    </xf>
    <xf numFmtId="3" fontId="35" fillId="9" borderId="21" xfId="34" applyNumberFormat="1" applyFont="1" applyFill="1" applyBorder="1" applyAlignment="1">
      <alignment vertical="top"/>
    </xf>
    <xf numFmtId="0" fontId="48" fillId="9" borderId="71" xfId="34" applyFont="1" applyFill="1" applyBorder="1" applyAlignment="1">
      <alignment horizontal="justify" vertical="top" wrapText="1"/>
    </xf>
    <xf numFmtId="3" fontId="35" fillId="9" borderId="71" xfId="34" applyNumberFormat="1" applyFont="1" applyFill="1" applyBorder="1" applyAlignment="1">
      <alignment horizontal="left" vertical="center" wrapText="1"/>
    </xf>
    <xf numFmtId="3" fontId="35" fillId="9" borderId="71" xfId="34" applyNumberFormat="1" applyFont="1" applyFill="1" applyBorder="1" applyAlignment="1">
      <alignment vertical="top"/>
    </xf>
    <xf numFmtId="164" fontId="35" fillId="9" borderId="71" xfId="34" applyNumberFormat="1" applyFont="1" applyFill="1" applyBorder="1" applyAlignment="1">
      <alignment vertical="top"/>
    </xf>
    <xf numFmtId="0" fontId="59" fillId="0" borderId="71" xfId="37" applyFont="1" applyBorder="1"/>
    <xf numFmtId="165" fontId="35" fillId="9" borderId="71" xfId="34" applyNumberFormat="1" applyFont="1" applyFill="1" applyBorder="1" applyAlignment="1">
      <alignment vertical="top"/>
    </xf>
    <xf numFmtId="164" fontId="35" fillId="9" borderId="71" xfId="34" applyNumberFormat="1" applyFont="1" applyFill="1" applyBorder="1" applyAlignment="1">
      <alignment horizontal="center" vertical="center"/>
    </xf>
    <xf numFmtId="0" fontId="48" fillId="9" borderId="24" xfId="34" applyFont="1" applyFill="1" applyBorder="1" applyAlignment="1">
      <alignment horizontal="justify" vertical="top" wrapText="1"/>
    </xf>
    <xf numFmtId="3" fontId="35" fillId="9" borderId="24" xfId="34" applyNumberFormat="1" applyFont="1" applyFill="1" applyBorder="1" applyAlignment="1">
      <alignment horizontal="left" vertical="center" wrapText="1"/>
    </xf>
    <xf numFmtId="164" fontId="35" fillId="9" borderId="24" xfId="34" applyNumberFormat="1" applyFont="1" applyFill="1" applyBorder="1" applyAlignment="1">
      <alignment vertical="top"/>
    </xf>
    <xf numFmtId="0" fontId="59" fillId="0" borderId="24" xfId="37" applyFont="1" applyBorder="1"/>
    <xf numFmtId="165" fontId="35" fillId="9" borderId="24" xfId="34" applyNumberFormat="1" applyFont="1" applyFill="1" applyBorder="1" applyAlignment="1">
      <alignment vertical="top"/>
    </xf>
    <xf numFmtId="3" fontId="35" fillId="9" borderId="51" xfId="34" applyNumberFormat="1" applyFont="1" applyFill="1" applyBorder="1" applyAlignment="1">
      <alignment vertical="top"/>
    </xf>
    <xf numFmtId="165" fontId="35" fillId="9" borderId="25" xfId="34" applyNumberFormat="1" applyFont="1" applyFill="1" applyBorder="1" applyAlignment="1">
      <alignment vertical="top"/>
    </xf>
    <xf numFmtId="165" fontId="35" fillId="9" borderId="0" xfId="34" applyNumberFormat="1" applyFont="1" applyFill="1" applyBorder="1" applyAlignment="1">
      <alignment vertical="top"/>
    </xf>
    <xf numFmtId="0" fontId="48" fillId="9" borderId="71" xfId="34" applyFont="1" applyFill="1" applyBorder="1" applyAlignment="1">
      <alignment horizontal="right" vertical="center" wrapText="1"/>
    </xf>
    <xf numFmtId="3" fontId="35" fillId="9" borderId="71" xfId="34" applyNumberFormat="1" applyFont="1" applyFill="1" applyBorder="1" applyAlignment="1">
      <alignment horizontal="right" vertical="center"/>
    </xf>
    <xf numFmtId="0" fontId="59" fillId="0" borderId="48" xfId="37" applyFont="1" applyBorder="1"/>
    <xf numFmtId="165" fontId="35" fillId="9" borderId="48" xfId="34" applyNumberFormat="1" applyFont="1" applyFill="1" applyBorder="1" applyAlignment="1">
      <alignment vertical="top"/>
    </xf>
    <xf numFmtId="0" fontId="59" fillId="0" borderId="17" xfId="37" applyFont="1" applyBorder="1"/>
    <xf numFmtId="165" fontId="35" fillId="9" borderId="17" xfId="34" applyNumberFormat="1" applyFont="1" applyFill="1" applyBorder="1" applyAlignment="1">
      <alignment vertical="top"/>
    </xf>
    <xf numFmtId="0" fontId="48" fillId="9" borderId="28" xfId="34" applyFont="1" applyFill="1" applyBorder="1" applyAlignment="1">
      <alignment horizontal="center" vertical="center" wrapText="1"/>
    </xf>
    <xf numFmtId="0" fontId="48" fillId="9" borderId="24" xfId="34" applyFont="1" applyFill="1" applyBorder="1" applyAlignment="1">
      <alignment horizontal="right" vertical="center" wrapText="1"/>
    </xf>
    <xf numFmtId="3" fontId="35" fillId="9" borderId="24" xfId="34" applyNumberFormat="1" applyFont="1" applyFill="1" applyBorder="1" applyAlignment="1">
      <alignment horizontal="right" vertical="center"/>
    </xf>
    <xf numFmtId="3" fontId="261" fillId="0" borderId="0" xfId="2130" applyNumberFormat="1" applyFont="1" applyBorder="1" applyAlignment="1">
      <alignment vertical="center"/>
    </xf>
    <xf numFmtId="3" fontId="84" fillId="0" borderId="0" xfId="2130" applyNumberFormat="1" applyFont="1" applyBorder="1" applyAlignment="1">
      <alignment horizontal="right" vertical="center"/>
    </xf>
    <xf numFmtId="3" fontId="35" fillId="0" borderId="51" xfId="34" applyNumberFormat="1" applyFont="1" applyBorder="1" applyAlignment="1">
      <alignment horizontal="left" vertical="center" wrapText="1"/>
    </xf>
    <xf numFmtId="3" fontId="35" fillId="0" borderId="51" xfId="34" applyNumberFormat="1" applyFont="1" applyBorder="1" applyAlignment="1">
      <alignment horizontal="center" vertical="center" wrapText="1"/>
    </xf>
    <xf numFmtId="164" fontId="35" fillId="0" borderId="51" xfId="34" applyNumberFormat="1" applyFont="1" applyBorder="1" applyAlignment="1">
      <alignment vertical="center"/>
    </xf>
    <xf numFmtId="0" fontId="59" fillId="0" borderId="51" xfId="37" applyFont="1" applyBorder="1"/>
    <xf numFmtId="165" fontId="35" fillId="9" borderId="51" xfId="34" applyNumberFormat="1" applyFont="1" applyFill="1" applyBorder="1" applyAlignment="1">
      <alignment vertical="top"/>
    </xf>
    <xf numFmtId="0" fontId="48" fillId="0" borderId="48" xfId="34" applyFont="1" applyBorder="1" applyAlignment="1">
      <alignment horizontal="justify" vertical="top" wrapText="1"/>
    </xf>
    <xf numFmtId="164" fontId="35" fillId="0" borderId="48" xfId="34" applyNumberFormat="1" applyFont="1" applyBorder="1" applyAlignment="1">
      <alignment vertical="top"/>
    </xf>
    <xf numFmtId="0" fontId="48" fillId="0" borderId="13" xfId="34" applyFont="1" applyBorder="1" applyAlignment="1">
      <alignment horizontal="center" vertical="top" wrapText="1"/>
    </xf>
    <xf numFmtId="0" fontId="48" fillId="0" borderId="17" xfId="34" applyFont="1" applyBorder="1" applyAlignment="1">
      <alignment horizontal="justify" vertical="top" wrapText="1"/>
    </xf>
    <xf numFmtId="3" fontId="35" fillId="0" borderId="17" xfId="34" applyNumberFormat="1" applyFont="1" applyBorder="1" applyAlignment="1">
      <alignment horizontal="left" vertical="top" wrapText="1"/>
    </xf>
    <xf numFmtId="3" fontId="35" fillId="0" borderId="17" xfId="34" applyNumberFormat="1" applyFont="1" applyBorder="1" applyAlignment="1">
      <alignment vertical="top"/>
    </xf>
    <xf numFmtId="164" fontId="35" fillId="0" borderId="17" xfId="34" applyNumberFormat="1" applyFont="1" applyBorder="1" applyAlignment="1">
      <alignment vertical="top"/>
    </xf>
    <xf numFmtId="3" fontId="35" fillId="9" borderId="51" xfId="34" applyNumberFormat="1" applyFont="1" applyFill="1" applyBorder="1" applyAlignment="1">
      <alignment horizontal="left" vertical="top" wrapText="1"/>
    </xf>
    <xf numFmtId="0" fontId="59" fillId="0" borderId="21" xfId="37" applyFont="1" applyBorder="1"/>
    <xf numFmtId="165" fontId="35" fillId="9" borderId="21" xfId="34" applyNumberFormat="1" applyFont="1" applyFill="1" applyBorder="1" applyAlignment="1">
      <alignment vertical="top"/>
    </xf>
    <xf numFmtId="164" fontId="35" fillId="0" borderId="51" xfId="34" applyNumberFormat="1" applyFont="1" applyBorder="1" applyAlignment="1">
      <alignment vertical="top"/>
    </xf>
    <xf numFmtId="3" fontId="35" fillId="9" borderId="71" xfId="34" applyNumberFormat="1" applyFont="1" applyFill="1" applyBorder="1" applyAlignment="1">
      <alignment horizontal="left" vertical="top" wrapText="1"/>
    </xf>
    <xf numFmtId="164" fontId="35" fillId="9" borderId="51" xfId="34" applyNumberFormat="1" applyFont="1" applyFill="1" applyBorder="1" applyAlignment="1">
      <alignment vertical="top"/>
    </xf>
    <xf numFmtId="3" fontId="63" fillId="0" borderId="47" xfId="0" applyNumberFormat="1" applyFont="1" applyBorder="1" applyAlignment="1">
      <alignment horizontal="center" vertical="center"/>
    </xf>
    <xf numFmtId="3" fontId="63" fillId="0" borderId="18" xfId="0" applyNumberFormat="1" applyFont="1" applyBorder="1" applyAlignment="1">
      <alignment horizontal="center" vertical="center"/>
    </xf>
    <xf numFmtId="3" fontId="63" fillId="0" borderId="25" xfId="0" applyNumberFormat="1" applyFont="1" applyBorder="1" applyAlignment="1">
      <alignment horizontal="center" vertical="center"/>
    </xf>
    <xf numFmtId="0" fontId="48" fillId="9" borderId="71" xfId="34" applyFont="1" applyFill="1" applyBorder="1" applyAlignment="1">
      <alignment horizontal="right" vertical="top" wrapText="1"/>
    </xf>
    <xf numFmtId="0" fontId="49" fillId="9" borderId="71" xfId="34" applyFont="1" applyFill="1" applyBorder="1" applyAlignment="1">
      <alignment horizontal="right" vertical="center" wrapText="1"/>
    </xf>
    <xf numFmtId="0" fontId="48" fillId="9" borderId="28" xfId="34" applyFont="1" applyFill="1" applyBorder="1" applyAlignment="1">
      <alignment horizontal="center" vertical="top" wrapText="1"/>
    </xf>
    <xf numFmtId="0" fontId="48" fillId="9" borderId="21" xfId="34" applyFont="1" applyFill="1" applyBorder="1" applyAlignment="1">
      <alignment horizontal="justify" vertical="top" wrapText="1"/>
    </xf>
    <xf numFmtId="3" fontId="35" fillId="9" borderId="21" xfId="34" applyNumberFormat="1" applyFont="1" applyFill="1" applyBorder="1" applyAlignment="1">
      <alignment horizontal="left" vertical="center" wrapText="1"/>
    </xf>
    <xf numFmtId="164" fontId="35" fillId="9" borderId="21" xfId="34" applyNumberFormat="1" applyFont="1" applyFill="1" applyBorder="1" applyAlignment="1">
      <alignment vertical="top"/>
    </xf>
    <xf numFmtId="164" fontId="35" fillId="9" borderId="51" xfId="34" applyNumberFormat="1" applyFont="1" applyFill="1" applyBorder="1" applyAlignment="1">
      <alignment horizontal="center" vertical="center"/>
    </xf>
    <xf numFmtId="0" fontId="0" fillId="0" borderId="0" xfId="0" applyAlignment="1">
      <alignment horizontal="center" vertical="center"/>
    </xf>
    <xf numFmtId="0" fontId="138" fillId="0" borderId="64" xfId="0" applyFont="1" applyBorder="1" applyAlignment="1">
      <alignment horizontal="center" vertical="center" wrapText="1"/>
    </xf>
    <xf numFmtId="0" fontId="138" fillId="0" borderId="21" xfId="0" applyFont="1" applyBorder="1" applyAlignment="1">
      <alignment horizontal="center" vertical="center" wrapText="1"/>
    </xf>
    <xf numFmtId="187" fontId="138" fillId="0" borderId="21" xfId="42" applyNumberFormat="1" applyFont="1" applyBorder="1" applyAlignment="1">
      <alignment horizontal="center" vertical="center" wrapText="1"/>
    </xf>
    <xf numFmtId="2" fontId="138" fillId="0" borderId="21" xfId="0" applyNumberFormat="1" applyFont="1" applyBorder="1" applyAlignment="1">
      <alignment horizontal="center" vertical="center" wrapText="1"/>
    </xf>
    <xf numFmtId="0" fontId="138" fillId="0" borderId="22" xfId="0" applyFont="1" applyBorder="1" applyAlignment="1">
      <alignment horizontal="center" vertical="center" wrapText="1"/>
    </xf>
    <xf numFmtId="0" fontId="138" fillId="0" borderId="43" xfId="0" applyFont="1" applyBorder="1" applyAlignment="1">
      <alignment horizontal="center" vertical="center" wrapText="1"/>
    </xf>
    <xf numFmtId="0" fontId="138" fillId="0" borderId="71" xfId="0" applyFont="1" applyBorder="1" applyAlignment="1">
      <alignment horizontal="center" vertical="center" wrapText="1"/>
    </xf>
    <xf numFmtId="187" fontId="138" fillId="0" borderId="71" xfId="42" applyNumberFormat="1" applyFont="1" applyBorder="1" applyAlignment="1">
      <alignment horizontal="center" vertical="center" wrapText="1"/>
    </xf>
    <xf numFmtId="2" fontId="138" fillId="0" borderId="71" xfId="0" applyNumberFormat="1" applyFont="1" applyBorder="1" applyAlignment="1">
      <alignment horizontal="center" vertical="center" wrapText="1"/>
    </xf>
    <xf numFmtId="0" fontId="138" fillId="0" borderId="46" xfId="0" applyFont="1" applyBorder="1" applyAlignment="1">
      <alignment horizontal="center" vertical="center" wrapText="1"/>
    </xf>
    <xf numFmtId="0" fontId="138" fillId="0" borderId="51" xfId="0" applyFont="1" applyBorder="1" applyAlignment="1">
      <alignment horizontal="center" vertical="center" wrapText="1"/>
    </xf>
    <xf numFmtId="187" fontId="138" fillId="0" borderId="51" xfId="42" applyNumberFormat="1" applyFont="1" applyBorder="1" applyAlignment="1">
      <alignment horizontal="center" vertical="center" wrapText="1"/>
    </xf>
    <xf numFmtId="0" fontId="138" fillId="0" borderId="25" xfId="0" applyFont="1" applyBorder="1" applyAlignment="1">
      <alignment horizontal="center" vertical="center" wrapText="1"/>
    </xf>
    <xf numFmtId="0" fontId="138" fillId="0" borderId="61" xfId="0" applyFont="1" applyBorder="1" applyAlignment="1">
      <alignment horizontal="center" vertical="center" wrapText="1"/>
    </xf>
    <xf numFmtId="187" fontId="138" fillId="0" borderId="48" xfId="42" applyNumberFormat="1" applyFont="1" applyBorder="1" applyAlignment="1">
      <alignment horizontal="center" vertical="center" wrapText="1"/>
    </xf>
    <xf numFmtId="0" fontId="138" fillId="0" borderId="48" xfId="0" applyFont="1" applyBorder="1" applyAlignment="1">
      <alignment vertical="center" wrapText="1"/>
    </xf>
    <xf numFmtId="187" fontId="138" fillId="0" borderId="14" xfId="42" applyNumberFormat="1" applyFont="1" applyBorder="1" applyAlignment="1">
      <alignment horizontal="center" vertical="center" wrapText="1"/>
    </xf>
    <xf numFmtId="0" fontId="138" fillId="0" borderId="15" xfId="0" applyFont="1" applyBorder="1" applyAlignment="1">
      <alignment horizontal="center" vertical="center" wrapText="1"/>
    </xf>
    <xf numFmtId="0" fontId="138" fillId="0" borderId="55" xfId="0" applyFont="1" applyBorder="1" applyAlignment="1">
      <alignment horizontal="center" vertical="center" wrapText="1"/>
    </xf>
    <xf numFmtId="187" fontId="138" fillId="0" borderId="51" xfId="0" applyNumberFormat="1" applyFont="1" applyBorder="1" applyAlignment="1">
      <alignment horizontal="center" vertical="center" wrapText="1"/>
    </xf>
    <xf numFmtId="0" fontId="138" fillId="0" borderId="14" xfId="0" applyFont="1" applyBorder="1" applyAlignment="1">
      <alignment horizontal="center" vertical="center" wrapText="1"/>
    </xf>
    <xf numFmtId="187" fontId="138" fillId="0" borderId="14" xfId="42" applyNumberFormat="1" applyFont="1" applyBorder="1" applyAlignment="1">
      <alignment vertical="center" wrapText="1"/>
    </xf>
    <xf numFmtId="0" fontId="138" fillId="0" borderId="71" xfId="0" applyFont="1" applyBorder="1" applyAlignment="1">
      <alignment vertical="center" wrapText="1"/>
    </xf>
    <xf numFmtId="187" fontId="138" fillId="0" borderId="71" xfId="42" applyNumberFormat="1" applyFont="1" applyBorder="1" applyAlignment="1">
      <alignment vertical="center" wrapText="1"/>
    </xf>
    <xf numFmtId="0" fontId="59" fillId="0" borderId="0" xfId="0" applyFont="1"/>
    <xf numFmtId="164" fontId="124" fillId="9" borderId="0" xfId="15" applyNumberFormat="1" applyFont="1" applyFill="1" applyBorder="1" applyAlignment="1">
      <alignment horizontal="right"/>
    </xf>
    <xf numFmtId="0" fontId="124" fillId="9" borderId="0" xfId="15" applyFont="1" applyFill="1" applyBorder="1" applyAlignment="1">
      <alignment horizontal="right"/>
    </xf>
    <xf numFmtId="169" fontId="124" fillId="9" borderId="0" xfId="15" applyNumberFormat="1" applyFont="1" applyFill="1" applyBorder="1" applyAlignment="1">
      <alignment horizontal="right"/>
    </xf>
    <xf numFmtId="0" fontId="90" fillId="9" borderId="0" xfId="8" applyFont="1" applyFill="1" applyAlignment="1">
      <alignment horizontal="left" vertical="center" readingOrder="2"/>
    </xf>
    <xf numFmtId="164" fontId="34" fillId="0" borderId="32" xfId="17" applyNumberFormat="1" applyFont="1" applyFill="1" applyBorder="1" applyAlignment="1">
      <alignment vertical="center"/>
    </xf>
    <xf numFmtId="164" fontId="34" fillId="0" borderId="32" xfId="25" applyNumberFormat="1" applyFont="1" applyFill="1" applyBorder="1" applyAlignment="1">
      <alignment horizontal="right" vertical="center"/>
    </xf>
    <xf numFmtId="164" fontId="34" fillId="9" borderId="32" xfId="25" applyNumberFormat="1" applyFont="1" applyFill="1" applyBorder="1" applyAlignment="1">
      <alignment horizontal="right" vertical="center"/>
    </xf>
    <xf numFmtId="164" fontId="34" fillId="0" borderId="34" xfId="25" applyNumberFormat="1" applyFont="1" applyFill="1" applyBorder="1" applyAlignment="1">
      <alignment horizontal="right" vertical="center"/>
    </xf>
    <xf numFmtId="166" fontId="35" fillId="9" borderId="0" xfId="5" applyNumberFormat="1" applyFont="1" applyFill="1" applyBorder="1" applyAlignment="1">
      <alignment vertical="center" readingOrder="2"/>
    </xf>
    <xf numFmtId="0" fontId="34" fillId="0" borderId="0" xfId="20" applyNumberFormat="1" applyFont="1" applyFill="1" applyBorder="1" applyAlignment="1">
      <alignment horizontal="center" vertical="center" readingOrder="2"/>
    </xf>
    <xf numFmtId="168" fontId="49" fillId="9" borderId="0" xfId="10" applyNumberFormat="1" applyFont="1" applyFill="1" applyBorder="1" applyAlignment="1">
      <alignment horizontal="center" vertical="center"/>
    </xf>
    <xf numFmtId="0" fontId="59" fillId="0" borderId="0" xfId="0" applyFont="1"/>
    <xf numFmtId="187" fontId="257" fillId="0" borderId="19" xfId="42" applyNumberFormat="1" applyFont="1" applyFill="1" applyBorder="1" applyAlignment="1" applyProtection="1"/>
    <xf numFmtId="168" fontId="63" fillId="0" borderId="11" xfId="0" applyNumberFormat="1" applyFont="1" applyFill="1" applyBorder="1" applyAlignment="1">
      <alignment horizontal="center" vertical="center"/>
    </xf>
    <xf numFmtId="168" fontId="50" fillId="0" borderId="0" xfId="0" applyNumberFormat="1" applyFont="1" applyFill="1" applyBorder="1" applyAlignment="1" applyProtection="1">
      <alignment horizontal="center" vertical="center"/>
    </xf>
    <xf numFmtId="168" fontId="258" fillId="0" borderId="11" xfId="0" applyNumberFormat="1" applyFont="1" applyFill="1" applyBorder="1"/>
    <xf numFmtId="37" fontId="258" fillId="0" borderId="31" xfId="0" applyNumberFormat="1" applyFont="1" applyFill="1" applyBorder="1"/>
    <xf numFmtId="168" fontId="49" fillId="26" borderId="71" xfId="10" applyNumberFormat="1" applyFont="1" applyFill="1" applyBorder="1" applyAlignment="1">
      <alignment horizontal="right" vertical="center"/>
    </xf>
    <xf numFmtId="164" fontId="110" fillId="0" borderId="0" xfId="6" applyNumberFormat="1" applyFont="1" applyFill="1" applyBorder="1" applyAlignment="1">
      <alignment vertical="center"/>
    </xf>
    <xf numFmtId="0" fontId="158" fillId="0" borderId="0" xfId="0" applyFont="1" applyFill="1"/>
    <xf numFmtId="0" fontId="39" fillId="0" borderId="0" xfId="0" applyFont="1" applyFill="1"/>
    <xf numFmtId="164" fontId="32" fillId="0" borderId="0" xfId="17" applyNumberFormat="1" applyFont="1" applyFill="1" applyBorder="1" applyAlignment="1">
      <alignment vertical="center"/>
    </xf>
    <xf numFmtId="0" fontId="39" fillId="9" borderId="0" xfId="0" applyFont="1" applyFill="1"/>
    <xf numFmtId="0" fontId="276" fillId="9" borderId="0" xfId="5" applyFont="1" applyFill="1" applyAlignment="1">
      <alignment vertical="top" readingOrder="2"/>
    </xf>
    <xf numFmtId="0" fontId="39" fillId="0" borderId="0" xfId="8" applyFont="1" applyAlignment="1">
      <alignment horizontal="right" vertical="center" readingOrder="2"/>
    </xf>
    <xf numFmtId="0" fontId="32" fillId="0" borderId="0" xfId="8" applyFont="1" applyAlignment="1">
      <alignment horizontal="right" vertical="top" readingOrder="2"/>
    </xf>
    <xf numFmtId="0" fontId="32" fillId="0" borderId="0" xfId="8" applyFont="1" applyBorder="1" applyAlignment="1">
      <alignment vertical="center" readingOrder="2"/>
    </xf>
    <xf numFmtId="3" fontId="32" fillId="0" borderId="0" xfId="8" applyNumberFormat="1" applyFont="1" applyBorder="1" applyAlignment="1">
      <alignment horizontal="right" vertical="center" readingOrder="2"/>
    </xf>
    <xf numFmtId="0" fontId="32" fillId="0" borderId="0" xfId="8" applyFont="1"/>
    <xf numFmtId="0" fontId="39" fillId="0" borderId="0" xfId="0" applyFont="1"/>
    <xf numFmtId="0" fontId="158" fillId="0" borderId="0" xfId="8" applyFont="1" applyAlignment="1">
      <alignment vertical="center" readingOrder="2"/>
    </xf>
    <xf numFmtId="0" fontId="199" fillId="0" borderId="0" xfId="8" applyFont="1" applyAlignment="1">
      <alignment vertical="center" readingOrder="2"/>
    </xf>
    <xf numFmtId="0" fontId="32" fillId="0" borderId="0" xfId="12" applyNumberFormat="1" applyFont="1" applyBorder="1" applyAlignment="1">
      <alignment horizontal="center" vertical="center" wrapText="1" readingOrder="2"/>
    </xf>
    <xf numFmtId="0" fontId="32" fillId="0" borderId="0" xfId="20" applyNumberFormat="1" applyFont="1" applyFill="1" applyBorder="1" applyAlignment="1">
      <alignment horizontal="center" vertical="center" readingOrder="2"/>
    </xf>
    <xf numFmtId="0" fontId="32" fillId="0" borderId="35" xfId="12" applyNumberFormat="1" applyFont="1" applyBorder="1" applyAlignment="1">
      <alignment horizontal="center" vertical="center" wrapText="1" readingOrder="2"/>
    </xf>
    <xf numFmtId="0" fontId="32" fillId="0" borderId="35" xfId="20" applyNumberFormat="1" applyFont="1" applyFill="1" applyBorder="1" applyAlignment="1">
      <alignment horizontal="center" vertical="center" readingOrder="2"/>
    </xf>
    <xf numFmtId="0" fontId="32" fillId="0" borderId="0" xfId="20" applyFont="1" applyFill="1" applyBorder="1" applyAlignment="1">
      <alignment horizontal="center" vertical="center" readingOrder="2"/>
    </xf>
    <xf numFmtId="0" fontId="32" fillId="0" borderId="0" xfId="20" applyFont="1" applyFill="1" applyAlignment="1">
      <alignment horizontal="center" vertical="center" readingOrder="2"/>
    </xf>
    <xf numFmtId="49" fontId="32" fillId="0" borderId="0" xfId="20" applyNumberFormat="1" applyFont="1" applyFill="1" applyAlignment="1">
      <alignment horizontal="right" vertical="center" readingOrder="2"/>
    </xf>
    <xf numFmtId="164" fontId="39" fillId="9" borderId="0" xfId="17" applyNumberFormat="1" applyFont="1" applyFill="1" applyBorder="1" applyAlignment="1">
      <alignment vertical="center"/>
    </xf>
    <xf numFmtId="164" fontId="32" fillId="9" borderId="0" xfId="25" applyNumberFormat="1" applyFont="1" applyFill="1" applyBorder="1" applyAlignment="1">
      <alignment horizontal="right" vertical="center"/>
    </xf>
    <xf numFmtId="164" fontId="32" fillId="9" borderId="34" xfId="25" applyNumberFormat="1" applyFont="1" applyFill="1" applyBorder="1" applyAlignment="1">
      <alignment horizontal="right" vertical="center"/>
    </xf>
    <xf numFmtId="0" fontId="275" fillId="9" borderId="0" xfId="5" applyFont="1" applyFill="1" applyAlignment="1">
      <alignment horizontal="center" vertical="top" readingOrder="2"/>
    </xf>
    <xf numFmtId="0" fontId="158" fillId="0" borderId="0" xfId="12" applyFont="1" applyAlignment="1">
      <alignment vertical="top" wrapText="1" readingOrder="2"/>
    </xf>
    <xf numFmtId="0" fontId="32" fillId="0" borderId="0" xfId="8" applyFont="1" applyAlignment="1">
      <alignment vertical="top" wrapText="1" readingOrder="2"/>
    </xf>
    <xf numFmtId="0" fontId="32" fillId="0" borderId="0" xfId="12" applyFont="1"/>
    <xf numFmtId="0" fontId="158" fillId="9" borderId="0" xfId="0" applyFont="1" applyFill="1"/>
    <xf numFmtId="0" fontId="199" fillId="9" borderId="0" xfId="0" applyFont="1" applyFill="1" applyAlignment="1">
      <alignment vertical="top"/>
    </xf>
    <xf numFmtId="0" fontId="277" fillId="9" borderId="0" xfId="5" applyFont="1" applyFill="1" applyAlignment="1">
      <alignment horizontal="center" vertical="top" readingOrder="2"/>
    </xf>
    <xf numFmtId="0" fontId="276" fillId="9" borderId="0" xfId="5" applyFont="1" applyFill="1" applyAlignment="1">
      <alignment horizontal="center" vertical="top" readingOrder="2"/>
    </xf>
    <xf numFmtId="0" fontId="276" fillId="9" borderId="0" xfId="5" applyFont="1" applyFill="1" applyAlignment="1">
      <alignment horizontal="right" vertical="top" readingOrder="2"/>
    </xf>
    <xf numFmtId="0" fontId="32" fillId="9" borderId="0" xfId="21" applyFont="1" applyFill="1" applyAlignment="1">
      <alignment horizontal="right"/>
    </xf>
    <xf numFmtId="0" fontId="32" fillId="9" borderId="0" xfId="21" applyNumberFormat="1" applyFont="1" applyFill="1" applyBorder="1" applyAlignment="1">
      <alignment vertical="center" readingOrder="2"/>
    </xf>
    <xf numFmtId="0" fontId="32" fillId="0" borderId="0" xfId="21" applyFont="1" applyFill="1"/>
    <xf numFmtId="164" fontId="32" fillId="0" borderId="0" xfId="21" applyNumberFormat="1" applyFont="1" applyFill="1"/>
    <xf numFmtId="0" fontId="158" fillId="0" borderId="0" xfId="21" applyFont="1" applyFill="1" applyAlignment="1">
      <alignment horizontal="right" vertical="center"/>
    </xf>
    <xf numFmtId="0" fontId="32" fillId="9" borderId="0" xfId="21" applyFont="1" applyFill="1" applyAlignment="1">
      <alignment horizontal="right" vertical="center"/>
    </xf>
    <xf numFmtId="0" fontId="32" fillId="9" borderId="35" xfId="20" applyNumberFormat="1" applyFont="1" applyFill="1" applyBorder="1" applyAlignment="1">
      <alignment vertical="center" readingOrder="2"/>
    </xf>
    <xf numFmtId="0" fontId="32" fillId="9" borderId="0" xfId="20" applyNumberFormat="1" applyFont="1" applyFill="1" applyBorder="1" applyAlignment="1">
      <alignment vertical="center" readingOrder="2"/>
    </xf>
    <xf numFmtId="0" fontId="32" fillId="9" borderId="35" xfId="21" applyNumberFormat="1" applyFont="1" applyFill="1" applyBorder="1" applyAlignment="1">
      <alignment horizontal="center" vertical="center" readingOrder="2"/>
    </xf>
    <xf numFmtId="0" fontId="158" fillId="0" borderId="0" xfId="21" applyFont="1" applyFill="1"/>
    <xf numFmtId="0" fontId="32" fillId="9" borderId="35" xfId="21" applyFont="1" applyFill="1" applyBorder="1" applyAlignment="1">
      <alignment horizontal="center" vertical="center"/>
    </xf>
    <xf numFmtId="0" fontId="39" fillId="9" borderId="0" xfId="0" applyFont="1" applyFill="1" applyBorder="1"/>
    <xf numFmtId="0" fontId="39" fillId="9" borderId="35" xfId="0" applyFont="1" applyFill="1" applyBorder="1" applyAlignment="1">
      <alignment horizontal="center" vertical="center"/>
    </xf>
    <xf numFmtId="0" fontId="32" fillId="9" borderId="35" xfId="21" applyFont="1" applyFill="1" applyBorder="1" applyAlignment="1">
      <alignment horizontal="center" vertical="center" wrapText="1"/>
    </xf>
    <xf numFmtId="0" fontId="32" fillId="9" borderId="0" xfId="21" applyFont="1" applyFill="1" applyBorder="1" applyAlignment="1">
      <alignment horizontal="center" vertical="center"/>
    </xf>
    <xf numFmtId="0" fontId="199" fillId="9" borderId="0" xfId="21" applyFont="1" applyFill="1"/>
    <xf numFmtId="0" fontId="32" fillId="9" borderId="0" xfId="21" applyFont="1" applyFill="1" applyAlignment="1">
      <alignment vertical="top" readingOrder="2"/>
    </xf>
    <xf numFmtId="164" fontId="32" fillId="9" borderId="0" xfId="20" applyNumberFormat="1" applyFont="1" applyFill="1" applyBorder="1" applyAlignment="1">
      <alignment vertical="top"/>
    </xf>
    <xf numFmtId="0" fontId="32" fillId="9" borderId="0" xfId="0" applyFont="1" applyFill="1" applyBorder="1" applyAlignment="1">
      <alignment vertical="top"/>
    </xf>
    <xf numFmtId="164" fontId="39" fillId="9" borderId="0" xfId="20" applyNumberFormat="1" applyFont="1" applyFill="1" applyBorder="1" applyAlignment="1">
      <alignment vertical="top"/>
    </xf>
    <xf numFmtId="0" fontId="32" fillId="9" borderId="0" xfId="21" applyFont="1" applyFill="1" applyAlignment="1">
      <alignment horizontal="right" vertical="top"/>
    </xf>
    <xf numFmtId="164" fontId="32" fillId="9" borderId="34" xfId="21" applyNumberFormat="1" applyFont="1" applyFill="1" applyBorder="1" applyAlignment="1">
      <alignment horizontal="right" vertical="top"/>
    </xf>
    <xf numFmtId="164" fontId="32" fillId="9" borderId="0" xfId="21" applyNumberFormat="1" applyFont="1" applyFill="1" applyBorder="1" applyAlignment="1">
      <alignment horizontal="right" vertical="top"/>
    </xf>
    <xf numFmtId="164" fontId="32" fillId="9" borderId="0" xfId="21" applyNumberFormat="1" applyFont="1" applyFill="1" applyBorder="1" applyAlignment="1">
      <alignment horizontal="right" vertical="center"/>
    </xf>
    <xf numFmtId="0" fontId="32" fillId="0" borderId="35" xfId="13" applyNumberFormat="1" applyFont="1" applyBorder="1" applyAlignment="1">
      <alignment horizontal="center" vertical="center" wrapText="1" readingOrder="2"/>
    </xf>
    <xf numFmtId="0" fontId="32" fillId="9" borderId="0" xfId="19" applyNumberFormat="1" applyFont="1" applyFill="1" applyAlignment="1">
      <alignment horizontal="center" vertical="center"/>
    </xf>
    <xf numFmtId="0" fontId="32" fillId="9" borderId="0" xfId="21" applyFont="1" applyFill="1" applyAlignment="1">
      <alignment horizontal="center" vertical="top"/>
    </xf>
    <xf numFmtId="0" fontId="158" fillId="9" borderId="0" xfId="22" applyFont="1" applyFill="1" applyAlignment="1">
      <alignment horizontal="right" readingOrder="2"/>
    </xf>
    <xf numFmtId="0" fontId="32" fillId="9" borderId="0" xfId="12" applyFont="1" applyFill="1" applyAlignment="1">
      <alignment vertical="top" readingOrder="2"/>
    </xf>
    <xf numFmtId="0" fontId="32" fillId="9" borderId="0" xfId="19" applyFont="1" applyFill="1" applyAlignment="1">
      <alignment vertical="center" readingOrder="2"/>
    </xf>
    <xf numFmtId="0" fontId="32" fillId="9" borderId="0" xfId="19" applyFont="1" applyFill="1" applyAlignment="1">
      <alignment vertical="top" wrapText="1" readingOrder="2"/>
    </xf>
    <xf numFmtId="164" fontId="32" fillId="9" borderId="0" xfId="22" applyNumberFormat="1" applyFont="1" applyFill="1" applyBorder="1" applyAlignment="1">
      <alignment horizontal="center" vertical="center"/>
    </xf>
    <xf numFmtId="0" fontId="32" fillId="9" borderId="0" xfId="22" applyFont="1" applyFill="1" applyAlignment="1">
      <alignment horizontal="center" vertical="center"/>
    </xf>
    <xf numFmtId="0" fontId="32" fillId="9" borderId="0" xfId="19" applyFont="1" applyFill="1" applyBorder="1" applyAlignment="1">
      <alignment horizontal="right" vertical="center"/>
    </xf>
    <xf numFmtId="0" fontId="39" fillId="0" borderId="0" xfId="0" applyFont="1" applyFill="1" applyAlignment="1">
      <alignment horizontal="center" vertical="center"/>
    </xf>
    <xf numFmtId="164" fontId="32" fillId="0" borderId="35" xfId="17" applyNumberFormat="1" applyFont="1" applyFill="1" applyBorder="1" applyAlignment="1">
      <alignment horizontal="center" vertical="center"/>
    </xf>
    <xf numFmtId="164" fontId="32" fillId="0" borderId="34" xfId="19" applyNumberFormat="1" applyFont="1" applyFill="1" applyBorder="1" applyAlignment="1">
      <alignment vertical="center"/>
    </xf>
    <xf numFmtId="164" fontId="32" fillId="9" borderId="0" xfId="19" applyNumberFormat="1" applyFont="1" applyFill="1" applyBorder="1" applyAlignment="1">
      <alignment vertical="center"/>
    </xf>
    <xf numFmtId="0" fontId="32" fillId="9" borderId="0" xfId="22" applyFont="1" applyFill="1" applyAlignment="1">
      <alignment horizontal="right" readingOrder="2"/>
    </xf>
    <xf numFmtId="0" fontId="32" fillId="9" borderId="0" xfId="22" applyFont="1" applyFill="1"/>
    <xf numFmtId="0" fontId="32" fillId="9" borderId="0" xfId="22" applyFont="1" applyFill="1" applyAlignment="1">
      <alignment horizontal="right"/>
    </xf>
    <xf numFmtId="0" fontId="32" fillId="9" borderId="0" xfId="22" applyFont="1" applyFill="1" applyAlignment="1">
      <alignment horizontal="right" vertical="center"/>
    </xf>
    <xf numFmtId="0" fontId="32" fillId="9" borderId="35" xfId="22" applyFont="1" applyFill="1" applyBorder="1" applyAlignment="1">
      <alignment horizontal="center" vertical="center" readingOrder="2"/>
    </xf>
    <xf numFmtId="0" fontId="39" fillId="9" borderId="35" xfId="0" applyFont="1" applyFill="1" applyBorder="1"/>
    <xf numFmtId="0" fontId="32" fillId="9" borderId="35" xfId="22" applyFont="1" applyFill="1" applyBorder="1"/>
    <xf numFmtId="0" fontId="32" fillId="9" borderId="35" xfId="21" applyFont="1" applyFill="1" applyBorder="1" applyAlignment="1">
      <alignment horizontal="center" vertical="top"/>
    </xf>
    <xf numFmtId="0" fontId="32" fillId="9" borderId="0" xfId="22" applyFont="1" applyFill="1" applyAlignment="1">
      <alignment horizontal="right" vertical="center" readingOrder="2"/>
    </xf>
    <xf numFmtId="0" fontId="32" fillId="9" borderId="0" xfId="22" applyFont="1" applyFill="1" applyAlignment="1">
      <alignment vertical="center"/>
    </xf>
    <xf numFmtId="164" fontId="32" fillId="9" borderId="0" xfId="22" applyNumberFormat="1" applyFont="1" applyFill="1" applyBorder="1" applyAlignment="1">
      <alignment vertical="top"/>
    </xf>
    <xf numFmtId="164" fontId="32" fillId="9" borderId="35" xfId="22" applyNumberFormat="1" applyFont="1" applyFill="1" applyBorder="1" applyAlignment="1">
      <alignment vertical="top"/>
    </xf>
    <xf numFmtId="0" fontId="32" fillId="9" borderId="35" xfId="22" applyFont="1" applyFill="1" applyBorder="1" applyAlignment="1">
      <alignment vertical="center"/>
    </xf>
    <xf numFmtId="164" fontId="32" fillId="9" borderId="0" xfId="22" applyNumberFormat="1" applyFont="1" applyFill="1" applyBorder="1" applyAlignment="1">
      <alignment horizontal="right" vertical="center"/>
    </xf>
    <xf numFmtId="164" fontId="32" fillId="9" borderId="36" xfId="22" applyNumberFormat="1" applyFont="1" applyFill="1" applyBorder="1" applyAlignment="1">
      <alignment horizontal="right" vertical="center"/>
    </xf>
    <xf numFmtId="164" fontId="32" fillId="9" borderId="35" xfId="22" applyNumberFormat="1" applyFont="1" applyFill="1" applyBorder="1" applyAlignment="1">
      <alignment horizontal="right" vertical="top"/>
    </xf>
    <xf numFmtId="164" fontId="32" fillId="9" borderId="35" xfId="22" applyNumberFormat="1" applyFont="1" applyFill="1" applyBorder="1" applyAlignment="1">
      <alignment horizontal="right" vertical="center"/>
    </xf>
    <xf numFmtId="164" fontId="32" fillId="9" borderId="34" xfId="22" applyNumberFormat="1" applyFont="1" applyFill="1" applyBorder="1" applyAlignment="1">
      <alignment horizontal="right" vertical="top"/>
    </xf>
    <xf numFmtId="0" fontId="39" fillId="9" borderId="34" xfId="0" applyFont="1" applyFill="1" applyBorder="1"/>
    <xf numFmtId="0" fontId="32" fillId="9" borderId="34" xfId="22" applyFont="1" applyFill="1" applyBorder="1" applyAlignment="1">
      <alignment vertical="center"/>
    </xf>
    <xf numFmtId="164" fontId="32" fillId="9" borderId="34" xfId="22" applyNumberFormat="1" applyFont="1" applyFill="1" applyBorder="1" applyAlignment="1">
      <alignment horizontal="right" vertical="center"/>
    </xf>
    <xf numFmtId="0" fontId="32" fillId="9" borderId="0" xfId="22" applyFont="1" applyFill="1" applyAlignment="1">
      <alignment horizontal="left" vertical="top" readingOrder="2"/>
    </xf>
    <xf numFmtId="0" fontId="32" fillId="9" borderId="0" xfId="22" applyFont="1" applyFill="1" applyAlignment="1">
      <alignment wrapText="1" readingOrder="2"/>
    </xf>
    <xf numFmtId="0" fontId="234" fillId="0" borderId="0" xfId="5" applyFont="1" applyAlignment="1">
      <alignment horizontal="center" vertical="top" readingOrder="2"/>
    </xf>
    <xf numFmtId="49" fontId="31" fillId="0" borderId="0" xfId="20" applyNumberFormat="1" applyFont="1" applyFill="1" applyAlignment="1">
      <alignment horizontal="right" vertical="center" readingOrder="2"/>
    </xf>
    <xf numFmtId="3" fontId="31" fillId="0" borderId="0" xfId="8" applyNumberFormat="1" applyFont="1" applyBorder="1" applyAlignment="1">
      <alignment horizontal="right" vertical="center" readingOrder="2"/>
    </xf>
    <xf numFmtId="164" fontId="31" fillId="0" borderId="0" xfId="17" applyNumberFormat="1" applyFont="1" applyFill="1" applyBorder="1" applyAlignment="1">
      <alignment vertical="center"/>
    </xf>
    <xf numFmtId="0" fontId="110" fillId="0" borderId="0" xfId="0" applyFont="1" applyFill="1"/>
    <xf numFmtId="3" fontId="47" fillId="9" borderId="17" xfId="34" applyNumberFormat="1" applyFont="1" applyFill="1" applyBorder="1" applyAlignment="1">
      <alignment horizontal="center" vertical="center" wrapText="1"/>
    </xf>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0" fontId="43" fillId="9" borderId="35" xfId="18" applyNumberFormat="1" applyFont="1" applyFill="1" applyBorder="1" applyAlignment="1">
      <alignment horizontal="center" vertical="center" readingOrder="2"/>
    </xf>
    <xf numFmtId="174" fontId="34" fillId="0" borderId="33" xfId="42" applyNumberFormat="1" applyFont="1" applyFill="1" applyBorder="1" applyAlignment="1">
      <alignment horizontal="right" readingOrder="2"/>
    </xf>
    <xf numFmtId="164" fontId="97" fillId="0" borderId="33" xfId="14" applyNumberFormat="1" applyFont="1" applyBorder="1" applyAlignment="1">
      <alignment horizontal="right" vertical="center"/>
    </xf>
    <xf numFmtId="49" fontId="32" fillId="9" borderId="33" xfId="27" applyNumberFormat="1" applyFont="1" applyFill="1" applyBorder="1" applyAlignment="1">
      <alignment horizontal="center" vertical="center"/>
    </xf>
    <xf numFmtId="0" fontId="237" fillId="9" borderId="0" xfId="2123" applyFont="1" applyFill="1" applyBorder="1" applyAlignment="1">
      <alignment horizontal="center" vertical="top" readingOrder="2"/>
    </xf>
    <xf numFmtId="0" fontId="274" fillId="0" borderId="0" xfId="0" applyFont="1" applyAlignment="1">
      <alignment horizontal="center" vertical="center"/>
    </xf>
    <xf numFmtId="0" fontId="274" fillId="0" borderId="0" xfId="0" applyFont="1"/>
    <xf numFmtId="0" fontId="274" fillId="0" borderId="35" xfId="0" applyFont="1" applyBorder="1" applyAlignment="1">
      <alignment horizontal="center" vertical="center"/>
    </xf>
    <xf numFmtId="165" fontId="274" fillId="0" borderId="35" xfId="42" applyNumberFormat="1" applyFont="1" applyBorder="1" applyAlignment="1">
      <alignment horizontal="center" vertical="center"/>
    </xf>
    <xf numFmtId="165" fontId="274" fillId="0" borderId="0" xfId="42" applyNumberFormat="1" applyFont="1" applyAlignment="1">
      <alignment horizontal="center" vertical="center"/>
    </xf>
    <xf numFmtId="165" fontId="0" fillId="0" borderId="0" xfId="42" applyNumberFormat="1" applyFont="1" applyAlignment="1">
      <alignment horizontal="center" vertical="center"/>
    </xf>
    <xf numFmtId="0" fontId="138" fillId="0" borderId="71" xfId="0" applyFont="1" applyBorder="1" applyAlignment="1">
      <alignment horizontal="center" vertical="center"/>
    </xf>
    <xf numFmtId="187" fontId="138" fillId="0" borderId="71" xfId="42" applyNumberFormat="1" applyFont="1" applyBorder="1" applyAlignment="1">
      <alignment horizontal="center" vertical="center"/>
    </xf>
    <xf numFmtId="165" fontId="138" fillId="0" borderId="71" xfId="42" applyNumberFormat="1" applyFont="1" applyBorder="1" applyAlignment="1">
      <alignment horizontal="center" vertical="center"/>
    </xf>
    <xf numFmtId="187" fontId="138" fillId="9" borderId="71" xfId="42" applyNumberFormat="1" applyFont="1" applyFill="1" applyBorder="1" applyAlignment="1">
      <alignment horizontal="center" vertical="center"/>
    </xf>
    <xf numFmtId="165" fontId="138" fillId="9" borderId="71" xfId="42" applyNumberFormat="1" applyFont="1" applyFill="1" applyBorder="1" applyAlignment="1">
      <alignment horizontal="center" vertical="center"/>
    </xf>
    <xf numFmtId="187" fontId="138" fillId="27" borderId="71" xfId="42" applyNumberFormat="1" applyFont="1" applyFill="1" applyBorder="1" applyAlignment="1">
      <alignment horizontal="center" vertical="center"/>
    </xf>
    <xf numFmtId="165" fontId="138" fillId="27" borderId="71" xfId="42" applyNumberFormat="1" applyFont="1" applyFill="1" applyBorder="1" applyAlignment="1">
      <alignment horizontal="center" vertical="center"/>
    </xf>
    <xf numFmtId="0" fontId="138" fillId="0" borderId="71" xfId="0" applyFont="1" applyBorder="1" applyAlignment="1">
      <alignment horizontal="right" vertical="center"/>
    </xf>
    <xf numFmtId="187" fontId="138" fillId="0" borderId="71" xfId="42" applyNumberFormat="1" applyFont="1" applyBorder="1" applyAlignment="1">
      <alignment horizontal="center" vertical="center" shrinkToFit="1"/>
    </xf>
    <xf numFmtId="49" fontId="138" fillId="0" borderId="71" xfId="42" applyNumberFormat="1" applyFont="1" applyBorder="1" applyAlignment="1">
      <alignment horizontal="center" vertical="center"/>
    </xf>
    <xf numFmtId="0" fontId="138" fillId="27" borderId="71" xfId="0" applyFont="1" applyFill="1" applyBorder="1" applyAlignment="1">
      <alignment horizontal="right" vertical="center"/>
    </xf>
    <xf numFmtId="187" fontId="138" fillId="27" borderId="71" xfId="42" applyNumberFormat="1" applyFont="1" applyFill="1" applyBorder="1" applyAlignment="1">
      <alignment horizontal="center" vertical="center" shrinkToFit="1"/>
    </xf>
    <xf numFmtId="49" fontId="138" fillId="27" borderId="71" xfId="42" applyNumberFormat="1" applyFont="1" applyFill="1" applyBorder="1" applyAlignment="1">
      <alignment horizontal="center" vertical="center"/>
    </xf>
    <xf numFmtId="0" fontId="138" fillId="0" borderId="0" xfId="0" applyFont="1" applyBorder="1" applyAlignment="1">
      <alignment horizontal="right" vertical="center"/>
    </xf>
    <xf numFmtId="187" fontId="138" fillId="0" borderId="0" xfId="42" applyNumberFormat="1" applyFont="1" applyBorder="1" applyAlignment="1">
      <alignment horizontal="center" vertical="center"/>
    </xf>
    <xf numFmtId="165" fontId="138" fillId="0" borderId="0" xfId="42" applyNumberFormat="1" applyFont="1" applyBorder="1" applyAlignment="1">
      <alignment horizontal="center" vertical="center"/>
    </xf>
    <xf numFmtId="187" fontId="138" fillId="0" borderId="0" xfId="42" applyNumberFormat="1" applyFont="1" applyBorder="1" applyAlignment="1">
      <alignment horizontal="center" vertical="center" shrinkToFit="1"/>
    </xf>
    <xf numFmtId="49" fontId="138" fillId="0" borderId="0" xfId="42" applyNumberFormat="1" applyFont="1" applyBorder="1" applyAlignment="1">
      <alignment horizontal="center" vertical="center"/>
    </xf>
    <xf numFmtId="0" fontId="138" fillId="0" borderId="0" xfId="0" applyFont="1" applyBorder="1" applyAlignment="1">
      <alignment horizontal="center" vertical="center"/>
    </xf>
    <xf numFmtId="0" fontId="138" fillId="0" borderId="0" xfId="0" applyFont="1" applyBorder="1" applyAlignment="1">
      <alignment horizontal="center" vertical="center" shrinkToFit="1"/>
    </xf>
    <xf numFmtId="0" fontId="39" fillId="0" borderId="0" xfId="0" applyFont="1" applyAlignment="1">
      <alignment vertical="center"/>
    </xf>
    <xf numFmtId="0" fontId="138" fillId="0" borderId="71" xfId="0" applyFont="1" applyBorder="1" applyAlignment="1">
      <alignment horizontal="right" vertical="center" shrinkToFit="1"/>
    </xf>
    <xf numFmtId="187" fontId="59" fillId="0" borderId="71" xfId="42" applyNumberFormat="1" applyFont="1" applyBorder="1" applyAlignment="1">
      <alignment horizontal="center" vertical="center" shrinkToFit="1"/>
    </xf>
    <xf numFmtId="0" fontId="138" fillId="27" borderId="71" xfId="0" applyFont="1" applyFill="1" applyBorder="1" applyAlignment="1">
      <alignment horizontal="right" vertical="center" shrinkToFit="1"/>
    </xf>
    <xf numFmtId="0" fontId="138" fillId="9" borderId="0" xfId="0" applyFont="1" applyFill="1" applyBorder="1" applyAlignment="1">
      <alignment horizontal="right" vertical="center"/>
    </xf>
    <xf numFmtId="187" fontId="138" fillId="9" borderId="0" xfId="42" applyNumberFormat="1" applyFont="1" applyFill="1" applyBorder="1" applyAlignment="1">
      <alignment horizontal="center" vertical="center"/>
    </xf>
    <xf numFmtId="165" fontId="138" fillId="9" borderId="0" xfId="42" applyNumberFormat="1" applyFont="1" applyFill="1" applyBorder="1" applyAlignment="1">
      <alignment horizontal="center" vertical="center"/>
    </xf>
    <xf numFmtId="187" fontId="138" fillId="9" borderId="0" xfId="42" applyNumberFormat="1" applyFont="1" applyFill="1" applyBorder="1" applyAlignment="1">
      <alignment horizontal="center" vertical="center" shrinkToFit="1"/>
    </xf>
    <xf numFmtId="49" fontId="138" fillId="9" borderId="0" xfId="42" applyNumberFormat="1" applyFont="1" applyFill="1" applyBorder="1" applyAlignment="1">
      <alignment horizontal="center" vertical="center"/>
    </xf>
    <xf numFmtId="0" fontId="138" fillId="9" borderId="71" xfId="0" applyFont="1" applyFill="1" applyBorder="1" applyAlignment="1">
      <alignment horizontal="right" vertical="center"/>
    </xf>
    <xf numFmtId="187" fontId="138" fillId="9" borderId="71" xfId="42" applyNumberFormat="1" applyFont="1" applyFill="1" applyBorder="1" applyAlignment="1">
      <alignment horizontal="center" vertical="center" shrinkToFit="1"/>
    </xf>
    <xf numFmtId="49" fontId="138" fillId="9" borderId="71" xfId="42" applyNumberFormat="1" applyFont="1" applyFill="1" applyBorder="1" applyAlignment="1">
      <alignment horizontal="center" vertical="center"/>
    </xf>
    <xf numFmtId="0" fontId="37" fillId="9" borderId="0" xfId="8" applyFont="1" applyFill="1" applyAlignment="1">
      <alignment vertical="center" wrapText="1" readingOrder="2"/>
    </xf>
    <xf numFmtId="187" fontId="138" fillId="0" borderId="24" xfId="42" applyNumberFormat="1" applyFont="1" applyBorder="1" applyAlignment="1">
      <alignment vertical="center" shrinkToFit="1"/>
    </xf>
    <xf numFmtId="187" fontId="138" fillId="0" borderId="11" xfId="42" applyNumberFormat="1" applyFont="1" applyBorder="1" applyAlignment="1">
      <alignment vertical="center" shrinkToFit="1"/>
    </xf>
    <xf numFmtId="187" fontId="138" fillId="0" borderId="21" xfId="42" applyNumberFormat="1" applyFont="1" applyBorder="1" applyAlignment="1">
      <alignment vertical="center" shrinkToFit="1"/>
    </xf>
    <xf numFmtId="0" fontId="138" fillId="27" borderId="71" xfId="0" applyFont="1" applyFill="1" applyBorder="1" applyAlignment="1">
      <alignment horizontal="center" vertical="center"/>
    </xf>
    <xf numFmtId="0" fontId="138" fillId="27" borderId="71" xfId="0" applyFont="1" applyFill="1" applyBorder="1" applyAlignment="1">
      <alignment vertical="center"/>
    </xf>
    <xf numFmtId="0" fontId="138" fillId="27" borderId="71" xfId="0" applyFont="1" applyFill="1" applyBorder="1" applyAlignment="1">
      <alignment horizontal="center" vertical="center" shrinkToFit="1"/>
    </xf>
    <xf numFmtId="187" fontId="138" fillId="0" borderId="71" xfId="42" applyNumberFormat="1" applyFont="1" applyBorder="1" applyAlignment="1">
      <alignment vertical="center" shrinkToFit="1"/>
    </xf>
    <xf numFmtId="0" fontId="34" fillId="0" borderId="0" xfId="20" applyNumberFormat="1" applyFont="1" applyFill="1" applyBorder="1" applyAlignment="1">
      <alignment vertical="center" readingOrder="2"/>
    </xf>
    <xf numFmtId="0" fontId="34" fillId="0" borderId="32" xfId="20" applyNumberFormat="1" applyFont="1" applyFill="1" applyBorder="1" applyAlignment="1">
      <alignment vertical="center" readingOrder="2"/>
    </xf>
    <xf numFmtId="0" fontId="34" fillId="9" borderId="35" xfId="19" applyNumberFormat="1" applyFont="1" applyFill="1" applyBorder="1" applyAlignment="1">
      <alignment vertical="center" readingOrder="2"/>
    </xf>
    <xf numFmtId="3" fontId="34" fillId="9" borderId="0" xfId="19" applyNumberFormat="1" applyFont="1" applyFill="1" applyBorder="1" applyAlignment="1">
      <alignment vertical="center" readingOrder="2"/>
    </xf>
    <xf numFmtId="3" fontId="60" fillId="9" borderId="32" xfId="19" applyNumberFormat="1" applyFont="1" applyFill="1" applyBorder="1" applyAlignment="1">
      <alignment horizontal="right" vertical="center"/>
    </xf>
    <xf numFmtId="49" fontId="280" fillId="9" borderId="0" xfId="19" applyNumberFormat="1" applyFont="1" applyFill="1" applyBorder="1" applyAlignment="1">
      <alignment horizontal="right" vertical="center"/>
    </xf>
    <xf numFmtId="49" fontId="280" fillId="9" borderId="0" xfId="19" applyNumberFormat="1" applyFont="1" applyFill="1" applyBorder="1" applyAlignment="1">
      <alignment horizontal="right" vertical="center" readingOrder="2"/>
    </xf>
    <xf numFmtId="0" fontId="34" fillId="9" borderId="0" xfId="19" applyNumberFormat="1" applyFont="1" applyFill="1" applyBorder="1" applyAlignment="1">
      <alignment horizontal="right" vertical="center" readingOrder="2"/>
    </xf>
    <xf numFmtId="0" fontId="279" fillId="9" borderId="0" xfId="19" applyFont="1" applyFill="1" applyBorder="1" applyAlignment="1">
      <alignment horizontal="right" vertical="top" wrapText="1" readingOrder="2"/>
    </xf>
    <xf numFmtId="164" fontId="34" fillId="9" borderId="32" xfId="19" applyNumberFormat="1" applyFont="1" applyFill="1" applyBorder="1" applyAlignment="1">
      <alignment horizontal="right" vertical="center"/>
    </xf>
    <xf numFmtId="164" fontId="34" fillId="9" borderId="34" xfId="19" applyNumberFormat="1" applyFont="1" applyFill="1" applyBorder="1" applyAlignment="1">
      <alignment horizontal="right" vertical="center" wrapText="1" readingOrder="1"/>
    </xf>
    <xf numFmtId="0" fontId="32" fillId="9" borderId="0" xfId="22" applyFont="1" applyFill="1" applyBorder="1" applyAlignment="1">
      <alignment horizontal="center" vertical="center" readingOrder="2"/>
    </xf>
    <xf numFmtId="164" fontId="32" fillId="9" borderId="0" xfId="22" applyNumberFormat="1" applyFont="1" applyFill="1" applyBorder="1" applyAlignment="1">
      <alignment horizontal="right" vertical="top"/>
    </xf>
    <xf numFmtId="0" fontId="111" fillId="0" borderId="0" xfId="0" applyFont="1" applyAlignment="1">
      <alignment horizontal="right" vertical="center" readingOrder="2"/>
    </xf>
    <xf numFmtId="0" fontId="138" fillId="0" borderId="0" xfId="0" applyFont="1"/>
    <xf numFmtId="0" fontId="138" fillId="0" borderId="0" xfId="0" applyFont="1" applyBorder="1"/>
    <xf numFmtId="0" fontId="138" fillId="0" borderId="35" xfId="0" applyFont="1" applyBorder="1" applyAlignment="1">
      <alignment horizontal="center" vertical="center"/>
    </xf>
    <xf numFmtId="0" fontId="84" fillId="0" borderId="0" xfId="0" applyFont="1" applyAlignment="1">
      <alignment horizontal="right" vertical="center" wrapText="1" readingOrder="2"/>
    </xf>
    <xf numFmtId="0" fontId="84" fillId="0" borderId="0" xfId="0" applyFont="1" applyAlignment="1">
      <alignment horizontal="center" vertical="center" wrapText="1" readingOrder="2"/>
    </xf>
    <xf numFmtId="49" fontId="84" fillId="0" borderId="0" xfId="0" applyNumberFormat="1" applyFont="1" applyAlignment="1">
      <alignment horizontal="center" vertical="center"/>
    </xf>
    <xf numFmtId="0" fontId="84" fillId="0" borderId="35" xfId="0" applyFont="1" applyBorder="1" applyAlignment="1">
      <alignment horizontal="center" vertical="center"/>
    </xf>
    <xf numFmtId="0" fontId="84" fillId="0" borderId="0" xfId="0" applyFont="1" applyBorder="1" applyAlignment="1">
      <alignment horizontal="center" vertical="center"/>
    </xf>
    <xf numFmtId="0" fontId="84" fillId="0" borderId="0" xfId="0" applyFont="1" applyBorder="1" applyAlignment="1">
      <alignment horizontal="center" vertical="center" wrapText="1" readingOrder="2"/>
    </xf>
    <xf numFmtId="0" fontId="84" fillId="0" borderId="0" xfId="0" applyFont="1" applyAlignment="1">
      <alignment horizontal="right" vertical="center"/>
    </xf>
    <xf numFmtId="0" fontId="84" fillId="0" borderId="0" xfId="0" applyFont="1" applyAlignment="1">
      <alignment horizontal="center" vertical="center"/>
    </xf>
    <xf numFmtId="0" fontId="237" fillId="9" borderId="0" xfId="2123" applyFont="1" applyFill="1" applyBorder="1" applyAlignment="1">
      <alignment horizontal="center" vertical="top" readingOrder="2"/>
    </xf>
    <xf numFmtId="0" fontId="29" fillId="9" borderId="0" xfId="31" applyFont="1" applyFill="1" applyAlignment="1">
      <alignment vertical="top" readingOrder="2"/>
    </xf>
    <xf numFmtId="0" fontId="281" fillId="9" borderId="0" xfId="2123" applyFont="1" applyFill="1" applyBorder="1" applyAlignment="1">
      <alignment horizontal="center" vertical="top" readingOrder="2"/>
    </xf>
    <xf numFmtId="164" fontId="34" fillId="9" borderId="0" xfId="25" applyNumberFormat="1" applyFont="1" applyFill="1" applyBorder="1" applyAlignment="1">
      <alignment horizontal="right" vertical="center"/>
    </xf>
    <xf numFmtId="0" fontId="51" fillId="9" borderId="0" xfId="0" applyFont="1" applyFill="1" applyAlignment="1">
      <alignment horizontal="center" vertical="top"/>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168" fontId="63" fillId="14" borderId="71" xfId="10" applyNumberFormat="1" applyFont="1" applyFill="1" applyBorder="1" applyAlignment="1">
      <alignment horizontal="right" vertical="center"/>
    </xf>
    <xf numFmtId="187" fontId="138" fillId="27" borderId="71" xfId="0" applyNumberFormat="1" applyFont="1" applyFill="1" applyBorder="1" applyAlignment="1">
      <alignment horizontal="center" vertical="center"/>
    </xf>
    <xf numFmtId="0" fontId="59" fillId="0" borderId="0" xfId="0" applyFont="1"/>
    <xf numFmtId="49" fontId="267" fillId="0" borderId="24" xfId="2131" applyNumberFormat="1" applyFont="1" applyBorder="1" applyAlignment="1">
      <alignment horizontal="right" vertical="center" readingOrder="2"/>
    </xf>
    <xf numFmtId="3" fontId="262" fillId="0" borderId="0" xfId="2130" applyNumberFormat="1" applyFont="1" applyAlignment="1">
      <alignment vertical="center"/>
    </xf>
    <xf numFmtId="3" fontId="262" fillId="0" borderId="0" xfId="2130" applyNumberFormat="1" applyFont="1" applyFill="1" applyAlignment="1">
      <alignment vertical="center"/>
    </xf>
    <xf numFmtId="3" fontId="263" fillId="0" borderId="0" xfId="2130" applyNumberFormat="1" applyFont="1" applyAlignment="1">
      <alignment vertical="center"/>
    </xf>
    <xf numFmtId="3" fontId="263" fillId="0" borderId="0" xfId="2130" applyNumberFormat="1" applyFont="1" applyFill="1" applyAlignment="1">
      <alignment vertical="center"/>
    </xf>
    <xf numFmtId="3" fontId="265" fillId="0" borderId="0" xfId="2130" applyNumberFormat="1" applyFont="1" applyFill="1" applyAlignment="1">
      <alignment horizontal="center" vertical="center" wrapText="1"/>
    </xf>
    <xf numFmtId="1" fontId="265" fillId="0" borderId="71" xfId="2130" applyNumberFormat="1" applyFont="1" applyBorder="1" applyAlignment="1">
      <alignment horizontal="center" vertical="center" wrapText="1"/>
    </xf>
    <xf numFmtId="164" fontId="268" fillId="0" borderId="71" xfId="2131" applyNumberFormat="1" applyFont="1" applyFill="1" applyBorder="1" applyAlignment="1">
      <alignment vertical="center"/>
    </xf>
    <xf numFmtId="164" fontId="269" fillId="0" borderId="71" xfId="2131" applyNumberFormat="1" applyFont="1" applyFill="1" applyBorder="1" applyAlignment="1">
      <alignment vertical="center"/>
    </xf>
    <xf numFmtId="164" fontId="269" fillId="10" borderId="71" xfId="2131" applyNumberFormat="1" applyFont="1" applyFill="1" applyBorder="1" applyAlignment="1">
      <alignment vertical="center"/>
    </xf>
    <xf numFmtId="49" fontId="267" fillId="0" borderId="71" xfId="2131" applyNumberFormat="1" applyFont="1" applyBorder="1" applyAlignment="1">
      <alignment horizontal="right" vertical="center" readingOrder="2"/>
    </xf>
    <xf numFmtId="164" fontId="268" fillId="10" borderId="71" xfId="2131" applyNumberFormat="1" applyFont="1" applyFill="1" applyBorder="1" applyAlignment="1">
      <alignment vertical="center"/>
    </xf>
    <xf numFmtId="164" fontId="269" fillId="0" borderId="71" xfId="2131" applyNumberFormat="1" applyFont="1" applyBorder="1" applyAlignment="1">
      <alignment vertical="center"/>
    </xf>
    <xf numFmtId="177" fontId="268" fillId="0" borderId="71" xfId="2131" applyNumberFormat="1" applyFont="1" applyFill="1" applyBorder="1" applyAlignment="1">
      <alignment vertical="center"/>
    </xf>
    <xf numFmtId="164" fontId="268" fillId="0" borderId="71" xfId="2131" applyNumberFormat="1" applyFont="1" applyBorder="1" applyAlignment="1">
      <alignment vertical="center"/>
    </xf>
    <xf numFmtId="177" fontId="269" fillId="0" borderId="71" xfId="2131" applyNumberFormat="1" applyFont="1" applyFill="1" applyBorder="1" applyAlignment="1">
      <alignment vertical="center"/>
    </xf>
    <xf numFmtId="3" fontId="267" fillId="0" borderId="71" xfId="2130" applyNumberFormat="1" applyFont="1" applyBorder="1" applyAlignment="1">
      <alignment vertical="center"/>
    </xf>
    <xf numFmtId="3" fontId="270" fillId="0" borderId="71" xfId="2130" applyNumberFormat="1" applyFont="1" applyBorder="1" applyAlignment="1">
      <alignment vertical="center"/>
    </xf>
    <xf numFmtId="3" fontId="270" fillId="0" borderId="0" xfId="2130" applyNumberFormat="1" applyFont="1" applyAlignment="1">
      <alignment horizontal="center" vertical="center"/>
    </xf>
    <xf numFmtId="3" fontId="270" fillId="0" borderId="34" xfId="2130" applyNumberFormat="1" applyFont="1" applyBorder="1" applyAlignment="1">
      <alignment horizontal="center" vertical="center"/>
    </xf>
    <xf numFmtId="3" fontId="270" fillId="0" borderId="0" xfId="2130" applyNumberFormat="1" applyFont="1" applyFill="1" applyAlignment="1">
      <alignment horizontal="center" vertical="center"/>
    </xf>
    <xf numFmtId="3" fontId="270" fillId="0" borderId="0" xfId="2130" applyNumberFormat="1" applyFont="1" applyAlignment="1">
      <alignment vertical="center"/>
    </xf>
    <xf numFmtId="3" fontId="270" fillId="0" borderId="0" xfId="2130" applyNumberFormat="1" applyFont="1" applyFill="1" applyAlignment="1">
      <alignment vertical="center"/>
    </xf>
    <xf numFmtId="3" fontId="258" fillId="0" borderId="71" xfId="0" applyNumberFormat="1" applyFont="1" applyFill="1" applyBorder="1"/>
    <xf numFmtId="187" fontId="258" fillId="0" borderId="71" xfId="42" applyNumberFormat="1" applyFont="1" applyFill="1" applyBorder="1" applyAlignment="1" applyProtection="1"/>
    <xf numFmtId="0" fontId="59" fillId="0" borderId="0" xfId="0" applyFont="1"/>
    <xf numFmtId="174" fontId="35" fillId="9" borderId="0" xfId="42" applyNumberFormat="1" applyFont="1" applyFill="1" applyBorder="1" applyAlignment="1">
      <alignment horizontal="center" vertical="center" shrinkToFit="1"/>
    </xf>
    <xf numFmtId="43" fontId="35" fillId="9" borderId="0" xfId="42" applyFont="1" applyFill="1" applyBorder="1" applyAlignment="1">
      <alignment horizontal="right" vertical="center"/>
    </xf>
    <xf numFmtId="165" fontId="138" fillId="0" borderId="48" xfId="42" applyNumberFormat="1" applyFont="1" applyBorder="1" applyAlignment="1">
      <alignment horizontal="center" vertical="center" wrapText="1"/>
    </xf>
    <xf numFmtId="0" fontId="283" fillId="0" borderId="0" xfId="7" applyFont="1" applyAlignment="1">
      <alignment horizontal="center" vertical="top"/>
    </xf>
    <xf numFmtId="0" fontId="113" fillId="0" borderId="0" xfId="8" applyFont="1" applyFill="1" applyAlignment="1">
      <alignment horizontal="right" vertical="center" readingOrder="2"/>
    </xf>
    <xf numFmtId="0" fontId="81" fillId="0" borderId="0" xfId="8" applyFont="1" applyFill="1" applyAlignment="1">
      <alignment vertical="center" readingOrder="2"/>
    </xf>
    <xf numFmtId="0" fontId="81" fillId="0" borderId="0" xfId="8" applyFont="1" applyAlignment="1">
      <alignment horizontal="right" vertical="center" readingOrder="2"/>
    </xf>
    <xf numFmtId="0" fontId="81" fillId="0" borderId="0" xfId="12" applyFont="1" applyAlignment="1">
      <alignment vertical="top" wrapText="1" readingOrder="2"/>
    </xf>
    <xf numFmtId="0" fontId="284" fillId="0" borderId="0" xfId="7" applyFont="1" applyAlignment="1">
      <alignment horizontal="center" vertical="top"/>
    </xf>
    <xf numFmtId="0" fontId="81" fillId="0" borderId="0" xfId="0" applyFont="1" applyAlignment="1">
      <alignment horizontal="center"/>
    </xf>
    <xf numFmtId="0" fontId="150" fillId="0" borderId="0" xfId="0" applyFont="1" applyAlignment="1">
      <alignment horizontal="center"/>
    </xf>
    <xf numFmtId="0" fontId="182" fillId="0" borderId="0" xfId="0" applyFont="1" applyFill="1" applyAlignment="1">
      <alignment vertical="center"/>
    </xf>
    <xf numFmtId="0" fontId="112" fillId="0" borderId="0" xfId="0" applyFont="1" applyFill="1"/>
    <xf numFmtId="0" fontId="112" fillId="0" borderId="0" xfId="0" applyFont="1" applyFill="1" applyAlignment="1"/>
    <xf numFmtId="0" fontId="112" fillId="0" borderId="0" xfId="0" applyFont="1" applyFill="1" applyAlignment="1">
      <alignment vertical="center"/>
    </xf>
    <xf numFmtId="0" fontId="182" fillId="0" borderId="0" xfId="0" applyFont="1" applyFill="1"/>
    <xf numFmtId="168" fontId="49" fillId="9" borderId="23" xfId="10" applyNumberFormat="1" applyFont="1" applyFill="1" applyBorder="1" applyAlignment="1">
      <alignment horizontal="right" vertical="center"/>
    </xf>
    <xf numFmtId="168" fontId="49" fillId="0" borderId="31" xfId="10" applyNumberFormat="1" applyFont="1" applyFill="1" applyBorder="1" applyAlignment="1">
      <alignment horizontal="right" vertical="center"/>
    </xf>
    <xf numFmtId="168" fontId="49" fillId="9" borderId="32" xfId="10" applyNumberFormat="1" applyFont="1" applyFill="1" applyBorder="1" applyAlignment="1">
      <alignment horizontal="right" vertical="center"/>
    </xf>
    <xf numFmtId="37" fontId="258" fillId="0" borderId="32" xfId="0" applyNumberFormat="1" applyFont="1" applyFill="1" applyBorder="1"/>
    <xf numFmtId="0" fontId="285" fillId="9" borderId="0" xfId="5" applyFont="1" applyFill="1" applyAlignment="1">
      <alignment horizontal="center" vertical="top" readingOrder="2"/>
    </xf>
    <xf numFmtId="0" fontId="80" fillId="9" borderId="0" xfId="0" applyFont="1" applyFill="1"/>
    <xf numFmtId="0" fontId="108" fillId="9" borderId="0" xfId="0" applyFont="1" applyFill="1"/>
    <xf numFmtId="0" fontId="119" fillId="9" borderId="0" xfId="22" applyFont="1" applyFill="1" applyAlignment="1">
      <alignment horizontal="right" readingOrder="2"/>
    </xf>
    <xf numFmtId="0" fontId="199" fillId="0" borderId="0" xfId="0" applyFont="1" applyFill="1"/>
    <xf numFmtId="0" fontId="286" fillId="9" borderId="0" xfId="5" applyFont="1" applyFill="1" applyAlignment="1">
      <alignment horizontal="center" vertical="top" readingOrder="2"/>
    </xf>
    <xf numFmtId="0" fontId="199" fillId="0" borderId="0" xfId="0" applyFont="1"/>
    <xf numFmtId="0" fontId="287" fillId="9" borderId="0" xfId="5" applyFont="1" applyFill="1" applyAlignment="1">
      <alignment horizontal="center" vertical="top" readingOrder="2"/>
    </xf>
    <xf numFmtId="0" fontId="199" fillId="0" borderId="0" xfId="21" applyFont="1" applyFill="1" applyAlignment="1">
      <alignment horizontal="right" vertical="center"/>
    </xf>
    <xf numFmtId="0" fontId="199" fillId="0" borderId="0" xfId="21" applyFont="1" applyFill="1"/>
    <xf numFmtId="0" fontId="199" fillId="9" borderId="0" xfId="22" applyFont="1" applyFill="1" applyAlignment="1">
      <alignment horizontal="right" readingOrder="2"/>
    </xf>
    <xf numFmtId="0" fontId="34" fillId="9" borderId="0" xfId="24" applyFont="1" applyFill="1" applyAlignment="1"/>
    <xf numFmtId="0" fontId="60" fillId="0" borderId="0" xfId="0" applyFont="1" applyAlignment="1">
      <alignment horizontal="center"/>
    </xf>
    <xf numFmtId="0" fontId="284" fillId="0" borderId="0" xfId="5" applyFont="1" applyAlignment="1">
      <alignment horizontal="center" vertical="top" readingOrder="2"/>
    </xf>
    <xf numFmtId="0" fontId="199" fillId="0" borderId="0" xfId="5" applyFont="1" applyFill="1" applyAlignment="1">
      <alignment horizontal="left" readingOrder="2"/>
    </xf>
    <xf numFmtId="0" fontId="153" fillId="0" borderId="0" xfId="14" applyFont="1" applyAlignment="1">
      <alignment horizontal="right" readingOrder="2"/>
    </xf>
    <xf numFmtId="0" fontId="288" fillId="0" borderId="0" xfId="14" applyFont="1" applyAlignment="1">
      <alignment horizontal="right" readingOrder="2"/>
    </xf>
    <xf numFmtId="0" fontId="150" fillId="0" borderId="0" xfId="14" applyFont="1"/>
    <xf numFmtId="0" fontId="150" fillId="0" borderId="0" xfId="13" applyFont="1" applyAlignment="1">
      <alignment horizontal="right" readingOrder="2"/>
    </xf>
    <xf numFmtId="0" fontId="199" fillId="9" borderId="0" xfId="14" applyFont="1" applyFill="1" applyAlignment="1">
      <alignment readingOrder="2"/>
    </xf>
    <xf numFmtId="0" fontId="113" fillId="9" borderId="0" xfId="22" applyFont="1" applyFill="1" applyAlignment="1">
      <alignment horizontal="left" readingOrder="2"/>
    </xf>
    <xf numFmtId="0" fontId="113" fillId="9" borderId="0" xfId="0" applyFont="1" applyFill="1"/>
    <xf numFmtId="49" fontId="139" fillId="9" borderId="0" xfId="5" applyNumberFormat="1" applyFont="1" applyFill="1" applyAlignment="1">
      <alignment horizontal="center" vertical="top" readingOrder="2"/>
    </xf>
    <xf numFmtId="49" fontId="140" fillId="9" borderId="0" xfId="9" applyNumberFormat="1" applyFont="1" applyFill="1" applyAlignment="1">
      <alignment horizontal="center" vertical="top" shrinkToFit="1"/>
    </xf>
    <xf numFmtId="49" fontId="142" fillId="9" borderId="0" xfId="47" applyNumberFormat="1" applyFont="1" applyFill="1" applyAlignment="1"/>
    <xf numFmtId="49" fontId="44" fillId="9" borderId="0" xfId="16" applyNumberFormat="1" applyFont="1" applyFill="1"/>
    <xf numFmtId="49" fontId="123" fillId="9" borderId="19" xfId="0" applyNumberFormat="1" applyFont="1" applyFill="1" applyBorder="1" applyAlignment="1">
      <alignment horizontal="center" vertical="center"/>
    </xf>
    <xf numFmtId="49" fontId="35" fillId="9" borderId="19" xfId="8" applyNumberFormat="1" applyFont="1" applyFill="1" applyBorder="1" applyAlignment="1">
      <alignment horizontal="center" vertical="top" readingOrder="2"/>
    </xf>
    <xf numFmtId="49" fontId="35" fillId="9" borderId="17" xfId="8" applyNumberFormat="1" applyFont="1" applyFill="1" applyBorder="1" applyAlignment="1">
      <alignment horizontal="center" vertical="top" readingOrder="2"/>
    </xf>
    <xf numFmtId="49" fontId="35" fillId="9" borderId="40" xfId="8" applyNumberFormat="1" applyFont="1" applyFill="1" applyBorder="1" applyAlignment="1">
      <alignment horizontal="right" vertical="top" readingOrder="2"/>
    </xf>
    <xf numFmtId="49" fontId="35" fillId="9" borderId="48" xfId="8" applyNumberFormat="1" applyFont="1" applyFill="1" applyBorder="1" applyAlignment="1">
      <alignment horizontal="center" vertical="top" readingOrder="2"/>
    </xf>
    <xf numFmtId="49" fontId="35" fillId="9" borderId="24" xfId="8" applyNumberFormat="1" applyFont="1" applyFill="1" applyBorder="1" applyAlignment="1">
      <alignment horizontal="center" vertical="top" readingOrder="2"/>
    </xf>
    <xf numFmtId="49" fontId="35" fillId="17" borderId="19" xfId="8" applyNumberFormat="1" applyFont="1" applyFill="1" applyBorder="1" applyAlignment="1">
      <alignment horizontal="right" vertical="top" readingOrder="2"/>
    </xf>
    <xf numFmtId="49" fontId="35" fillId="9" borderId="19" xfId="8" applyNumberFormat="1" applyFont="1" applyFill="1" applyBorder="1" applyAlignment="1">
      <alignment horizontal="right" vertical="top" readingOrder="2"/>
    </xf>
    <xf numFmtId="49" fontId="59" fillId="9" borderId="0" xfId="0" applyNumberFormat="1" applyFont="1" applyFill="1"/>
    <xf numFmtId="49" fontId="139" fillId="0" borderId="0" xfId="5" applyNumberFormat="1" applyFont="1" applyAlignment="1">
      <alignment horizontal="center" vertical="top" readingOrder="2"/>
    </xf>
    <xf numFmtId="49" fontId="140" fillId="0" borderId="0" xfId="9" applyNumberFormat="1" applyFont="1" applyAlignment="1">
      <alignment horizontal="center" vertical="top" shrinkToFit="1"/>
    </xf>
    <xf numFmtId="49" fontId="142" fillId="0" borderId="0" xfId="47" applyNumberFormat="1" applyFont="1" applyAlignment="1"/>
    <xf numFmtId="49" fontId="123" fillId="9" borderId="43" xfId="0" applyNumberFormat="1" applyFont="1" applyFill="1" applyBorder="1" applyAlignment="1">
      <alignment horizontal="center" vertical="center"/>
    </xf>
    <xf numFmtId="49" fontId="35" fillId="9" borderId="43" xfId="8" applyNumberFormat="1" applyFont="1" applyFill="1" applyBorder="1" applyAlignment="1">
      <alignment horizontal="center" vertical="top" readingOrder="2"/>
    </xf>
    <xf numFmtId="49" fontId="35" fillId="9" borderId="49" xfId="8" applyNumberFormat="1" applyFont="1" applyFill="1" applyBorder="1" applyAlignment="1">
      <alignment horizontal="right" vertical="top" readingOrder="2"/>
    </xf>
    <xf numFmtId="49" fontId="59" fillId="0" borderId="0" xfId="0" applyNumberFormat="1" applyFont="1"/>
    <xf numFmtId="0" fontId="44" fillId="9" borderId="0" xfId="26" applyFont="1" applyFill="1" applyBorder="1" applyAlignment="1">
      <alignment vertical="center" readingOrder="2"/>
    </xf>
    <xf numFmtId="0" fontId="46" fillId="9" borderId="0" xfId="26" applyFont="1" applyFill="1" applyBorder="1" applyAlignment="1">
      <alignment vertical="center" readingOrder="2"/>
    </xf>
    <xf numFmtId="0" fontId="46" fillId="9" borderId="0" xfId="25" applyFont="1" applyFill="1" applyAlignment="1">
      <alignment horizontal="right" vertical="center" readingOrder="2"/>
    </xf>
    <xf numFmtId="3" fontId="35" fillId="9" borderId="0" xfId="17" applyNumberFormat="1" applyFont="1" applyFill="1" applyBorder="1" applyAlignment="1">
      <alignment horizontal="center"/>
    </xf>
    <xf numFmtId="0" fontId="44" fillId="9" borderId="0" xfId="26" applyFont="1" applyFill="1" applyBorder="1" applyAlignment="1">
      <alignment horizontal="right"/>
    </xf>
    <xf numFmtId="0" fontId="59" fillId="0" borderId="0" xfId="0" applyFont="1"/>
    <xf numFmtId="0" fontId="47" fillId="9" borderId="71" xfId="16" applyFont="1" applyFill="1" applyBorder="1" applyAlignment="1">
      <alignment horizontal="center" vertical="center" wrapText="1"/>
    </xf>
    <xf numFmtId="167" fontId="35" fillId="9" borderId="71" xfId="8" applyNumberFormat="1" applyFont="1" applyFill="1" applyBorder="1" applyAlignment="1">
      <alignment horizontal="right" vertical="top" readingOrder="2"/>
    </xf>
    <xf numFmtId="49" fontId="35" fillId="9" borderId="71" xfId="8" applyNumberFormat="1" applyFont="1" applyFill="1" applyBorder="1" applyAlignment="1">
      <alignment horizontal="right" vertical="top" readingOrder="2"/>
    </xf>
    <xf numFmtId="3" fontId="113" fillId="9" borderId="0" xfId="0" applyNumberFormat="1" applyFont="1" applyFill="1" applyBorder="1" applyAlignment="1">
      <alignment horizontal="center" vertical="center"/>
    </xf>
    <xf numFmtId="0" fontId="112" fillId="9" borderId="0" xfId="0" applyFont="1" applyFill="1" applyBorder="1"/>
    <xf numFmtId="0" fontId="59" fillId="0" borderId="0" xfId="0" applyFont="1"/>
    <xf numFmtId="0" fontId="48" fillId="9" borderId="0" xfId="26" applyFont="1" applyFill="1" applyAlignment="1">
      <alignment horizontal="center"/>
    </xf>
    <xf numFmtId="174" fontId="132" fillId="9" borderId="0" xfId="42" applyNumberFormat="1" applyFont="1" applyFill="1" applyBorder="1" applyAlignment="1">
      <alignment horizontal="center" vertical="center" shrinkToFit="1"/>
    </xf>
    <xf numFmtId="164" fontId="97" fillId="0" borderId="35" xfId="14" applyNumberFormat="1" applyFont="1" applyBorder="1" applyAlignment="1">
      <alignment horizontal="right" vertical="center"/>
    </xf>
    <xf numFmtId="164" fontId="64" fillId="0" borderId="35" xfId="6" applyNumberFormat="1" applyFont="1" applyBorder="1" applyAlignment="1">
      <alignment vertical="center"/>
    </xf>
    <xf numFmtId="164" fontId="64" fillId="0" borderId="35" xfId="6" applyNumberFormat="1" applyFont="1" applyBorder="1" applyAlignment="1">
      <alignment horizontal="right" vertical="center"/>
    </xf>
    <xf numFmtId="0" fontId="59" fillId="0" borderId="0" xfId="0" applyFont="1"/>
    <xf numFmtId="3" fontId="166" fillId="9" borderId="36" xfId="0" applyNumberFormat="1" applyFont="1" applyFill="1" applyBorder="1" applyAlignment="1">
      <alignment horizontal="center" vertical="center"/>
    </xf>
    <xf numFmtId="0" fontId="29" fillId="9" borderId="0" xfId="14" applyFont="1" applyFill="1" applyAlignment="1">
      <alignment horizontal="center" readingOrder="2"/>
    </xf>
    <xf numFmtId="0" fontId="48" fillId="9" borderId="0" xfId="26" applyFont="1" applyFill="1" applyAlignment="1">
      <alignment horizontal="right" vertical="top" wrapText="1" readingOrder="2"/>
    </xf>
    <xf numFmtId="0" fontId="60" fillId="9" borderId="0" xfId="26" applyFont="1" applyFill="1" applyBorder="1" applyAlignment="1">
      <alignment horizontal="right" vertical="center" readingOrder="2"/>
    </xf>
    <xf numFmtId="0" fontId="60" fillId="9" borderId="0" xfId="26" applyFont="1" applyFill="1" applyAlignment="1">
      <alignment horizontal="center" vertical="top" wrapText="1" readingOrder="2"/>
    </xf>
    <xf numFmtId="0" fontId="34" fillId="9" borderId="0" xfId="26" applyFont="1" applyFill="1" applyBorder="1" applyAlignment="1">
      <alignment horizontal="center" vertical="center"/>
    </xf>
    <xf numFmtId="0" fontId="84" fillId="0" borderId="0" xfId="0" applyFont="1" applyAlignment="1">
      <alignment horizontal="right" vertical="center" wrapText="1" readingOrder="2"/>
    </xf>
    <xf numFmtId="0" fontId="95" fillId="0" borderId="35" xfId="0" applyFont="1" applyBorder="1" applyAlignment="1">
      <alignment horizontal="center" vertical="center" wrapText="1" readingOrder="2"/>
    </xf>
    <xf numFmtId="3" fontId="78" fillId="0" borderId="0" xfId="0" applyNumberFormat="1"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3" fontId="78" fillId="0" borderId="35" xfId="0" applyNumberFormat="1" applyFont="1" applyBorder="1" applyAlignment="1">
      <alignment horizontal="center" vertical="center" wrapText="1" readingOrder="2"/>
    </xf>
    <xf numFmtId="0" fontId="74" fillId="0" borderId="0" xfId="0" applyFont="1" applyBorder="1" applyAlignment="1">
      <alignment horizontal="center" vertical="center" wrapText="1" readingOrder="2"/>
    </xf>
    <xf numFmtId="0" fontId="78" fillId="0" borderId="0" xfId="0" applyFont="1" applyBorder="1" applyAlignment="1">
      <alignment horizontal="center" vertical="center" wrapText="1" readingOrder="2"/>
    </xf>
    <xf numFmtId="0" fontId="244" fillId="0" borderId="0" xfId="0" applyFont="1" applyBorder="1" applyAlignment="1">
      <alignment horizontal="right" vertical="center" wrapText="1" readingOrder="2"/>
    </xf>
    <xf numFmtId="0" fontId="80" fillId="9" borderId="0" xfId="0" applyFont="1" applyFill="1" applyAlignment="1"/>
    <xf numFmtId="0" fontId="256" fillId="9" borderId="0" xfId="12" applyFont="1" applyFill="1" applyAlignment="1">
      <alignment horizontal="center" vertical="top" readingOrder="2"/>
    </xf>
    <xf numFmtId="0" fontId="119" fillId="9" borderId="0" xfId="0" applyFont="1" applyFill="1"/>
    <xf numFmtId="0" fontId="112" fillId="9" borderId="0" xfId="0" applyFont="1" applyFill="1" applyAlignment="1"/>
    <xf numFmtId="0" fontId="95" fillId="0" borderId="0" xfId="0" applyFont="1" applyBorder="1" applyAlignment="1">
      <alignment horizontal="center" vertical="center" wrapText="1" readingOrder="2"/>
    </xf>
    <xf numFmtId="164" fontId="30" fillId="9" borderId="21" xfId="12" applyNumberFormat="1" applyFont="1" applyFill="1" applyBorder="1" applyAlignment="1">
      <alignment vertical="center" readingOrder="2"/>
    </xf>
    <xf numFmtId="164" fontId="30" fillId="9" borderId="25" xfId="12" applyNumberFormat="1" applyFont="1" applyFill="1" applyBorder="1" applyAlignment="1">
      <alignment vertical="center" readingOrder="2"/>
    </xf>
    <xf numFmtId="3" fontId="34" fillId="0" borderId="34" xfId="12" applyNumberFormat="1" applyFont="1" applyBorder="1" applyAlignment="1">
      <alignment horizontal="center" vertical="center" readingOrder="2"/>
    </xf>
    <xf numFmtId="0" fontId="49" fillId="9" borderId="16" xfId="17" applyFont="1" applyFill="1" applyBorder="1" applyAlignment="1">
      <alignment horizontal="center"/>
    </xf>
    <xf numFmtId="0" fontId="48" fillId="9" borderId="0" xfId="17" applyFont="1" applyFill="1" applyBorder="1" applyAlignment="1">
      <alignment horizontal="right" vertical="top" wrapText="1"/>
    </xf>
    <xf numFmtId="164" fontId="35" fillId="9" borderId="32" xfId="17" applyNumberFormat="1" applyFont="1" applyFill="1" applyBorder="1" applyAlignment="1">
      <alignment vertical="center"/>
    </xf>
    <xf numFmtId="0" fontId="49" fillId="9" borderId="16" xfId="17" applyFont="1" applyFill="1" applyBorder="1" applyAlignment="1">
      <alignment horizontal="center" wrapText="1"/>
    </xf>
    <xf numFmtId="164" fontId="44" fillId="9" borderId="0" xfId="17" applyNumberFormat="1" applyFont="1" applyFill="1" applyBorder="1" applyAlignment="1">
      <alignment horizontal="right" vertical="center"/>
    </xf>
    <xf numFmtId="164" fontId="35" fillId="9" borderId="0" xfId="17" applyNumberFormat="1" applyFont="1" applyFill="1" applyBorder="1" applyAlignment="1">
      <alignment horizontal="right" vertical="center"/>
    </xf>
    <xf numFmtId="0" fontId="46" fillId="9" borderId="0" xfId="17" applyFont="1" applyFill="1" applyBorder="1"/>
    <xf numFmtId="0" fontId="44" fillId="9" borderId="0" xfId="17" applyFont="1" applyFill="1" applyBorder="1" applyAlignment="1">
      <alignment horizontal="center"/>
    </xf>
    <xf numFmtId="0" fontId="44" fillId="9" borderId="0" xfId="17" applyFont="1" applyFill="1" applyBorder="1" applyAlignment="1">
      <alignment horizontal="right"/>
    </xf>
    <xf numFmtId="0" fontId="48" fillId="9" borderId="0" xfId="17" applyFont="1" applyFill="1" applyBorder="1" applyAlignment="1">
      <alignment vertical="top" wrapText="1"/>
    </xf>
    <xf numFmtId="0" fontId="49" fillId="9" borderId="16" xfId="17" applyFont="1" applyFill="1" applyBorder="1" applyAlignment="1"/>
    <xf numFmtId="0" fontId="48" fillId="9" borderId="16" xfId="17" applyFont="1" applyFill="1" applyBorder="1" applyAlignment="1">
      <alignment vertical="top" wrapText="1"/>
    </xf>
    <xf numFmtId="0" fontId="44" fillId="9" borderId="33" xfId="17" applyFont="1" applyFill="1" applyBorder="1" applyAlignment="1">
      <alignment vertical="center"/>
    </xf>
    <xf numFmtId="3" fontId="35" fillId="9" borderId="33" xfId="17" applyNumberFormat="1" applyFont="1" applyFill="1" applyBorder="1" applyAlignment="1">
      <alignment horizontal="center" vertical="center"/>
    </xf>
    <xf numFmtId="3" fontId="35" fillId="9" borderId="33" xfId="17" applyNumberFormat="1" applyFont="1" applyFill="1" applyBorder="1" applyAlignment="1">
      <alignment vertical="center"/>
    </xf>
    <xf numFmtId="3" fontId="35" fillId="9" borderId="32" xfId="17" applyNumberFormat="1" applyFont="1" applyFill="1" applyBorder="1" applyAlignment="1">
      <alignment vertical="center"/>
    </xf>
    <xf numFmtId="0" fontId="48" fillId="9" borderId="0" xfId="17" applyFont="1" applyFill="1" applyBorder="1" applyAlignment="1">
      <alignment horizontal="right" vertical="center" readingOrder="2"/>
    </xf>
    <xf numFmtId="0" fontId="59" fillId="0" borderId="0" xfId="0" applyFont="1"/>
    <xf numFmtId="0" fontId="30" fillId="9" borderId="0" xfId="13" applyFont="1" applyFill="1" applyAlignment="1">
      <alignment horizontal="right" wrapText="1" readingOrder="2"/>
    </xf>
    <xf numFmtId="0" fontId="42" fillId="9" borderId="0" xfId="18" applyFont="1" applyFill="1" applyAlignment="1">
      <alignment horizontal="right" vertical="center" readingOrder="2"/>
    </xf>
    <xf numFmtId="0" fontId="143" fillId="9" borderId="0" xfId="5" applyFont="1" applyFill="1" applyAlignment="1">
      <alignment horizontal="center" vertical="top" readingOrder="2"/>
    </xf>
    <xf numFmtId="0" fontId="42" fillId="9" borderId="35" xfId="18" applyFont="1" applyFill="1" applyBorder="1" applyAlignment="1">
      <alignment vertical="center"/>
    </xf>
    <xf numFmtId="0" fontId="85" fillId="9" borderId="35" xfId="18" applyFont="1" applyFill="1" applyBorder="1" applyAlignment="1">
      <alignment horizontal="center" vertical="top"/>
    </xf>
    <xf numFmtId="0" fontId="237" fillId="9" borderId="0" xfId="2123" applyFont="1" applyFill="1" applyBorder="1" applyAlignment="1">
      <alignment horizontal="center" vertical="top" readingOrder="2"/>
    </xf>
    <xf numFmtId="0" fontId="42" fillId="9" borderId="0" xfId="18" applyFont="1" applyFill="1" applyBorder="1" applyAlignment="1">
      <alignment vertical="center"/>
    </xf>
    <xf numFmtId="0" fontId="29" fillId="9" borderId="0" xfId="18" applyFont="1" applyFill="1" applyAlignment="1">
      <alignment horizontal="center" readingOrder="2"/>
    </xf>
    <xf numFmtId="0" fontId="282" fillId="9" borderId="0" xfId="2123" applyFont="1" applyFill="1" applyBorder="1" applyAlignment="1">
      <alignment horizontal="center" vertical="top" readingOrder="2"/>
    </xf>
    <xf numFmtId="0" fontId="289" fillId="9" borderId="0" xfId="2123" applyFont="1" applyFill="1" applyBorder="1" applyAlignment="1">
      <alignment horizontal="center" vertical="top" readingOrder="2"/>
    </xf>
    <xf numFmtId="0" fontId="290" fillId="9" borderId="0" xfId="2123" applyFont="1" applyFill="1" applyBorder="1" applyAlignment="1">
      <alignment horizontal="center" vertical="top" readingOrder="2"/>
    </xf>
    <xf numFmtId="0" fontId="291" fillId="9" borderId="0" xfId="2123" applyFont="1" applyFill="1" applyBorder="1" applyAlignment="1">
      <alignment horizontal="center" vertical="top" readingOrder="2"/>
    </xf>
    <xf numFmtId="0" fontId="275" fillId="9" borderId="0" xfId="2123" applyFont="1" applyFill="1" applyBorder="1" applyAlignment="1">
      <alignment horizontal="center" vertical="top" readingOrder="2"/>
    </xf>
    <xf numFmtId="164" fontId="31" fillId="9" borderId="32" xfId="27" applyNumberFormat="1" applyFont="1" applyFill="1" applyBorder="1" applyAlignment="1">
      <alignment vertical="center"/>
    </xf>
    <xf numFmtId="0" fontId="275" fillId="9" borderId="0" xfId="2123" applyFont="1" applyFill="1" applyBorder="1" applyAlignment="1">
      <alignment horizontal="right" vertical="top" readingOrder="2"/>
    </xf>
    <xf numFmtId="0" fontId="290" fillId="9" borderId="0" xfId="2123" applyFont="1" applyFill="1" applyBorder="1" applyAlignment="1">
      <alignment horizontal="right" vertical="top" readingOrder="2"/>
    </xf>
    <xf numFmtId="0" fontId="289" fillId="9" borderId="0" xfId="2123" applyFont="1" applyFill="1" applyBorder="1" applyAlignment="1">
      <alignment horizontal="right" vertical="top" readingOrder="2"/>
    </xf>
    <xf numFmtId="0" fontId="42" fillId="9" borderId="0" xfId="31" applyFont="1" applyFill="1"/>
    <xf numFmtId="0" fontId="290" fillId="9" borderId="35" xfId="2123" applyFont="1" applyFill="1" applyBorder="1" applyAlignment="1">
      <alignment horizontal="center" vertical="top" readingOrder="2"/>
    </xf>
    <xf numFmtId="164" fontId="31" fillId="9" borderId="36" xfId="27" applyNumberFormat="1" applyFont="1" applyFill="1" applyBorder="1" applyAlignment="1">
      <alignment vertical="center"/>
    </xf>
    <xf numFmtId="164" fontId="289" fillId="9" borderId="34" xfId="2123" applyNumberFormat="1" applyFont="1" applyFill="1" applyBorder="1" applyAlignment="1">
      <alignment horizontal="center" vertical="top" readingOrder="2"/>
    </xf>
    <xf numFmtId="164" fontId="289" fillId="9" borderId="69" xfId="2123" applyNumberFormat="1" applyFont="1" applyFill="1" applyBorder="1" applyAlignment="1">
      <alignment horizontal="center" vertical="top" readingOrder="2"/>
    </xf>
    <xf numFmtId="0" fontId="59" fillId="0" borderId="0" xfId="0" applyFont="1"/>
    <xf numFmtId="3" fontId="47" fillId="9" borderId="17" xfId="34" applyNumberFormat="1" applyFont="1" applyFill="1" applyBorder="1" applyAlignment="1">
      <alignment horizontal="center" vertical="center" wrapText="1"/>
    </xf>
    <xf numFmtId="0" fontId="48" fillId="9" borderId="51" xfId="34" applyFont="1" applyFill="1" applyBorder="1" applyAlignment="1">
      <alignment horizontal="center" vertical="center" wrapText="1"/>
    </xf>
    <xf numFmtId="3" fontId="63" fillId="0" borderId="0" xfId="0" applyNumberFormat="1" applyFont="1" applyBorder="1" applyAlignment="1">
      <alignment horizontal="center" vertical="center"/>
    </xf>
    <xf numFmtId="0" fontId="48" fillId="9" borderId="0" xfId="34" applyFont="1" applyFill="1" applyBorder="1" applyAlignment="1">
      <alignment horizontal="center" vertical="center" wrapText="1"/>
    </xf>
    <xf numFmtId="0" fontId="48" fillId="9" borderId="0" xfId="34" applyFont="1" applyFill="1" applyBorder="1" applyAlignment="1">
      <alignment horizontal="right" vertical="center" wrapText="1"/>
    </xf>
    <xf numFmtId="0" fontId="47" fillId="9" borderId="3" xfId="16" applyFont="1" applyFill="1" applyBorder="1" applyAlignment="1">
      <alignment horizontal="center" vertical="center" wrapText="1"/>
    </xf>
    <xf numFmtId="0" fontId="60" fillId="9" borderId="52" xfId="34" applyFont="1" applyFill="1" applyBorder="1" applyAlignment="1">
      <alignment horizontal="right" vertical="center" wrapText="1"/>
    </xf>
    <xf numFmtId="49" fontId="35" fillId="9" borderId="3" xfId="8" applyNumberFormat="1" applyFont="1" applyFill="1" applyBorder="1" applyAlignment="1">
      <alignment horizontal="center" vertical="top" readingOrder="2"/>
    </xf>
    <xf numFmtId="167" fontId="35" fillId="0" borderId="47" xfId="8" applyNumberFormat="1" applyFont="1" applyFill="1" applyBorder="1" applyAlignment="1">
      <alignment horizontal="right" vertical="top" readingOrder="2"/>
    </xf>
    <xf numFmtId="0" fontId="47" fillId="9" borderId="43" xfId="16" applyFont="1" applyFill="1" applyBorder="1" applyAlignment="1">
      <alignment horizontal="center" vertical="center" wrapText="1"/>
    </xf>
    <xf numFmtId="167" fontId="35" fillId="9" borderId="71" xfId="8" applyNumberFormat="1" applyFont="1" applyFill="1" applyBorder="1" applyAlignment="1">
      <alignment horizontal="center" vertical="top" readingOrder="2"/>
    </xf>
    <xf numFmtId="49" fontId="35" fillId="9" borderId="71" xfId="8" applyNumberFormat="1" applyFont="1" applyFill="1" applyBorder="1" applyAlignment="1">
      <alignment horizontal="center" vertical="top" readingOrder="2"/>
    </xf>
    <xf numFmtId="167" fontId="35" fillId="0" borderId="71" xfId="8" applyNumberFormat="1" applyFont="1" applyFill="1" applyBorder="1" applyAlignment="1">
      <alignment horizontal="right" vertical="top" readingOrder="2"/>
    </xf>
    <xf numFmtId="167" fontId="35" fillId="0" borderId="46" xfId="8" applyNumberFormat="1" applyFont="1" applyFill="1" applyBorder="1" applyAlignment="1">
      <alignment horizontal="right" vertical="top" readingOrder="2"/>
    </xf>
    <xf numFmtId="167" fontId="35" fillId="0" borderId="30" xfId="8" applyNumberFormat="1" applyFont="1" applyFill="1" applyBorder="1" applyAlignment="1">
      <alignment horizontal="right" vertical="top" readingOrder="2"/>
    </xf>
    <xf numFmtId="0" fontId="59" fillId="9" borderId="68" xfId="0" applyFont="1" applyFill="1" applyBorder="1"/>
    <xf numFmtId="0" fontId="34" fillId="9" borderId="49" xfId="34" applyFont="1" applyFill="1" applyBorder="1" applyAlignment="1">
      <alignment horizontal="right" vertical="center" wrapText="1"/>
    </xf>
    <xf numFmtId="1" fontId="35" fillId="9" borderId="51" xfId="8" applyNumberFormat="1" applyFont="1" applyFill="1" applyBorder="1" applyAlignment="1">
      <alignment horizontal="right" vertical="top" readingOrder="2"/>
    </xf>
    <xf numFmtId="167" fontId="35" fillId="0" borderId="50" xfId="8" applyNumberFormat="1" applyFont="1" applyFill="1" applyBorder="1" applyAlignment="1">
      <alignment horizontal="right" vertical="top" readingOrder="2"/>
    </xf>
    <xf numFmtId="0" fontId="59" fillId="9" borderId="6" xfId="0" applyFont="1" applyFill="1" applyBorder="1" applyAlignment="1"/>
    <xf numFmtId="0" fontId="193" fillId="9" borderId="1" xfId="16" applyFont="1" applyFill="1" applyBorder="1" applyAlignment="1">
      <alignment vertical="center"/>
    </xf>
    <xf numFmtId="49" fontId="82" fillId="9" borderId="6" xfId="47" applyNumberFormat="1" applyFont="1" applyFill="1" applyBorder="1" applyAlignment="1">
      <alignment vertical="center"/>
    </xf>
    <xf numFmtId="0" fontId="46" fillId="9" borderId="21" xfId="16" applyFont="1" applyFill="1" applyBorder="1" applyAlignment="1">
      <alignment horizontal="center" vertical="center" wrapText="1"/>
    </xf>
    <xf numFmtId="0" fontId="34" fillId="17" borderId="21" xfId="16" applyFont="1" applyFill="1" applyBorder="1" applyAlignment="1">
      <alignment horizontal="justify" vertical="center" wrapText="1"/>
    </xf>
    <xf numFmtId="1" fontId="35" fillId="17" borderId="21" xfId="8" applyNumberFormat="1" applyFont="1" applyFill="1" applyBorder="1" applyAlignment="1">
      <alignment horizontal="right" vertical="top" readingOrder="2"/>
    </xf>
    <xf numFmtId="49" fontId="35" fillId="17" borderId="21" xfId="8" applyNumberFormat="1" applyFont="1" applyFill="1" applyBorder="1" applyAlignment="1">
      <alignment horizontal="right" vertical="top" readingOrder="2"/>
    </xf>
    <xf numFmtId="1" fontId="87" fillId="17" borderId="21" xfId="8" applyNumberFormat="1" applyFont="1" applyFill="1" applyBorder="1" applyAlignment="1">
      <alignment horizontal="right" vertical="top" readingOrder="2"/>
    </xf>
    <xf numFmtId="167" fontId="87" fillId="17" borderId="21" xfId="8" applyNumberFormat="1" applyFont="1" applyFill="1" applyBorder="1" applyAlignment="1">
      <alignment horizontal="right" vertical="top" readingOrder="2"/>
    </xf>
    <xf numFmtId="167" fontId="35" fillId="17" borderId="21" xfId="8" applyNumberFormat="1" applyFont="1" applyFill="1" applyBorder="1" applyAlignment="1">
      <alignment horizontal="right" vertical="top" readingOrder="2"/>
    </xf>
    <xf numFmtId="0" fontId="193" fillId="9" borderId="3" xfId="16" applyFont="1" applyFill="1" applyBorder="1" applyAlignment="1">
      <alignment vertical="center"/>
    </xf>
    <xf numFmtId="0" fontId="59" fillId="9" borderId="48" xfId="0" applyFont="1" applyFill="1" applyBorder="1" applyAlignment="1"/>
    <xf numFmtId="0" fontId="59" fillId="9" borderId="47" xfId="0" applyFont="1" applyFill="1" applyBorder="1" applyAlignment="1"/>
    <xf numFmtId="0" fontId="59" fillId="9" borderId="13" xfId="0" applyFont="1" applyFill="1" applyBorder="1"/>
    <xf numFmtId="0" fontId="34" fillId="9" borderId="17" xfId="34" applyFont="1" applyFill="1" applyBorder="1" applyAlignment="1">
      <alignment horizontal="right" vertical="center" wrapText="1"/>
    </xf>
    <xf numFmtId="1" fontId="35" fillId="9" borderId="17" xfId="8" applyNumberFormat="1" applyFont="1" applyFill="1" applyBorder="1" applyAlignment="1">
      <alignment horizontal="right" vertical="top" readingOrder="2"/>
    </xf>
    <xf numFmtId="0" fontId="111" fillId="9" borderId="48" xfId="0" applyFont="1" applyFill="1" applyBorder="1" applyAlignment="1"/>
    <xf numFmtId="0" fontId="60" fillId="9" borderId="66" xfId="34" applyFont="1" applyFill="1" applyBorder="1" applyAlignment="1">
      <alignment horizontal="right" vertical="center" wrapText="1"/>
    </xf>
    <xf numFmtId="164" fontId="30" fillId="9" borderId="21" xfId="12" applyNumberFormat="1" applyFont="1" applyFill="1" applyBorder="1" applyAlignment="1">
      <alignment horizontal="center" vertical="center" readingOrder="2"/>
    </xf>
    <xf numFmtId="0" fontId="34" fillId="0" borderId="0" xfId="12" applyFont="1" applyAlignment="1">
      <alignment horizontal="center" readingOrder="2"/>
    </xf>
    <xf numFmtId="0" fontId="59" fillId="0" borderId="0" xfId="0" applyFont="1"/>
    <xf numFmtId="0" fontId="34" fillId="0" borderId="0" xfId="12" applyFont="1" applyAlignment="1">
      <alignment readingOrder="2"/>
    </xf>
    <xf numFmtId="0" fontId="35" fillId="0" borderId="0" xfId="5" applyFont="1" applyFill="1" applyAlignment="1">
      <alignment vertical="center" readingOrder="2"/>
    </xf>
    <xf numFmtId="0" fontId="60" fillId="0" borderId="0" xfId="8" applyFont="1" applyAlignment="1">
      <alignment horizontal="right" vertical="center" readingOrder="2"/>
    </xf>
    <xf numFmtId="0" fontId="60" fillId="0" borderId="0" xfId="8" applyFont="1" applyAlignment="1">
      <alignment horizontal="right" vertical="center" wrapText="1" readingOrder="2"/>
    </xf>
    <xf numFmtId="49" fontId="84" fillId="0" borderId="0" xfId="0" applyNumberFormat="1" applyFont="1" applyAlignment="1">
      <alignment horizontal="left" vertical="top"/>
    </xf>
    <xf numFmtId="0" fontId="59" fillId="0" borderId="0" xfId="0" applyFont="1"/>
    <xf numFmtId="0" fontId="31" fillId="0" borderId="0" xfId="8" applyFont="1" applyAlignment="1">
      <alignment horizontal="right" vertical="center" readingOrder="2"/>
    </xf>
    <xf numFmtId="0" fontId="60" fillId="9" borderId="35" xfId="12" applyFont="1" applyFill="1" applyBorder="1" applyAlignment="1">
      <alignment vertical="center" readingOrder="2"/>
    </xf>
    <xf numFmtId="0" fontId="60" fillId="9" borderId="0" xfId="12" applyFont="1" applyFill="1" applyBorder="1" applyAlignment="1">
      <alignment vertical="center" readingOrder="2"/>
    </xf>
    <xf numFmtId="174" fontId="60" fillId="9" borderId="0" xfId="12" applyNumberFormat="1" applyFont="1" applyFill="1" applyAlignment="1">
      <alignment vertical="center" readingOrder="2"/>
    </xf>
    <xf numFmtId="174" fontId="60" fillId="9" borderId="35" xfId="12" applyNumberFormat="1" applyFont="1" applyFill="1" applyBorder="1" applyAlignment="1">
      <alignment vertical="center" readingOrder="2"/>
    </xf>
    <xf numFmtId="0" fontId="292" fillId="9" borderId="0" xfId="5" applyFont="1" applyFill="1" applyAlignment="1">
      <alignment horizontal="center" vertical="top" readingOrder="2"/>
    </xf>
    <xf numFmtId="0" fontId="130" fillId="9" borderId="0" xfId="19" applyFont="1" applyFill="1" applyAlignment="1">
      <alignment vertical="center" readingOrder="2"/>
    </xf>
    <xf numFmtId="0" fontId="79" fillId="9" borderId="0" xfId="19" applyFont="1" applyFill="1" applyAlignment="1">
      <alignment vertical="center" readingOrder="2"/>
    </xf>
    <xf numFmtId="0" fontId="59" fillId="0" borderId="0" xfId="0" applyFont="1"/>
    <xf numFmtId="0" fontId="35" fillId="0" borderId="0" xfId="8" applyFont="1" applyBorder="1" applyAlignment="1">
      <alignment horizontal="center" vertical="center" readingOrder="2"/>
    </xf>
    <xf numFmtId="174" fontId="60" fillId="9" borderId="0" xfId="12" applyNumberFormat="1" applyFont="1" applyFill="1" applyBorder="1" applyAlignment="1">
      <alignment vertical="center" readingOrder="2"/>
    </xf>
    <xf numFmtId="0" fontId="60" fillId="9" borderId="0" xfId="12" applyFont="1" applyFill="1" applyAlignment="1" applyProtection="1">
      <alignment vertical="center" readingOrder="2"/>
      <protection locked="0"/>
    </xf>
    <xf numFmtId="0" fontId="60" fillId="9" borderId="0" xfId="12" applyFont="1" applyFill="1" applyBorder="1" applyAlignment="1" applyProtection="1">
      <alignment vertical="center" readingOrder="2"/>
      <protection locked="0"/>
    </xf>
    <xf numFmtId="0" fontId="59" fillId="0" borderId="0" xfId="0" applyFont="1" applyFill="1" applyAlignment="1" applyProtection="1">
      <alignment vertical="center"/>
    </xf>
    <xf numFmtId="0" fontId="31" fillId="0" borderId="0" xfId="12" applyNumberFormat="1" applyFont="1" applyBorder="1" applyAlignment="1">
      <alignment horizontal="center" wrapText="1" readingOrder="2"/>
    </xf>
    <xf numFmtId="0" fontId="47" fillId="0" borderId="0" xfId="12" applyFont="1" applyBorder="1" applyAlignment="1">
      <alignment horizontal="center" vertical="center" readingOrder="2"/>
    </xf>
    <xf numFmtId="0" fontId="47" fillId="0" borderId="0" xfId="12" applyFont="1" applyBorder="1" applyAlignment="1">
      <alignment horizontal="right" vertical="center" readingOrder="2"/>
    </xf>
    <xf numFmtId="174" fontId="64" fillId="0" borderId="0" xfId="42" applyNumberFormat="1" applyFont="1" applyBorder="1" applyAlignment="1">
      <alignment horizontal="right" readingOrder="2"/>
    </xf>
    <xf numFmtId="174" fontId="74" fillId="0" borderId="0" xfId="42" applyNumberFormat="1" applyFont="1" applyBorder="1" applyAlignment="1">
      <alignment horizontal="center" vertical="center"/>
    </xf>
    <xf numFmtId="174" fontId="31" fillId="0" borderId="0" xfId="42" applyNumberFormat="1" applyFont="1" applyFill="1" applyBorder="1" applyAlignment="1">
      <alignment horizontal="center" vertical="center"/>
    </xf>
    <xf numFmtId="0" fontId="31" fillId="0" borderId="0" xfId="21" applyFont="1" applyFill="1" applyBorder="1" applyAlignment="1">
      <alignment horizontal="right" wrapText="1" readingOrder="2"/>
    </xf>
    <xf numFmtId="0" fontId="35" fillId="0" borderId="0" xfId="8" applyFont="1" applyBorder="1" applyAlignment="1">
      <alignment horizontal="right" readingOrder="2"/>
    </xf>
    <xf numFmtId="0" fontId="34" fillId="0" borderId="0" xfId="21" applyFont="1" applyFill="1" applyBorder="1" applyAlignment="1">
      <alignment wrapText="1" readingOrder="2"/>
    </xf>
    <xf numFmtId="0" fontId="35" fillId="0" borderId="0" xfId="12" applyFont="1" applyBorder="1" applyAlignment="1">
      <alignment horizontal="center" vertical="center" readingOrder="2"/>
    </xf>
    <xf numFmtId="0" fontId="35" fillId="0" borderId="0" xfId="12" applyFont="1" applyBorder="1" applyAlignment="1">
      <alignment horizontal="right" vertical="center" readingOrder="2"/>
    </xf>
    <xf numFmtId="0" fontId="59" fillId="9" borderId="0" xfId="0" applyFont="1" applyFill="1" applyBorder="1" applyAlignment="1">
      <alignment vertical="center"/>
    </xf>
    <xf numFmtId="174" fontId="64" fillId="0" borderId="0" xfId="42" applyNumberFormat="1" applyFont="1" applyBorder="1" applyAlignment="1">
      <alignment horizontal="right" vertical="center" readingOrder="2"/>
    </xf>
    <xf numFmtId="174" fontId="110" fillId="9" borderId="0" xfId="42" applyNumberFormat="1" applyFont="1" applyFill="1" applyBorder="1" applyAlignment="1">
      <alignment horizontal="center" vertical="center"/>
    </xf>
    <xf numFmtId="174" fontId="110" fillId="0" borderId="0" xfId="42" applyNumberFormat="1" applyFont="1" applyFill="1" applyBorder="1" applyAlignment="1">
      <alignment horizontal="center" vertical="center"/>
    </xf>
    <xf numFmtId="0" fontId="74" fillId="9" borderId="35" xfId="0" applyFont="1" applyFill="1" applyBorder="1" applyAlignment="1">
      <alignment horizontal="center" vertical="center"/>
    </xf>
    <xf numFmtId="164" fontId="31" fillId="0" borderId="35" xfId="17" applyNumberFormat="1" applyFont="1" applyFill="1" applyBorder="1" applyAlignment="1">
      <alignment horizontal="center" vertical="center"/>
    </xf>
    <xf numFmtId="0" fontId="60" fillId="0" borderId="0" xfId="8" applyFont="1" applyAlignment="1">
      <alignment horizontal="right" vertical="center" readingOrder="2"/>
    </xf>
    <xf numFmtId="0" fontId="60" fillId="0" borderId="0" xfId="8" applyFont="1" applyAlignment="1">
      <alignment horizontal="right" vertical="center" wrapText="1" readingOrder="2"/>
    </xf>
    <xf numFmtId="0" fontId="59" fillId="0" borderId="0" xfId="0" applyFont="1"/>
    <xf numFmtId="0" fontId="31" fillId="0" borderId="0" xfId="8" applyFont="1" applyAlignment="1">
      <alignment horizontal="right" vertical="center" readingOrder="2"/>
    </xf>
    <xf numFmtId="174" fontId="60" fillId="9" borderId="0" xfId="12" applyNumberFormat="1" applyFont="1" applyFill="1" applyBorder="1" applyAlignment="1">
      <alignment horizontal="center" vertical="center" readingOrder="2"/>
    </xf>
    <xf numFmtId="0" fontId="130" fillId="9" borderId="0" xfId="0" applyFont="1" applyFill="1" applyAlignment="1">
      <alignment horizontal="center"/>
    </xf>
    <xf numFmtId="0" fontId="228" fillId="9" borderId="0" xfId="5" applyFont="1" applyFill="1" applyAlignment="1">
      <alignment horizontal="center" vertical="top" readingOrder="2"/>
    </xf>
    <xf numFmtId="0" fontId="232" fillId="9" borderId="0" xfId="5" applyFont="1" applyFill="1" applyAlignment="1">
      <alignment horizontal="center" vertical="top" readingOrder="2"/>
    </xf>
    <xf numFmtId="0" fontId="154" fillId="9" borderId="0" xfId="0" applyFont="1" applyFill="1"/>
    <xf numFmtId="0" fontId="293" fillId="9" borderId="0" xfId="5" applyFont="1" applyFill="1" applyAlignment="1">
      <alignment horizontal="center" vertical="top" readingOrder="2"/>
    </xf>
    <xf numFmtId="0" fontId="154" fillId="9" borderId="0" xfId="19" applyFont="1" applyFill="1" applyAlignment="1">
      <alignment vertical="center" readingOrder="2"/>
    </xf>
    <xf numFmtId="0" fontId="293" fillId="9" borderId="0" xfId="5" applyFont="1" applyFill="1" applyBorder="1" applyAlignment="1">
      <alignment horizontal="center" vertical="top" readingOrder="2"/>
    </xf>
    <xf numFmtId="0" fontId="56" fillId="9" borderId="0" xfId="5" applyFont="1" applyFill="1" applyBorder="1" applyAlignment="1">
      <alignment horizontal="center" vertical="top" readingOrder="2"/>
    </xf>
    <xf numFmtId="0" fontId="56" fillId="9" borderId="0" xfId="5" applyFont="1" applyFill="1" applyAlignment="1">
      <alignment horizontal="center" vertical="top" readingOrder="2"/>
    </xf>
    <xf numFmtId="0" fontId="43" fillId="9" borderId="35" xfId="23" applyNumberFormat="1" applyFont="1" applyFill="1" applyBorder="1" applyAlignment="1">
      <alignment horizontal="center" vertical="top" readingOrder="2"/>
    </xf>
    <xf numFmtId="0" fontId="43" fillId="9" borderId="0" xfId="23" applyNumberFormat="1" applyFont="1" applyFill="1" applyBorder="1" applyAlignment="1">
      <alignment horizontal="center" vertical="top" readingOrder="2"/>
    </xf>
    <xf numFmtId="0" fontId="294" fillId="0" borderId="0" xfId="0" applyFont="1"/>
    <xf numFmtId="164" fontId="43" fillId="9" borderId="0" xfId="23" applyNumberFormat="1" applyFont="1" applyFill="1" applyBorder="1" applyAlignment="1">
      <alignment horizontal="center"/>
    </xf>
    <xf numFmtId="164" fontId="43" fillId="9" borderId="35" xfId="23" applyNumberFormat="1" applyFont="1" applyFill="1" applyBorder="1" applyAlignment="1">
      <alignment horizontal="right" vertical="center"/>
    </xf>
    <xf numFmtId="164" fontId="43" fillId="9" borderId="34" xfId="23" applyNumberFormat="1" applyFont="1" applyFill="1" applyBorder="1" applyAlignment="1">
      <alignment horizontal="right" vertical="center"/>
    </xf>
    <xf numFmtId="0" fontId="295" fillId="9" borderId="0" xfId="23" applyFont="1" applyFill="1" applyAlignment="1">
      <alignment horizontal="right" vertical="top"/>
    </xf>
    <xf numFmtId="0" fontId="57" fillId="9" borderId="0" xfId="23" applyFont="1" applyFill="1" applyAlignment="1">
      <alignment horizontal="right" vertical="top"/>
    </xf>
    <xf numFmtId="0" fontId="57" fillId="9" borderId="0" xfId="23" applyFont="1" applyFill="1" applyBorder="1" applyAlignment="1">
      <alignment horizontal="right" vertical="top" readingOrder="2"/>
    </xf>
    <xf numFmtId="0" fontId="57" fillId="9" borderId="0" xfId="23" applyFont="1" applyFill="1" applyBorder="1" applyAlignment="1">
      <alignment horizontal="right" vertical="top"/>
    </xf>
    <xf numFmtId="0" fontId="57" fillId="9" borderId="16" xfId="23" applyFont="1" applyFill="1" applyBorder="1" applyAlignment="1">
      <alignment horizontal="right" vertical="top"/>
    </xf>
    <xf numFmtId="0" fontId="57" fillId="9" borderId="16" xfId="23" applyNumberFormat="1" applyFont="1" applyFill="1" applyBorder="1" applyAlignment="1">
      <alignment horizontal="left" vertical="top" readingOrder="2"/>
    </xf>
    <xf numFmtId="0" fontId="57" fillId="9" borderId="16" xfId="23" applyFont="1" applyFill="1" applyBorder="1" applyAlignment="1">
      <alignment horizontal="right" vertical="top" readingOrder="2"/>
    </xf>
    <xf numFmtId="166" fontId="57" fillId="9" borderId="16" xfId="23" applyNumberFormat="1" applyFont="1" applyFill="1" applyBorder="1" applyAlignment="1">
      <alignment horizontal="center" vertical="top" readingOrder="2"/>
    </xf>
    <xf numFmtId="0" fontId="57" fillId="9" borderId="16" xfId="23" applyNumberFormat="1" applyFont="1" applyFill="1" applyBorder="1" applyAlignment="1">
      <alignment horizontal="center" vertical="top" readingOrder="2"/>
    </xf>
    <xf numFmtId="0" fontId="130" fillId="9" borderId="0" xfId="0" applyFont="1" applyFill="1"/>
    <xf numFmtId="0" fontId="57" fillId="9" borderId="0" xfId="23" applyFont="1" applyFill="1" applyBorder="1" applyAlignment="1">
      <alignment horizontal="center" vertical="top" readingOrder="2"/>
    </xf>
    <xf numFmtId="0" fontId="295" fillId="9" borderId="0" xfId="23" applyFont="1" applyFill="1" applyAlignment="1">
      <alignment horizontal="right" vertical="top" readingOrder="2"/>
    </xf>
    <xf numFmtId="0" fontId="57" fillId="9" borderId="0" xfId="23" applyFont="1" applyFill="1" applyAlignment="1">
      <alignment horizontal="right" vertical="top" readingOrder="2"/>
    </xf>
    <xf numFmtId="0" fontId="57" fillId="9" borderId="0" xfId="23" applyFont="1" applyFill="1" applyBorder="1" applyAlignment="1">
      <alignment horizontal="center" vertical="center"/>
    </xf>
    <xf numFmtId="0" fontId="57" fillId="9" borderId="40" xfId="23" applyFont="1" applyFill="1" applyBorder="1" applyAlignment="1">
      <alignment horizontal="center" vertical="center" readingOrder="2"/>
    </xf>
    <xf numFmtId="0" fontId="57" fillId="9" borderId="0" xfId="23" applyFont="1" applyFill="1" applyAlignment="1">
      <alignment horizontal="right" vertical="center" readingOrder="2"/>
    </xf>
    <xf numFmtId="0" fontId="57" fillId="9" borderId="0" xfId="23" applyFont="1" applyFill="1" applyAlignment="1">
      <alignment horizontal="right" vertical="center"/>
    </xf>
    <xf numFmtId="0" fontId="57" fillId="9" borderId="0" xfId="23" applyFont="1" applyFill="1" applyAlignment="1">
      <alignment horizontal="center" readingOrder="2"/>
    </xf>
    <xf numFmtId="164" fontId="57" fillId="9" borderId="0" xfId="23" applyNumberFormat="1" applyFont="1" applyFill="1" applyBorder="1" applyAlignment="1">
      <alignment horizontal="right" vertical="center"/>
    </xf>
    <xf numFmtId="164" fontId="57" fillId="9" borderId="0" xfId="23" applyNumberFormat="1" applyFont="1" applyFill="1" applyBorder="1" applyAlignment="1">
      <alignment vertical="center"/>
    </xf>
    <xf numFmtId="0" fontId="130" fillId="9" borderId="0" xfId="0" applyFont="1" applyFill="1" applyAlignment="1">
      <alignment vertical="center"/>
    </xf>
    <xf numFmtId="166" fontId="57" fillId="9" borderId="0" xfId="23" applyNumberFormat="1" applyFont="1" applyFill="1" applyBorder="1" applyAlignment="1">
      <alignment horizontal="center" vertical="center" readingOrder="2"/>
    </xf>
    <xf numFmtId="0" fontId="295" fillId="9" borderId="0" xfId="23" applyFont="1" applyFill="1" applyAlignment="1">
      <alignment horizontal="right" vertical="center" readingOrder="2"/>
    </xf>
    <xf numFmtId="0" fontId="296" fillId="9" borderId="0" xfId="23" applyFont="1" applyFill="1" applyAlignment="1">
      <alignment horizontal="right" vertical="center" readingOrder="2"/>
    </xf>
    <xf numFmtId="164" fontId="57" fillId="9" borderId="36" xfId="23" applyNumberFormat="1" applyFont="1" applyFill="1" applyBorder="1" applyAlignment="1">
      <alignment horizontal="right" vertical="center"/>
    </xf>
    <xf numFmtId="0" fontId="130" fillId="9" borderId="0" xfId="8" applyFont="1" applyFill="1" applyAlignment="1">
      <alignment vertical="center" readingOrder="2"/>
    </xf>
    <xf numFmtId="0" fontId="202" fillId="9" borderId="0" xfId="23" applyFont="1" applyFill="1" applyAlignment="1">
      <alignment vertical="center" shrinkToFit="1"/>
    </xf>
    <xf numFmtId="43" fontId="130" fillId="9" borderId="0" xfId="0" applyNumberFormat="1" applyFont="1" applyFill="1" applyAlignment="1">
      <alignment vertical="center"/>
    </xf>
    <xf numFmtId="164" fontId="57" fillId="9" borderId="35" xfId="17" applyNumberFormat="1" applyFont="1" applyFill="1" applyBorder="1" applyAlignment="1">
      <alignment horizontal="center" vertical="center"/>
    </xf>
    <xf numFmtId="164" fontId="57" fillId="9" borderId="35" xfId="17" applyNumberFormat="1" applyFont="1" applyFill="1" applyBorder="1" applyAlignment="1">
      <alignment vertical="center"/>
    </xf>
    <xf numFmtId="0" fontId="57" fillId="9" borderId="0" xfId="23" applyFont="1" applyFill="1" applyAlignment="1">
      <alignment vertical="center"/>
    </xf>
    <xf numFmtId="0" fontId="130" fillId="9" borderId="0" xfId="0" applyFont="1" applyFill="1" applyBorder="1" applyAlignment="1">
      <alignment horizontal="center" vertical="center"/>
    </xf>
    <xf numFmtId="0" fontId="295" fillId="9" borderId="0" xfId="0" applyFont="1" applyFill="1"/>
    <xf numFmtId="164" fontId="57" fillId="9" borderId="34" xfId="17" applyNumberFormat="1" applyFont="1" applyFill="1" applyBorder="1" applyAlignment="1">
      <alignment vertical="center"/>
    </xf>
    <xf numFmtId="0" fontId="89" fillId="9" borderId="0" xfId="8" applyFont="1" applyFill="1" applyAlignment="1">
      <alignment horizontal="left" vertical="top" readingOrder="2"/>
    </xf>
    <xf numFmtId="0" fontId="89" fillId="9" borderId="0" xfId="8" applyFont="1" applyFill="1" applyAlignment="1">
      <alignment vertical="center" wrapText="1" readingOrder="2"/>
    </xf>
    <xf numFmtId="0" fontId="154" fillId="9" borderId="0" xfId="8" applyFont="1" applyFill="1" applyAlignment="1">
      <alignment vertical="center" wrapText="1" readingOrder="2"/>
    </xf>
    <xf numFmtId="0" fontId="89" fillId="9" borderId="35" xfId="8" applyFont="1" applyFill="1" applyBorder="1" applyAlignment="1">
      <alignment horizontal="center" wrapText="1" readingOrder="2"/>
    </xf>
    <xf numFmtId="0" fontId="89" fillId="9" borderId="0" xfId="8" applyFont="1" applyFill="1" applyAlignment="1">
      <alignment horizontal="right" vertical="top" wrapText="1" readingOrder="2"/>
    </xf>
    <xf numFmtId="0" fontId="89" fillId="9" borderId="35" xfId="8" applyFont="1" applyFill="1" applyBorder="1" applyAlignment="1">
      <alignment horizontal="center" vertical="top" wrapText="1" readingOrder="2"/>
    </xf>
    <xf numFmtId="0" fontId="89" fillId="9" borderId="0" xfId="8" applyFont="1" applyFill="1" applyBorder="1" applyAlignment="1">
      <alignment horizontal="center" wrapText="1" readingOrder="2"/>
    </xf>
    <xf numFmtId="0" fontId="89" fillId="9" borderId="0" xfId="8" applyFont="1" applyFill="1" applyBorder="1" applyAlignment="1">
      <alignment horizontal="center" vertical="top" wrapText="1" readingOrder="2"/>
    </xf>
    <xf numFmtId="1" fontId="154" fillId="9" borderId="0" xfId="42" applyNumberFormat="1" applyFont="1" applyFill="1" applyAlignment="1">
      <alignment horizontal="center" vertical="top" wrapText="1" readingOrder="2"/>
    </xf>
    <xf numFmtId="0" fontId="154" fillId="9" borderId="0" xfId="8" applyFont="1" applyFill="1" applyAlignment="1">
      <alignment vertical="top" wrapText="1" readingOrder="2"/>
    </xf>
    <xf numFmtId="174" fontId="154" fillId="9" borderId="0" xfId="42" applyNumberFormat="1" applyFont="1" applyFill="1" applyBorder="1" applyAlignment="1">
      <alignment vertical="top" wrapText="1" readingOrder="2"/>
    </xf>
    <xf numFmtId="0" fontId="59" fillId="0" borderId="0" xfId="0" applyFont="1"/>
    <xf numFmtId="0" fontId="39" fillId="9" borderId="0" xfId="25" applyFont="1" applyFill="1" applyAlignment="1">
      <alignment horizontal="left" vertical="top" readingOrder="2"/>
    </xf>
    <xf numFmtId="0" fontId="154" fillId="0" borderId="0" xfId="33" applyFont="1" applyAlignment="1">
      <alignment horizontal="left" vertical="center" readingOrder="2"/>
    </xf>
    <xf numFmtId="0" fontId="152" fillId="9" borderId="0" xfId="19" applyFont="1" applyFill="1" applyAlignment="1">
      <alignment vertical="center" readingOrder="2"/>
    </xf>
    <xf numFmtId="0" fontId="297" fillId="9" borderId="0" xfId="19" applyFont="1" applyFill="1" applyAlignment="1">
      <alignment vertical="top" readingOrder="2"/>
    </xf>
    <xf numFmtId="0" fontId="59" fillId="0" borderId="0" xfId="0" applyFont="1"/>
    <xf numFmtId="0" fontId="59" fillId="0" borderId="0" xfId="0" applyFont="1"/>
    <xf numFmtId="164" fontId="31" fillId="0" borderId="70" xfId="6" applyNumberFormat="1" applyFont="1" applyBorder="1" applyAlignment="1">
      <alignment vertical="center"/>
    </xf>
    <xf numFmtId="164" fontId="34" fillId="9" borderId="0" xfId="27" applyNumberFormat="1" applyFont="1" applyFill="1" applyBorder="1" applyAlignment="1">
      <alignment vertical="center"/>
    </xf>
    <xf numFmtId="0" fontId="29" fillId="0" borderId="0" xfId="14" applyFont="1" applyAlignment="1">
      <alignment horizontal="center" readingOrder="2"/>
    </xf>
    <xf numFmtId="0" fontId="59" fillId="0" borderId="0" xfId="0" applyFont="1"/>
    <xf numFmtId="0" fontId="90" fillId="9" borderId="0" xfId="18" applyFont="1" applyFill="1" applyAlignment="1">
      <alignment vertical="center"/>
    </xf>
    <xf numFmtId="49" fontId="90" fillId="9" borderId="0" xfId="18" applyNumberFormat="1" applyFont="1" applyFill="1" applyAlignment="1">
      <alignment horizontal="right" vertical="center"/>
    </xf>
    <xf numFmtId="0" fontId="32" fillId="0" borderId="35" xfId="20" applyNumberFormat="1" applyFont="1" applyFill="1" applyBorder="1" applyAlignment="1">
      <alignment horizontal="center" vertical="center" readingOrder="2"/>
    </xf>
    <xf numFmtId="0" fontId="31" fillId="9" borderId="0" xfId="21" applyFont="1" applyFill="1" applyAlignment="1">
      <alignment horizontal="center" vertical="top" readingOrder="2"/>
    </xf>
    <xf numFmtId="0" fontId="35" fillId="0" borderId="0" xfId="8" applyFont="1" applyAlignment="1">
      <alignment horizontal="center" vertical="center" readingOrder="2"/>
    </xf>
    <xf numFmtId="0" fontId="59" fillId="0" borderId="0" xfId="0" applyFont="1"/>
    <xf numFmtId="164" fontId="29" fillId="9" borderId="0" xfId="17" applyNumberFormat="1" applyFont="1" applyFill="1" applyBorder="1" applyAlignment="1">
      <alignment horizontal="center" vertical="center"/>
    </xf>
    <xf numFmtId="164" fontId="34" fillId="9" borderId="0" xfId="19" applyNumberFormat="1" applyFont="1" applyFill="1" applyBorder="1" applyAlignment="1">
      <alignment horizontal="right" vertical="center" wrapText="1" readingOrder="1"/>
    </xf>
    <xf numFmtId="3" fontId="60" fillId="9" borderId="0" xfId="19" applyNumberFormat="1" applyFont="1" applyFill="1" applyBorder="1" applyAlignment="1">
      <alignment horizontal="right" vertical="center"/>
    </xf>
    <xf numFmtId="49" fontId="279" fillId="9" borderId="0" xfId="19" applyNumberFormat="1" applyFont="1" applyFill="1" applyBorder="1" applyAlignment="1">
      <alignment horizontal="right" vertical="center"/>
    </xf>
    <xf numFmtId="3" fontId="49" fillId="9" borderId="0" xfId="21" applyNumberFormat="1" applyFont="1" applyFill="1" applyBorder="1" applyAlignment="1">
      <alignment horizontal="center" vertical="center"/>
    </xf>
    <xf numFmtId="164" fontId="63" fillId="9" borderId="35" xfId="21" applyNumberFormat="1" applyFont="1" applyFill="1" applyBorder="1" applyAlignment="1">
      <alignment horizontal="right" vertical="center"/>
    </xf>
    <xf numFmtId="164" fontId="49" fillId="9" borderId="35" xfId="21" applyNumberFormat="1" applyFont="1" applyFill="1" applyBorder="1" applyAlignment="1">
      <alignment vertical="center"/>
    </xf>
    <xf numFmtId="164" fontId="63" fillId="9" borderId="35" xfId="21" applyNumberFormat="1" applyFont="1" applyFill="1" applyBorder="1" applyAlignment="1">
      <alignment vertical="center"/>
    </xf>
    <xf numFmtId="3" fontId="49" fillId="9" borderId="35" xfId="21" applyNumberFormat="1" applyFont="1" applyFill="1" applyBorder="1" applyAlignment="1">
      <alignment horizontal="center" vertical="center"/>
    </xf>
    <xf numFmtId="0" fontId="48" fillId="9" borderId="0" xfId="8" applyFont="1" applyFill="1" applyAlignment="1">
      <alignment horizontal="right" vertical="top" wrapText="1" readingOrder="2"/>
    </xf>
    <xf numFmtId="0" fontId="138" fillId="9" borderId="35" xfId="0" applyFont="1" applyFill="1" applyBorder="1" applyAlignment="1">
      <alignment horizontal="center" wrapText="1"/>
    </xf>
    <xf numFmtId="0" fontId="48" fillId="9" borderId="35" xfId="0" applyFont="1" applyFill="1" applyBorder="1"/>
    <xf numFmtId="0" fontId="48" fillId="9" borderId="0" xfId="0" applyFont="1" applyFill="1" applyBorder="1"/>
    <xf numFmtId="0" fontId="138" fillId="9" borderId="35" xfId="0" applyFont="1" applyFill="1" applyBorder="1"/>
    <xf numFmtId="189" fontId="29" fillId="9" borderId="33" xfId="27" applyNumberFormat="1" applyFont="1" applyFill="1" applyBorder="1" applyAlignment="1">
      <alignment vertical="center"/>
    </xf>
    <xf numFmtId="189" fontId="29" fillId="9" borderId="33" xfId="27" applyNumberFormat="1" applyFont="1" applyFill="1" applyBorder="1" applyAlignment="1">
      <alignment horizontal="center" vertical="center"/>
    </xf>
    <xf numFmtId="0" fontId="29" fillId="9" borderId="0" xfId="31" applyFont="1" applyFill="1" applyAlignment="1">
      <alignment horizontal="center" readingOrder="2"/>
    </xf>
    <xf numFmtId="49" fontId="48" fillId="0" borderId="0" xfId="8" applyNumberFormat="1" applyFont="1" applyAlignment="1">
      <alignment horizontal="center" vertical="center" readingOrder="2"/>
    </xf>
    <xf numFmtId="0" fontId="166" fillId="0" borderId="0" xfId="5" applyFont="1" applyFill="1" applyAlignment="1">
      <alignment horizontal="left" vertical="top" readingOrder="2"/>
    </xf>
    <xf numFmtId="0" fontId="35" fillId="0" borderId="0" xfId="8" applyFont="1" applyAlignment="1">
      <alignment horizontal="right" vertical="top" readingOrder="2"/>
    </xf>
    <xf numFmtId="0" fontId="166" fillId="0" borderId="0" xfId="8" applyFont="1" applyAlignment="1">
      <alignment horizontal="right" vertical="center" readingOrder="2"/>
    </xf>
    <xf numFmtId="0" fontId="35" fillId="0" borderId="0" xfId="8" applyFont="1" applyAlignment="1">
      <alignment horizontal="left" vertical="top" readingOrder="2"/>
    </xf>
    <xf numFmtId="0" fontId="48" fillId="0" borderId="0" xfId="8" applyFont="1" applyAlignment="1">
      <alignment horizontal="right" vertical="top" readingOrder="2"/>
    </xf>
    <xf numFmtId="0" fontId="35" fillId="0" borderId="0" xfId="8" applyFont="1" applyBorder="1" applyAlignment="1">
      <alignment vertical="center" readingOrder="2"/>
    </xf>
    <xf numFmtId="0" fontId="35" fillId="0" borderId="35" xfId="8" applyFont="1" applyBorder="1" applyAlignment="1">
      <alignment horizontal="center" readingOrder="2"/>
    </xf>
    <xf numFmtId="0" fontId="35" fillId="0" borderId="35" xfId="12" applyNumberFormat="1" applyFont="1" applyBorder="1" applyAlignment="1">
      <alignment horizontal="center" readingOrder="2"/>
    </xf>
    <xf numFmtId="0" fontId="35" fillId="0" borderId="0" xfId="12" applyNumberFormat="1" applyFont="1" applyAlignment="1">
      <alignment horizontal="center" readingOrder="2"/>
    </xf>
    <xf numFmtId="0" fontId="138" fillId="0" borderId="0" xfId="8" applyFont="1" applyAlignment="1">
      <alignment vertical="center" readingOrder="2"/>
    </xf>
    <xf numFmtId="0" fontId="106" fillId="0" borderId="0" xfId="8" applyFont="1" applyAlignment="1">
      <alignment horizontal="right" vertical="center" readingOrder="2"/>
    </xf>
    <xf numFmtId="0" fontId="48" fillId="0" borderId="0" xfId="8" applyFont="1" applyAlignment="1">
      <alignment horizontal="right" vertical="center" readingOrder="2"/>
    </xf>
    <xf numFmtId="3" fontId="48" fillId="0" borderId="0" xfId="8" applyNumberFormat="1" applyFont="1" applyBorder="1" applyAlignment="1">
      <alignment vertical="center" readingOrder="2"/>
    </xf>
    <xf numFmtId="164" fontId="35" fillId="0" borderId="0" xfId="8" applyNumberFormat="1" applyFont="1" applyBorder="1" applyAlignment="1">
      <alignment vertical="center"/>
    </xf>
    <xf numFmtId="0" fontId="113" fillId="0" borderId="0" xfId="8" applyFont="1" applyAlignment="1">
      <alignment horizontal="right" vertical="center" readingOrder="2"/>
    </xf>
    <xf numFmtId="164" fontId="35" fillId="9" borderId="0" xfId="8" quotePrefix="1" applyNumberFormat="1" applyFont="1" applyFill="1" applyBorder="1" applyAlignment="1">
      <alignment horizontal="right"/>
    </xf>
    <xf numFmtId="164" fontId="35" fillId="9" borderId="0" xfId="8" quotePrefix="1" applyNumberFormat="1" applyFont="1" applyFill="1" applyBorder="1" applyAlignment="1">
      <alignment vertical="center"/>
    </xf>
    <xf numFmtId="3" fontId="48" fillId="0" borderId="0" xfId="8" applyNumberFormat="1" applyFont="1" applyBorder="1" applyAlignment="1">
      <alignment horizontal="right" vertical="center" readingOrder="2"/>
    </xf>
    <xf numFmtId="164" fontId="35" fillId="9" borderId="35" xfId="8" quotePrefix="1" applyNumberFormat="1" applyFont="1" applyFill="1" applyBorder="1" applyAlignment="1">
      <alignment vertical="center"/>
    </xf>
    <xf numFmtId="3" fontId="35" fillId="0" borderId="0" xfId="8" applyNumberFormat="1" applyFont="1" applyBorder="1" applyAlignment="1">
      <alignment horizontal="right" vertical="center" readingOrder="2"/>
    </xf>
    <xf numFmtId="164" fontId="35" fillId="9" borderId="32" xfId="8" applyNumberFormat="1" applyFont="1" applyFill="1" applyBorder="1" applyAlignment="1">
      <alignment vertical="center"/>
    </xf>
    <xf numFmtId="164" fontId="35" fillId="9" borderId="0" xfId="8" applyNumberFormat="1" applyFont="1" applyFill="1" applyBorder="1" applyAlignment="1">
      <alignment vertical="center"/>
    </xf>
    <xf numFmtId="0" fontId="81" fillId="0" borderId="0" xfId="8" applyFont="1" applyAlignment="1">
      <alignment vertical="center" readingOrder="2"/>
    </xf>
    <xf numFmtId="0" fontId="48" fillId="0" borderId="0" xfId="13" applyFont="1" applyAlignment="1">
      <alignment horizontal="right" vertical="center" readingOrder="2"/>
    </xf>
    <xf numFmtId="164" fontId="35" fillId="9" borderId="32" xfId="8" quotePrefix="1" applyNumberFormat="1" applyFont="1" applyFill="1" applyBorder="1" applyAlignment="1">
      <alignment horizontal="right"/>
    </xf>
    <xf numFmtId="0" fontId="113" fillId="0" borderId="0" xfId="8" applyFont="1" applyAlignment="1">
      <alignment vertical="center" readingOrder="2"/>
    </xf>
    <xf numFmtId="164" fontId="35" fillId="9" borderId="34" xfId="8" quotePrefix="1" applyNumberFormat="1" applyFont="1" applyFill="1" applyBorder="1" applyAlignment="1">
      <alignment horizontal="right"/>
    </xf>
    <xf numFmtId="0" fontId="128" fillId="0" borderId="0" xfId="12" applyFont="1" applyAlignment="1">
      <alignment vertical="top" wrapText="1" readingOrder="2"/>
    </xf>
    <xf numFmtId="0" fontId="35" fillId="0" borderId="0" xfId="8" applyFont="1" applyAlignment="1">
      <alignment vertical="top" wrapText="1" readingOrder="2"/>
    </xf>
    <xf numFmtId="0" fontId="35" fillId="0" borderId="0" xfId="8" applyFont="1" applyAlignment="1">
      <alignment horizontal="right" vertical="top" wrapText="1" readingOrder="2"/>
    </xf>
    <xf numFmtId="0" fontId="35" fillId="0" borderId="0" xfId="8" applyFont="1" applyAlignment="1">
      <alignment horizontal="left" vertical="top" wrapText="1" readingOrder="2"/>
    </xf>
    <xf numFmtId="0" fontId="48" fillId="0" borderId="0" xfId="12" applyFont="1" applyAlignment="1">
      <alignment vertical="center"/>
    </xf>
    <xf numFmtId="0" fontId="35" fillId="0" borderId="0" xfId="12" applyFont="1" applyAlignment="1">
      <alignment vertical="center" readingOrder="2"/>
    </xf>
    <xf numFmtId="0" fontId="138" fillId="0" borderId="0" xfId="0" applyFont="1" applyAlignment="1">
      <alignment horizontal="right"/>
    </xf>
    <xf numFmtId="0" fontId="138" fillId="0" borderId="0" xfId="12" applyFont="1" applyAlignment="1">
      <alignment vertical="top" wrapText="1" readingOrder="2"/>
    </xf>
    <xf numFmtId="0" fontId="48" fillId="0" borderId="0" xfId="0" applyFont="1"/>
    <xf numFmtId="0" fontId="48" fillId="0" borderId="0" xfId="12" applyFont="1" applyAlignment="1">
      <alignment vertical="top" wrapText="1" readingOrder="2"/>
    </xf>
    <xf numFmtId="0" fontId="48" fillId="0" borderId="0" xfId="13" applyFont="1" applyAlignment="1">
      <alignment horizontal="right"/>
    </xf>
    <xf numFmtId="41" fontId="166" fillId="9" borderId="0" xfId="8" applyNumberFormat="1" applyFont="1" applyFill="1" applyBorder="1" applyAlignment="1">
      <alignment horizontal="right" vertical="center" readingOrder="2"/>
    </xf>
    <xf numFmtId="164" fontId="35" fillId="0" borderId="0" xfId="12" applyNumberFormat="1" applyFont="1" applyBorder="1" applyAlignment="1">
      <alignment vertical="top"/>
    </xf>
    <xf numFmtId="41" fontId="166" fillId="0" borderId="0" xfId="8" applyNumberFormat="1" applyFont="1" applyBorder="1" applyAlignment="1">
      <alignment horizontal="right" vertical="center" readingOrder="2"/>
    </xf>
    <xf numFmtId="49" fontId="35" fillId="0" borderId="0" xfId="8" applyNumberFormat="1" applyFont="1" applyAlignment="1">
      <alignment horizontal="left" vertical="top" readingOrder="2"/>
    </xf>
    <xf numFmtId="0" fontId="48" fillId="0" borderId="0" xfId="8" applyFont="1" applyAlignment="1">
      <alignment horizontal="center" vertical="top" wrapText="1"/>
    </xf>
    <xf numFmtId="0" fontId="48" fillId="0" borderId="0" xfId="8" applyFont="1" applyBorder="1" applyAlignment="1">
      <alignment horizontal="center" vertical="center" wrapText="1"/>
    </xf>
    <xf numFmtId="0" fontId="48" fillId="0" borderId="0" xfId="8" applyFont="1" applyAlignment="1">
      <alignment horizontal="center" vertical="center" wrapText="1"/>
    </xf>
    <xf numFmtId="0" fontId="35" fillId="9" borderId="0" xfId="24" applyFont="1" applyFill="1" applyAlignment="1">
      <alignment vertical="center" wrapText="1"/>
    </xf>
    <xf numFmtId="0" fontId="35" fillId="0" borderId="0" xfId="8" applyFont="1" applyBorder="1" applyAlignment="1">
      <alignment horizontal="center" readingOrder="2"/>
    </xf>
    <xf numFmtId="0" fontId="34" fillId="9" borderId="32" xfId="19" applyNumberFormat="1" applyFont="1" applyFill="1" applyBorder="1" applyAlignment="1">
      <alignment horizontal="center" vertical="center" readingOrder="2"/>
    </xf>
    <xf numFmtId="0" fontId="34" fillId="9" borderId="35" xfId="19" applyNumberFormat="1" applyFont="1" applyFill="1" applyBorder="1" applyAlignment="1">
      <alignment horizontal="center" vertical="center" readingOrder="2"/>
    </xf>
    <xf numFmtId="0" fontId="34" fillId="0" borderId="32" xfId="20" applyNumberFormat="1" applyFont="1" applyFill="1" applyBorder="1" applyAlignment="1">
      <alignment horizontal="center" vertical="center" readingOrder="2"/>
    </xf>
    <xf numFmtId="0" fontId="35" fillId="0" borderId="0" xfId="8" applyFont="1" applyAlignment="1">
      <alignment horizontal="center" vertical="center" readingOrder="2"/>
    </xf>
    <xf numFmtId="0" fontId="59" fillId="0" borderId="0" xfId="0" applyFont="1"/>
    <xf numFmtId="164" fontId="138" fillId="0" borderId="0" xfId="0" applyNumberFormat="1" applyFont="1"/>
    <xf numFmtId="164" fontId="35" fillId="9" borderId="35" xfId="8" quotePrefix="1" applyNumberFormat="1" applyFont="1" applyFill="1" applyBorder="1" applyAlignment="1">
      <alignment horizontal="right"/>
    </xf>
    <xf numFmtId="3" fontId="34" fillId="9" borderId="35" xfId="19" applyNumberFormat="1" applyFont="1" applyFill="1" applyBorder="1" applyAlignment="1">
      <alignment vertical="center" readingOrder="2"/>
    </xf>
    <xf numFmtId="164" fontId="34" fillId="0" borderId="35" xfId="20" applyNumberFormat="1" applyFont="1" applyFill="1" applyBorder="1" applyAlignment="1">
      <alignment horizontal="center" vertical="center" readingOrder="2"/>
    </xf>
    <xf numFmtId="3" fontId="60" fillId="9" borderId="35" xfId="19" applyNumberFormat="1" applyFont="1" applyFill="1" applyBorder="1" applyAlignment="1">
      <alignment horizontal="right" vertical="center"/>
    </xf>
    <xf numFmtId="164" fontId="34" fillId="0" borderId="35" xfId="17" applyNumberFormat="1" applyFont="1" applyFill="1" applyBorder="1" applyAlignment="1">
      <alignment vertical="center"/>
    </xf>
    <xf numFmtId="0" fontId="59" fillId="0" borderId="0" xfId="0" applyFont="1"/>
    <xf numFmtId="174" fontId="34" fillId="0" borderId="0" xfId="42" applyNumberFormat="1" applyFont="1" applyFill="1" applyBorder="1" applyAlignment="1">
      <alignment vertical="center"/>
    </xf>
    <xf numFmtId="174" fontId="280" fillId="9" borderId="0" xfId="42" applyNumberFormat="1" applyFont="1" applyFill="1" applyBorder="1" applyAlignment="1">
      <alignment horizontal="right" vertical="center" readingOrder="2"/>
    </xf>
    <xf numFmtId="174" fontId="34" fillId="9" borderId="0" xfId="42" applyNumberFormat="1" applyFont="1" applyFill="1" applyBorder="1" applyAlignment="1">
      <alignment vertical="center" readingOrder="2"/>
    </xf>
    <xf numFmtId="174" fontId="44" fillId="9" borderId="0" xfId="42" applyNumberFormat="1" applyFont="1" applyFill="1" applyBorder="1" applyAlignment="1">
      <alignment horizontal="right" vertical="center"/>
    </xf>
    <xf numFmtId="174" fontId="279" fillId="9" borderId="0" xfId="42" applyNumberFormat="1" applyFont="1" applyFill="1" applyBorder="1" applyAlignment="1">
      <alignment horizontal="right" vertical="top" wrapText="1" readingOrder="2"/>
    </xf>
    <xf numFmtId="174" fontId="60" fillId="9" borderId="0" xfId="42" applyNumberFormat="1" applyFont="1" applyFill="1" applyBorder="1" applyAlignment="1">
      <alignment horizontal="right" vertical="top" wrapText="1" readingOrder="2"/>
    </xf>
    <xf numFmtId="174" fontId="67" fillId="9" borderId="0" xfId="42" applyNumberFormat="1" applyFont="1" applyFill="1" applyBorder="1" applyAlignment="1">
      <alignment horizontal="right" vertical="top" wrapText="1" readingOrder="2"/>
    </xf>
    <xf numFmtId="174" fontId="34" fillId="9" borderId="0" xfId="42" applyNumberFormat="1" applyFont="1" applyFill="1" applyBorder="1" applyAlignment="1">
      <alignment horizontal="right" vertical="top" readingOrder="2"/>
    </xf>
    <xf numFmtId="174" fontId="34" fillId="9" borderId="33" xfId="42" applyNumberFormat="1" applyFont="1" applyFill="1" applyBorder="1" applyAlignment="1">
      <alignment horizontal="right" vertical="center" wrapText="1" readingOrder="1"/>
    </xf>
    <xf numFmtId="0" fontId="34" fillId="9" borderId="36" xfId="19" applyNumberFormat="1" applyFont="1" applyFill="1" applyBorder="1" applyAlignment="1">
      <alignment horizontal="center" vertical="center" readingOrder="2"/>
    </xf>
    <xf numFmtId="0" fontId="59" fillId="0" borderId="0" xfId="0" applyFont="1"/>
    <xf numFmtId="3" fontId="78" fillId="0" borderId="0" xfId="0" applyNumberFormat="1"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49" fontId="32" fillId="9" borderId="35" xfId="27" applyNumberFormat="1" applyFont="1" applyFill="1" applyBorder="1" applyAlignment="1">
      <alignment horizontal="center" vertical="center"/>
    </xf>
    <xf numFmtId="0" fontId="60" fillId="9" borderId="32" xfId="19" applyFont="1" applyFill="1" applyBorder="1" applyAlignment="1">
      <alignment vertical="center" readingOrder="2"/>
    </xf>
    <xf numFmtId="49" fontId="279" fillId="9" borderId="32" xfId="19" applyNumberFormat="1" applyFont="1" applyFill="1" applyBorder="1" applyAlignment="1">
      <alignment horizontal="right" vertical="center"/>
    </xf>
    <xf numFmtId="164" fontId="31" fillId="9" borderId="35" xfId="19" applyNumberFormat="1" applyFont="1" applyFill="1" applyBorder="1" applyAlignment="1">
      <alignment vertical="center"/>
    </xf>
    <xf numFmtId="0" fontId="59" fillId="9" borderId="35" xfId="0" applyFont="1" applyFill="1" applyBorder="1"/>
    <xf numFmtId="0" fontId="47" fillId="9" borderId="32" xfId="19" applyFont="1" applyFill="1" applyBorder="1" applyAlignment="1">
      <alignment horizontal="center" vertical="center" readingOrder="2"/>
    </xf>
    <xf numFmtId="49" fontId="74" fillId="0" borderId="0" xfId="6" applyNumberFormat="1" applyFont="1" applyBorder="1" applyAlignment="1">
      <alignment horizontal="right" vertical="center" readingOrder="2"/>
    </xf>
    <xf numFmtId="0" fontId="34" fillId="0" borderId="35" xfId="12" applyFont="1" applyBorder="1" applyAlignment="1">
      <alignment horizontal="center" vertical="center" readingOrder="2"/>
    </xf>
    <xf numFmtId="164" fontId="43" fillId="9" borderId="5" xfId="23" applyNumberFormat="1" applyFont="1" applyFill="1" applyBorder="1" applyAlignment="1">
      <alignment horizontal="right" vertical="center"/>
    </xf>
    <xf numFmtId="164" fontId="43" fillId="9" borderId="71" xfId="23" applyNumberFormat="1" applyFont="1" applyFill="1" applyBorder="1" applyAlignment="1">
      <alignment horizontal="right" vertical="center"/>
    </xf>
    <xf numFmtId="0" fontId="43" fillId="9" borderId="14" xfId="32" applyFont="1" applyFill="1" applyBorder="1" applyAlignment="1">
      <alignment horizontal="right" vertical="center" shrinkToFit="1" readingOrder="2"/>
    </xf>
    <xf numFmtId="164" fontId="43" fillId="9" borderId="50" xfId="23" applyNumberFormat="1" applyFont="1" applyFill="1" applyBorder="1" applyAlignment="1">
      <alignment horizontal="center" vertical="center"/>
    </xf>
    <xf numFmtId="164" fontId="57" fillId="9" borderId="50" xfId="23" applyNumberFormat="1" applyFont="1" applyFill="1" applyBorder="1" applyAlignment="1">
      <alignment horizontal="right" vertical="top"/>
    </xf>
    <xf numFmtId="9" fontId="43" fillId="9" borderId="4" xfId="43" applyFont="1" applyFill="1" applyBorder="1" applyAlignment="1">
      <alignment horizontal="center" vertical="center" wrapText="1"/>
    </xf>
    <xf numFmtId="9" fontId="43" fillId="9" borderId="25" xfId="43" applyFont="1" applyFill="1" applyBorder="1" applyAlignment="1">
      <alignment horizontal="center" vertical="center" wrapText="1"/>
    </xf>
    <xf numFmtId="0" fontId="130" fillId="9" borderId="25" xfId="0" applyFont="1" applyFill="1" applyBorder="1" applyAlignment="1">
      <alignment vertical="top"/>
    </xf>
    <xf numFmtId="0" fontId="35" fillId="9" borderId="24" xfId="3" applyFont="1" applyFill="1" applyBorder="1" applyAlignment="1" applyProtection="1">
      <alignment horizontal="right" vertical="center" wrapText="1"/>
      <protection locked="0"/>
    </xf>
    <xf numFmtId="0" fontId="35" fillId="9" borderId="21" xfId="3" applyFont="1" applyFill="1" applyBorder="1" applyAlignment="1" applyProtection="1">
      <alignment horizontal="right" vertical="center" wrapText="1"/>
      <protection locked="0"/>
    </xf>
    <xf numFmtId="0" fontId="35" fillId="9" borderId="24" xfId="3" applyFont="1" applyFill="1" applyBorder="1" applyAlignment="1" applyProtection="1">
      <alignment horizontal="center" vertical="center" wrapText="1"/>
      <protection locked="0"/>
    </xf>
    <xf numFmtId="0" fontId="35" fillId="9" borderId="21" xfId="3" applyFont="1" applyFill="1" applyBorder="1" applyAlignment="1" applyProtection="1">
      <alignment horizontal="center" vertical="center" wrapText="1"/>
      <protection locked="0"/>
    </xf>
    <xf numFmtId="0" fontId="144" fillId="9" borderId="24" xfId="3" applyFont="1" applyFill="1" applyBorder="1" applyAlignment="1" applyProtection="1">
      <alignment horizontal="right" vertical="center"/>
      <protection locked="0"/>
    </xf>
    <xf numFmtId="0" fontId="144" fillId="9" borderId="21" xfId="3" applyFont="1" applyFill="1" applyBorder="1" applyAlignment="1" applyProtection="1">
      <alignment horizontal="right" vertical="center"/>
      <protection locked="0"/>
    </xf>
    <xf numFmtId="0" fontId="49" fillId="12" borderId="24" xfId="3" applyFont="1" applyFill="1" applyBorder="1" applyAlignment="1" applyProtection="1">
      <alignment horizontal="center" vertical="center"/>
      <protection locked="0"/>
    </xf>
    <xf numFmtId="0" fontId="49" fillId="12" borderId="21" xfId="3" applyFont="1" applyFill="1" applyBorder="1" applyAlignment="1" applyProtection="1">
      <alignment horizontal="center" vertical="center"/>
      <protection locked="0"/>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1" fontId="49" fillId="26" borderId="24" xfId="3" applyNumberFormat="1" applyFont="1" applyFill="1" applyBorder="1" applyAlignment="1" applyProtection="1">
      <alignment horizontal="right" vertical="center"/>
      <protection locked="0"/>
    </xf>
    <xf numFmtId="1" fontId="49" fillId="16" borderId="21" xfId="3" applyNumberFormat="1" applyFont="1" applyFill="1" applyBorder="1" applyAlignment="1" applyProtection="1">
      <alignment horizontal="right" vertical="center"/>
      <protection locked="0"/>
    </xf>
    <xf numFmtId="1" fontId="49" fillId="9" borderId="24" xfId="3" applyNumberFormat="1" applyFont="1" applyFill="1" applyBorder="1" applyAlignment="1" applyProtection="1">
      <alignment horizontal="right" vertical="center"/>
      <protection locked="0"/>
    </xf>
    <xf numFmtId="1" fontId="49" fillId="9" borderId="21" xfId="3" applyNumberFormat="1" applyFont="1" applyFill="1" applyBorder="1" applyAlignment="1" applyProtection="1">
      <alignment horizontal="right" vertical="center"/>
      <protection locked="0"/>
    </xf>
    <xf numFmtId="0" fontId="46" fillId="9" borderId="35" xfId="0" applyFont="1" applyFill="1" applyBorder="1" applyAlignment="1">
      <alignment horizontal="center" vertical="center"/>
    </xf>
    <xf numFmtId="0" fontId="46" fillId="9" borderId="0" xfId="0" applyFont="1" applyFill="1" applyAlignment="1">
      <alignment horizontal="right" vertical="center" wrapText="1"/>
    </xf>
    <xf numFmtId="0" fontId="46" fillId="9" borderId="0" xfId="0" applyFont="1" applyFill="1" applyAlignment="1">
      <alignment horizontal="center" vertical="center"/>
    </xf>
    <xf numFmtId="0" fontId="46" fillId="9" borderId="0" xfId="0" applyFont="1" applyFill="1" applyAlignment="1">
      <alignment vertical="center" wrapText="1"/>
    </xf>
    <xf numFmtId="0" fontId="59" fillId="9" borderId="24" xfId="3" applyFont="1" applyFill="1" applyBorder="1" applyAlignment="1" applyProtection="1">
      <alignment vertical="center" wrapText="1"/>
      <protection locked="0"/>
    </xf>
    <xf numFmtId="0" fontId="59" fillId="9" borderId="21" xfId="3" applyFont="1" applyFill="1" applyBorder="1" applyAlignment="1" applyProtection="1">
      <alignment vertical="center" wrapText="1"/>
      <protection locked="0"/>
    </xf>
    <xf numFmtId="0" fontId="59" fillId="9" borderId="24" xfId="3" applyFont="1" applyFill="1" applyBorder="1" applyAlignment="1" applyProtection="1">
      <alignment horizontal="center" vertical="center" wrapText="1"/>
      <protection locked="0"/>
    </xf>
    <xf numFmtId="0" fontId="59" fillId="9" borderId="21" xfId="3" applyFont="1" applyFill="1" applyBorder="1" applyAlignment="1" applyProtection="1">
      <alignment horizontal="center" vertical="center" wrapText="1"/>
      <protection locked="0"/>
    </xf>
    <xf numFmtId="1" fontId="49" fillId="12" borderId="24" xfId="3" applyNumberFormat="1" applyFont="1" applyFill="1" applyBorder="1" applyAlignment="1" applyProtection="1">
      <alignment horizontal="right" vertical="center"/>
      <protection locked="0"/>
    </xf>
    <xf numFmtId="1" fontId="49" fillId="12" borderId="21" xfId="3" applyNumberFormat="1" applyFont="1" applyFill="1" applyBorder="1" applyAlignment="1" applyProtection="1">
      <alignment horizontal="right" vertical="center"/>
      <protection locked="0"/>
    </xf>
    <xf numFmtId="1" fontId="49" fillId="13" borderId="24" xfId="3" applyNumberFormat="1" applyFont="1" applyFill="1" applyBorder="1" applyAlignment="1" applyProtection="1">
      <alignment horizontal="right" vertical="center"/>
      <protection locked="0"/>
    </xf>
    <xf numFmtId="1" fontId="49" fillId="13" borderId="21" xfId="3" applyNumberFormat="1" applyFont="1" applyFill="1" applyBorder="1" applyAlignment="1" applyProtection="1">
      <alignment horizontal="right" vertical="center"/>
      <protection locked="0"/>
    </xf>
    <xf numFmtId="0" fontId="49" fillId="12" borderId="19" xfId="3" applyFont="1" applyFill="1" applyBorder="1" applyAlignment="1" applyProtection="1">
      <alignment horizontal="right" vertical="center"/>
      <protection locked="0"/>
    </xf>
    <xf numFmtId="0" fontId="88" fillId="10" borderId="19" xfId="3" applyFont="1" applyFill="1" applyBorder="1" applyAlignment="1" applyProtection="1">
      <alignment horizontal="right" vertical="center" wrapText="1"/>
      <protection locked="0"/>
    </xf>
    <xf numFmtId="0" fontId="88" fillId="10" borderId="19" xfId="3" applyFont="1" applyFill="1" applyBorder="1" applyAlignment="1" applyProtection="1">
      <alignment horizontal="center" vertical="center" wrapText="1"/>
      <protection locked="0"/>
    </xf>
    <xf numFmtId="0" fontId="49" fillId="10" borderId="19" xfId="3" applyFont="1" applyFill="1" applyBorder="1" applyAlignment="1" applyProtection="1">
      <alignment horizontal="right" vertical="center"/>
      <protection locked="0"/>
    </xf>
    <xf numFmtId="0" fontId="59" fillId="10" borderId="24" xfId="3" applyFont="1" applyFill="1" applyBorder="1" applyAlignment="1" applyProtection="1">
      <alignment horizontal="center" vertical="center" wrapText="1"/>
      <protection locked="0"/>
    </xf>
    <xf numFmtId="0" fontId="59" fillId="10" borderId="21" xfId="3" applyFont="1" applyFill="1" applyBorder="1" applyAlignment="1" applyProtection="1">
      <alignment horizontal="center" vertical="center" wrapText="1"/>
      <protection locked="0"/>
    </xf>
    <xf numFmtId="0" fontId="59" fillId="10" borderId="24" xfId="3" applyFont="1" applyFill="1" applyBorder="1" applyAlignment="1" applyProtection="1">
      <alignment vertical="center" wrapText="1"/>
      <protection locked="0"/>
    </xf>
    <xf numFmtId="0" fontId="59" fillId="10" borderId="21" xfId="3" applyFont="1" applyFill="1" applyBorder="1" applyAlignment="1" applyProtection="1">
      <alignment vertical="center" wrapText="1"/>
      <protection locked="0"/>
    </xf>
    <xf numFmtId="1" fontId="49" fillId="11" borderId="19" xfId="3" applyNumberFormat="1" applyFont="1" applyFill="1" applyBorder="1" applyAlignment="1" applyProtection="1">
      <alignment horizontal="right" vertical="center"/>
      <protection locked="0"/>
    </xf>
    <xf numFmtId="0" fontId="63" fillId="12" borderId="24" xfId="3" applyFont="1" applyFill="1" applyBorder="1" applyAlignment="1" applyProtection="1">
      <alignment horizontal="right" vertical="center"/>
      <protection locked="0"/>
    </xf>
    <xf numFmtId="0" fontId="63" fillId="12" borderId="21" xfId="3" applyFont="1" applyFill="1" applyBorder="1" applyAlignment="1" applyProtection="1">
      <alignment horizontal="right" vertical="center"/>
      <protection locked="0"/>
    </xf>
    <xf numFmtId="49" fontId="49" fillId="9" borderId="24" xfId="3" applyNumberFormat="1" applyFont="1" applyFill="1" applyBorder="1" applyAlignment="1" applyProtection="1">
      <alignment horizontal="center" vertical="center"/>
      <protection locked="0"/>
    </xf>
    <xf numFmtId="49" fontId="49" fillId="9" borderId="21" xfId="3" applyNumberFormat="1" applyFont="1" applyFill="1" applyBorder="1" applyAlignment="1" applyProtection="1">
      <alignment horizontal="center" vertical="center"/>
      <protection locked="0"/>
    </xf>
    <xf numFmtId="0" fontId="49" fillId="9" borderId="24" xfId="3" applyFont="1" applyFill="1" applyBorder="1" applyAlignment="1" applyProtection="1">
      <alignment horizontal="right" vertical="center"/>
      <protection locked="0"/>
    </xf>
    <xf numFmtId="0" fontId="49" fillId="9" borderId="21" xfId="3" applyFont="1" applyFill="1" applyBorder="1" applyAlignment="1" applyProtection="1">
      <alignment horizontal="right" vertical="center"/>
      <protection locked="0"/>
    </xf>
    <xf numFmtId="1" fontId="49" fillId="16" borderId="24" xfId="3" applyNumberFormat="1" applyFont="1" applyFill="1" applyBorder="1" applyAlignment="1" applyProtection="1">
      <alignment horizontal="right" vertical="center"/>
      <protection locked="0"/>
    </xf>
    <xf numFmtId="0" fontId="32" fillId="0" borderId="0" xfId="6" applyFont="1" applyAlignment="1">
      <alignment horizontal="center" readingOrder="2"/>
    </xf>
    <xf numFmtId="0" fontId="29" fillId="0" borderId="0" xfId="6" applyFont="1" applyAlignment="1">
      <alignment horizontal="center" readingOrder="2"/>
    </xf>
    <xf numFmtId="0" fontId="298" fillId="0" borderId="0" xfId="6" applyFont="1" applyAlignment="1">
      <alignment horizontal="center" vertical="top"/>
    </xf>
    <xf numFmtId="0" fontId="38" fillId="0" borderId="0" xfId="6" applyFont="1" applyBorder="1" applyAlignment="1">
      <alignment horizontal="center" vertical="top"/>
    </xf>
    <xf numFmtId="0" fontId="299" fillId="0" borderId="0" xfId="6" applyFont="1" applyBorder="1" applyAlignment="1">
      <alignment horizontal="center" vertical="top"/>
    </xf>
    <xf numFmtId="0" fontId="299" fillId="0" borderId="0" xfId="6" applyFont="1" applyAlignment="1">
      <alignment horizontal="center" vertical="top"/>
    </xf>
    <xf numFmtId="0" fontId="38" fillId="0" borderId="0" xfId="6" applyFont="1" applyAlignment="1">
      <alignment horizontal="center" vertical="top"/>
    </xf>
    <xf numFmtId="0" fontId="233" fillId="0" borderId="0" xfId="6" applyFont="1" applyAlignment="1">
      <alignment horizontal="center" vertical="top"/>
    </xf>
    <xf numFmtId="0" fontId="226" fillId="0" borderId="0" xfId="6" applyFont="1" applyAlignment="1">
      <alignment horizontal="center" vertical="top"/>
    </xf>
    <xf numFmtId="0" fontId="31" fillId="0" borderId="0" xfId="11" applyFont="1" applyAlignment="1">
      <alignment horizontal="center" readingOrder="2"/>
    </xf>
    <xf numFmtId="0" fontId="232" fillId="0" borderId="0" xfId="11" applyFont="1" applyAlignment="1">
      <alignment horizontal="center" vertical="top" readingOrder="2"/>
    </xf>
    <xf numFmtId="0" fontId="31" fillId="0" borderId="35" xfId="11" applyFont="1" applyBorder="1" applyAlignment="1">
      <alignment horizontal="center" vertical="center" readingOrder="2"/>
    </xf>
    <xf numFmtId="0" fontId="32" fillId="0" borderId="0" xfId="11" applyFont="1" applyAlignment="1">
      <alignment horizontal="center" readingOrder="2"/>
    </xf>
    <xf numFmtId="0" fontId="34" fillId="0" borderId="0" xfId="12" applyFont="1" applyAlignment="1">
      <alignment horizontal="center" readingOrder="2"/>
    </xf>
    <xf numFmtId="0" fontId="84" fillId="0" borderId="0" xfId="0" applyFont="1" applyAlignment="1">
      <alignment horizontal="right" vertical="center"/>
    </xf>
    <xf numFmtId="0" fontId="97" fillId="0" borderId="0" xfId="0" applyFont="1" applyAlignment="1">
      <alignment horizontal="center" vertical="center" readingOrder="2"/>
    </xf>
    <xf numFmtId="0" fontId="84" fillId="0" borderId="0" xfId="0" applyFont="1" applyAlignment="1">
      <alignment horizontal="right" vertical="center" wrapText="1" readingOrder="2"/>
    </xf>
    <xf numFmtId="0" fontId="84" fillId="0" borderId="0" xfId="0" applyFont="1" applyAlignment="1">
      <alignment horizontal="right" vertical="center" readingOrder="2"/>
    </xf>
    <xf numFmtId="0" fontId="84" fillId="0" borderId="35" xfId="0" applyFont="1" applyBorder="1" applyAlignment="1">
      <alignment horizontal="center" vertical="center"/>
    </xf>
    <xf numFmtId="0" fontId="0" fillId="0" borderId="0" xfId="0" applyAlignment="1">
      <alignment horizontal="center"/>
    </xf>
    <xf numFmtId="0" fontId="39" fillId="0" borderId="0" xfId="0" applyFont="1" applyAlignment="1">
      <alignment horizontal="center" vertical="center" readingOrder="2"/>
    </xf>
    <xf numFmtId="0" fontId="122" fillId="0" borderId="0" xfId="5" applyFont="1" applyAlignment="1">
      <alignment horizontal="center" vertical="top" readingOrder="2"/>
    </xf>
    <xf numFmtId="0" fontId="109" fillId="0" borderId="0" xfId="6" applyFont="1" applyAlignment="1">
      <alignment horizontal="center" readingOrder="2"/>
    </xf>
    <xf numFmtId="0" fontId="57" fillId="0" borderId="0" xfId="5" applyFont="1" applyFill="1" applyAlignment="1">
      <alignment horizontal="center" vertical="center" readingOrder="2"/>
    </xf>
    <xf numFmtId="0" fontId="75" fillId="0" borderId="0" xfId="6" applyFont="1" applyAlignment="1">
      <alignment horizontal="center" vertical="top"/>
    </xf>
    <xf numFmtId="0" fontId="31" fillId="0" borderId="35" xfId="6" applyFont="1" applyBorder="1" applyAlignment="1">
      <alignment horizontal="center"/>
    </xf>
    <xf numFmtId="164" fontId="31" fillId="0" borderId="0" xfId="6" applyNumberFormat="1" applyFont="1" applyBorder="1" applyAlignment="1">
      <alignment horizontal="center" vertical="center"/>
    </xf>
    <xf numFmtId="0" fontId="115" fillId="0" borderId="0" xfId="6" applyFont="1" applyAlignment="1">
      <alignment horizontal="center" readingOrder="2"/>
    </xf>
    <xf numFmtId="0" fontId="139" fillId="0" borderId="0" xfId="11" applyFont="1" applyAlignment="1">
      <alignment horizontal="center" vertical="top" readingOrder="2"/>
    </xf>
    <xf numFmtId="0" fontId="158" fillId="0" borderId="0" xfId="11" applyFont="1" applyAlignment="1">
      <alignment horizontal="center" readingOrder="2"/>
    </xf>
    <xf numFmtId="0" fontId="29" fillId="9" borderId="0" xfId="14" applyFont="1" applyFill="1" applyAlignment="1">
      <alignment horizontal="center" readingOrder="2"/>
    </xf>
    <xf numFmtId="0" fontId="50" fillId="9" borderId="0" xfId="26" applyFont="1" applyFill="1" applyAlignment="1">
      <alignment horizontal="right" wrapText="1" readingOrder="2"/>
    </xf>
    <xf numFmtId="0" fontId="49" fillId="9" borderId="0" xfId="26" applyFont="1" applyFill="1" applyAlignment="1">
      <alignment horizontal="right" wrapText="1" readingOrder="2"/>
    </xf>
    <xf numFmtId="0" fontId="48" fillId="9" borderId="0" xfId="26" applyFont="1" applyFill="1" applyAlignment="1">
      <alignment horizontal="right" vertical="top" wrapText="1" readingOrder="2"/>
    </xf>
    <xf numFmtId="0" fontId="60" fillId="9" borderId="0" xfId="26" applyFont="1" applyFill="1" applyBorder="1" applyAlignment="1">
      <alignment horizontal="right" vertical="center" readingOrder="2"/>
    </xf>
    <xf numFmtId="0" fontId="48" fillId="9" borderId="32" xfId="26" applyFont="1" applyFill="1" applyBorder="1" applyAlignment="1">
      <alignment horizontal="center" vertical="top" wrapText="1" readingOrder="2"/>
    </xf>
    <xf numFmtId="0" fontId="34" fillId="9" borderId="16" xfId="26" applyFont="1" applyFill="1" applyBorder="1" applyAlignment="1">
      <alignment horizontal="center" vertical="center"/>
    </xf>
    <xf numFmtId="0" fontId="48" fillId="9" borderId="35" xfId="26" applyFont="1" applyFill="1" applyBorder="1" applyAlignment="1">
      <alignment horizontal="center" vertical="top" wrapText="1" readingOrder="2"/>
    </xf>
    <xf numFmtId="0" fontId="300" fillId="9" borderId="0" xfId="5" applyFont="1" applyFill="1" applyAlignment="1">
      <alignment horizontal="center" vertical="top" readingOrder="2"/>
    </xf>
    <xf numFmtId="0" fontId="202" fillId="9" borderId="0" xfId="5" applyFont="1" applyFill="1" applyAlignment="1">
      <alignment horizontal="center" vertical="top" readingOrder="2"/>
    </xf>
    <xf numFmtId="0" fontId="60" fillId="9" borderId="0" xfId="26" applyFont="1" applyFill="1" applyAlignment="1">
      <alignment horizontal="center" vertical="top" wrapText="1" readingOrder="2"/>
    </xf>
    <xf numFmtId="0" fontId="34" fillId="9" borderId="0" xfId="26" applyFont="1" applyFill="1" applyBorder="1" applyAlignment="1">
      <alignment horizontal="center" vertical="center"/>
    </xf>
    <xf numFmtId="0" fontId="32" fillId="0" borderId="0" xfId="14" applyFont="1" applyAlignment="1">
      <alignment horizontal="center" readingOrder="2"/>
    </xf>
    <xf numFmtId="0" fontId="64" fillId="0" borderId="16" xfId="33" applyFont="1" applyBorder="1" applyAlignment="1">
      <alignment horizontal="center" vertical="center" readingOrder="2"/>
    </xf>
    <xf numFmtId="0" fontId="31" fillId="0" borderId="16" xfId="27" applyFont="1" applyBorder="1" applyAlignment="1">
      <alignment horizontal="center" vertical="center" readingOrder="2"/>
    </xf>
    <xf numFmtId="0" fontId="31" fillId="0" borderId="0" xfId="28" applyFont="1" applyAlignment="1">
      <alignment horizontal="center" vertical="center" readingOrder="2"/>
    </xf>
    <xf numFmtId="0" fontId="230" fillId="0" borderId="0" xfId="5" applyFont="1" applyAlignment="1">
      <alignment horizontal="center" vertical="top" readingOrder="2"/>
    </xf>
    <xf numFmtId="0" fontId="48" fillId="0" borderId="0" xfId="33" applyFont="1" applyAlignment="1">
      <alignment vertical="center" readingOrder="2"/>
    </xf>
    <xf numFmtId="0" fontId="201" fillId="0" borderId="16" xfId="5" applyFont="1" applyBorder="1" applyAlignment="1">
      <alignment horizontal="center" vertical="top" readingOrder="2"/>
    </xf>
    <xf numFmtId="0" fontId="201" fillId="0" borderId="0" xfId="5" applyFont="1" applyAlignment="1">
      <alignment horizontal="right" vertical="top" readingOrder="2"/>
    </xf>
    <xf numFmtId="0" fontId="35" fillId="0" borderId="0" xfId="6" applyFont="1" applyBorder="1" applyAlignment="1">
      <alignment horizontal="center"/>
    </xf>
    <xf numFmtId="0" fontId="48" fillId="0" borderId="0" xfId="27" applyFont="1" applyFill="1" applyAlignment="1">
      <alignment vertical="top" wrapText="1" readingOrder="2"/>
    </xf>
    <xf numFmtId="0" fontId="228" fillId="0" borderId="0" xfId="5" applyFont="1" applyAlignment="1">
      <alignment horizontal="center" vertical="top" readingOrder="2"/>
    </xf>
    <xf numFmtId="0" fontId="32" fillId="0" borderId="0" xfId="29" applyFont="1" applyAlignment="1">
      <alignment horizontal="right" vertical="top" wrapText="1" readingOrder="2"/>
    </xf>
    <xf numFmtId="0" fontId="39" fillId="0" borderId="0" xfId="0" applyFont="1" applyAlignment="1">
      <alignment horizontal="left" vertical="top"/>
    </xf>
    <xf numFmtId="0" fontId="48" fillId="0" borderId="0" xfId="27" applyFont="1" applyFill="1" applyAlignment="1">
      <alignment horizontal="center" vertical="distributed" wrapText="1" readingOrder="2"/>
    </xf>
    <xf numFmtId="0" fontId="48" fillId="0" borderId="0" xfId="28" applyFont="1" applyAlignment="1">
      <alignment vertical="center" wrapText="1"/>
    </xf>
    <xf numFmtId="0" fontId="0" fillId="0" borderId="0" xfId="0" applyAlignment="1">
      <alignment vertical="center" wrapText="1"/>
    </xf>
    <xf numFmtId="0" fontId="83" fillId="0" borderId="0" xfId="15" applyFont="1" applyAlignment="1">
      <alignment horizontal="center" vertical="justify"/>
    </xf>
    <xf numFmtId="0" fontId="47" fillId="0" borderId="0" xfId="15" applyFont="1" applyFill="1" applyBorder="1" applyAlignment="1">
      <alignment horizontal="center" vertical="center" wrapText="1"/>
    </xf>
    <xf numFmtId="0" fontId="47" fillId="0" borderId="35" xfId="15" applyFont="1" applyFill="1" applyBorder="1" applyAlignment="1">
      <alignment horizontal="center" vertical="center" wrapText="1"/>
    </xf>
    <xf numFmtId="0" fontId="33" fillId="0" borderId="0" xfId="15" applyFont="1" applyFill="1" applyBorder="1" applyAlignment="1">
      <alignment horizontal="center" vertical="center" wrapText="1"/>
    </xf>
    <xf numFmtId="0" fontId="158" fillId="0" borderId="0" xfId="15" applyFont="1" applyAlignment="1">
      <alignment horizontal="center" readingOrder="2"/>
    </xf>
    <xf numFmtId="0" fontId="50" fillId="0" borderId="0" xfId="15" applyNumberFormat="1" applyFont="1" applyFill="1" applyBorder="1" applyAlignment="1">
      <alignment horizontal="center" vertical="center" readingOrder="2"/>
    </xf>
    <xf numFmtId="0" fontId="50" fillId="0" borderId="35" xfId="15" applyNumberFormat="1" applyFont="1" applyFill="1" applyBorder="1" applyAlignment="1">
      <alignment horizontal="center" vertical="center" readingOrder="2"/>
    </xf>
    <xf numFmtId="0" fontId="47" fillId="0" borderId="32" xfId="15" applyFont="1" applyFill="1" applyBorder="1" applyAlignment="1">
      <alignment horizontal="center" vertical="center" wrapText="1"/>
    </xf>
    <xf numFmtId="0" fontId="33" fillId="0" borderId="35" xfId="15" applyFont="1" applyFill="1" applyBorder="1" applyAlignment="1">
      <alignment horizontal="center" vertical="center" wrapText="1"/>
    </xf>
    <xf numFmtId="0" fontId="50" fillId="0" borderId="0" xfId="15" applyFont="1" applyFill="1" applyBorder="1" applyAlignment="1">
      <alignment horizontal="center" vertical="center" wrapText="1"/>
    </xf>
    <xf numFmtId="0" fontId="48" fillId="9" borderId="0" xfId="15" applyFont="1" applyFill="1" applyBorder="1" applyAlignment="1">
      <alignment horizontal="center" readingOrder="2"/>
    </xf>
    <xf numFmtId="0" fontId="50" fillId="9" borderId="0" xfId="15" applyFont="1" applyFill="1" applyAlignment="1">
      <alignment horizontal="right" vertical="top" wrapText="1" readingOrder="2"/>
    </xf>
    <xf numFmtId="0" fontId="87" fillId="9" borderId="0" xfId="15" applyFont="1" applyFill="1" applyAlignment="1">
      <alignment vertical="top" wrapText="1" readingOrder="2"/>
    </xf>
    <xf numFmtId="0" fontId="50" fillId="0" borderId="36" xfId="15" applyNumberFormat="1" applyFont="1" applyFill="1" applyBorder="1" applyAlignment="1">
      <alignment horizontal="center" readingOrder="2"/>
    </xf>
    <xf numFmtId="0" fontId="50" fillId="0" borderId="35" xfId="15" applyNumberFormat="1" applyFont="1" applyFill="1" applyBorder="1" applyAlignment="1">
      <alignment horizontal="center" readingOrder="2"/>
    </xf>
    <xf numFmtId="0" fontId="46" fillId="8" borderId="38" xfId="15" applyFont="1" applyFill="1" applyBorder="1" applyAlignment="1">
      <alignment horizontal="center" vertical="top" wrapText="1"/>
    </xf>
    <xf numFmtId="0" fontId="46" fillId="8" borderId="0" xfId="15" applyFont="1" applyFill="1" applyBorder="1" applyAlignment="1">
      <alignment horizontal="center" vertical="top" wrapText="1"/>
    </xf>
    <xf numFmtId="0" fontId="46" fillId="8" borderId="27" xfId="15" applyFont="1" applyFill="1" applyBorder="1" applyAlignment="1">
      <alignment horizontal="center" vertical="top" wrapText="1"/>
    </xf>
    <xf numFmtId="0" fontId="46" fillId="8" borderId="39" xfId="15" applyFont="1" applyFill="1" applyBorder="1" applyAlignment="1">
      <alignment horizontal="center" vertical="top" wrapText="1"/>
    </xf>
    <xf numFmtId="0" fontId="46" fillId="8" borderId="35" xfId="15" applyFont="1" applyFill="1" applyBorder="1" applyAlignment="1">
      <alignment horizontal="center" vertical="top" wrapText="1"/>
    </xf>
    <xf numFmtId="0" fontId="46" fillId="8" borderId="20" xfId="15" applyFont="1" applyFill="1" applyBorder="1" applyAlignment="1">
      <alignment horizontal="center" vertical="top" wrapText="1"/>
    </xf>
    <xf numFmtId="0" fontId="223" fillId="9" borderId="0" xfId="15" applyFont="1" applyFill="1" applyAlignment="1">
      <alignment horizontal="center" vertical="top" wrapText="1" readingOrder="2"/>
    </xf>
    <xf numFmtId="0" fontId="36" fillId="0" borderId="0" xfId="15" applyFont="1" applyFill="1" applyBorder="1" applyAlignment="1">
      <alignment horizontal="center" vertical="center" wrapText="1"/>
    </xf>
    <xf numFmtId="0" fontId="36" fillId="0" borderId="35" xfId="15" applyFont="1" applyFill="1" applyBorder="1" applyAlignment="1">
      <alignment horizontal="center" vertical="center" wrapText="1"/>
    </xf>
    <xf numFmtId="0" fontId="50" fillId="0" borderId="35" xfId="15" applyFont="1" applyFill="1" applyBorder="1" applyAlignment="1">
      <alignment horizontal="center" vertical="center" wrapText="1"/>
    </xf>
    <xf numFmtId="0" fontId="47" fillId="0" borderId="36" xfId="15" applyFont="1" applyFill="1" applyBorder="1" applyAlignment="1">
      <alignment horizontal="center" vertical="center" wrapText="1"/>
    </xf>
    <xf numFmtId="0" fontId="85" fillId="0" borderId="0" xfId="15" applyFont="1" applyAlignment="1">
      <alignment horizontal="center" vertical="justify"/>
    </xf>
    <xf numFmtId="0" fontId="32" fillId="0" borderId="0" xfId="15" applyFont="1" applyAlignment="1">
      <alignment horizontal="center" readingOrder="2"/>
    </xf>
    <xf numFmtId="0" fontId="33" fillId="0" borderId="0" xfId="15" applyFont="1" applyFill="1" applyBorder="1" applyAlignment="1">
      <alignment horizontal="right" vertical="center" wrapText="1"/>
    </xf>
    <xf numFmtId="0" fontId="232" fillId="0" borderId="0" xfId="5" applyFont="1" applyAlignment="1">
      <alignment horizontal="center" vertical="top" readingOrder="2"/>
    </xf>
    <xf numFmtId="0" fontId="232" fillId="0" borderId="0" xfId="5" applyFont="1" applyBorder="1" applyAlignment="1">
      <alignment horizontal="center" vertical="top" readingOrder="2"/>
    </xf>
    <xf numFmtId="0" fontId="50" fillId="9" borderId="48" xfId="16" applyFont="1" applyFill="1" applyBorder="1" applyAlignment="1">
      <alignment horizontal="center" vertical="center" wrapText="1"/>
    </xf>
    <xf numFmtId="0" fontId="50" fillId="9" borderId="19" xfId="16" applyFont="1" applyFill="1" applyBorder="1" applyAlignment="1">
      <alignment horizontal="center" vertical="center" wrapText="1"/>
    </xf>
    <xf numFmtId="0" fontId="50" fillId="9" borderId="47" xfId="16" applyFont="1" applyFill="1" applyBorder="1" applyAlignment="1">
      <alignment horizontal="center" vertical="center" wrapText="1"/>
    </xf>
    <xf numFmtId="0" fontId="50" fillId="9" borderId="46" xfId="16" applyFont="1" applyFill="1" applyBorder="1" applyAlignment="1">
      <alignment horizontal="center" vertical="center" wrapText="1"/>
    </xf>
    <xf numFmtId="0" fontId="50" fillId="9" borderId="11" xfId="16" applyFont="1" applyFill="1" applyBorder="1" applyAlignment="1">
      <alignment horizontal="center" vertical="center" wrapText="1"/>
    </xf>
    <xf numFmtId="0" fontId="50" fillId="9" borderId="21" xfId="16" applyFont="1" applyFill="1" applyBorder="1" applyAlignment="1">
      <alignment horizontal="center" vertical="center" wrapText="1"/>
    </xf>
    <xf numFmtId="0" fontId="50" fillId="9" borderId="24" xfId="16" applyFont="1" applyFill="1" applyBorder="1" applyAlignment="1">
      <alignment horizontal="center" vertical="center" wrapText="1"/>
    </xf>
    <xf numFmtId="0" fontId="64" fillId="9" borderId="52" xfId="16" applyFont="1" applyFill="1" applyBorder="1" applyAlignment="1">
      <alignment horizontal="center"/>
    </xf>
    <xf numFmtId="0" fontId="64" fillId="9" borderId="41" xfId="16" applyFont="1" applyFill="1" applyBorder="1" applyAlignment="1">
      <alignment horizontal="center"/>
    </xf>
    <xf numFmtId="0" fontId="64" fillId="9" borderId="57" xfId="16" applyFont="1" applyFill="1" applyBorder="1" applyAlignment="1">
      <alignment horizontal="center"/>
    </xf>
    <xf numFmtId="2" fontId="50" fillId="9" borderId="24" xfId="16" applyNumberFormat="1" applyFont="1" applyFill="1" applyBorder="1" applyAlignment="1">
      <alignment horizontal="center" vertical="center" wrapText="1"/>
    </xf>
    <xf numFmtId="2" fontId="50" fillId="9" borderId="21" xfId="16" applyNumberFormat="1" applyFont="1" applyFill="1" applyBorder="1" applyAlignment="1">
      <alignment horizontal="center" vertical="center" wrapText="1"/>
    </xf>
    <xf numFmtId="0" fontId="123" fillId="9" borderId="1" xfId="0" applyFont="1" applyFill="1" applyBorder="1" applyAlignment="1">
      <alignment horizontal="center" vertical="center"/>
    </xf>
    <xf numFmtId="0" fontId="123" fillId="9" borderId="26" xfId="0" applyFont="1" applyFill="1" applyBorder="1" applyAlignment="1">
      <alignment horizontal="center" vertical="center"/>
    </xf>
    <xf numFmtId="0" fontId="123" fillId="9" borderId="8" xfId="0" applyFont="1" applyFill="1" applyBorder="1" applyAlignment="1">
      <alignment horizontal="center" vertical="center"/>
    </xf>
    <xf numFmtId="0" fontId="123" fillId="9" borderId="27" xfId="0" applyFont="1" applyFill="1" applyBorder="1" applyAlignment="1">
      <alignment horizontal="center" vertical="center"/>
    </xf>
    <xf numFmtId="0" fontId="32" fillId="0" borderId="0" xfId="47" applyNumberFormat="1" applyFont="1" applyAlignment="1">
      <alignment horizontal="center" vertical="center" wrapText="1"/>
    </xf>
    <xf numFmtId="0" fontId="32" fillId="0" borderId="0" xfId="47" applyNumberFormat="1" applyFont="1" applyAlignment="1">
      <alignment horizontal="center" vertical="center"/>
    </xf>
    <xf numFmtId="0" fontId="64" fillId="0" borderId="0" xfId="16" applyFont="1" applyAlignment="1">
      <alignment horizontal="left"/>
    </xf>
    <xf numFmtId="0" fontId="50" fillId="9" borderId="39" xfId="16" applyFont="1" applyFill="1" applyBorder="1" applyAlignment="1">
      <alignment horizontal="center" vertical="center" wrapText="1"/>
    </xf>
    <xf numFmtId="0" fontId="50" fillId="9" borderId="20" xfId="16" applyFont="1" applyFill="1" applyBorder="1" applyAlignment="1">
      <alignment horizontal="center" vertical="center" wrapText="1"/>
    </xf>
    <xf numFmtId="0" fontId="50" fillId="9" borderId="27" xfId="16" applyFont="1" applyFill="1" applyBorder="1" applyAlignment="1">
      <alignment horizontal="center" vertical="center" wrapText="1"/>
    </xf>
    <xf numFmtId="0" fontId="50" fillId="9" borderId="0" xfId="16" applyFont="1" applyFill="1" applyBorder="1" applyAlignment="1">
      <alignment horizontal="center" vertical="center" wrapText="1"/>
    </xf>
    <xf numFmtId="0" fontId="50" fillId="9" borderId="35" xfId="16" applyFont="1" applyFill="1" applyBorder="1" applyAlignment="1">
      <alignment horizontal="center" vertical="center" wrapText="1"/>
    </xf>
    <xf numFmtId="41" fontId="50" fillId="9" borderId="11" xfId="47" applyNumberFormat="1" applyFont="1" applyFill="1" applyBorder="1" applyAlignment="1">
      <alignment horizontal="center" vertical="center" wrapText="1"/>
    </xf>
    <xf numFmtId="41" fontId="50" fillId="9" borderId="21" xfId="47" applyNumberFormat="1" applyFont="1" applyFill="1" applyBorder="1" applyAlignment="1">
      <alignment horizontal="center" vertical="center" wrapText="1"/>
    </xf>
    <xf numFmtId="1" fontId="27" fillId="9" borderId="4" xfId="0" applyNumberFormat="1" applyFont="1" applyFill="1" applyBorder="1" applyAlignment="1">
      <alignment horizontal="center" vertical="center" wrapText="1"/>
    </xf>
    <xf numFmtId="1" fontId="27" fillId="9" borderId="11" xfId="0" applyNumberFormat="1" applyFont="1" applyFill="1" applyBorder="1" applyAlignment="1">
      <alignment horizontal="center" vertical="center" wrapText="1"/>
    </xf>
    <xf numFmtId="1" fontId="27" fillId="9" borderId="21" xfId="0" applyNumberFormat="1" applyFont="1" applyFill="1" applyBorder="1" applyAlignment="1">
      <alignment horizontal="center" vertical="center" wrapText="1"/>
    </xf>
    <xf numFmtId="167" fontId="35" fillId="9" borderId="55" xfId="8" applyNumberFormat="1" applyFont="1" applyFill="1" applyBorder="1" applyAlignment="1">
      <alignment horizontal="center" vertical="top" readingOrder="2"/>
    </xf>
    <xf numFmtId="167" fontId="35" fillId="9" borderId="16" xfId="8" applyNumberFormat="1" applyFont="1" applyFill="1" applyBorder="1" applyAlignment="1">
      <alignment horizontal="center" vertical="top" readingOrder="2"/>
    </xf>
    <xf numFmtId="167" fontId="35" fillId="9" borderId="65" xfId="8" applyNumberFormat="1" applyFont="1" applyFill="1" applyBorder="1" applyAlignment="1">
      <alignment horizontal="center" vertical="top" readingOrder="2"/>
    </xf>
    <xf numFmtId="167" fontId="35" fillId="9" borderId="49" xfId="8" applyNumberFormat="1" applyFont="1" applyFill="1" applyBorder="1" applyAlignment="1">
      <alignment horizontal="center" vertical="top" readingOrder="2"/>
    </xf>
    <xf numFmtId="167" fontId="35" fillId="9" borderId="40" xfId="8" applyNumberFormat="1" applyFont="1" applyFill="1" applyBorder="1" applyAlignment="1">
      <alignment horizontal="center" vertical="top" readingOrder="2"/>
    </xf>
    <xf numFmtId="167" fontId="35" fillId="9" borderId="50" xfId="8" applyNumberFormat="1" applyFont="1" applyFill="1" applyBorder="1" applyAlignment="1">
      <alignment horizontal="center" vertical="top" readingOrder="2"/>
    </xf>
    <xf numFmtId="1" fontId="35" fillId="9" borderId="24" xfId="8" applyNumberFormat="1" applyFont="1" applyFill="1" applyBorder="1" applyAlignment="1">
      <alignment horizontal="center" vertical="center" textRotation="90" readingOrder="2"/>
    </xf>
    <xf numFmtId="1" fontId="35" fillId="9" borderId="11" xfId="8" applyNumberFormat="1" applyFont="1" applyFill="1" applyBorder="1" applyAlignment="1">
      <alignment horizontal="center" vertical="center" textRotation="90" readingOrder="2"/>
    </xf>
    <xf numFmtId="1" fontId="35" fillId="9" borderId="21" xfId="8" applyNumberFormat="1" applyFont="1" applyFill="1" applyBorder="1" applyAlignment="1">
      <alignment horizontal="center" vertical="center" textRotation="90" readingOrder="2"/>
    </xf>
    <xf numFmtId="1" fontId="35" fillId="9" borderId="4" xfId="8" applyNumberFormat="1" applyFont="1" applyFill="1" applyBorder="1" applyAlignment="1">
      <alignment horizontal="center" vertical="center" textRotation="90" readingOrder="2"/>
    </xf>
    <xf numFmtId="0" fontId="0" fillId="0" borderId="0" xfId="0" applyAlignment="1">
      <alignment horizontal="right" wrapText="1"/>
    </xf>
    <xf numFmtId="14" fontId="84" fillId="9" borderId="0" xfId="0" applyNumberFormat="1" applyFont="1" applyFill="1" applyAlignment="1">
      <alignment horizontal="right" vertical="top" wrapText="1"/>
    </xf>
    <xf numFmtId="0" fontId="211" fillId="0" borderId="0" xfId="0" applyFont="1" applyAlignment="1">
      <alignment horizontal="right" vertical="top" wrapText="1"/>
    </xf>
    <xf numFmtId="0" fontId="228" fillId="0" borderId="0" xfId="2123" applyFont="1" applyFill="1" applyAlignment="1">
      <alignment horizontal="center" vertical="top" readingOrder="2"/>
    </xf>
    <xf numFmtId="0" fontId="48" fillId="9" borderId="0" xfId="17" applyFont="1" applyFill="1" applyBorder="1" applyAlignment="1">
      <alignment horizontal="right" vertical="top" wrapText="1"/>
    </xf>
    <xf numFmtId="3" fontId="35" fillId="9" borderId="16" xfId="17" applyNumberFormat="1" applyFont="1" applyFill="1" applyBorder="1" applyAlignment="1">
      <alignment horizontal="center" vertical="center"/>
    </xf>
    <xf numFmtId="14" fontId="107" fillId="9" borderId="0" xfId="0" applyNumberFormat="1" applyFont="1" applyFill="1" applyAlignment="1">
      <alignment horizontal="right" vertical="top" wrapText="1"/>
    </xf>
    <xf numFmtId="0" fontId="260" fillId="0" borderId="0" xfId="0" applyFont="1" applyAlignment="1">
      <alignment horizontal="right" vertical="top" wrapText="1"/>
    </xf>
    <xf numFmtId="0" fontId="48" fillId="9" borderId="16" xfId="17" applyFont="1" applyFill="1" applyBorder="1" applyAlignment="1">
      <alignment horizontal="center" vertical="top" wrapText="1"/>
    </xf>
    <xf numFmtId="0" fontId="30" fillId="9" borderId="0" xfId="13" applyFont="1" applyFill="1" applyAlignment="1">
      <alignment horizontal="right" wrapText="1" readingOrder="2"/>
    </xf>
    <xf numFmtId="0" fontId="229" fillId="9" borderId="0" xfId="5" applyFont="1" applyFill="1" applyAlignment="1">
      <alignment horizontal="center" vertical="top" readingOrder="2"/>
    </xf>
    <xf numFmtId="0" fontId="42" fillId="10" borderId="0" xfId="18" applyFont="1" applyFill="1" applyAlignment="1">
      <alignment horizontal="right" vertical="center" readingOrder="2"/>
    </xf>
    <xf numFmtId="0" fontId="42" fillId="9" borderId="0" xfId="18" applyFont="1" applyFill="1" applyAlignment="1">
      <alignment horizontal="right" vertical="center" readingOrder="2"/>
    </xf>
    <xf numFmtId="0" fontId="42" fillId="9" borderId="0" xfId="18" applyFont="1" applyFill="1" applyAlignment="1">
      <alignment horizontal="right" vertical="center" wrapText="1" indent="1" readingOrder="2"/>
    </xf>
    <xf numFmtId="0" fontId="43" fillId="9" borderId="0" xfId="18" applyFont="1" applyFill="1" applyBorder="1" applyAlignment="1">
      <alignment horizontal="center" vertical="center" readingOrder="2"/>
    </xf>
    <xf numFmtId="0" fontId="89" fillId="9" borderId="35" xfId="0" applyFont="1" applyFill="1" applyBorder="1" applyAlignment="1">
      <alignment horizontal="center"/>
    </xf>
    <xf numFmtId="0" fontId="109" fillId="9" borderId="0" xfId="19" applyFont="1" applyFill="1" applyAlignment="1">
      <alignment horizontal="right" vertical="center" readingOrder="2"/>
    </xf>
    <xf numFmtId="0" fontId="235" fillId="9" borderId="0" xfId="5" applyFont="1" applyFill="1" applyAlignment="1">
      <alignment horizontal="center" vertical="top" readingOrder="2"/>
    </xf>
    <xf numFmtId="3" fontId="57" fillId="9" borderId="0" xfId="19" applyNumberFormat="1" applyFont="1" applyFill="1" applyBorder="1" applyAlignment="1">
      <alignment horizontal="center" vertical="center" readingOrder="2"/>
    </xf>
    <xf numFmtId="0" fontId="130" fillId="9" borderId="0" xfId="0" applyFont="1" applyFill="1" applyAlignment="1">
      <alignment horizontal="center"/>
    </xf>
    <xf numFmtId="0" fontId="228" fillId="0" borderId="0" xfId="7" applyFont="1" applyAlignment="1">
      <alignment horizontal="center" vertical="top"/>
    </xf>
    <xf numFmtId="0" fontId="232" fillId="0" borderId="0" xfId="7" applyFont="1" applyAlignment="1">
      <alignment horizontal="center" vertical="top"/>
    </xf>
    <xf numFmtId="0" fontId="35" fillId="9" borderId="0" xfId="24" applyFont="1" applyFill="1" applyAlignment="1">
      <alignment horizontal="right" vertical="center" wrapText="1"/>
    </xf>
    <xf numFmtId="0" fontId="29" fillId="0" borderId="0" xfId="14" applyFont="1" applyAlignment="1">
      <alignment horizontal="center" readingOrder="2"/>
    </xf>
    <xf numFmtId="0" fontId="35" fillId="0" borderId="0" xfId="12" applyFont="1" applyAlignment="1">
      <alignment horizontal="center" vertical="center" readingOrder="2"/>
    </xf>
    <xf numFmtId="0" fontId="48" fillId="0" borderId="0" xfId="13" applyFont="1" applyAlignment="1">
      <alignment horizontal="right" vertical="center" wrapText="1" readingOrder="2"/>
    </xf>
    <xf numFmtId="0" fontId="35" fillId="0" borderId="0" xfId="5" applyFont="1" applyFill="1" applyAlignment="1">
      <alignment horizontal="center" vertical="center" readingOrder="2"/>
    </xf>
    <xf numFmtId="0" fontId="35" fillId="0" borderId="0" xfId="8" applyFont="1" applyBorder="1" applyAlignment="1">
      <alignment horizontal="center" vertical="center" readingOrder="2"/>
    </xf>
    <xf numFmtId="0" fontId="35" fillId="0" borderId="0" xfId="8" applyFont="1" applyAlignment="1">
      <alignment horizontal="right" vertical="top" wrapText="1" readingOrder="2"/>
    </xf>
    <xf numFmtId="0" fontId="234" fillId="0" borderId="0" xfId="7" applyFont="1" applyAlignment="1">
      <alignment horizontal="center" vertical="top"/>
    </xf>
    <xf numFmtId="0" fontId="60" fillId="0" borderId="0" xfId="8" applyFont="1" applyAlignment="1">
      <alignment horizontal="right" vertical="center" wrapText="1" readingOrder="2"/>
    </xf>
    <xf numFmtId="0" fontId="60" fillId="0" borderId="0" xfId="13" applyFont="1" applyAlignment="1">
      <alignment horizontal="right" vertical="center" wrapText="1" readingOrder="2"/>
    </xf>
    <xf numFmtId="0" fontId="187" fillId="0" borderId="0" xfId="8" applyFont="1" applyAlignment="1">
      <alignment horizontal="right" wrapText="1"/>
    </xf>
    <xf numFmtId="49" fontId="84" fillId="0" borderId="0" xfId="0" applyNumberFormat="1" applyFont="1" applyAlignment="1">
      <alignment horizontal="left" vertical="top"/>
    </xf>
    <xf numFmtId="0" fontId="64" fillId="0" borderId="0" xfId="12" applyFont="1" applyAlignment="1">
      <alignment horizontal="right" vertical="center" wrapText="1" readingOrder="2"/>
    </xf>
    <xf numFmtId="0" fontId="64" fillId="0" borderId="0" xfId="8" applyFont="1" applyAlignment="1">
      <alignment horizontal="right" vertical="top" wrapText="1"/>
    </xf>
    <xf numFmtId="0" fontId="84" fillId="0" borderId="0" xfId="0" applyFont="1" applyFill="1" applyAlignment="1">
      <alignment horizontal="center" vertical="top"/>
    </xf>
    <xf numFmtId="0" fontId="84" fillId="0" borderId="0" xfId="0" applyFont="1" applyFill="1" applyAlignment="1">
      <alignment horizontal="center" vertical="center"/>
    </xf>
    <xf numFmtId="0" fontId="31" fillId="0" borderId="0" xfId="8" applyFont="1" applyAlignment="1">
      <alignment horizontal="right" vertical="top" wrapText="1" readingOrder="2"/>
    </xf>
    <xf numFmtId="0" fontId="35" fillId="0" borderId="0" xfId="8" applyFont="1" applyAlignment="1">
      <alignment horizontal="center" vertical="center" readingOrder="2"/>
    </xf>
    <xf numFmtId="0" fontId="29" fillId="0" borderId="0" xfId="8" applyFont="1" applyAlignment="1">
      <alignment horizontal="right" vertical="center" readingOrder="2"/>
    </xf>
    <xf numFmtId="0" fontId="60" fillId="0" borderId="0" xfId="0" applyFont="1" applyAlignment="1">
      <alignment horizontal="center"/>
    </xf>
    <xf numFmtId="0" fontId="32" fillId="0" borderId="0" xfId="8" applyFont="1" applyAlignment="1">
      <alignment horizontal="right" readingOrder="2"/>
    </xf>
    <xf numFmtId="0" fontId="35" fillId="9" borderId="0" xfId="14" applyFont="1" applyFill="1" applyAlignment="1">
      <alignment horizontal="right" readingOrder="2"/>
    </xf>
    <xf numFmtId="0" fontId="50" fillId="0" borderId="0" xfId="13" applyNumberFormat="1" applyFont="1" applyBorder="1" applyAlignment="1">
      <alignment horizontal="center" readingOrder="2"/>
    </xf>
    <xf numFmtId="0" fontId="128" fillId="0" borderId="0" xfId="0" applyFont="1" applyAlignment="1">
      <alignment horizontal="center"/>
    </xf>
    <xf numFmtId="0" fontId="126" fillId="0" borderId="0" xfId="0" applyFont="1" applyAlignment="1">
      <alignment horizontal="center"/>
    </xf>
    <xf numFmtId="0" fontId="59" fillId="0" borderId="0" xfId="0" applyFont="1"/>
    <xf numFmtId="0" fontId="31" fillId="9" borderId="0" xfId="24" applyFont="1" applyFill="1" applyAlignment="1">
      <alignment horizontal="center" readingOrder="2"/>
    </xf>
    <xf numFmtId="0" fontId="28" fillId="0" borderId="0" xfId="5" applyFont="1" applyAlignment="1">
      <alignment horizontal="center" vertical="top" readingOrder="2"/>
    </xf>
    <xf numFmtId="0" fontId="28" fillId="0" borderId="0" xfId="5" applyFont="1" applyAlignment="1">
      <alignment horizontal="center" vertical="center" readingOrder="2"/>
    </xf>
    <xf numFmtId="0" fontId="32" fillId="9" borderId="0" xfId="25" applyFont="1" applyFill="1" applyAlignment="1">
      <alignment horizontal="right" vertical="center"/>
    </xf>
    <xf numFmtId="0" fontId="32" fillId="9" borderId="0" xfId="25" applyFont="1" applyFill="1" applyAlignment="1">
      <alignment horizontal="right" vertical="top"/>
    </xf>
    <xf numFmtId="0" fontId="34" fillId="0" borderId="0" xfId="14" applyFont="1" applyBorder="1" applyAlignment="1">
      <alignment horizontal="center"/>
    </xf>
    <xf numFmtId="0" fontId="31" fillId="9" borderId="0" xfId="25" applyFont="1" applyFill="1" applyAlignment="1">
      <alignment horizontal="right" vertical="top" wrapText="1" readingOrder="2"/>
    </xf>
    <xf numFmtId="0" fontId="42" fillId="9" borderId="0" xfId="8" applyFont="1" applyFill="1" applyAlignment="1">
      <alignment horizontal="right" vertical="top" wrapText="1" readingOrder="2"/>
    </xf>
    <xf numFmtId="0" fontId="31" fillId="9" borderId="0" xfId="25" applyFont="1" applyFill="1" applyAlignment="1">
      <alignment horizontal="right" vertical="center" wrapText="1" readingOrder="2"/>
    </xf>
    <xf numFmtId="0" fontId="236" fillId="0" borderId="0" xfId="5" applyFont="1" applyAlignment="1">
      <alignment horizontal="center" vertical="top" readingOrder="2"/>
    </xf>
    <xf numFmtId="0" fontId="31" fillId="0" borderId="0" xfId="8" applyFont="1" applyAlignment="1">
      <alignment horizontal="right" vertical="top" readingOrder="2"/>
    </xf>
    <xf numFmtId="0" fontId="31" fillId="0" borderId="0" xfId="8" applyFont="1" applyAlignment="1">
      <alignment horizontal="right" vertical="center" readingOrder="2"/>
    </xf>
    <xf numFmtId="0" fontId="48" fillId="0" borderId="0" xfId="13" applyFont="1" applyAlignment="1">
      <alignment horizontal="center" readingOrder="2"/>
    </xf>
    <xf numFmtId="0" fontId="48" fillId="0" borderId="0" xfId="13" applyFont="1" applyAlignment="1">
      <alignment horizontal="center" vertical="center" readingOrder="2"/>
    </xf>
    <xf numFmtId="0" fontId="35" fillId="0" borderId="0" xfId="5" applyFont="1" applyFill="1" applyBorder="1" applyAlignment="1">
      <alignment horizontal="center" vertical="center" readingOrder="2"/>
    </xf>
    <xf numFmtId="0" fontId="32" fillId="9" borderId="0" xfId="0" applyFont="1" applyFill="1" applyAlignment="1">
      <alignment horizontal="center"/>
    </xf>
    <xf numFmtId="0" fontId="158" fillId="9" borderId="0" xfId="22" applyNumberFormat="1" applyFont="1" applyFill="1" applyAlignment="1">
      <alignment horizontal="right" vertical="top" wrapText="1" readingOrder="2"/>
    </xf>
    <xf numFmtId="0" fontId="74" fillId="0" borderId="0" xfId="0" applyFont="1" applyFill="1" applyAlignment="1">
      <alignment horizontal="center" vertical="center"/>
    </xf>
    <xf numFmtId="0" fontId="278" fillId="9" borderId="0" xfId="5" applyFont="1" applyFill="1" applyAlignment="1">
      <alignment horizontal="center" vertical="top" readingOrder="2"/>
    </xf>
    <xf numFmtId="0" fontId="32" fillId="9" borderId="0" xfId="19" applyFont="1" applyFill="1" applyAlignment="1">
      <alignment horizontal="right" vertical="top" wrapText="1" readingOrder="2"/>
    </xf>
    <xf numFmtId="0" fontId="32" fillId="9" borderId="0" xfId="19" applyFont="1" applyFill="1" applyAlignment="1">
      <alignment horizontal="center" vertical="top" readingOrder="2"/>
    </xf>
    <xf numFmtId="0" fontId="32" fillId="9" borderId="0" xfId="22" applyFont="1" applyFill="1" applyAlignment="1">
      <alignment horizontal="right" readingOrder="2"/>
    </xf>
    <xf numFmtId="166" fontId="32" fillId="9" borderId="0" xfId="5" applyNumberFormat="1" applyFont="1" applyFill="1" applyBorder="1" applyAlignment="1">
      <alignment horizontal="center" vertical="center" readingOrder="2"/>
    </xf>
    <xf numFmtId="0" fontId="32" fillId="9" borderId="0" xfId="21" applyNumberFormat="1" applyFont="1" applyFill="1" applyBorder="1" applyAlignment="1">
      <alignment horizontal="center" vertical="center" readingOrder="2"/>
    </xf>
    <xf numFmtId="0" fontId="32" fillId="9" borderId="35" xfId="21" applyNumberFormat="1" applyFont="1" applyFill="1" applyBorder="1" applyAlignment="1">
      <alignment horizontal="center" vertical="center" readingOrder="2"/>
    </xf>
    <xf numFmtId="0" fontId="34" fillId="9" borderId="0" xfId="19" applyFont="1" applyFill="1" applyAlignment="1">
      <alignment horizontal="right" vertical="center" wrapText="1" readingOrder="2"/>
    </xf>
    <xf numFmtId="0" fontId="32" fillId="0" borderId="35" xfId="20" applyNumberFormat="1" applyFont="1" applyFill="1" applyBorder="1" applyAlignment="1">
      <alignment horizontal="center" vertical="center" readingOrder="2"/>
    </xf>
    <xf numFmtId="0" fontId="32" fillId="0" borderId="0" xfId="20" applyNumberFormat="1" applyFont="1" applyFill="1" applyBorder="1" applyAlignment="1">
      <alignment horizontal="center" vertical="center" readingOrder="2"/>
    </xf>
    <xf numFmtId="0" fontId="143" fillId="9" borderId="0" xfId="5" applyFont="1" applyFill="1" applyAlignment="1">
      <alignment horizontal="center" vertical="top" readingOrder="2"/>
    </xf>
    <xf numFmtId="0" fontId="32" fillId="9" borderId="0" xfId="22" applyFont="1" applyFill="1" applyAlignment="1">
      <alignment horizontal="right" vertical="top" wrapText="1" readingOrder="2"/>
    </xf>
    <xf numFmtId="166" fontId="35" fillId="9" borderId="0" xfId="5" applyNumberFormat="1" applyFont="1" applyFill="1" applyBorder="1" applyAlignment="1">
      <alignment horizontal="center" vertical="center" readingOrder="2"/>
    </xf>
    <xf numFmtId="166" fontId="35" fillId="9" borderId="0" xfId="5" applyNumberFormat="1" applyFont="1" applyFill="1" applyBorder="1" applyAlignment="1">
      <alignment horizontal="center" readingOrder="2"/>
    </xf>
    <xf numFmtId="0" fontId="34" fillId="9" borderId="0" xfId="22" applyFont="1" applyFill="1" applyAlignment="1">
      <alignment horizontal="right" vertical="center" wrapText="1" readingOrder="2"/>
    </xf>
    <xf numFmtId="0" fontId="60" fillId="9" borderId="0" xfId="22" applyFont="1" applyFill="1" applyAlignment="1">
      <alignment horizontal="right" vertical="center" wrapText="1" readingOrder="2"/>
    </xf>
    <xf numFmtId="0" fontId="32" fillId="9" borderId="0" xfId="0" applyFont="1" applyFill="1" applyAlignment="1">
      <alignment horizontal="center" vertical="center"/>
    </xf>
    <xf numFmtId="0" fontId="60" fillId="9" borderId="35" xfId="12" applyFont="1" applyFill="1" applyBorder="1" applyAlignment="1">
      <alignment horizontal="center" vertical="top" readingOrder="2"/>
    </xf>
    <xf numFmtId="0" fontId="49" fillId="9" borderId="0" xfId="0" applyFont="1" applyFill="1" applyAlignment="1">
      <alignment horizontal="center"/>
    </xf>
    <xf numFmtId="0" fontId="46" fillId="9" borderId="0" xfId="0" applyFont="1" applyFill="1" applyAlignment="1">
      <alignment horizontal="center"/>
    </xf>
    <xf numFmtId="0" fontId="232" fillId="9" borderId="0" xfId="5" applyFont="1" applyFill="1" applyAlignment="1">
      <alignment horizontal="center" vertical="top" readingOrder="2"/>
    </xf>
    <xf numFmtId="0" fontId="48" fillId="9" borderId="0" xfId="24" applyFont="1" applyFill="1" applyAlignment="1">
      <alignment horizontal="right" vertical="top" readingOrder="2"/>
    </xf>
    <xf numFmtId="0" fontId="48" fillId="9" borderId="0" xfId="0" applyFont="1" applyFill="1" applyAlignment="1">
      <alignment horizontal="right" vertical="center" wrapText="1"/>
    </xf>
    <xf numFmtId="0" fontId="35" fillId="9" borderId="0" xfId="14" applyFont="1" applyFill="1" applyAlignment="1">
      <alignment horizontal="center" readingOrder="2"/>
    </xf>
    <xf numFmtId="49" fontId="35" fillId="9" borderId="0" xfId="0" applyNumberFormat="1" applyFont="1" applyFill="1" applyAlignment="1">
      <alignment horizontal="left"/>
    </xf>
    <xf numFmtId="49" fontId="35" fillId="9" borderId="0" xfId="0" applyNumberFormat="1" applyFont="1" applyFill="1" applyAlignment="1">
      <alignment horizontal="left" vertical="top"/>
    </xf>
    <xf numFmtId="166" fontId="57" fillId="9" borderId="0" xfId="23" applyNumberFormat="1" applyFont="1" applyFill="1" applyBorder="1" applyAlignment="1">
      <alignment horizontal="center" vertical="center" readingOrder="2"/>
    </xf>
    <xf numFmtId="0" fontId="29" fillId="9" borderId="0" xfId="8" applyFont="1" applyFill="1" applyAlignment="1">
      <alignment horizontal="right" vertical="top" wrapText="1" readingOrder="2"/>
    </xf>
    <xf numFmtId="0" fontId="30" fillId="9" borderId="0" xfId="14" applyFont="1" applyFill="1" applyAlignment="1">
      <alignment horizontal="center" readingOrder="2"/>
    </xf>
    <xf numFmtId="0" fontId="154" fillId="9" borderId="0" xfId="8" applyFont="1" applyFill="1" applyAlignment="1">
      <alignment horizontal="right" vertical="top" wrapText="1" readingOrder="2"/>
    </xf>
    <xf numFmtId="0" fontId="230" fillId="9" borderId="0" xfId="5" applyFont="1" applyFill="1" applyAlignment="1">
      <alignment horizontal="center" vertical="top" readingOrder="2"/>
    </xf>
    <xf numFmtId="0" fontId="57" fillId="9" borderId="0" xfId="23" applyFont="1" applyFill="1" applyBorder="1" applyAlignment="1">
      <alignment horizontal="center" vertical="center" readingOrder="2"/>
    </xf>
    <xf numFmtId="0" fontId="57" fillId="9" borderId="16" xfId="23" applyFont="1" applyFill="1" applyBorder="1" applyAlignment="1">
      <alignment horizontal="center" vertical="center" readingOrder="2"/>
    </xf>
    <xf numFmtId="0" fontId="57" fillId="9" borderId="6" xfId="23" applyFont="1" applyFill="1" applyBorder="1" applyAlignment="1">
      <alignment horizontal="center" vertical="center" wrapText="1" readingOrder="2"/>
    </xf>
    <xf numFmtId="0" fontId="57" fillId="9" borderId="16" xfId="23" applyFont="1" applyFill="1" applyBorder="1" applyAlignment="1">
      <alignment horizontal="center" vertical="center" wrapText="1" readingOrder="2"/>
    </xf>
    <xf numFmtId="0" fontId="57" fillId="9" borderId="6" xfId="23" applyFont="1" applyFill="1" applyBorder="1" applyAlignment="1">
      <alignment horizontal="center" vertical="center" wrapText="1"/>
    </xf>
    <xf numFmtId="0" fontId="57" fillId="9" borderId="16" xfId="23" applyFont="1" applyFill="1" applyBorder="1" applyAlignment="1">
      <alignment horizontal="center" vertical="center" wrapText="1"/>
    </xf>
    <xf numFmtId="0" fontId="57" fillId="9" borderId="40" xfId="23" applyFont="1" applyFill="1" applyBorder="1" applyAlignment="1">
      <alignment horizontal="center" vertical="center" readingOrder="2"/>
    </xf>
    <xf numFmtId="166" fontId="57" fillId="9" borderId="16" xfId="23" applyNumberFormat="1" applyFont="1" applyFill="1" applyBorder="1" applyAlignment="1">
      <alignment horizontal="center" vertical="center" readingOrder="2"/>
    </xf>
    <xf numFmtId="164" fontId="29" fillId="9" borderId="0" xfId="23" applyNumberFormat="1" applyFont="1" applyFill="1" applyBorder="1" applyAlignment="1">
      <alignment horizontal="center" vertical="center"/>
    </xf>
    <xf numFmtId="0" fontId="37" fillId="9" borderId="0" xfId="0" applyFont="1" applyFill="1" applyAlignment="1">
      <alignment horizontal="right" vertical="center" wrapText="1" readingOrder="2"/>
    </xf>
    <xf numFmtId="0" fontId="125" fillId="9" borderId="0" xfId="0" applyFont="1" applyFill="1" applyAlignment="1">
      <alignment horizontal="center"/>
    </xf>
    <xf numFmtId="0" fontId="30" fillId="9" borderId="0" xfId="29" applyFont="1" applyFill="1" applyAlignment="1">
      <alignment horizontal="right" vertical="top" wrapText="1" readingOrder="2"/>
    </xf>
    <xf numFmtId="0" fontId="42" fillId="0" borderId="0" xfId="0" applyFont="1" applyAlignment="1">
      <alignment horizontal="right" vertical="center" wrapText="1" readingOrder="2"/>
    </xf>
    <xf numFmtId="0" fontId="42" fillId="9" borderId="0" xfId="30" applyFont="1" applyFill="1" applyAlignment="1">
      <alignment horizontal="center" vertical="center"/>
    </xf>
    <xf numFmtId="0" fontId="238" fillId="0" borderId="0" xfId="5" applyFont="1" applyAlignment="1">
      <alignment horizontal="center" vertical="top" readingOrder="2"/>
    </xf>
    <xf numFmtId="0" fontId="250" fillId="9" borderId="0" xfId="0" applyFont="1" applyFill="1" applyAlignment="1">
      <alignment horizontal="right" vertical="center" wrapText="1" readingOrder="2"/>
    </xf>
    <xf numFmtId="0" fontId="249" fillId="9" borderId="0" xfId="22" applyFont="1" applyFill="1" applyAlignment="1">
      <alignment horizontal="right" vertical="center" readingOrder="2"/>
    </xf>
    <xf numFmtId="0" fontId="60" fillId="0" borderId="0" xfId="8" applyFont="1" applyAlignment="1">
      <alignment horizontal="center" vertical="center" readingOrder="2"/>
    </xf>
    <xf numFmtId="3" fontId="78" fillId="0" borderId="0" xfId="0" applyNumberFormat="1" applyFont="1" applyBorder="1" applyAlignment="1">
      <alignment horizontal="center" vertical="center" wrapText="1" readingOrder="2"/>
    </xf>
    <xf numFmtId="3" fontId="78" fillId="0" borderId="35" xfId="0" applyNumberFormat="1" applyFont="1" applyBorder="1" applyAlignment="1">
      <alignment horizontal="center" vertical="center" wrapText="1" readingOrder="2"/>
    </xf>
    <xf numFmtId="0" fontId="37" fillId="0" borderId="0" xfId="0" applyFont="1" applyAlignment="1">
      <alignment horizontal="right" vertical="center" wrapText="1" readingOrder="2"/>
    </xf>
    <xf numFmtId="0" fontId="78" fillId="0" borderId="0" xfId="0" applyFont="1" applyAlignment="1">
      <alignment horizontal="right" vertical="center" wrapText="1" readingOrder="2"/>
    </xf>
    <xf numFmtId="0" fontId="230" fillId="9" borderId="0" xfId="2123" applyFont="1" applyFill="1" applyAlignment="1">
      <alignment horizontal="center" vertical="top" readingOrder="2"/>
    </xf>
    <xf numFmtId="0" fontId="37" fillId="0" borderId="0" xfId="0" applyFont="1" applyBorder="1" applyAlignment="1">
      <alignment horizontal="right" vertical="center" wrapText="1" readingOrder="2"/>
    </xf>
    <xf numFmtId="0" fontId="244" fillId="0" borderId="0" xfId="0" applyFont="1" applyBorder="1" applyAlignment="1">
      <alignment horizontal="right" vertical="center" wrapText="1" readingOrder="2"/>
    </xf>
    <xf numFmtId="0" fontId="78" fillId="0" borderId="35" xfId="0" applyFont="1" applyBorder="1" applyAlignment="1">
      <alignment horizontal="center" vertical="center" wrapText="1" readingOrder="2"/>
    </xf>
    <xf numFmtId="0" fontId="78" fillId="0" borderId="36" xfId="0" applyFont="1" applyBorder="1" applyAlignment="1">
      <alignment horizontal="center" vertical="center" wrapText="1" readingOrder="2"/>
    </xf>
    <xf numFmtId="0" fontId="74" fillId="0" borderId="36" xfId="0" applyFont="1" applyBorder="1" applyAlignment="1">
      <alignment horizontal="center" vertical="center" wrapText="1" readingOrder="2"/>
    </xf>
    <xf numFmtId="0" fontId="60" fillId="9" borderId="0" xfId="12" applyFont="1" applyFill="1" applyAlignment="1">
      <alignment horizontal="center" vertical="top" readingOrder="2"/>
    </xf>
    <xf numFmtId="49" fontId="32" fillId="9" borderId="0" xfId="27" applyNumberFormat="1" applyFont="1" applyFill="1" applyBorder="1" applyAlignment="1">
      <alignment horizontal="center" vertical="center"/>
    </xf>
    <xf numFmtId="3" fontId="78" fillId="0" borderId="33" xfId="0" applyNumberFormat="1" applyFont="1" applyBorder="1" applyAlignment="1">
      <alignment horizontal="center" vertical="center" wrapText="1" readingOrder="2"/>
    </xf>
    <xf numFmtId="0" fontId="78" fillId="0" borderId="0" xfId="0" applyFont="1" applyBorder="1" applyAlignment="1">
      <alignment horizontal="center" vertical="center" wrapText="1" readingOrder="2"/>
    </xf>
    <xf numFmtId="0" fontId="78" fillId="0" borderId="0" xfId="0" applyFont="1" applyBorder="1" applyAlignment="1">
      <alignment horizontal="right" vertical="center" wrapText="1" readingOrder="2"/>
    </xf>
    <xf numFmtId="0" fontId="95" fillId="0" borderId="35" xfId="0" applyFont="1" applyBorder="1" applyAlignment="1">
      <alignment horizontal="center" vertical="center" wrapText="1" readingOrder="2"/>
    </xf>
    <xf numFmtId="0" fontId="154" fillId="9" borderId="0" xfId="0" applyFont="1" applyFill="1" applyAlignment="1">
      <alignment horizontal="center"/>
    </xf>
    <xf numFmtId="3" fontId="78" fillId="0" borderId="34" xfId="0" applyNumberFormat="1" applyFont="1" applyBorder="1" applyAlignment="1">
      <alignment horizontal="center" vertical="center" wrapText="1" readingOrder="2"/>
    </xf>
    <xf numFmtId="0" fontId="74" fillId="0" borderId="0" xfId="0" applyFont="1" applyBorder="1" applyAlignment="1">
      <alignment horizontal="center" vertical="center" wrapText="1" readingOrder="2"/>
    </xf>
    <xf numFmtId="49" fontId="32" fillId="9" borderId="35" xfId="27" applyNumberFormat="1" applyFont="1" applyFill="1" applyBorder="1" applyAlignment="1">
      <alignment horizontal="center" vertical="center"/>
    </xf>
    <xf numFmtId="0" fontId="74" fillId="0" borderId="35" xfId="0" applyFont="1" applyBorder="1" applyAlignment="1">
      <alignment horizontal="center" vertical="center" wrapText="1" readingOrder="2"/>
    </xf>
    <xf numFmtId="0" fontId="95" fillId="0" borderId="36" xfId="0" applyFont="1" applyBorder="1" applyAlignment="1">
      <alignment horizontal="center" vertical="center" wrapText="1" readingOrder="2"/>
    </xf>
    <xf numFmtId="0" fontId="31" fillId="9" borderId="0" xfId="31" applyFont="1" applyFill="1" applyAlignment="1">
      <alignment horizontal="right" vertical="top" wrapText="1" readingOrder="2"/>
    </xf>
    <xf numFmtId="0" fontId="237" fillId="9" borderId="0" xfId="2123" applyFont="1" applyFill="1" applyBorder="1" applyAlignment="1">
      <alignment horizontal="center" vertical="top" readingOrder="2"/>
    </xf>
    <xf numFmtId="0" fontId="32" fillId="9" borderId="0" xfId="15" applyFont="1" applyFill="1" applyAlignment="1">
      <alignment horizontal="right" vertical="top" wrapText="1" readingOrder="2"/>
    </xf>
    <xf numFmtId="0" fontId="31" fillId="9" borderId="0" xfId="31" applyFont="1" applyFill="1" applyAlignment="1">
      <alignment horizontal="right" vertical="center" wrapText="1" readingOrder="2"/>
    </xf>
    <xf numFmtId="0" fontId="48" fillId="9" borderId="0" xfId="31" applyFont="1" applyFill="1" applyAlignment="1">
      <alignment horizontal="center" vertical="top"/>
    </xf>
    <xf numFmtId="0" fontId="32" fillId="9" borderId="0" xfId="15" applyFont="1" applyFill="1" applyAlignment="1">
      <alignment horizontal="right" wrapText="1" readingOrder="2"/>
    </xf>
    <xf numFmtId="0" fontId="282" fillId="9" borderId="0" xfId="31" applyFont="1" applyFill="1" applyBorder="1" applyAlignment="1">
      <alignment horizontal="right" vertical="top" wrapText="1"/>
    </xf>
    <xf numFmtId="0" fontId="282" fillId="9" borderId="0" xfId="31" applyFont="1" applyFill="1" applyBorder="1" applyAlignment="1">
      <alignment horizontal="right" vertical="top"/>
    </xf>
    <xf numFmtId="0" fontId="281" fillId="9" borderId="0" xfId="2123" applyFont="1" applyFill="1" applyBorder="1" applyAlignment="1">
      <alignment horizontal="right" vertical="top" readingOrder="2"/>
    </xf>
    <xf numFmtId="0" fontId="43" fillId="9" borderId="0" xfId="32" applyFont="1" applyFill="1" applyBorder="1" applyAlignment="1">
      <alignment vertical="top" shrinkToFit="1" readingOrder="2"/>
    </xf>
    <xf numFmtId="0" fontId="133" fillId="0" borderId="0" xfId="0" applyFont="1" applyAlignment="1">
      <alignment horizontal="center" vertical="center" shrinkToFit="1"/>
    </xf>
    <xf numFmtId="0" fontId="43" fillId="9" borderId="19" xfId="32" applyFont="1" applyFill="1" applyBorder="1" applyAlignment="1">
      <alignment horizontal="center" wrapText="1"/>
    </xf>
    <xf numFmtId="0" fontId="43" fillId="9" borderId="46" xfId="32" applyFont="1" applyFill="1" applyBorder="1" applyAlignment="1">
      <alignment horizontal="center" wrapText="1"/>
    </xf>
    <xf numFmtId="0" fontId="43" fillId="9" borderId="64" xfId="32" applyFont="1" applyFill="1" applyBorder="1" applyAlignment="1">
      <alignment horizontal="center" vertical="center" wrapText="1" readingOrder="2"/>
    </xf>
    <xf numFmtId="0" fontId="43" fillId="9" borderId="43" xfId="32" applyFont="1" applyFill="1" applyBorder="1" applyAlignment="1">
      <alignment horizontal="center" vertical="center" wrapText="1" readingOrder="2"/>
    </xf>
    <xf numFmtId="0" fontId="43" fillId="9" borderId="68" xfId="32" applyFont="1" applyFill="1" applyBorder="1" applyAlignment="1">
      <alignment horizontal="center" vertical="center" wrapText="1" readingOrder="2"/>
    </xf>
    <xf numFmtId="0" fontId="43" fillId="9" borderId="3" xfId="32" applyFont="1" applyFill="1" applyBorder="1" applyAlignment="1">
      <alignment horizontal="center" vertical="center" wrapText="1" readingOrder="2"/>
    </xf>
    <xf numFmtId="0" fontId="92" fillId="9" borderId="61" xfId="12" applyFont="1" applyFill="1" applyBorder="1" applyAlignment="1">
      <alignment horizontal="center" vertical="center" readingOrder="2"/>
    </xf>
    <xf numFmtId="0" fontId="92" fillId="9" borderId="51" xfId="12" applyFont="1" applyFill="1" applyBorder="1" applyAlignment="1">
      <alignment horizontal="center" vertical="center" readingOrder="2"/>
    </xf>
    <xf numFmtId="0" fontId="240" fillId="9" borderId="0" xfId="12" applyFont="1" applyFill="1" applyBorder="1" applyAlignment="1">
      <alignment horizontal="right" vertical="top" readingOrder="2"/>
    </xf>
    <xf numFmtId="0" fontId="239" fillId="9" borderId="0" xfId="12" applyFont="1" applyFill="1" applyBorder="1" applyAlignment="1">
      <alignment horizontal="right" vertical="top" readingOrder="2"/>
    </xf>
    <xf numFmtId="0" fontId="239" fillId="9" borderId="0" xfId="31" applyFont="1" applyFill="1" applyBorder="1" applyAlignment="1">
      <alignment horizontal="left" vertical="top" readingOrder="2"/>
    </xf>
    <xf numFmtId="0" fontId="92" fillId="9" borderId="55" xfId="12" applyFont="1" applyFill="1" applyBorder="1" applyAlignment="1">
      <alignment horizontal="center" vertical="center" readingOrder="2"/>
    </xf>
    <xf numFmtId="0" fontId="92" fillId="9" borderId="16" xfId="12" applyFont="1" applyFill="1" applyBorder="1" applyAlignment="1">
      <alignment horizontal="center" vertical="center" readingOrder="2"/>
    </xf>
    <xf numFmtId="0" fontId="92" fillId="9" borderId="1" xfId="32" applyFont="1" applyFill="1" applyBorder="1" applyAlignment="1">
      <alignment horizontal="center" vertical="center" wrapText="1" readingOrder="2"/>
    </xf>
    <xf numFmtId="0" fontId="92" fillId="9" borderId="6" xfId="32" applyFont="1" applyFill="1" applyBorder="1" applyAlignment="1">
      <alignment horizontal="center" vertical="center" wrapText="1" readingOrder="2"/>
    </xf>
    <xf numFmtId="0" fontId="92" fillId="9" borderId="26" xfId="32" applyFont="1" applyFill="1" applyBorder="1" applyAlignment="1">
      <alignment horizontal="center" vertical="center" wrapText="1" readingOrder="2"/>
    </xf>
    <xf numFmtId="0" fontId="31" fillId="9" borderId="72" xfId="32" applyFont="1" applyFill="1" applyBorder="1" applyAlignment="1">
      <alignment horizontal="center" vertical="center" wrapText="1" readingOrder="2"/>
    </xf>
    <xf numFmtId="0" fontId="31" fillId="9" borderId="16" xfId="32" applyFont="1" applyFill="1" applyBorder="1" applyAlignment="1">
      <alignment horizontal="center" vertical="center" wrapText="1" readingOrder="2"/>
    </xf>
    <xf numFmtId="0" fontId="31" fillId="9" borderId="65" xfId="32" applyFont="1" applyFill="1" applyBorder="1" applyAlignment="1">
      <alignment horizontal="center" vertical="center" wrapText="1" readingOrder="2"/>
    </xf>
    <xf numFmtId="0" fontId="168" fillId="9" borderId="49" xfId="0" applyFont="1" applyFill="1" applyBorder="1" applyAlignment="1">
      <alignment horizontal="center" vertical="center"/>
    </xf>
    <xf numFmtId="0" fontId="168" fillId="9" borderId="40" xfId="0" applyFont="1" applyFill="1" applyBorder="1" applyAlignment="1">
      <alignment horizontal="center" vertical="center"/>
    </xf>
    <xf numFmtId="0" fontId="168" fillId="9" borderId="50" xfId="0" applyFont="1" applyFill="1" applyBorder="1" applyAlignment="1">
      <alignment horizontal="center" vertical="center"/>
    </xf>
    <xf numFmtId="0" fontId="43" fillId="9" borderId="0" xfId="26" applyFont="1" applyFill="1" applyBorder="1" applyAlignment="1">
      <alignment horizontal="right" vertical="top" readingOrder="2"/>
    </xf>
    <xf numFmtId="0" fontId="43" fillId="9" borderId="3" xfId="32" applyFont="1" applyFill="1" applyBorder="1" applyAlignment="1">
      <alignment horizontal="center" vertical="center" wrapText="1"/>
    </xf>
    <xf numFmtId="0" fontId="43" fillId="9" borderId="43" xfId="32" applyFont="1" applyFill="1" applyBorder="1" applyAlignment="1">
      <alignment horizontal="center" vertical="center" wrapText="1"/>
    </xf>
    <xf numFmtId="0" fontId="43" fillId="9" borderId="13" xfId="32" applyFont="1" applyFill="1" applyBorder="1" applyAlignment="1">
      <alignment horizontal="center" vertical="center" wrapText="1"/>
    </xf>
    <xf numFmtId="0" fontId="43" fillId="9" borderId="48" xfId="32" applyFont="1" applyFill="1" applyBorder="1" applyAlignment="1">
      <alignment horizontal="center" vertical="center" shrinkToFit="1"/>
    </xf>
    <xf numFmtId="0" fontId="43" fillId="9" borderId="19" xfId="32" applyFont="1" applyFill="1" applyBorder="1" applyAlignment="1">
      <alignment horizontal="center" vertical="center" shrinkToFit="1"/>
    </xf>
    <xf numFmtId="0" fontId="43" fillId="9" borderId="17" xfId="32" applyFont="1" applyFill="1" applyBorder="1" applyAlignment="1">
      <alignment horizontal="center" vertical="center" shrinkToFit="1"/>
    </xf>
    <xf numFmtId="0" fontId="43" fillId="9" borderId="48" xfId="32" applyFont="1" applyFill="1" applyBorder="1" applyAlignment="1">
      <alignment horizontal="center" vertical="center" wrapText="1"/>
    </xf>
    <xf numFmtId="0" fontId="43" fillId="9" borderId="19" xfId="32" applyFont="1" applyFill="1" applyBorder="1" applyAlignment="1">
      <alignment horizontal="center" vertical="center" wrapText="1"/>
    </xf>
    <xf numFmtId="0" fontId="43" fillId="9" borderId="17" xfId="32" applyFont="1" applyFill="1" applyBorder="1" applyAlignment="1">
      <alignment horizontal="center" vertical="center" wrapText="1"/>
    </xf>
    <xf numFmtId="0" fontId="43" fillId="9" borderId="48" xfId="32" applyFont="1" applyFill="1" applyBorder="1" applyAlignment="1">
      <alignment horizontal="center" vertical="center" wrapText="1" shrinkToFit="1"/>
    </xf>
    <xf numFmtId="0" fontId="43" fillId="9" borderId="19" xfId="32" applyFont="1" applyFill="1" applyBorder="1" applyAlignment="1">
      <alignment horizontal="center" vertical="center" wrapText="1" shrinkToFit="1"/>
    </xf>
    <xf numFmtId="0" fontId="43" fillId="9" borderId="17" xfId="32" applyFont="1" applyFill="1" applyBorder="1" applyAlignment="1">
      <alignment horizontal="center" vertical="center" wrapText="1" shrinkToFit="1"/>
    </xf>
    <xf numFmtId="0" fontId="43" fillId="9" borderId="48" xfId="32" applyFont="1" applyFill="1" applyBorder="1" applyAlignment="1">
      <alignment horizontal="center" wrapText="1"/>
    </xf>
    <xf numFmtId="0" fontId="43" fillId="9" borderId="47" xfId="32" applyFont="1" applyFill="1" applyBorder="1" applyAlignment="1">
      <alignment horizontal="center" wrapText="1"/>
    </xf>
    <xf numFmtId="0" fontId="43" fillId="9" borderId="4" xfId="32" applyFont="1" applyFill="1" applyBorder="1" applyAlignment="1">
      <alignment horizontal="center" vertical="center" wrapText="1"/>
    </xf>
    <xf numFmtId="0" fontId="43" fillId="9" borderId="11" xfId="32" applyFont="1" applyFill="1" applyBorder="1" applyAlignment="1">
      <alignment horizontal="center" vertical="center" wrapText="1"/>
    </xf>
    <xf numFmtId="0" fontId="43" fillId="9" borderId="14" xfId="32" applyFont="1" applyFill="1" applyBorder="1" applyAlignment="1">
      <alignment horizontal="center" vertical="center" wrapText="1"/>
    </xf>
    <xf numFmtId="0" fontId="43" fillId="9" borderId="1" xfId="32" applyFont="1" applyFill="1" applyBorder="1" applyAlignment="1">
      <alignment horizontal="center" vertical="center" shrinkToFit="1" readingOrder="2"/>
    </xf>
    <xf numFmtId="0" fontId="43" fillId="9" borderId="55" xfId="32" applyFont="1" applyFill="1" applyBorder="1" applyAlignment="1">
      <alignment horizontal="center" vertical="center" shrinkToFit="1" readingOrder="2"/>
    </xf>
    <xf numFmtId="0" fontId="92" fillId="9" borderId="52" xfId="32" applyFont="1" applyFill="1" applyBorder="1" applyAlignment="1">
      <alignment horizontal="center" vertical="center" wrapText="1" readingOrder="2"/>
    </xf>
    <xf numFmtId="0" fontId="92" fillId="9" borderId="41" xfId="32" applyFont="1" applyFill="1" applyBorder="1" applyAlignment="1">
      <alignment horizontal="center" vertical="center" wrapText="1" readingOrder="2"/>
    </xf>
    <xf numFmtId="0" fontId="92" fillId="9" borderId="57" xfId="32" applyFont="1" applyFill="1" applyBorder="1" applyAlignment="1">
      <alignment horizontal="center" vertical="center" wrapText="1" readingOrder="2"/>
    </xf>
    <xf numFmtId="0" fontId="90" fillId="0" borderId="0" xfId="32" applyFont="1" applyBorder="1" applyAlignment="1">
      <alignment horizontal="right" vertical="top" shrinkToFit="1" readingOrder="2"/>
    </xf>
    <xf numFmtId="0" fontId="43" fillId="9" borderId="59" xfId="32" applyFont="1" applyFill="1" applyBorder="1" applyAlignment="1">
      <alignment horizontal="center" vertical="center" wrapText="1" readingOrder="2"/>
    </xf>
    <xf numFmtId="0" fontId="43" fillId="9" borderId="63" xfId="32" applyFont="1" applyFill="1" applyBorder="1" applyAlignment="1">
      <alignment horizontal="center" vertical="center" wrapText="1" readingOrder="2"/>
    </xf>
    <xf numFmtId="0" fontId="92" fillId="9" borderId="49" xfId="32" applyFont="1" applyFill="1" applyBorder="1" applyAlignment="1">
      <alignment horizontal="center" vertical="center" wrapText="1" readingOrder="2"/>
    </xf>
    <xf numFmtId="0" fontId="92" fillId="9" borderId="40" xfId="32" applyFont="1" applyFill="1" applyBorder="1" applyAlignment="1">
      <alignment horizontal="center" vertical="center" wrapText="1" readingOrder="2"/>
    </xf>
    <xf numFmtId="0" fontId="92" fillId="9" borderId="50" xfId="32" applyFont="1" applyFill="1" applyBorder="1" applyAlignment="1">
      <alignment horizontal="center" vertical="center" wrapText="1" readingOrder="2"/>
    </xf>
    <xf numFmtId="0" fontId="43" fillId="9" borderId="7" xfId="32" applyFont="1" applyFill="1" applyBorder="1" applyAlignment="1">
      <alignment horizontal="center" vertical="center" wrapText="1" readingOrder="2"/>
    </xf>
    <xf numFmtId="0" fontId="43" fillId="9" borderId="10" xfId="32" applyFont="1" applyFill="1" applyBorder="1" applyAlignment="1">
      <alignment horizontal="center" vertical="center" wrapText="1" readingOrder="2"/>
    </xf>
    <xf numFmtId="0" fontId="43" fillId="9" borderId="53" xfId="32" applyFont="1" applyFill="1" applyBorder="1" applyAlignment="1">
      <alignment horizontal="center" vertical="center" wrapText="1" readingOrder="2"/>
    </xf>
    <xf numFmtId="0" fontId="43" fillId="9" borderId="52" xfId="32" applyFont="1" applyFill="1" applyBorder="1" applyAlignment="1">
      <alignment horizontal="center" vertical="center" wrapText="1" readingOrder="2"/>
    </xf>
    <xf numFmtId="0" fontId="43" fillId="9" borderId="41" xfId="32" applyFont="1" applyFill="1" applyBorder="1" applyAlignment="1">
      <alignment horizontal="center" vertical="center" wrapText="1" readingOrder="2"/>
    </xf>
    <xf numFmtId="0" fontId="43" fillId="9" borderId="57" xfId="32" applyFont="1" applyFill="1" applyBorder="1" applyAlignment="1">
      <alignment horizontal="center" vertical="center" wrapText="1" readingOrder="2"/>
    </xf>
    <xf numFmtId="0" fontId="43" fillId="9" borderId="31" xfId="32" applyFont="1" applyFill="1" applyBorder="1" applyAlignment="1">
      <alignment horizontal="center" vertical="center" wrapText="1" readingOrder="2"/>
    </xf>
    <xf numFmtId="0" fontId="43" fillId="9" borderId="32" xfId="32" applyFont="1" applyFill="1" applyBorder="1" applyAlignment="1">
      <alignment horizontal="center" vertical="center" wrapText="1" readingOrder="2"/>
    </xf>
    <xf numFmtId="0" fontId="43" fillId="9" borderId="23" xfId="32" applyFont="1" applyFill="1" applyBorder="1" applyAlignment="1">
      <alignment horizontal="center" vertical="center" wrapText="1" readingOrder="2"/>
    </xf>
    <xf numFmtId="0" fontId="43" fillId="9" borderId="67" xfId="32" applyFont="1" applyFill="1" applyBorder="1" applyAlignment="1">
      <alignment horizontal="center" vertical="center" wrapText="1" readingOrder="2"/>
    </xf>
    <xf numFmtId="0" fontId="30" fillId="9" borderId="0" xfId="32" applyFont="1" applyFill="1" applyBorder="1" applyAlignment="1">
      <alignment horizontal="right" vertical="top" wrapText="1" readingOrder="2"/>
    </xf>
    <xf numFmtId="0" fontId="43" fillId="9" borderId="66" xfId="32" applyFont="1" applyFill="1" applyBorder="1" applyAlignment="1">
      <alignment horizontal="center" vertical="center" wrapText="1" readingOrder="2"/>
    </xf>
    <xf numFmtId="0" fontId="43" fillId="9" borderId="6" xfId="32" applyFont="1" applyFill="1" applyBorder="1" applyAlignment="1">
      <alignment horizontal="center" vertical="center" wrapText="1" readingOrder="2"/>
    </xf>
    <xf numFmtId="0" fontId="231" fillId="0" borderId="0" xfId="2123" applyFont="1" applyAlignment="1">
      <alignment horizontal="center" vertical="top" readingOrder="2"/>
    </xf>
    <xf numFmtId="0" fontId="227" fillId="9" borderId="0" xfId="2123" applyFont="1" applyFill="1" applyBorder="1" applyAlignment="1">
      <alignment horizontal="center" vertical="top" readingOrder="2"/>
    </xf>
    <xf numFmtId="0" fontId="39" fillId="0" borderId="0" xfId="0" applyFont="1" applyAlignment="1">
      <alignment horizontal="center" vertical="center"/>
    </xf>
    <xf numFmtId="187" fontId="138" fillId="0" borderId="24" xfId="42" applyNumberFormat="1" applyFont="1" applyBorder="1" applyAlignment="1">
      <alignment horizontal="center" vertical="center" shrinkToFit="1"/>
    </xf>
    <xf numFmtId="187" fontId="138" fillId="0" borderId="11" xfId="42" applyNumberFormat="1" applyFont="1" applyBorder="1" applyAlignment="1">
      <alignment horizontal="center" vertical="center" shrinkToFit="1"/>
    </xf>
    <xf numFmtId="187" fontId="138" fillId="0" borderId="21" xfId="42" applyNumberFormat="1" applyFont="1" applyBorder="1" applyAlignment="1">
      <alignment horizontal="center" vertical="center" shrinkToFit="1"/>
    </xf>
    <xf numFmtId="0" fontId="138" fillId="0" borderId="24" xfId="0" applyFont="1" applyBorder="1" applyAlignment="1">
      <alignment horizontal="center" vertical="center"/>
    </xf>
    <xf numFmtId="0" fontId="138" fillId="0" borderId="21" xfId="0" applyFont="1" applyBorder="1" applyAlignment="1">
      <alignment horizontal="center" vertical="center"/>
    </xf>
    <xf numFmtId="0" fontId="138" fillId="0" borderId="31" xfId="0" applyFont="1" applyBorder="1" applyAlignment="1">
      <alignment horizontal="center" vertical="center"/>
    </xf>
    <xf numFmtId="0" fontId="138" fillId="0" borderId="23" xfId="0" applyFont="1" applyBorder="1" applyAlignment="1">
      <alignment horizontal="center" vertical="center"/>
    </xf>
    <xf numFmtId="0" fontId="138" fillId="0" borderId="24" xfId="0" applyFont="1" applyBorder="1" applyAlignment="1">
      <alignment horizontal="center" vertical="center" shrinkToFit="1"/>
    </xf>
    <xf numFmtId="0" fontId="138" fillId="0" borderId="21" xfId="0" applyFont="1" applyBorder="1" applyAlignment="1">
      <alignment horizontal="center" vertical="center" shrinkToFit="1"/>
    </xf>
    <xf numFmtId="0" fontId="237" fillId="9" borderId="0" xfId="2123" applyFont="1" applyFill="1" applyBorder="1" applyAlignment="1">
      <alignment horizontal="center" vertical="center" readingOrder="2"/>
    </xf>
    <xf numFmtId="187" fontId="138" fillId="9" borderId="24" xfId="42" applyNumberFormat="1" applyFont="1" applyFill="1" applyBorder="1" applyAlignment="1">
      <alignment horizontal="center" vertical="center" shrinkToFit="1"/>
    </xf>
    <xf numFmtId="187" fontId="138" fillId="9" borderId="21" xfId="42" applyNumberFormat="1" applyFont="1" applyFill="1" applyBorder="1" applyAlignment="1">
      <alignment horizontal="center" vertical="center" shrinkToFit="1"/>
    </xf>
    <xf numFmtId="0" fontId="60" fillId="9" borderId="61" xfId="34" applyFont="1" applyFill="1" applyBorder="1" applyAlignment="1">
      <alignment horizontal="center" vertical="center" wrapText="1"/>
    </xf>
    <xf numFmtId="0" fontId="60" fillId="9" borderId="51" xfId="34" applyFont="1" applyFill="1" applyBorder="1" applyAlignment="1">
      <alignment horizontal="center" vertical="center" wrapText="1"/>
    </xf>
    <xf numFmtId="3" fontId="84" fillId="0" borderId="0" xfId="2130" applyNumberFormat="1" applyFont="1" applyBorder="1" applyAlignment="1">
      <alignment horizontal="right" vertical="center"/>
    </xf>
    <xf numFmtId="41" fontId="47" fillId="9" borderId="7" xfId="47" applyNumberFormat="1" applyFont="1" applyFill="1" applyBorder="1" applyAlignment="1">
      <alignment horizontal="center" vertical="center" wrapText="1"/>
    </xf>
    <xf numFmtId="41" fontId="47" fillId="9" borderId="53" xfId="47" applyNumberFormat="1" applyFont="1" applyFill="1" applyBorder="1" applyAlignment="1">
      <alignment horizontal="center" vertical="center" wrapText="1"/>
    </xf>
    <xf numFmtId="0" fontId="47" fillId="9" borderId="52" xfId="34" applyFont="1" applyFill="1" applyBorder="1" applyAlignment="1">
      <alignment horizontal="center" vertical="center" wrapText="1"/>
    </xf>
    <xf numFmtId="0" fontId="47" fillId="9" borderId="59" xfId="34" applyFont="1" applyFill="1" applyBorder="1" applyAlignment="1">
      <alignment horizontal="center" vertical="center" wrapText="1"/>
    </xf>
    <xf numFmtId="0" fontId="47" fillId="9" borderId="7" xfId="34" applyFont="1" applyFill="1" applyBorder="1" applyAlignment="1">
      <alignment horizontal="center" vertical="center" wrapText="1"/>
    </xf>
    <xf numFmtId="0" fontId="47" fillId="9" borderId="53" xfId="34" applyFont="1" applyFill="1" applyBorder="1" applyAlignment="1">
      <alignment horizontal="center" vertical="center" wrapText="1"/>
    </xf>
    <xf numFmtId="3" fontId="47" fillId="9" borderId="48" xfId="34" applyNumberFormat="1" applyFont="1" applyFill="1" applyBorder="1" applyAlignment="1">
      <alignment horizontal="center" vertical="center" wrapText="1"/>
    </xf>
    <xf numFmtId="3" fontId="47" fillId="9" borderId="17" xfId="34" applyNumberFormat="1" applyFont="1" applyFill="1" applyBorder="1" applyAlignment="1">
      <alignment horizontal="center" vertical="center" wrapText="1"/>
    </xf>
    <xf numFmtId="3" fontId="47" fillId="9" borderId="52" xfId="34" applyNumberFormat="1" applyFont="1" applyFill="1" applyBorder="1" applyAlignment="1">
      <alignment horizontal="center" vertical="top" wrapText="1"/>
    </xf>
    <xf numFmtId="3" fontId="47" fillId="9" borderId="41" xfId="34" applyNumberFormat="1" applyFont="1" applyFill="1" applyBorder="1" applyAlignment="1">
      <alignment horizontal="center" vertical="top" wrapText="1"/>
    </xf>
    <xf numFmtId="3" fontId="47" fillId="9" borderId="47" xfId="34" applyNumberFormat="1" applyFont="1" applyFill="1" applyBorder="1" applyAlignment="1">
      <alignment horizontal="center" vertical="center" wrapText="1"/>
    </xf>
    <xf numFmtId="3" fontId="47" fillId="9" borderId="18" xfId="34" applyNumberFormat="1" applyFont="1" applyFill="1" applyBorder="1" applyAlignment="1">
      <alignment horizontal="center" vertical="center" wrapText="1"/>
    </xf>
    <xf numFmtId="49" fontId="43" fillId="9" borderId="0" xfId="47" applyNumberFormat="1" applyFont="1" applyFill="1" applyAlignment="1">
      <alignment horizontal="center" vertical="top" readingOrder="2"/>
    </xf>
    <xf numFmtId="0" fontId="49" fillId="0" borderId="0" xfId="34" applyFont="1" applyFill="1" applyAlignment="1">
      <alignment horizontal="center" vertical="center" wrapText="1"/>
    </xf>
    <xf numFmtId="0" fontId="227" fillId="0" borderId="0" xfId="5" applyFont="1" applyAlignment="1">
      <alignment horizontal="center" vertical="top" readingOrder="2"/>
    </xf>
    <xf numFmtId="0" fontId="95" fillId="0" borderId="0" xfId="37" applyFont="1" applyAlignment="1">
      <alignment horizontal="center"/>
    </xf>
    <xf numFmtId="0" fontId="60" fillId="9" borderId="61" xfId="34" applyFont="1" applyFill="1" applyBorder="1" applyAlignment="1">
      <alignment horizontal="center" vertical="top" wrapText="1"/>
    </xf>
    <xf numFmtId="0" fontId="60" fillId="9" borderId="51" xfId="34" applyFont="1" applyFill="1" applyBorder="1" applyAlignment="1">
      <alignment horizontal="center" vertical="top" wrapText="1"/>
    </xf>
    <xf numFmtId="0" fontId="48" fillId="9" borderId="49" xfId="34" applyFont="1" applyFill="1" applyBorder="1" applyAlignment="1">
      <alignment horizontal="center" vertical="center" wrapText="1"/>
    </xf>
    <xf numFmtId="0" fontId="48" fillId="9" borderId="50" xfId="34" applyFont="1" applyFill="1" applyBorder="1" applyAlignment="1">
      <alignment horizontal="center" vertical="center" wrapText="1"/>
    </xf>
    <xf numFmtId="0" fontId="60" fillId="9" borderId="40" xfId="34" applyFont="1" applyFill="1" applyBorder="1" applyAlignment="1">
      <alignment horizontal="right" vertical="center" wrapText="1"/>
    </xf>
    <xf numFmtId="3" fontId="160" fillId="0" borderId="35" xfId="40" applyNumberFormat="1" applyFont="1" applyBorder="1" applyAlignment="1">
      <alignment horizontal="center" vertical="center" readingOrder="2"/>
    </xf>
    <xf numFmtId="3" fontId="160" fillId="0" borderId="0" xfId="40" applyNumberFormat="1" applyFont="1" applyBorder="1" applyAlignment="1">
      <alignment horizontal="center" vertical="center" readingOrder="2"/>
    </xf>
    <xf numFmtId="0" fontId="160" fillId="0" borderId="0" xfId="40" applyFont="1" applyBorder="1" applyAlignment="1">
      <alignment horizontal="center" vertical="center" readingOrder="2"/>
    </xf>
    <xf numFmtId="4" fontId="160" fillId="0" borderId="0" xfId="40" applyNumberFormat="1" applyFont="1" applyBorder="1" applyAlignment="1">
      <alignment horizontal="center" vertical="center" readingOrder="2"/>
    </xf>
    <xf numFmtId="172" fontId="160" fillId="0" borderId="0" xfId="40" applyNumberFormat="1" applyFont="1" applyBorder="1" applyAlignment="1">
      <alignment horizontal="center" vertical="center" readingOrder="2"/>
    </xf>
    <xf numFmtId="3" fontId="160" fillId="0" borderId="35" xfId="40" applyNumberFormat="1" applyFont="1" applyBorder="1" applyAlignment="1">
      <alignment horizontal="center" readingOrder="2"/>
    </xf>
    <xf numFmtId="181" fontId="160" fillId="0" borderId="0" xfId="40" applyNumberFormat="1" applyFont="1" applyBorder="1" applyAlignment="1">
      <alignment horizontal="center" vertical="center" readingOrder="2"/>
    </xf>
    <xf numFmtId="4" fontId="163" fillId="0" borderId="0" xfId="40" applyNumberFormat="1" applyFont="1" applyBorder="1" applyAlignment="1">
      <alignment horizontal="center" vertical="center" readingOrder="2"/>
    </xf>
    <xf numFmtId="3" fontId="160" fillId="0" borderId="0" xfId="40" applyNumberFormat="1" applyFont="1" applyBorder="1" applyAlignment="1">
      <alignment horizontal="center" vertical="top" readingOrder="2"/>
    </xf>
    <xf numFmtId="0" fontId="159" fillId="0" borderId="0" xfId="40" applyFont="1" applyBorder="1" applyAlignment="1">
      <alignment horizontal="center" vertical="center" readingOrder="2"/>
    </xf>
    <xf numFmtId="0" fontId="160" fillId="0" borderId="35" xfId="40" applyFont="1" applyBorder="1" applyAlignment="1">
      <alignment horizontal="center" readingOrder="2"/>
    </xf>
    <xf numFmtId="0" fontId="160" fillId="0" borderId="0" xfId="40" applyFont="1" applyBorder="1" applyAlignment="1">
      <alignment horizontal="center" vertical="top" readingOrder="2"/>
    </xf>
    <xf numFmtId="0" fontId="163" fillId="0" borderId="0" xfId="40" applyFont="1" applyBorder="1" applyAlignment="1">
      <alignment horizontal="center" vertical="center" readingOrder="2"/>
    </xf>
    <xf numFmtId="0" fontId="160" fillId="0" borderId="0" xfId="40" applyFont="1" applyBorder="1" applyAlignment="1">
      <alignment horizontal="right" vertical="center" readingOrder="2"/>
    </xf>
    <xf numFmtId="0" fontId="160" fillId="0" borderId="0" xfId="40" applyFont="1" applyBorder="1" applyAlignment="1">
      <alignment horizontal="right" vertical="center" wrapText="1" readingOrder="2"/>
    </xf>
    <xf numFmtId="0" fontId="160" fillId="0" borderId="0" xfId="40" applyFont="1" applyBorder="1" applyAlignment="1">
      <alignment wrapText="1"/>
    </xf>
    <xf numFmtId="0" fontId="160" fillId="0" borderId="0" xfId="40" applyFont="1" applyBorder="1" applyAlignment="1">
      <alignment horizontal="left" vertical="center" wrapText="1" readingOrder="2"/>
    </xf>
    <xf numFmtId="0" fontId="160" fillId="0" borderId="35" xfId="40" applyFont="1" applyBorder="1" applyAlignment="1">
      <alignment horizontal="center" wrapText="1" readingOrder="2"/>
    </xf>
    <xf numFmtId="16" fontId="160" fillId="0" borderId="0" xfId="40" applyNumberFormat="1" applyFont="1" applyBorder="1" applyAlignment="1">
      <alignment horizontal="right" vertical="center" readingOrder="2"/>
    </xf>
    <xf numFmtId="0" fontId="160" fillId="0" borderId="35" xfId="40" applyFont="1" applyBorder="1" applyAlignment="1">
      <alignment horizontal="center" shrinkToFit="1" readingOrder="2"/>
    </xf>
    <xf numFmtId="0" fontId="159" fillId="0" borderId="0" xfId="40" applyNumberFormat="1" applyFont="1" applyBorder="1" applyAlignment="1">
      <alignment horizontal="center" vertical="center" readingOrder="2"/>
    </xf>
    <xf numFmtId="3" fontId="160" fillId="0" borderId="36" xfId="40" applyNumberFormat="1" applyFont="1" applyBorder="1" applyAlignment="1">
      <alignment horizontal="center" vertical="top" readingOrder="2"/>
    </xf>
    <xf numFmtId="3" fontId="205" fillId="10" borderId="0" xfId="40" applyNumberFormat="1" applyFont="1" applyFill="1" applyBorder="1" applyAlignment="1">
      <alignment horizontal="center" vertical="center" readingOrder="2"/>
    </xf>
    <xf numFmtId="0" fontId="160" fillId="0" borderId="0" xfId="40" applyFont="1" applyBorder="1" applyAlignment="1">
      <alignment horizontal="center" vertical="top" wrapText="1" readingOrder="2"/>
    </xf>
    <xf numFmtId="0" fontId="166" fillId="0" borderId="0" xfId="0" applyFont="1" applyAlignment="1">
      <alignment horizontal="center" vertical="center"/>
    </xf>
    <xf numFmtId="3" fontId="166" fillId="0" borderId="0" xfId="2130" applyNumberFormat="1" applyFont="1" applyAlignment="1">
      <alignment horizontal="center"/>
    </xf>
    <xf numFmtId="0" fontId="138" fillId="0" borderId="6" xfId="0" applyFont="1" applyBorder="1" applyAlignment="1">
      <alignment horizontal="right" vertical="center" wrapText="1"/>
    </xf>
    <xf numFmtId="0" fontId="138" fillId="0" borderId="49" xfId="0" applyFont="1" applyBorder="1" applyAlignment="1">
      <alignment horizontal="center" vertical="center" wrapText="1"/>
    </xf>
    <xf numFmtId="0" fontId="138" fillId="0" borderId="50" xfId="0" applyFont="1" applyBorder="1" applyAlignment="1">
      <alignment horizontal="center" vertical="center" wrapText="1"/>
    </xf>
    <xf numFmtId="0" fontId="274" fillId="0" borderId="0" xfId="0" applyFont="1" applyAlignment="1">
      <alignment horizontal="center" vertical="center"/>
    </xf>
    <xf numFmtId="0" fontId="138" fillId="0" borderId="7" xfId="0" applyFont="1" applyBorder="1" applyAlignment="1">
      <alignment horizontal="center" vertical="center" wrapText="1"/>
    </xf>
    <xf numFmtId="0" fontId="138" fillId="0" borderId="53" xfId="0" applyFont="1" applyBorder="1" applyAlignment="1">
      <alignment horizontal="center" vertical="center" wrapText="1"/>
    </xf>
    <xf numFmtId="0" fontId="138" fillId="0" borderId="4" xfId="0" applyFont="1" applyBorder="1" applyAlignment="1">
      <alignment horizontal="center" vertical="center" wrapText="1"/>
    </xf>
    <xf numFmtId="0" fontId="138" fillId="0" borderId="14" xfId="0" applyFont="1" applyBorder="1" applyAlignment="1">
      <alignment horizontal="center" vertical="center" wrapText="1"/>
    </xf>
    <xf numFmtId="0" fontId="166" fillId="0" borderId="52" xfId="0" applyFont="1" applyBorder="1" applyAlignment="1">
      <alignment horizontal="center" vertical="center" wrapText="1"/>
    </xf>
    <xf numFmtId="0" fontId="166" fillId="0" borderId="57" xfId="0" applyFont="1" applyBorder="1" applyAlignment="1">
      <alignment horizontal="center" vertical="center" wrapText="1"/>
    </xf>
    <xf numFmtId="0" fontId="138" fillId="0" borderId="5" xfId="0" applyFont="1" applyBorder="1" applyAlignment="1">
      <alignment horizontal="center" vertical="center" wrapText="1"/>
    </xf>
    <xf numFmtId="0" fontId="138" fillId="0" borderId="15" xfId="0" applyFont="1" applyBorder="1" applyAlignment="1">
      <alignment horizontal="center" vertical="center" wrapText="1"/>
    </xf>
    <xf numFmtId="0" fontId="10" fillId="0" borderId="0" xfId="1" applyFont="1" applyBorder="1" applyAlignment="1" applyProtection="1">
      <alignment horizontal="center" vertical="center"/>
    </xf>
    <xf numFmtId="0" fontId="10" fillId="0" borderId="0" xfId="1" applyFont="1" applyBorder="1" applyAlignment="1" applyProtection="1">
      <alignment horizontal="center" vertical="center" readingOrder="2"/>
    </xf>
    <xf numFmtId="3" fontId="14" fillId="4" borderId="4" xfId="3" applyNumberFormat="1" applyFont="1" applyFill="1" applyBorder="1" applyAlignment="1" applyProtection="1">
      <alignment horizontal="center" vertical="center"/>
      <protection locked="0"/>
    </xf>
    <xf numFmtId="3" fontId="14" fillId="4" borderId="11" xfId="3" applyNumberFormat="1" applyFont="1" applyFill="1" applyBorder="1" applyAlignment="1" applyProtection="1">
      <alignment horizontal="center" vertical="center"/>
      <protection locked="0"/>
    </xf>
    <xf numFmtId="49" fontId="14" fillId="4" borderId="4" xfId="3" applyNumberFormat="1" applyFont="1" applyFill="1" applyBorder="1" applyAlignment="1" applyProtection="1">
      <alignment horizontal="center" vertical="center"/>
      <protection locked="0"/>
    </xf>
    <xf numFmtId="49" fontId="14" fillId="4" borderId="11" xfId="3" applyNumberFormat="1" applyFont="1" applyFill="1" applyBorder="1" applyAlignment="1" applyProtection="1">
      <alignment horizontal="center" vertical="center"/>
      <protection locked="0"/>
    </xf>
    <xf numFmtId="0" fontId="22" fillId="4" borderId="1" xfId="3" applyFont="1" applyFill="1" applyBorder="1" applyAlignment="1" applyProtection="1">
      <alignment horizontal="center" vertical="center" wrapText="1"/>
      <protection locked="0"/>
    </xf>
    <xf numFmtId="0" fontId="22" fillId="4" borderId="8" xfId="3" applyFont="1" applyFill="1" applyBorder="1" applyAlignment="1" applyProtection="1">
      <alignment horizontal="center" vertical="center" wrapText="1"/>
      <protection locked="0"/>
    </xf>
    <xf numFmtId="0" fontId="14" fillId="4" borderId="2" xfId="3" applyFont="1" applyFill="1" applyBorder="1" applyAlignment="1" applyProtection="1">
      <alignment horizontal="center" vertical="center" wrapText="1"/>
      <protection locked="0"/>
    </xf>
    <xf numFmtId="0" fontId="14" fillId="4" borderId="9" xfId="3" applyFont="1" applyFill="1" applyBorder="1" applyAlignment="1" applyProtection="1">
      <alignment horizontal="center" vertical="center" wrapText="1"/>
      <protection locked="0"/>
    </xf>
    <xf numFmtId="0" fontId="14" fillId="4" borderId="3" xfId="3" applyFont="1" applyFill="1" applyBorder="1" applyAlignment="1" applyProtection="1">
      <alignment horizontal="center" vertical="center" textRotation="180" readingOrder="2"/>
      <protection locked="0"/>
    </xf>
    <xf numFmtId="0" fontId="14" fillId="4" borderId="10" xfId="3" applyFont="1" applyFill="1" applyBorder="1" applyAlignment="1" applyProtection="1">
      <alignment horizontal="center" vertical="center" textRotation="180" readingOrder="2"/>
      <protection locked="0"/>
    </xf>
    <xf numFmtId="0" fontId="14" fillId="4" borderId="28" xfId="3" applyFont="1" applyFill="1" applyBorder="1" applyAlignment="1" applyProtection="1">
      <alignment horizontal="center" vertical="center" textRotation="180" readingOrder="2"/>
      <protection locked="0"/>
    </xf>
    <xf numFmtId="0" fontId="14" fillId="4" borderId="4" xfId="3" applyFont="1" applyFill="1" applyBorder="1" applyAlignment="1" applyProtection="1">
      <alignment horizontal="center" vertical="center"/>
      <protection locked="0"/>
    </xf>
    <xf numFmtId="0" fontId="14" fillId="4" borderId="11" xfId="3" applyFont="1" applyFill="1" applyBorder="1" applyAlignment="1" applyProtection="1">
      <alignment horizontal="center" vertical="center"/>
      <protection locked="0"/>
    </xf>
    <xf numFmtId="0" fontId="15" fillId="2" borderId="4" xfId="3" applyFont="1" applyFill="1" applyBorder="1" applyAlignment="1" applyProtection="1">
      <alignment horizontal="center" vertical="center"/>
      <protection locked="0"/>
    </xf>
    <xf numFmtId="0" fontId="15" fillId="2" borderId="11" xfId="3" applyFont="1" applyFill="1" applyBorder="1" applyAlignment="1" applyProtection="1">
      <alignment horizontal="center" vertical="center"/>
      <protection locked="0"/>
    </xf>
    <xf numFmtId="0" fontId="15" fillId="2" borderId="14" xfId="3" applyFont="1" applyFill="1" applyBorder="1" applyAlignment="1" applyProtection="1">
      <alignment horizontal="center" vertical="center"/>
      <protection locked="0"/>
    </xf>
    <xf numFmtId="3" fontId="15" fillId="2" borderId="5" xfId="3" applyNumberFormat="1" applyFont="1" applyFill="1" applyBorder="1" applyAlignment="1" applyProtection="1">
      <alignment horizontal="center" vertical="center"/>
      <protection locked="0"/>
    </xf>
    <xf numFmtId="3" fontId="15" fillId="2" borderId="12" xfId="3" applyNumberFormat="1" applyFont="1" applyFill="1" applyBorder="1" applyAlignment="1" applyProtection="1">
      <alignment horizontal="center" vertical="center"/>
      <protection locked="0"/>
    </xf>
    <xf numFmtId="3" fontId="15" fillId="2" borderId="15" xfId="3" applyNumberFormat="1" applyFont="1" applyFill="1" applyBorder="1" applyAlignment="1" applyProtection="1">
      <alignment horizontal="center" vertical="center"/>
      <protection locked="0"/>
    </xf>
    <xf numFmtId="0" fontId="14" fillId="2" borderId="1" xfId="3" applyFont="1" applyFill="1" applyBorder="1" applyAlignment="1" applyProtection="1">
      <alignment horizontal="center" vertical="center" wrapText="1"/>
      <protection locked="0"/>
    </xf>
    <xf numFmtId="0" fontId="14" fillId="2" borderId="8" xfId="3" applyFont="1" applyFill="1" applyBorder="1" applyAlignment="1" applyProtection="1">
      <alignment horizontal="center" vertical="center" wrapText="1"/>
      <protection locked="0"/>
    </xf>
    <xf numFmtId="0" fontId="14" fillId="2" borderId="2" xfId="3" applyFont="1" applyFill="1" applyBorder="1" applyAlignment="1" applyProtection="1">
      <alignment horizontal="center" vertical="center" wrapText="1"/>
      <protection locked="0"/>
    </xf>
    <xf numFmtId="0" fontId="14" fillId="2" borderId="9" xfId="3" applyFont="1" applyFill="1" applyBorder="1" applyAlignment="1" applyProtection="1">
      <alignment horizontal="center" vertical="center" wrapText="1"/>
      <protection locked="0"/>
    </xf>
    <xf numFmtId="0" fontId="15" fillId="2" borderId="3" xfId="3" applyFont="1" applyFill="1" applyBorder="1" applyAlignment="1" applyProtection="1">
      <alignment horizontal="center" vertical="center" textRotation="180" readingOrder="2"/>
      <protection locked="0"/>
    </xf>
    <xf numFmtId="0" fontId="15" fillId="2" borderId="10" xfId="3" applyFont="1" applyFill="1" applyBorder="1" applyAlignment="1" applyProtection="1">
      <alignment horizontal="center" vertical="center" textRotation="180" readingOrder="2"/>
      <protection locked="0"/>
    </xf>
    <xf numFmtId="0" fontId="15" fillId="2" borderId="13" xfId="3" applyFont="1" applyFill="1" applyBorder="1" applyAlignment="1" applyProtection="1">
      <alignment horizontal="center" vertical="center" textRotation="180" readingOrder="2"/>
      <protection locked="0"/>
    </xf>
    <xf numFmtId="49" fontId="15" fillId="2" borderId="4" xfId="3" applyNumberFormat="1" applyFont="1" applyFill="1" applyBorder="1" applyAlignment="1" applyProtection="1">
      <alignment horizontal="center" vertical="center"/>
      <protection locked="0"/>
    </xf>
    <xf numFmtId="49" fontId="15" fillId="2" borderId="11" xfId="3" applyNumberFormat="1" applyFont="1" applyFill="1" applyBorder="1" applyAlignment="1" applyProtection="1">
      <alignment horizontal="center" vertical="center"/>
      <protection locked="0"/>
    </xf>
    <xf numFmtId="49" fontId="15" fillId="2" borderId="14" xfId="3" applyNumberFormat="1" applyFont="1" applyFill="1" applyBorder="1" applyAlignment="1" applyProtection="1">
      <alignment horizontal="center" vertical="center"/>
      <protection locked="0"/>
    </xf>
    <xf numFmtId="0" fontId="215" fillId="0" borderId="0" xfId="0" applyFont="1" applyAlignment="1">
      <alignment horizontal="center"/>
    </xf>
    <xf numFmtId="0" fontId="217" fillId="0" borderId="0" xfId="0" applyFont="1" applyAlignment="1">
      <alignment horizontal="right" vertical="center"/>
    </xf>
    <xf numFmtId="164" fontId="268" fillId="0" borderId="19" xfId="2131" applyNumberFormat="1" applyFont="1" applyFill="1" applyBorder="1" applyAlignment="1">
      <alignment horizontal="center" vertical="center"/>
    </xf>
    <xf numFmtId="164" fontId="269" fillId="0" borderId="19" xfId="2131" applyNumberFormat="1" applyFont="1" applyFill="1" applyBorder="1" applyAlignment="1">
      <alignment horizontal="center" vertical="center"/>
    </xf>
    <xf numFmtId="164" fontId="269" fillId="0" borderId="24" xfId="2131" applyNumberFormat="1" applyFont="1" applyFill="1" applyBorder="1" applyAlignment="1">
      <alignment horizontal="center" vertical="center"/>
    </xf>
    <xf numFmtId="164" fontId="269" fillId="0" borderId="21" xfId="2131" applyNumberFormat="1" applyFont="1" applyFill="1" applyBorder="1" applyAlignment="1">
      <alignment horizontal="center" vertical="center"/>
    </xf>
    <xf numFmtId="184" fontId="270" fillId="0" borderId="70" xfId="2132" applyNumberFormat="1" applyFont="1" applyBorder="1" applyAlignment="1">
      <alignment horizontal="center" vertical="center"/>
    </xf>
    <xf numFmtId="1" fontId="265" fillId="0" borderId="19" xfId="2132" applyNumberFormat="1" applyFont="1" applyBorder="1" applyAlignment="1">
      <alignment horizontal="center" vertical="center" wrapText="1"/>
    </xf>
    <xf numFmtId="3" fontId="265" fillId="0" borderId="19" xfId="2132" applyNumberFormat="1" applyFont="1" applyBorder="1" applyAlignment="1">
      <alignment horizontal="center" vertical="center" wrapText="1"/>
    </xf>
    <xf numFmtId="49" fontId="267" fillId="0" borderId="19" xfId="2131" applyNumberFormat="1" applyFont="1" applyBorder="1" applyAlignment="1">
      <alignment horizontal="right" vertical="center" readingOrder="2"/>
    </xf>
    <xf numFmtId="3" fontId="262" fillId="0" borderId="0" xfId="2132" applyNumberFormat="1" applyFont="1" applyAlignment="1">
      <alignment horizontal="center" vertical="center"/>
    </xf>
    <xf numFmtId="49" fontId="267" fillId="0" borderId="24" xfId="2131" applyNumberFormat="1" applyFont="1" applyBorder="1" applyAlignment="1">
      <alignment horizontal="right" vertical="center" readingOrder="2"/>
    </xf>
    <xf numFmtId="49" fontId="267" fillId="0" borderId="21" xfId="2131" applyNumberFormat="1" applyFont="1" applyBorder="1" applyAlignment="1">
      <alignment horizontal="right" vertical="center" readingOrder="2"/>
    </xf>
    <xf numFmtId="164" fontId="268" fillId="0" borderId="24" xfId="2131" applyNumberFormat="1" applyFont="1" applyFill="1" applyBorder="1" applyAlignment="1">
      <alignment horizontal="center" vertical="center"/>
    </xf>
    <xf numFmtId="164" fontId="268" fillId="0" borderId="21" xfId="2131" applyNumberFormat="1" applyFont="1" applyFill="1" applyBorder="1" applyAlignment="1">
      <alignment horizontal="center" vertical="center"/>
    </xf>
    <xf numFmtId="164" fontId="269" fillId="0" borderId="24" xfId="2131" applyNumberFormat="1" applyFont="1" applyBorder="1" applyAlignment="1">
      <alignment horizontal="center" vertical="center"/>
    </xf>
    <xf numFmtId="164" fontId="269" fillId="0" borderId="21" xfId="2131" applyNumberFormat="1" applyFont="1" applyBorder="1" applyAlignment="1">
      <alignment horizontal="center" vertical="center"/>
    </xf>
    <xf numFmtId="1" fontId="264" fillId="0" borderId="19" xfId="2132" applyNumberFormat="1" applyFont="1" applyBorder="1" applyAlignment="1">
      <alignment horizontal="center" vertical="center" wrapText="1"/>
    </xf>
    <xf numFmtId="49" fontId="267" fillId="0" borderId="71" xfId="2131" applyNumberFormat="1" applyFont="1" applyBorder="1" applyAlignment="1">
      <alignment horizontal="right" vertical="center" readingOrder="2"/>
    </xf>
    <xf numFmtId="3" fontId="262" fillId="0" borderId="0" xfId="2130" applyNumberFormat="1" applyFont="1" applyAlignment="1">
      <alignment horizontal="center" vertical="center"/>
    </xf>
    <xf numFmtId="3" fontId="265" fillId="0" borderId="71" xfId="2130" applyNumberFormat="1" applyFont="1" applyBorder="1" applyAlignment="1">
      <alignment horizontal="center" vertical="center" wrapText="1"/>
    </xf>
    <xf numFmtId="164" fontId="269" fillId="10" borderId="24" xfId="2131" applyNumberFormat="1" applyFont="1" applyFill="1" applyBorder="1" applyAlignment="1">
      <alignment horizontal="center" vertical="center"/>
    </xf>
    <xf numFmtId="164" fontId="269" fillId="10" borderId="21" xfId="2131" applyNumberFormat="1" applyFont="1" applyFill="1" applyBorder="1" applyAlignment="1">
      <alignment horizontal="center" vertical="center"/>
    </xf>
    <xf numFmtId="1" fontId="264" fillId="0" borderId="71" xfId="2130" applyNumberFormat="1" applyFont="1" applyBorder="1" applyAlignment="1">
      <alignment horizontal="center" vertical="center" wrapText="1"/>
    </xf>
    <xf numFmtId="1" fontId="265" fillId="0" borderId="71" xfId="2130" applyNumberFormat="1" applyFont="1" applyBorder="1" applyAlignment="1">
      <alignment horizontal="center" vertical="center" wrapText="1"/>
    </xf>
    <xf numFmtId="164" fontId="268" fillId="0" borderId="71" xfId="2131" applyNumberFormat="1" applyFont="1" applyFill="1" applyBorder="1" applyAlignment="1">
      <alignment horizontal="center" vertical="center"/>
    </xf>
    <xf numFmtId="164" fontId="269" fillId="0" borderId="71" xfId="2131" applyNumberFormat="1" applyFont="1" applyFill="1" applyBorder="1" applyAlignment="1">
      <alignment horizontal="center" vertical="center"/>
    </xf>
    <xf numFmtId="184" fontId="270" fillId="0" borderId="70" xfId="2130" applyNumberFormat="1" applyFont="1" applyBorder="1" applyAlignment="1">
      <alignment horizontal="center" vertical="center"/>
    </xf>
    <xf numFmtId="164" fontId="31" fillId="10" borderId="0" xfId="27" applyNumberFormat="1" applyFont="1" applyFill="1" applyBorder="1" applyAlignment="1">
      <alignment vertical="center"/>
    </xf>
    <xf numFmtId="164" fontId="60" fillId="0" borderId="0" xfId="27" applyNumberFormat="1" applyFont="1" applyAlignment="1"/>
  </cellXfs>
  <cellStyles count="2133">
    <cellStyle name="Comma" xfId="42" builtinId="3"/>
    <cellStyle name="Comma 10" xfId="50"/>
    <cellStyle name="Comma 11" xfId="51"/>
    <cellStyle name="Comma 12" xfId="52"/>
    <cellStyle name="Comma 13" xfId="53"/>
    <cellStyle name="Comma 13 10" xfId="54"/>
    <cellStyle name="Comma 13 11" xfId="55"/>
    <cellStyle name="Comma 13 12" xfId="56"/>
    <cellStyle name="Comma 13 13" xfId="57"/>
    <cellStyle name="Comma 13 14" xfId="58"/>
    <cellStyle name="Comma 13 15" xfId="59"/>
    <cellStyle name="Comma 13 16" xfId="60"/>
    <cellStyle name="Comma 13 17" xfId="61"/>
    <cellStyle name="Comma 13 18" xfId="62"/>
    <cellStyle name="Comma 13 19" xfId="63"/>
    <cellStyle name="Comma 13 2" xfId="64"/>
    <cellStyle name="Comma 13 20" xfId="65"/>
    <cellStyle name="Comma 13 21" xfId="66"/>
    <cellStyle name="Comma 13 22" xfId="67"/>
    <cellStyle name="Comma 13 23" xfId="68"/>
    <cellStyle name="Comma 13 24" xfId="69"/>
    <cellStyle name="Comma 13 25" xfId="70"/>
    <cellStyle name="Comma 13 26" xfId="71"/>
    <cellStyle name="Comma 13 27" xfId="72"/>
    <cellStyle name="Comma 13 28" xfId="73"/>
    <cellStyle name="Comma 13 29" xfId="74"/>
    <cellStyle name="Comma 13 3" xfId="75"/>
    <cellStyle name="Comma 13 30" xfId="76"/>
    <cellStyle name="Comma 13 31" xfId="77"/>
    <cellStyle name="Comma 13 32" xfId="78"/>
    <cellStyle name="Comma 13 33" xfId="79"/>
    <cellStyle name="Comma 13 34" xfId="80"/>
    <cellStyle name="Comma 13 35" xfId="81"/>
    <cellStyle name="Comma 13 36" xfId="82"/>
    <cellStyle name="Comma 13 37" xfId="83"/>
    <cellStyle name="Comma 13 38" xfId="84"/>
    <cellStyle name="Comma 13 39" xfId="85"/>
    <cellStyle name="Comma 13 4" xfId="86"/>
    <cellStyle name="Comma 13 40" xfId="87"/>
    <cellStyle name="Comma 13 41" xfId="88"/>
    <cellStyle name="Comma 13 42" xfId="89"/>
    <cellStyle name="Comma 13 43" xfId="90"/>
    <cellStyle name="Comma 13 44" xfId="91"/>
    <cellStyle name="Comma 13 45" xfId="92"/>
    <cellStyle name="Comma 13 46" xfId="93"/>
    <cellStyle name="Comma 13 47" xfId="94"/>
    <cellStyle name="Comma 13 48" xfId="95"/>
    <cellStyle name="Comma 13 49" xfId="96"/>
    <cellStyle name="Comma 13 5" xfId="97"/>
    <cellStyle name="Comma 13 6" xfId="98"/>
    <cellStyle name="Comma 13 7" xfId="99"/>
    <cellStyle name="Comma 13 8" xfId="100"/>
    <cellStyle name="Comma 13 9" xfId="101"/>
    <cellStyle name="Comma 16" xfId="102"/>
    <cellStyle name="Comma 17" xfId="103"/>
    <cellStyle name="Comma 17 10" xfId="104"/>
    <cellStyle name="Comma 17 11" xfId="105"/>
    <cellStyle name="Comma 17 12" xfId="106"/>
    <cellStyle name="Comma 17 13" xfId="107"/>
    <cellStyle name="Comma 17 14" xfId="108"/>
    <cellStyle name="Comma 17 15" xfId="109"/>
    <cellStyle name="Comma 17 16" xfId="110"/>
    <cellStyle name="Comma 17 17" xfId="111"/>
    <cellStyle name="Comma 17 18" xfId="112"/>
    <cellStyle name="Comma 17 19" xfId="113"/>
    <cellStyle name="Comma 17 2" xfId="114"/>
    <cellStyle name="Comma 17 20" xfId="115"/>
    <cellStyle name="Comma 17 21" xfId="116"/>
    <cellStyle name="Comma 17 22" xfId="117"/>
    <cellStyle name="Comma 17 23" xfId="118"/>
    <cellStyle name="Comma 17 24" xfId="119"/>
    <cellStyle name="Comma 17 25" xfId="120"/>
    <cellStyle name="Comma 17 26" xfId="121"/>
    <cellStyle name="Comma 17 27" xfId="122"/>
    <cellStyle name="Comma 17 28" xfId="123"/>
    <cellStyle name="Comma 17 29" xfId="124"/>
    <cellStyle name="Comma 17 3" xfId="125"/>
    <cellStyle name="Comma 17 30" xfId="126"/>
    <cellStyle name="Comma 17 31" xfId="127"/>
    <cellStyle name="Comma 17 32" xfId="128"/>
    <cellStyle name="Comma 17 33" xfId="129"/>
    <cellStyle name="Comma 17 34" xfId="130"/>
    <cellStyle name="Comma 17 35" xfId="131"/>
    <cellStyle name="Comma 17 36" xfId="132"/>
    <cellStyle name="Comma 17 37" xfId="133"/>
    <cellStyle name="Comma 17 38" xfId="134"/>
    <cellStyle name="Comma 17 39" xfId="135"/>
    <cellStyle name="Comma 17 4" xfId="136"/>
    <cellStyle name="Comma 17 40" xfId="137"/>
    <cellStyle name="Comma 17 41" xfId="138"/>
    <cellStyle name="Comma 17 42" xfId="139"/>
    <cellStyle name="Comma 17 43" xfId="140"/>
    <cellStyle name="Comma 17 44" xfId="141"/>
    <cellStyle name="Comma 17 45" xfId="142"/>
    <cellStyle name="Comma 17 46" xfId="143"/>
    <cellStyle name="Comma 17 47" xfId="144"/>
    <cellStyle name="Comma 17 48" xfId="145"/>
    <cellStyle name="Comma 17 49" xfId="146"/>
    <cellStyle name="Comma 17 5" xfId="147"/>
    <cellStyle name="Comma 17 6" xfId="148"/>
    <cellStyle name="Comma 17 7" xfId="149"/>
    <cellStyle name="Comma 17 8" xfId="150"/>
    <cellStyle name="Comma 17 9" xfId="151"/>
    <cellStyle name="Comma 2" xfId="152"/>
    <cellStyle name="Comma 2 10" xfId="153"/>
    <cellStyle name="Comma 2 11" xfId="154"/>
    <cellStyle name="Comma 2 12" xfId="155"/>
    <cellStyle name="Comma 2 13" xfId="156"/>
    <cellStyle name="Comma 2 14" xfId="157"/>
    <cellStyle name="Comma 2 15" xfId="158"/>
    <cellStyle name="Comma 2 16" xfId="159"/>
    <cellStyle name="Comma 2 17" xfId="160"/>
    <cellStyle name="Comma 2 18" xfId="161"/>
    <cellStyle name="Comma 2 19" xfId="162"/>
    <cellStyle name="Comma 2 2" xfId="163"/>
    <cellStyle name="Comma 2 2 2" xfId="2128"/>
    <cellStyle name="Comma 2 20" xfId="164"/>
    <cellStyle name="Comma 2 21" xfId="165"/>
    <cellStyle name="Comma 2 22" xfId="166"/>
    <cellStyle name="Comma 2 23" xfId="167"/>
    <cellStyle name="Comma 2 24" xfId="168"/>
    <cellStyle name="Comma 2 25" xfId="169"/>
    <cellStyle name="Comma 2 26" xfId="170"/>
    <cellStyle name="Comma 2 27" xfId="171"/>
    <cellStyle name="Comma 2 28" xfId="172"/>
    <cellStyle name="Comma 2 29" xfId="173"/>
    <cellStyle name="Comma 2 3" xfId="174"/>
    <cellStyle name="Comma 2 3 10" xfId="175"/>
    <cellStyle name="Comma 2 3 11" xfId="176"/>
    <cellStyle name="Comma 2 3 12" xfId="177"/>
    <cellStyle name="Comma 2 3 13" xfId="178"/>
    <cellStyle name="Comma 2 3 14" xfId="179"/>
    <cellStyle name="Comma 2 3 15" xfId="180"/>
    <cellStyle name="Comma 2 3 16" xfId="181"/>
    <cellStyle name="Comma 2 3 17" xfId="182"/>
    <cellStyle name="Comma 2 3 18" xfId="183"/>
    <cellStyle name="Comma 2 3 19" xfId="184"/>
    <cellStyle name="Comma 2 3 2" xfId="185"/>
    <cellStyle name="Comma 2 3 20" xfId="186"/>
    <cellStyle name="Comma 2 3 21" xfId="187"/>
    <cellStyle name="Comma 2 3 22" xfId="188"/>
    <cellStyle name="Comma 2 3 23" xfId="189"/>
    <cellStyle name="Comma 2 3 24" xfId="190"/>
    <cellStyle name="Comma 2 3 25" xfId="191"/>
    <cellStyle name="Comma 2 3 26" xfId="192"/>
    <cellStyle name="Comma 2 3 27" xfId="193"/>
    <cellStyle name="Comma 2 3 28" xfId="194"/>
    <cellStyle name="Comma 2 3 29" xfId="195"/>
    <cellStyle name="Comma 2 3 3" xfId="196"/>
    <cellStyle name="Comma 2 3 30" xfId="197"/>
    <cellStyle name="Comma 2 3 31" xfId="198"/>
    <cellStyle name="Comma 2 3 32" xfId="199"/>
    <cellStyle name="Comma 2 3 33" xfId="200"/>
    <cellStyle name="Comma 2 3 34" xfId="201"/>
    <cellStyle name="Comma 2 3 35" xfId="202"/>
    <cellStyle name="Comma 2 3 36" xfId="203"/>
    <cellStyle name="Comma 2 3 37" xfId="204"/>
    <cellStyle name="Comma 2 3 38" xfId="205"/>
    <cellStyle name="Comma 2 3 39" xfId="206"/>
    <cellStyle name="Comma 2 3 4" xfId="207"/>
    <cellStyle name="Comma 2 3 40" xfId="208"/>
    <cellStyle name="Comma 2 3 5" xfId="209"/>
    <cellStyle name="Comma 2 3 6" xfId="210"/>
    <cellStyle name="Comma 2 3 7" xfId="211"/>
    <cellStyle name="Comma 2 3 8" xfId="212"/>
    <cellStyle name="Comma 2 3 9" xfId="213"/>
    <cellStyle name="Comma 2 30" xfId="214"/>
    <cellStyle name="Comma 2 31" xfId="215"/>
    <cellStyle name="Comma 2 32" xfId="216"/>
    <cellStyle name="Comma 2 33" xfId="217"/>
    <cellStyle name="Comma 2 34" xfId="218"/>
    <cellStyle name="Comma 2 35" xfId="219"/>
    <cellStyle name="Comma 2 36" xfId="220"/>
    <cellStyle name="Comma 2 37" xfId="221"/>
    <cellStyle name="Comma 2 38" xfId="222"/>
    <cellStyle name="Comma 2 39" xfId="223"/>
    <cellStyle name="Comma 2 4" xfId="224"/>
    <cellStyle name="Comma 2 40" xfId="225"/>
    <cellStyle name="Comma 2 41" xfId="226"/>
    <cellStyle name="Comma 2 42" xfId="227"/>
    <cellStyle name="Comma 2 43" xfId="228"/>
    <cellStyle name="Comma 2 44" xfId="229"/>
    <cellStyle name="Comma 2 45" xfId="230"/>
    <cellStyle name="Comma 2 46" xfId="231"/>
    <cellStyle name="Comma 2 47" xfId="232"/>
    <cellStyle name="Comma 2 48" xfId="233"/>
    <cellStyle name="Comma 2 49" xfId="234"/>
    <cellStyle name="Comma 2 5" xfId="235"/>
    <cellStyle name="Comma 2 50" xfId="236"/>
    <cellStyle name="Comma 2 51" xfId="237"/>
    <cellStyle name="Comma 2 52" xfId="238"/>
    <cellStyle name="Comma 2 53" xfId="239"/>
    <cellStyle name="Comma 2 54" xfId="240"/>
    <cellStyle name="Comma 2 55" xfId="241"/>
    <cellStyle name="Comma 2 56" xfId="242"/>
    <cellStyle name="Comma 2 57" xfId="243"/>
    <cellStyle name="Comma 2 58" xfId="244"/>
    <cellStyle name="Comma 2 59" xfId="245"/>
    <cellStyle name="Comma 2 6" xfId="246"/>
    <cellStyle name="Comma 2 60" xfId="247"/>
    <cellStyle name="Comma 2 61" xfId="248"/>
    <cellStyle name="Comma 2 62" xfId="249"/>
    <cellStyle name="Comma 2 63" xfId="250"/>
    <cellStyle name="Comma 2 64" xfId="251"/>
    <cellStyle name="Comma 2 65" xfId="252"/>
    <cellStyle name="Comma 2 66" xfId="253"/>
    <cellStyle name="Comma 2 67" xfId="254"/>
    <cellStyle name="Comma 2 68" xfId="255"/>
    <cellStyle name="Comma 2 69" xfId="256"/>
    <cellStyle name="Comma 2 7" xfId="257"/>
    <cellStyle name="Comma 2 70" xfId="258"/>
    <cellStyle name="Comma 2 71" xfId="259"/>
    <cellStyle name="Comma 2 72" xfId="260"/>
    <cellStyle name="Comma 2 73" xfId="261"/>
    <cellStyle name="Comma 2 74" xfId="262"/>
    <cellStyle name="Comma 2 75" xfId="263"/>
    <cellStyle name="Comma 2 76" xfId="264"/>
    <cellStyle name="Comma 2 77" xfId="265"/>
    <cellStyle name="Comma 2 78" xfId="266"/>
    <cellStyle name="Comma 2 79" xfId="267"/>
    <cellStyle name="Comma 2 8" xfId="268"/>
    <cellStyle name="Comma 2 80" xfId="269"/>
    <cellStyle name="Comma 2 81" xfId="270"/>
    <cellStyle name="Comma 2 82" xfId="271"/>
    <cellStyle name="Comma 2 83" xfId="272"/>
    <cellStyle name="Comma 2 84" xfId="273"/>
    <cellStyle name="Comma 2 85" xfId="274"/>
    <cellStyle name="Comma 2 86" xfId="275"/>
    <cellStyle name="Comma 2 87" xfId="276"/>
    <cellStyle name="Comma 2 88" xfId="277"/>
    <cellStyle name="Comma 2 89" xfId="278"/>
    <cellStyle name="Comma 2 9" xfId="279"/>
    <cellStyle name="Comma 20" xfId="280"/>
    <cellStyle name="Comma 22" xfId="281"/>
    <cellStyle name="Comma 22 10" xfId="282"/>
    <cellStyle name="Comma 22 11" xfId="283"/>
    <cellStyle name="Comma 22 12" xfId="284"/>
    <cellStyle name="Comma 22 13" xfId="285"/>
    <cellStyle name="Comma 22 14" xfId="286"/>
    <cellStyle name="Comma 22 15" xfId="287"/>
    <cellStyle name="Comma 22 16" xfId="288"/>
    <cellStyle name="Comma 22 17" xfId="289"/>
    <cellStyle name="Comma 22 18" xfId="290"/>
    <cellStyle name="Comma 22 19" xfId="291"/>
    <cellStyle name="Comma 22 2" xfId="292"/>
    <cellStyle name="Comma 22 20" xfId="293"/>
    <cellStyle name="Comma 22 21" xfId="294"/>
    <cellStyle name="Comma 22 22" xfId="295"/>
    <cellStyle name="Comma 22 23" xfId="296"/>
    <cellStyle name="Comma 22 24" xfId="297"/>
    <cellStyle name="Comma 22 25" xfId="298"/>
    <cellStyle name="Comma 22 26" xfId="299"/>
    <cellStyle name="Comma 22 27" xfId="300"/>
    <cellStyle name="Comma 22 28" xfId="301"/>
    <cellStyle name="Comma 22 29" xfId="302"/>
    <cellStyle name="Comma 22 3" xfId="303"/>
    <cellStyle name="Comma 22 30" xfId="304"/>
    <cellStyle name="Comma 22 31" xfId="305"/>
    <cellStyle name="Comma 22 32" xfId="306"/>
    <cellStyle name="Comma 22 33" xfId="307"/>
    <cellStyle name="Comma 22 34" xfId="308"/>
    <cellStyle name="Comma 22 35" xfId="309"/>
    <cellStyle name="Comma 22 36" xfId="310"/>
    <cellStyle name="Comma 22 37" xfId="311"/>
    <cellStyle name="Comma 22 38" xfId="312"/>
    <cellStyle name="Comma 22 39" xfId="313"/>
    <cellStyle name="Comma 22 4" xfId="314"/>
    <cellStyle name="Comma 22 40" xfId="315"/>
    <cellStyle name="Comma 22 41" xfId="316"/>
    <cellStyle name="Comma 22 42" xfId="317"/>
    <cellStyle name="Comma 22 43" xfId="318"/>
    <cellStyle name="Comma 22 44" xfId="319"/>
    <cellStyle name="Comma 22 45" xfId="320"/>
    <cellStyle name="Comma 22 46" xfId="321"/>
    <cellStyle name="Comma 22 47" xfId="322"/>
    <cellStyle name="Comma 22 48" xfId="323"/>
    <cellStyle name="Comma 22 49" xfId="324"/>
    <cellStyle name="Comma 22 5" xfId="325"/>
    <cellStyle name="Comma 22 6" xfId="326"/>
    <cellStyle name="Comma 22 7" xfId="327"/>
    <cellStyle name="Comma 22 8" xfId="328"/>
    <cellStyle name="Comma 22 9" xfId="329"/>
    <cellStyle name="Comma 23" xfId="330"/>
    <cellStyle name="Comma 23 10" xfId="331"/>
    <cellStyle name="Comma 23 11" xfId="332"/>
    <cellStyle name="Comma 23 12" xfId="333"/>
    <cellStyle name="Comma 23 13" xfId="334"/>
    <cellStyle name="Comma 23 14" xfId="335"/>
    <cellStyle name="Comma 23 15" xfId="336"/>
    <cellStyle name="Comma 23 16" xfId="337"/>
    <cellStyle name="Comma 23 17" xfId="338"/>
    <cellStyle name="Comma 23 18" xfId="339"/>
    <cellStyle name="Comma 23 19" xfId="340"/>
    <cellStyle name="Comma 23 2" xfId="341"/>
    <cellStyle name="Comma 23 20" xfId="342"/>
    <cellStyle name="Comma 23 21" xfId="343"/>
    <cellStyle name="Comma 23 22" xfId="344"/>
    <cellStyle name="Comma 23 23" xfId="345"/>
    <cellStyle name="Comma 23 24" xfId="346"/>
    <cellStyle name="Comma 23 25" xfId="347"/>
    <cellStyle name="Comma 23 26" xfId="348"/>
    <cellStyle name="Comma 23 27" xfId="349"/>
    <cellStyle name="Comma 23 28" xfId="350"/>
    <cellStyle name="Comma 23 29" xfId="351"/>
    <cellStyle name="Comma 23 3" xfId="352"/>
    <cellStyle name="Comma 23 30" xfId="353"/>
    <cellStyle name="Comma 23 31" xfId="354"/>
    <cellStyle name="Comma 23 32" xfId="355"/>
    <cellStyle name="Comma 23 33" xfId="356"/>
    <cellStyle name="Comma 23 34" xfId="357"/>
    <cellStyle name="Comma 23 35" xfId="358"/>
    <cellStyle name="Comma 23 36" xfId="359"/>
    <cellStyle name="Comma 23 37" xfId="360"/>
    <cellStyle name="Comma 23 38" xfId="361"/>
    <cellStyle name="Comma 23 39" xfId="362"/>
    <cellStyle name="Comma 23 4" xfId="363"/>
    <cellStyle name="Comma 23 40" xfId="364"/>
    <cellStyle name="Comma 23 41" xfId="365"/>
    <cellStyle name="Comma 23 42" xfId="366"/>
    <cellStyle name="Comma 23 43" xfId="367"/>
    <cellStyle name="Comma 23 44" xfId="368"/>
    <cellStyle name="Comma 23 45" xfId="369"/>
    <cellStyle name="Comma 23 46" xfId="370"/>
    <cellStyle name="Comma 23 47" xfId="371"/>
    <cellStyle name="Comma 23 48" xfId="372"/>
    <cellStyle name="Comma 23 49" xfId="373"/>
    <cellStyle name="Comma 23 5" xfId="374"/>
    <cellStyle name="Comma 23 6" xfId="375"/>
    <cellStyle name="Comma 23 7" xfId="376"/>
    <cellStyle name="Comma 23 8" xfId="377"/>
    <cellStyle name="Comma 23 9" xfId="378"/>
    <cellStyle name="Comma 26" xfId="379"/>
    <cellStyle name="Comma 26 10" xfId="380"/>
    <cellStyle name="Comma 26 11" xfId="381"/>
    <cellStyle name="Comma 26 12" xfId="382"/>
    <cellStyle name="Comma 26 13" xfId="383"/>
    <cellStyle name="Comma 26 14" xfId="384"/>
    <cellStyle name="Comma 26 15" xfId="385"/>
    <cellStyle name="Comma 26 16" xfId="386"/>
    <cellStyle name="Comma 26 17" xfId="387"/>
    <cellStyle name="Comma 26 18" xfId="388"/>
    <cellStyle name="Comma 26 19" xfId="389"/>
    <cellStyle name="Comma 26 2" xfId="390"/>
    <cellStyle name="Comma 26 20" xfId="391"/>
    <cellStyle name="Comma 26 21" xfId="392"/>
    <cellStyle name="Comma 26 22" xfId="393"/>
    <cellStyle name="Comma 26 23" xfId="394"/>
    <cellStyle name="Comma 26 24" xfId="395"/>
    <cellStyle name="Comma 26 25" xfId="396"/>
    <cellStyle name="Comma 26 26" xfId="397"/>
    <cellStyle name="Comma 26 27" xfId="398"/>
    <cellStyle name="Comma 26 28" xfId="399"/>
    <cellStyle name="Comma 26 29" xfId="400"/>
    <cellStyle name="Comma 26 3" xfId="401"/>
    <cellStyle name="Comma 26 30" xfId="402"/>
    <cellStyle name="Comma 26 31" xfId="403"/>
    <cellStyle name="Comma 26 32" xfId="404"/>
    <cellStyle name="Comma 26 33" xfId="405"/>
    <cellStyle name="Comma 26 34" xfId="406"/>
    <cellStyle name="Comma 26 35" xfId="407"/>
    <cellStyle name="Comma 26 36" xfId="408"/>
    <cellStyle name="Comma 26 37" xfId="409"/>
    <cellStyle name="Comma 26 38" xfId="410"/>
    <cellStyle name="Comma 26 39" xfId="411"/>
    <cellStyle name="Comma 26 4" xfId="412"/>
    <cellStyle name="Comma 26 40" xfId="413"/>
    <cellStyle name="Comma 26 41" xfId="414"/>
    <cellStyle name="Comma 26 42" xfId="415"/>
    <cellStyle name="Comma 26 43" xfId="416"/>
    <cellStyle name="Comma 26 44" xfId="417"/>
    <cellStyle name="Comma 26 45" xfId="418"/>
    <cellStyle name="Comma 26 46" xfId="419"/>
    <cellStyle name="Comma 26 47" xfId="420"/>
    <cellStyle name="Comma 26 48" xfId="421"/>
    <cellStyle name="Comma 26 49" xfId="422"/>
    <cellStyle name="Comma 26 5" xfId="423"/>
    <cellStyle name="Comma 26 6" xfId="424"/>
    <cellStyle name="Comma 26 7" xfId="425"/>
    <cellStyle name="Comma 26 8" xfId="426"/>
    <cellStyle name="Comma 26 9" xfId="427"/>
    <cellStyle name="Comma 28" xfId="428"/>
    <cellStyle name="Comma 3" xfId="429"/>
    <cellStyle name="Comma 3 10" xfId="430"/>
    <cellStyle name="Comma 3 11" xfId="431"/>
    <cellStyle name="Comma 3 12" xfId="432"/>
    <cellStyle name="Comma 3 13" xfId="433"/>
    <cellStyle name="Comma 3 14" xfId="434"/>
    <cellStyle name="Comma 3 15" xfId="435"/>
    <cellStyle name="Comma 3 16" xfId="436"/>
    <cellStyle name="Comma 3 17" xfId="437"/>
    <cellStyle name="Comma 3 18" xfId="438"/>
    <cellStyle name="Comma 3 19" xfId="439"/>
    <cellStyle name="Comma 3 2" xfId="440"/>
    <cellStyle name="Comma 3 20" xfId="441"/>
    <cellStyle name="Comma 3 21" xfId="442"/>
    <cellStyle name="Comma 3 22" xfId="443"/>
    <cellStyle name="Comma 3 23" xfId="444"/>
    <cellStyle name="Comma 3 24" xfId="445"/>
    <cellStyle name="Comma 3 25" xfId="446"/>
    <cellStyle name="Comma 3 26" xfId="447"/>
    <cellStyle name="Comma 3 27" xfId="448"/>
    <cellStyle name="Comma 3 28" xfId="449"/>
    <cellStyle name="Comma 3 29" xfId="450"/>
    <cellStyle name="Comma 3 3" xfId="451"/>
    <cellStyle name="Comma 3 30" xfId="452"/>
    <cellStyle name="Comma 3 31" xfId="453"/>
    <cellStyle name="Comma 3 32" xfId="454"/>
    <cellStyle name="Comma 3 33" xfId="455"/>
    <cellStyle name="Comma 3 34" xfId="456"/>
    <cellStyle name="Comma 3 35" xfId="457"/>
    <cellStyle name="Comma 3 36" xfId="458"/>
    <cellStyle name="Comma 3 37" xfId="459"/>
    <cellStyle name="Comma 3 38" xfId="460"/>
    <cellStyle name="Comma 3 39" xfId="461"/>
    <cellStyle name="Comma 3 4" xfId="462"/>
    <cellStyle name="Comma 3 40" xfId="463"/>
    <cellStyle name="Comma 3 5" xfId="464"/>
    <cellStyle name="Comma 3 6" xfId="465"/>
    <cellStyle name="Comma 3 7" xfId="466"/>
    <cellStyle name="Comma 3 8" xfId="467"/>
    <cellStyle name="Comma 3 9" xfId="468"/>
    <cellStyle name="Comma 30" xfId="469"/>
    <cellStyle name="Comma 30 10" xfId="470"/>
    <cellStyle name="Comma 30 11" xfId="471"/>
    <cellStyle name="Comma 30 12" xfId="472"/>
    <cellStyle name="Comma 30 13" xfId="473"/>
    <cellStyle name="Comma 30 14" xfId="474"/>
    <cellStyle name="Comma 30 15" xfId="475"/>
    <cellStyle name="Comma 30 16" xfId="476"/>
    <cellStyle name="Comma 30 17" xfId="477"/>
    <cellStyle name="Comma 30 18" xfId="478"/>
    <cellStyle name="Comma 30 19" xfId="479"/>
    <cellStyle name="Comma 30 2" xfId="480"/>
    <cellStyle name="Comma 30 20" xfId="481"/>
    <cellStyle name="Comma 30 21" xfId="482"/>
    <cellStyle name="Comma 30 22" xfId="483"/>
    <cellStyle name="Comma 30 23" xfId="484"/>
    <cellStyle name="Comma 30 24" xfId="485"/>
    <cellStyle name="Comma 30 25" xfId="486"/>
    <cellStyle name="Comma 30 26" xfId="487"/>
    <cellStyle name="Comma 30 27" xfId="488"/>
    <cellStyle name="Comma 30 28" xfId="489"/>
    <cellStyle name="Comma 30 29" xfId="490"/>
    <cellStyle name="Comma 30 3" xfId="491"/>
    <cellStyle name="Comma 30 30" xfId="492"/>
    <cellStyle name="Comma 30 31" xfId="493"/>
    <cellStyle name="Comma 30 32" xfId="494"/>
    <cellStyle name="Comma 30 33" xfId="495"/>
    <cellStyle name="Comma 30 34" xfId="496"/>
    <cellStyle name="Comma 30 35" xfId="497"/>
    <cellStyle name="Comma 30 36" xfId="498"/>
    <cellStyle name="Comma 30 37" xfId="499"/>
    <cellStyle name="Comma 30 38" xfId="500"/>
    <cellStyle name="Comma 30 39" xfId="501"/>
    <cellStyle name="Comma 30 4" xfId="502"/>
    <cellStyle name="Comma 30 40" xfId="503"/>
    <cellStyle name="Comma 30 41" xfId="504"/>
    <cellStyle name="Comma 30 42" xfId="505"/>
    <cellStyle name="Comma 30 43" xfId="506"/>
    <cellStyle name="Comma 30 44" xfId="507"/>
    <cellStyle name="Comma 30 45" xfId="508"/>
    <cellStyle name="Comma 30 46" xfId="509"/>
    <cellStyle name="Comma 30 47" xfId="510"/>
    <cellStyle name="Comma 30 48" xfId="511"/>
    <cellStyle name="Comma 30 49" xfId="512"/>
    <cellStyle name="Comma 30 5" xfId="513"/>
    <cellStyle name="Comma 30 6" xfId="514"/>
    <cellStyle name="Comma 30 7" xfId="515"/>
    <cellStyle name="Comma 30 8" xfId="516"/>
    <cellStyle name="Comma 30 9" xfId="517"/>
    <cellStyle name="Comma 38" xfId="518"/>
    <cellStyle name="Comma 4" xfId="519"/>
    <cellStyle name="Comma 4 10" xfId="520"/>
    <cellStyle name="Comma 4 11" xfId="521"/>
    <cellStyle name="Comma 4 12" xfId="522"/>
    <cellStyle name="Comma 4 13" xfId="523"/>
    <cellStyle name="Comma 4 14" xfId="524"/>
    <cellStyle name="Comma 4 15" xfId="525"/>
    <cellStyle name="Comma 4 16" xfId="526"/>
    <cellStyle name="Comma 4 17" xfId="527"/>
    <cellStyle name="Comma 4 18" xfId="528"/>
    <cellStyle name="Comma 4 19" xfId="529"/>
    <cellStyle name="Comma 4 2" xfId="530"/>
    <cellStyle name="Comma 4 20" xfId="531"/>
    <cellStyle name="Comma 4 21" xfId="532"/>
    <cellStyle name="Comma 4 22" xfId="533"/>
    <cellStyle name="Comma 4 23" xfId="534"/>
    <cellStyle name="Comma 4 24" xfId="535"/>
    <cellStyle name="Comma 4 25" xfId="536"/>
    <cellStyle name="Comma 4 26" xfId="537"/>
    <cellStyle name="Comma 4 27" xfId="538"/>
    <cellStyle name="Comma 4 28" xfId="539"/>
    <cellStyle name="Comma 4 29" xfId="540"/>
    <cellStyle name="Comma 4 3" xfId="541"/>
    <cellStyle name="Comma 4 30" xfId="542"/>
    <cellStyle name="Comma 4 31" xfId="543"/>
    <cellStyle name="Comma 4 32" xfId="544"/>
    <cellStyle name="Comma 4 33" xfId="545"/>
    <cellStyle name="Comma 4 34" xfId="546"/>
    <cellStyle name="Comma 4 35" xfId="547"/>
    <cellStyle name="Comma 4 36" xfId="548"/>
    <cellStyle name="Comma 4 37" xfId="549"/>
    <cellStyle name="Comma 4 38" xfId="550"/>
    <cellStyle name="Comma 4 39" xfId="551"/>
    <cellStyle name="Comma 4 4" xfId="552"/>
    <cellStyle name="Comma 4 40" xfId="553"/>
    <cellStyle name="Comma 4 41" xfId="554"/>
    <cellStyle name="Comma 4 42" xfId="555"/>
    <cellStyle name="Comma 4 43" xfId="556"/>
    <cellStyle name="Comma 4 44" xfId="557"/>
    <cellStyle name="Comma 4 45" xfId="558"/>
    <cellStyle name="Comma 4 46" xfId="559"/>
    <cellStyle name="Comma 4 47" xfId="560"/>
    <cellStyle name="Comma 4 48" xfId="561"/>
    <cellStyle name="Comma 4 49" xfId="562"/>
    <cellStyle name="Comma 4 5" xfId="563"/>
    <cellStyle name="Comma 4 50" xfId="564"/>
    <cellStyle name="Comma 4 51" xfId="565"/>
    <cellStyle name="Comma 4 52" xfId="566"/>
    <cellStyle name="Comma 4 53" xfId="567"/>
    <cellStyle name="Comma 4 54" xfId="568"/>
    <cellStyle name="Comma 4 55" xfId="569"/>
    <cellStyle name="Comma 4 56" xfId="570"/>
    <cellStyle name="Comma 4 57" xfId="571"/>
    <cellStyle name="Comma 4 58" xfId="572"/>
    <cellStyle name="Comma 4 59" xfId="573"/>
    <cellStyle name="Comma 4 6" xfId="574"/>
    <cellStyle name="Comma 4 60" xfId="575"/>
    <cellStyle name="Comma 4 61" xfId="576"/>
    <cellStyle name="Comma 4 62" xfId="577"/>
    <cellStyle name="Comma 4 63" xfId="578"/>
    <cellStyle name="Comma 4 64" xfId="579"/>
    <cellStyle name="Comma 4 65" xfId="580"/>
    <cellStyle name="Comma 4 66" xfId="581"/>
    <cellStyle name="Comma 4 67" xfId="582"/>
    <cellStyle name="Comma 4 68" xfId="583"/>
    <cellStyle name="Comma 4 69" xfId="584"/>
    <cellStyle name="Comma 4 7" xfId="585"/>
    <cellStyle name="Comma 4 70" xfId="586"/>
    <cellStyle name="Comma 4 71" xfId="587"/>
    <cellStyle name="Comma 4 72" xfId="588"/>
    <cellStyle name="Comma 4 73" xfId="589"/>
    <cellStyle name="Comma 4 74" xfId="590"/>
    <cellStyle name="Comma 4 75" xfId="591"/>
    <cellStyle name="Comma 4 76" xfId="592"/>
    <cellStyle name="Comma 4 77" xfId="593"/>
    <cellStyle name="Comma 4 78" xfId="594"/>
    <cellStyle name="Comma 4 79" xfId="595"/>
    <cellStyle name="Comma 4 8" xfId="596"/>
    <cellStyle name="Comma 4 80" xfId="597"/>
    <cellStyle name="Comma 4 81" xfId="598"/>
    <cellStyle name="Comma 4 82" xfId="599"/>
    <cellStyle name="Comma 4 83" xfId="600"/>
    <cellStyle name="Comma 4 84" xfId="601"/>
    <cellStyle name="Comma 4 85" xfId="602"/>
    <cellStyle name="Comma 4 86" xfId="603"/>
    <cellStyle name="Comma 4 87" xfId="604"/>
    <cellStyle name="Comma 4 9" xfId="605"/>
    <cellStyle name="Comma 42" xfId="606"/>
    <cellStyle name="Comma 47" xfId="607"/>
    <cellStyle name="Comma 5" xfId="608"/>
    <cellStyle name="Comma 5 10" xfId="609"/>
    <cellStyle name="Comma 5 11" xfId="610"/>
    <cellStyle name="Comma 5 12" xfId="611"/>
    <cellStyle name="Comma 5 13" xfId="612"/>
    <cellStyle name="Comma 5 14" xfId="613"/>
    <cellStyle name="Comma 5 15" xfId="614"/>
    <cellStyle name="Comma 5 16" xfId="615"/>
    <cellStyle name="Comma 5 17" xfId="616"/>
    <cellStyle name="Comma 5 18" xfId="617"/>
    <cellStyle name="Comma 5 19" xfId="618"/>
    <cellStyle name="Comma 5 2" xfId="619"/>
    <cellStyle name="Comma 5 2 10" xfId="620"/>
    <cellStyle name="Comma 5 2 11" xfId="621"/>
    <cellStyle name="Comma 5 2 12" xfId="622"/>
    <cellStyle name="Comma 5 2 13" xfId="623"/>
    <cellStyle name="Comma 5 2 14" xfId="624"/>
    <cellStyle name="Comma 5 2 15" xfId="625"/>
    <cellStyle name="Comma 5 2 16" xfId="626"/>
    <cellStyle name="Comma 5 2 17" xfId="627"/>
    <cellStyle name="Comma 5 2 18" xfId="628"/>
    <cellStyle name="Comma 5 2 19" xfId="629"/>
    <cellStyle name="Comma 5 2 2" xfId="630"/>
    <cellStyle name="Comma 5 2 20" xfId="631"/>
    <cellStyle name="Comma 5 2 21" xfId="632"/>
    <cellStyle name="Comma 5 2 22" xfId="633"/>
    <cellStyle name="Comma 5 2 23" xfId="634"/>
    <cellStyle name="Comma 5 2 24" xfId="635"/>
    <cellStyle name="Comma 5 2 25" xfId="636"/>
    <cellStyle name="Comma 5 2 26" xfId="637"/>
    <cellStyle name="Comma 5 2 27" xfId="638"/>
    <cellStyle name="Comma 5 2 28" xfId="639"/>
    <cellStyle name="Comma 5 2 29" xfId="640"/>
    <cellStyle name="Comma 5 2 3" xfId="641"/>
    <cellStyle name="Comma 5 2 30" xfId="642"/>
    <cellStyle name="Comma 5 2 31" xfId="643"/>
    <cellStyle name="Comma 5 2 32" xfId="644"/>
    <cellStyle name="Comma 5 2 33" xfId="645"/>
    <cellStyle name="Comma 5 2 34" xfId="646"/>
    <cellStyle name="Comma 5 2 35" xfId="647"/>
    <cellStyle name="Comma 5 2 36" xfId="648"/>
    <cellStyle name="Comma 5 2 37" xfId="649"/>
    <cellStyle name="Comma 5 2 38" xfId="650"/>
    <cellStyle name="Comma 5 2 39" xfId="651"/>
    <cellStyle name="Comma 5 2 4" xfId="652"/>
    <cellStyle name="Comma 5 2 40" xfId="653"/>
    <cellStyle name="Comma 5 2 5" xfId="654"/>
    <cellStyle name="Comma 5 2 6" xfId="655"/>
    <cellStyle name="Comma 5 2 7" xfId="656"/>
    <cellStyle name="Comma 5 2 8" xfId="657"/>
    <cellStyle name="Comma 5 2 9" xfId="658"/>
    <cellStyle name="Comma 5 20" xfId="659"/>
    <cellStyle name="Comma 5 21" xfId="660"/>
    <cellStyle name="Comma 5 22" xfId="661"/>
    <cellStyle name="Comma 5 23" xfId="662"/>
    <cellStyle name="Comma 5 24" xfId="663"/>
    <cellStyle name="Comma 5 25" xfId="664"/>
    <cellStyle name="Comma 5 26" xfId="665"/>
    <cellStyle name="Comma 5 27" xfId="666"/>
    <cellStyle name="Comma 5 28" xfId="667"/>
    <cellStyle name="Comma 5 29" xfId="668"/>
    <cellStyle name="Comma 5 3" xfId="669"/>
    <cellStyle name="Comma 5 30" xfId="670"/>
    <cellStyle name="Comma 5 31" xfId="671"/>
    <cellStyle name="Comma 5 32" xfId="672"/>
    <cellStyle name="Comma 5 33" xfId="673"/>
    <cellStyle name="Comma 5 34" xfId="674"/>
    <cellStyle name="Comma 5 35" xfId="675"/>
    <cellStyle name="Comma 5 36" xfId="676"/>
    <cellStyle name="Comma 5 37" xfId="677"/>
    <cellStyle name="Comma 5 38" xfId="678"/>
    <cellStyle name="Comma 5 39" xfId="679"/>
    <cellStyle name="Comma 5 4" xfId="680"/>
    <cellStyle name="Comma 5 40" xfId="681"/>
    <cellStyle name="Comma 5 41" xfId="682"/>
    <cellStyle name="Comma 5 42" xfId="683"/>
    <cellStyle name="Comma 5 43" xfId="684"/>
    <cellStyle name="Comma 5 44" xfId="685"/>
    <cellStyle name="Comma 5 45" xfId="686"/>
    <cellStyle name="Comma 5 46" xfId="687"/>
    <cellStyle name="Comma 5 47" xfId="688"/>
    <cellStyle name="Comma 5 48" xfId="689"/>
    <cellStyle name="Comma 5 49" xfId="690"/>
    <cellStyle name="Comma 5 5" xfId="691"/>
    <cellStyle name="Comma 5 50" xfId="692"/>
    <cellStyle name="Comma 5 51" xfId="693"/>
    <cellStyle name="Comma 5 52" xfId="694"/>
    <cellStyle name="Comma 5 53" xfId="695"/>
    <cellStyle name="Comma 5 54" xfId="696"/>
    <cellStyle name="Comma 5 55" xfId="697"/>
    <cellStyle name="Comma 5 56" xfId="698"/>
    <cellStyle name="Comma 5 57" xfId="699"/>
    <cellStyle name="Comma 5 58" xfId="700"/>
    <cellStyle name="Comma 5 59" xfId="701"/>
    <cellStyle name="Comma 5 6" xfId="702"/>
    <cellStyle name="Comma 5 60" xfId="703"/>
    <cellStyle name="Comma 5 61" xfId="704"/>
    <cellStyle name="Comma 5 62" xfId="705"/>
    <cellStyle name="Comma 5 63" xfId="706"/>
    <cellStyle name="Comma 5 64" xfId="707"/>
    <cellStyle name="Comma 5 65" xfId="708"/>
    <cellStyle name="Comma 5 66" xfId="709"/>
    <cellStyle name="Comma 5 67" xfId="710"/>
    <cellStyle name="Comma 5 68" xfId="711"/>
    <cellStyle name="Comma 5 69" xfId="712"/>
    <cellStyle name="Comma 5 7" xfId="713"/>
    <cellStyle name="Comma 5 70" xfId="714"/>
    <cellStyle name="Comma 5 71" xfId="715"/>
    <cellStyle name="Comma 5 72" xfId="716"/>
    <cellStyle name="Comma 5 73" xfId="717"/>
    <cellStyle name="Comma 5 74" xfId="718"/>
    <cellStyle name="Comma 5 75" xfId="719"/>
    <cellStyle name="Comma 5 76" xfId="720"/>
    <cellStyle name="Comma 5 77" xfId="721"/>
    <cellStyle name="Comma 5 78" xfId="722"/>
    <cellStyle name="Comma 5 79" xfId="723"/>
    <cellStyle name="Comma 5 8" xfId="724"/>
    <cellStyle name="Comma 5 80" xfId="725"/>
    <cellStyle name="Comma 5 81" xfId="726"/>
    <cellStyle name="Comma 5 82" xfId="727"/>
    <cellStyle name="Comma 5 83" xfId="728"/>
    <cellStyle name="Comma 5 84" xfId="729"/>
    <cellStyle name="Comma 5 85" xfId="730"/>
    <cellStyle name="Comma 5 86" xfId="731"/>
    <cellStyle name="Comma 5 87" xfId="732"/>
    <cellStyle name="Comma 5 88" xfId="733"/>
    <cellStyle name="Comma 5 9" xfId="734"/>
    <cellStyle name="Comma 51" xfId="735"/>
    <cellStyle name="Comma 54" xfId="736"/>
    <cellStyle name="Comma 57" xfId="737"/>
    <cellStyle name="Comma 58" xfId="738"/>
    <cellStyle name="Comma 6" xfId="739"/>
    <cellStyle name="Comma 60" xfId="740"/>
    <cellStyle name="Comma 61" xfId="741"/>
    <cellStyle name="Comma 7" xfId="742"/>
    <cellStyle name="Comma 8" xfId="743"/>
    <cellStyle name="Comma 9" xfId="744"/>
    <cellStyle name="Comma 9 10" xfId="745"/>
    <cellStyle name="Comma 9 11" xfId="746"/>
    <cellStyle name="Comma 9 12" xfId="747"/>
    <cellStyle name="Comma 9 13" xfId="748"/>
    <cellStyle name="Comma 9 14" xfId="749"/>
    <cellStyle name="Comma 9 15" xfId="750"/>
    <cellStyle name="Comma 9 16" xfId="751"/>
    <cellStyle name="Comma 9 17" xfId="752"/>
    <cellStyle name="Comma 9 18" xfId="753"/>
    <cellStyle name="Comma 9 19" xfId="754"/>
    <cellStyle name="Comma 9 2" xfId="755"/>
    <cellStyle name="Comma 9 20" xfId="756"/>
    <cellStyle name="Comma 9 21" xfId="757"/>
    <cellStyle name="Comma 9 22" xfId="758"/>
    <cellStyle name="Comma 9 23" xfId="759"/>
    <cellStyle name="Comma 9 24" xfId="760"/>
    <cellStyle name="Comma 9 25" xfId="761"/>
    <cellStyle name="Comma 9 26" xfId="762"/>
    <cellStyle name="Comma 9 27" xfId="763"/>
    <cellStyle name="Comma 9 28" xfId="764"/>
    <cellStyle name="Comma 9 29" xfId="765"/>
    <cellStyle name="Comma 9 3" xfId="766"/>
    <cellStyle name="Comma 9 30" xfId="767"/>
    <cellStyle name="Comma 9 31" xfId="768"/>
    <cellStyle name="Comma 9 32" xfId="769"/>
    <cellStyle name="Comma 9 33" xfId="770"/>
    <cellStyle name="Comma 9 34" xfId="771"/>
    <cellStyle name="Comma 9 35" xfId="772"/>
    <cellStyle name="Comma 9 36" xfId="773"/>
    <cellStyle name="Comma 9 37" xfId="774"/>
    <cellStyle name="Comma 9 38" xfId="775"/>
    <cellStyle name="Comma 9 39" xfId="776"/>
    <cellStyle name="Comma 9 4" xfId="777"/>
    <cellStyle name="Comma 9 40" xfId="778"/>
    <cellStyle name="Comma 9 41" xfId="779"/>
    <cellStyle name="Comma 9 42" xfId="780"/>
    <cellStyle name="Comma 9 43" xfId="781"/>
    <cellStyle name="Comma 9 44" xfId="782"/>
    <cellStyle name="Comma 9 45" xfId="783"/>
    <cellStyle name="Comma 9 46" xfId="784"/>
    <cellStyle name="Comma 9 47" xfId="785"/>
    <cellStyle name="Comma 9 48" xfId="786"/>
    <cellStyle name="Comma 9 49" xfId="787"/>
    <cellStyle name="Comma 9 5" xfId="788"/>
    <cellStyle name="Comma 9 6" xfId="789"/>
    <cellStyle name="Comma 9 7" xfId="790"/>
    <cellStyle name="Comma 9 8" xfId="791"/>
    <cellStyle name="Comma 9 9" xfId="792"/>
    <cellStyle name="Currency" xfId="9" builtinId="4"/>
    <cellStyle name="Currency 2" xfId="47"/>
    <cellStyle name="Currency 2 2" xfId="793"/>
    <cellStyle name="Currency 3" xfId="49"/>
    <cellStyle name="Currency 4" xfId="2125"/>
    <cellStyle name="Hyperlink 2" xfId="794"/>
    <cellStyle name="Normal" xfId="0" builtinId="0"/>
    <cellStyle name="Normal 10" xfId="795"/>
    <cellStyle name="Normal 11" xfId="796"/>
    <cellStyle name="Normal 11 10" xfId="797"/>
    <cellStyle name="Normal 11 11" xfId="798"/>
    <cellStyle name="Normal 11 12" xfId="799"/>
    <cellStyle name="Normal 11 13" xfId="800"/>
    <cellStyle name="Normal 11 14" xfId="801"/>
    <cellStyle name="Normal 11 15" xfId="802"/>
    <cellStyle name="Normal 11 16" xfId="803"/>
    <cellStyle name="Normal 11 17" xfId="804"/>
    <cellStyle name="Normal 11 18" xfId="805"/>
    <cellStyle name="Normal 11 19" xfId="806"/>
    <cellStyle name="Normal 11 2" xfId="807"/>
    <cellStyle name="Normal 11 2 2" xfId="808"/>
    <cellStyle name="Normal 11 20" xfId="809"/>
    <cellStyle name="Normal 11 21" xfId="810"/>
    <cellStyle name="Normal 11 22" xfId="811"/>
    <cellStyle name="Normal 11 23" xfId="812"/>
    <cellStyle name="Normal 11 24" xfId="813"/>
    <cellStyle name="Normal 11 25" xfId="814"/>
    <cellStyle name="Normal 11 26" xfId="815"/>
    <cellStyle name="Normal 11 27" xfId="816"/>
    <cellStyle name="Normal 11 28" xfId="817"/>
    <cellStyle name="Normal 11 29" xfId="818"/>
    <cellStyle name="Normal 11 3" xfId="819"/>
    <cellStyle name="Normal 11 30" xfId="820"/>
    <cellStyle name="Normal 11 31" xfId="821"/>
    <cellStyle name="Normal 11 32" xfId="822"/>
    <cellStyle name="Normal 11 33" xfId="823"/>
    <cellStyle name="Normal 11 34" xfId="824"/>
    <cellStyle name="Normal 11 35" xfId="825"/>
    <cellStyle name="Normal 11 36" xfId="826"/>
    <cellStyle name="Normal 11 37" xfId="827"/>
    <cellStyle name="Normal 11 38" xfId="828"/>
    <cellStyle name="Normal 11 39" xfId="829"/>
    <cellStyle name="Normal 11 4" xfId="830"/>
    <cellStyle name="Normal 11 40" xfId="831"/>
    <cellStyle name="Normal 11 41" xfId="832"/>
    <cellStyle name="Normal 11 42" xfId="833"/>
    <cellStyle name="Normal 11 43" xfId="834"/>
    <cellStyle name="Normal 11 44" xfId="835"/>
    <cellStyle name="Normal 11 45" xfId="836"/>
    <cellStyle name="Normal 11 46" xfId="837"/>
    <cellStyle name="Normal 11 47" xfId="838"/>
    <cellStyle name="Normal 11 48" xfId="839"/>
    <cellStyle name="Normal 11 49" xfId="840"/>
    <cellStyle name="Normal 11 5" xfId="841"/>
    <cellStyle name="Normal 11 50" xfId="842"/>
    <cellStyle name="Normal 11 6" xfId="843"/>
    <cellStyle name="Normal 11 7" xfId="844"/>
    <cellStyle name="Normal 11 8" xfId="845"/>
    <cellStyle name="Normal 11 9" xfId="846"/>
    <cellStyle name="Normal 12" xfId="847"/>
    <cellStyle name="Normal 12 10" xfId="848"/>
    <cellStyle name="Normal 12 11" xfId="849"/>
    <cellStyle name="Normal 12 12" xfId="850"/>
    <cellStyle name="Normal 12 13" xfId="851"/>
    <cellStyle name="Normal 12 14" xfId="852"/>
    <cellStyle name="Normal 12 15" xfId="853"/>
    <cellStyle name="Normal 12 16" xfId="854"/>
    <cellStyle name="Normal 12 17" xfId="855"/>
    <cellStyle name="Normal 12 18" xfId="856"/>
    <cellStyle name="Normal 12 19" xfId="857"/>
    <cellStyle name="Normal 12 2" xfId="858"/>
    <cellStyle name="Normal 12 20" xfId="859"/>
    <cellStyle name="Normal 12 21" xfId="860"/>
    <cellStyle name="Normal 12 22" xfId="861"/>
    <cellStyle name="Normal 12 23" xfId="862"/>
    <cellStyle name="Normal 12 24" xfId="863"/>
    <cellStyle name="Normal 12 25" xfId="864"/>
    <cellStyle name="Normal 12 26" xfId="865"/>
    <cellStyle name="Normal 12 27" xfId="866"/>
    <cellStyle name="Normal 12 28" xfId="867"/>
    <cellStyle name="Normal 12 29" xfId="868"/>
    <cellStyle name="Normal 12 3" xfId="869"/>
    <cellStyle name="Normal 12 30" xfId="870"/>
    <cellStyle name="Normal 12 31" xfId="871"/>
    <cellStyle name="Normal 12 32" xfId="872"/>
    <cellStyle name="Normal 12 33" xfId="873"/>
    <cellStyle name="Normal 12 34" xfId="874"/>
    <cellStyle name="Normal 12 35" xfId="875"/>
    <cellStyle name="Normal 12 36" xfId="876"/>
    <cellStyle name="Normal 12 37" xfId="877"/>
    <cellStyle name="Normal 12 38" xfId="878"/>
    <cellStyle name="Normal 12 39" xfId="879"/>
    <cellStyle name="Normal 12 4" xfId="880"/>
    <cellStyle name="Normal 12 40" xfId="881"/>
    <cellStyle name="Normal 12 41" xfId="882"/>
    <cellStyle name="Normal 12 42" xfId="883"/>
    <cellStyle name="Normal 12 43" xfId="884"/>
    <cellStyle name="Normal 12 44" xfId="885"/>
    <cellStyle name="Normal 12 45" xfId="886"/>
    <cellStyle name="Normal 12 46" xfId="887"/>
    <cellStyle name="Normal 12 47" xfId="888"/>
    <cellStyle name="Normal 12 48" xfId="889"/>
    <cellStyle name="Normal 12 49" xfId="890"/>
    <cellStyle name="Normal 12 5" xfId="891"/>
    <cellStyle name="Normal 12 50" xfId="892"/>
    <cellStyle name="Normal 12 6" xfId="893"/>
    <cellStyle name="Normal 12 7" xfId="894"/>
    <cellStyle name="Normal 12 8" xfId="895"/>
    <cellStyle name="Normal 12 9" xfId="896"/>
    <cellStyle name="Normal 13" xfId="897"/>
    <cellStyle name="Normal 13 10" xfId="898"/>
    <cellStyle name="Normal 13 11" xfId="899"/>
    <cellStyle name="Normal 13 12" xfId="900"/>
    <cellStyle name="Normal 13 13" xfId="901"/>
    <cellStyle name="Normal 13 14" xfId="902"/>
    <cellStyle name="Normal 13 15" xfId="903"/>
    <cellStyle name="Normal 13 16" xfId="904"/>
    <cellStyle name="Normal 13 17" xfId="905"/>
    <cellStyle name="Normal 13 18" xfId="906"/>
    <cellStyle name="Normal 13 19" xfId="907"/>
    <cellStyle name="Normal 13 2" xfId="908"/>
    <cellStyle name="Normal 13 20" xfId="909"/>
    <cellStyle name="Normal 13 21" xfId="910"/>
    <cellStyle name="Normal 13 22" xfId="911"/>
    <cellStyle name="Normal 13 23" xfId="912"/>
    <cellStyle name="Normal 13 24" xfId="913"/>
    <cellStyle name="Normal 13 25" xfId="914"/>
    <cellStyle name="Normal 13 26" xfId="915"/>
    <cellStyle name="Normal 13 27" xfId="916"/>
    <cellStyle name="Normal 13 28" xfId="917"/>
    <cellStyle name="Normal 13 29" xfId="918"/>
    <cellStyle name="Normal 13 3" xfId="919"/>
    <cellStyle name="Normal 13 30" xfId="920"/>
    <cellStyle name="Normal 13 31" xfId="921"/>
    <cellStyle name="Normal 13 32" xfId="922"/>
    <cellStyle name="Normal 13 33" xfId="923"/>
    <cellStyle name="Normal 13 34" xfId="924"/>
    <cellStyle name="Normal 13 35" xfId="925"/>
    <cellStyle name="Normal 13 36" xfId="926"/>
    <cellStyle name="Normal 13 37" xfId="927"/>
    <cellStyle name="Normal 13 38" xfId="928"/>
    <cellStyle name="Normal 13 39" xfId="929"/>
    <cellStyle name="Normal 13 4" xfId="930"/>
    <cellStyle name="Normal 13 40" xfId="931"/>
    <cellStyle name="Normal 13 41" xfId="932"/>
    <cellStyle name="Normal 13 42" xfId="933"/>
    <cellStyle name="Normal 13 43" xfId="934"/>
    <cellStyle name="Normal 13 44" xfId="935"/>
    <cellStyle name="Normal 13 45" xfId="936"/>
    <cellStyle name="Normal 13 46" xfId="937"/>
    <cellStyle name="Normal 13 47" xfId="938"/>
    <cellStyle name="Normal 13 48" xfId="939"/>
    <cellStyle name="Normal 13 49" xfId="940"/>
    <cellStyle name="Normal 13 5" xfId="941"/>
    <cellStyle name="Normal 13 50" xfId="942"/>
    <cellStyle name="Normal 13 6" xfId="943"/>
    <cellStyle name="Normal 13 7" xfId="944"/>
    <cellStyle name="Normal 13 8" xfId="945"/>
    <cellStyle name="Normal 13 9" xfId="946"/>
    <cellStyle name="Normal 14" xfId="947"/>
    <cellStyle name="Normal 15" xfId="948"/>
    <cellStyle name="Normal 15 10" xfId="949"/>
    <cellStyle name="Normal 15 11" xfId="950"/>
    <cellStyle name="Normal 15 12" xfId="951"/>
    <cellStyle name="Normal 15 13" xfId="952"/>
    <cellStyle name="Normal 15 14" xfId="953"/>
    <cellStyle name="Normal 15 15" xfId="954"/>
    <cellStyle name="Normal 15 16" xfId="955"/>
    <cellStyle name="Normal 15 17" xfId="956"/>
    <cellStyle name="Normal 15 18" xfId="957"/>
    <cellStyle name="Normal 15 19" xfId="958"/>
    <cellStyle name="Normal 15 2" xfId="959"/>
    <cellStyle name="Normal 15 20" xfId="960"/>
    <cellStyle name="Normal 15 21" xfId="961"/>
    <cellStyle name="Normal 15 22" xfId="962"/>
    <cellStyle name="Normal 15 23" xfId="963"/>
    <cellStyle name="Normal 15 24" xfId="964"/>
    <cellStyle name="Normal 15 25" xfId="965"/>
    <cellStyle name="Normal 15 26" xfId="966"/>
    <cellStyle name="Normal 15 27" xfId="967"/>
    <cellStyle name="Normal 15 28" xfId="968"/>
    <cellStyle name="Normal 15 29" xfId="969"/>
    <cellStyle name="Normal 15 3" xfId="970"/>
    <cellStyle name="Normal 15 30" xfId="971"/>
    <cellStyle name="Normal 15 31" xfId="972"/>
    <cellStyle name="Normal 15 32" xfId="973"/>
    <cellStyle name="Normal 15 33" xfId="974"/>
    <cellStyle name="Normal 15 34" xfId="975"/>
    <cellStyle name="Normal 15 35" xfId="976"/>
    <cellStyle name="Normal 15 36" xfId="977"/>
    <cellStyle name="Normal 15 37" xfId="978"/>
    <cellStyle name="Normal 15 38" xfId="979"/>
    <cellStyle name="Normal 15 39" xfId="980"/>
    <cellStyle name="Normal 15 4" xfId="981"/>
    <cellStyle name="Normal 15 40" xfId="982"/>
    <cellStyle name="Normal 15 41" xfId="983"/>
    <cellStyle name="Normal 15 42" xfId="984"/>
    <cellStyle name="Normal 15 43" xfId="985"/>
    <cellStyle name="Normal 15 44" xfId="986"/>
    <cellStyle name="Normal 15 45" xfId="987"/>
    <cellStyle name="Normal 15 46" xfId="988"/>
    <cellStyle name="Normal 15 47" xfId="989"/>
    <cellStyle name="Normal 15 48" xfId="990"/>
    <cellStyle name="Normal 15 49" xfId="991"/>
    <cellStyle name="Normal 15 5" xfId="992"/>
    <cellStyle name="Normal 15 50" xfId="993"/>
    <cellStyle name="Normal 15 6" xfId="994"/>
    <cellStyle name="Normal 15 7" xfId="995"/>
    <cellStyle name="Normal 15 8" xfId="996"/>
    <cellStyle name="Normal 15 9" xfId="997"/>
    <cellStyle name="Normal 16" xfId="998"/>
    <cellStyle name="Normal 16 10" xfId="999"/>
    <cellStyle name="Normal 16 11" xfId="1000"/>
    <cellStyle name="Normal 16 12" xfId="1001"/>
    <cellStyle name="Normal 16 13" xfId="1002"/>
    <cellStyle name="Normal 16 14" xfId="1003"/>
    <cellStyle name="Normal 16 15" xfId="1004"/>
    <cellStyle name="Normal 16 16" xfId="1005"/>
    <cellStyle name="Normal 16 17" xfId="1006"/>
    <cellStyle name="Normal 16 18" xfId="1007"/>
    <cellStyle name="Normal 16 19" xfId="1008"/>
    <cellStyle name="Normal 16 2" xfId="1009"/>
    <cellStyle name="Normal 16 20" xfId="1010"/>
    <cellStyle name="Normal 16 21" xfId="1011"/>
    <cellStyle name="Normal 16 22" xfId="1012"/>
    <cellStyle name="Normal 16 23" xfId="1013"/>
    <cellStyle name="Normal 16 24" xfId="1014"/>
    <cellStyle name="Normal 16 25" xfId="1015"/>
    <cellStyle name="Normal 16 26" xfId="1016"/>
    <cellStyle name="Normal 16 27" xfId="1017"/>
    <cellStyle name="Normal 16 28" xfId="1018"/>
    <cellStyle name="Normal 16 29" xfId="1019"/>
    <cellStyle name="Normal 16 3" xfId="1020"/>
    <cellStyle name="Normal 16 30" xfId="1021"/>
    <cellStyle name="Normal 16 31" xfId="1022"/>
    <cellStyle name="Normal 16 32" xfId="1023"/>
    <cellStyle name="Normal 16 33" xfId="1024"/>
    <cellStyle name="Normal 16 34" xfId="1025"/>
    <cellStyle name="Normal 16 35" xfId="1026"/>
    <cellStyle name="Normal 16 36" xfId="1027"/>
    <cellStyle name="Normal 16 37" xfId="1028"/>
    <cellStyle name="Normal 16 38" xfId="1029"/>
    <cellStyle name="Normal 16 39" xfId="1030"/>
    <cellStyle name="Normal 16 4" xfId="1031"/>
    <cellStyle name="Normal 16 40" xfId="1032"/>
    <cellStyle name="Normal 16 41" xfId="1033"/>
    <cellStyle name="Normal 16 42" xfId="1034"/>
    <cellStyle name="Normal 16 43" xfId="1035"/>
    <cellStyle name="Normal 16 44" xfId="1036"/>
    <cellStyle name="Normal 16 45" xfId="1037"/>
    <cellStyle name="Normal 16 46" xfId="1038"/>
    <cellStyle name="Normal 16 47" xfId="1039"/>
    <cellStyle name="Normal 16 48" xfId="1040"/>
    <cellStyle name="Normal 16 49" xfId="1041"/>
    <cellStyle name="Normal 16 5" xfId="1042"/>
    <cellStyle name="Normal 16 50" xfId="1043"/>
    <cellStyle name="Normal 16 6" xfId="1044"/>
    <cellStyle name="Normal 16 7" xfId="1045"/>
    <cellStyle name="Normal 16 8" xfId="1046"/>
    <cellStyle name="Normal 16 9" xfId="1047"/>
    <cellStyle name="Normal 17" xfId="1048"/>
    <cellStyle name="Normal 17 10" xfId="1049"/>
    <cellStyle name="Normal 17 11" xfId="1050"/>
    <cellStyle name="Normal 17 12" xfId="1051"/>
    <cellStyle name="Normal 17 13" xfId="1052"/>
    <cellStyle name="Normal 17 14" xfId="1053"/>
    <cellStyle name="Normal 17 15" xfId="1054"/>
    <cellStyle name="Normal 17 16" xfId="1055"/>
    <cellStyle name="Normal 17 17" xfId="1056"/>
    <cellStyle name="Normal 17 18" xfId="1057"/>
    <cellStyle name="Normal 17 19" xfId="1058"/>
    <cellStyle name="Normal 17 2" xfId="1059"/>
    <cellStyle name="Normal 17 20" xfId="1060"/>
    <cellStyle name="Normal 17 21" xfId="1061"/>
    <cellStyle name="Normal 17 22" xfId="1062"/>
    <cellStyle name="Normal 17 23" xfId="1063"/>
    <cellStyle name="Normal 17 24" xfId="1064"/>
    <cellStyle name="Normal 17 25" xfId="1065"/>
    <cellStyle name="Normal 17 26" xfId="1066"/>
    <cellStyle name="Normal 17 27" xfId="1067"/>
    <cellStyle name="Normal 17 28" xfId="1068"/>
    <cellStyle name="Normal 17 29" xfId="1069"/>
    <cellStyle name="Normal 17 3" xfId="1070"/>
    <cellStyle name="Normal 17 30" xfId="1071"/>
    <cellStyle name="Normal 17 31" xfId="1072"/>
    <cellStyle name="Normal 17 32" xfId="1073"/>
    <cellStyle name="Normal 17 33" xfId="1074"/>
    <cellStyle name="Normal 17 34" xfId="1075"/>
    <cellStyle name="Normal 17 35" xfId="1076"/>
    <cellStyle name="Normal 17 36" xfId="1077"/>
    <cellStyle name="Normal 17 37" xfId="1078"/>
    <cellStyle name="Normal 17 38" xfId="1079"/>
    <cellStyle name="Normal 17 39" xfId="1080"/>
    <cellStyle name="Normal 17 4" xfId="1081"/>
    <cellStyle name="Normal 17 40" xfId="1082"/>
    <cellStyle name="Normal 17 41" xfId="1083"/>
    <cellStyle name="Normal 17 42" xfId="1084"/>
    <cellStyle name="Normal 17 43" xfId="1085"/>
    <cellStyle name="Normal 17 44" xfId="1086"/>
    <cellStyle name="Normal 17 45" xfId="1087"/>
    <cellStyle name="Normal 17 46" xfId="1088"/>
    <cellStyle name="Normal 17 47" xfId="1089"/>
    <cellStyle name="Normal 17 48" xfId="1090"/>
    <cellStyle name="Normal 17 49" xfId="1091"/>
    <cellStyle name="Normal 17 5" xfId="1092"/>
    <cellStyle name="Normal 17 50" xfId="1093"/>
    <cellStyle name="Normal 17 6" xfId="1094"/>
    <cellStyle name="Normal 17 7" xfId="1095"/>
    <cellStyle name="Normal 17 8" xfId="1096"/>
    <cellStyle name="Normal 17 9" xfId="1097"/>
    <cellStyle name="Normal 18" xfId="1098"/>
    <cellStyle name="Normal 19" xfId="1099"/>
    <cellStyle name="Normal 19 10" xfId="1100"/>
    <cellStyle name="Normal 19 11" xfId="1101"/>
    <cellStyle name="Normal 19 12" xfId="1102"/>
    <cellStyle name="Normal 19 13" xfId="1103"/>
    <cellStyle name="Normal 19 14" xfId="1104"/>
    <cellStyle name="Normal 19 15" xfId="1105"/>
    <cellStyle name="Normal 19 16" xfId="1106"/>
    <cellStyle name="Normal 19 17" xfId="1107"/>
    <cellStyle name="Normal 19 18" xfId="1108"/>
    <cellStyle name="Normal 19 19" xfId="1109"/>
    <cellStyle name="Normal 19 2" xfId="1110"/>
    <cellStyle name="Normal 19 20" xfId="1111"/>
    <cellStyle name="Normal 19 21" xfId="1112"/>
    <cellStyle name="Normal 19 22" xfId="1113"/>
    <cellStyle name="Normal 19 23" xfId="1114"/>
    <cellStyle name="Normal 19 24" xfId="1115"/>
    <cellStyle name="Normal 19 25" xfId="1116"/>
    <cellStyle name="Normal 19 26" xfId="1117"/>
    <cellStyle name="Normal 19 27" xfId="1118"/>
    <cellStyle name="Normal 19 28" xfId="1119"/>
    <cellStyle name="Normal 19 29" xfId="1120"/>
    <cellStyle name="Normal 19 3" xfId="1121"/>
    <cellStyle name="Normal 19 30" xfId="1122"/>
    <cellStyle name="Normal 19 31" xfId="1123"/>
    <cellStyle name="Normal 19 32" xfId="1124"/>
    <cellStyle name="Normal 19 33" xfId="1125"/>
    <cellStyle name="Normal 19 34" xfId="1126"/>
    <cellStyle name="Normal 19 35" xfId="1127"/>
    <cellStyle name="Normal 19 36" xfId="1128"/>
    <cellStyle name="Normal 19 37" xfId="1129"/>
    <cellStyle name="Normal 19 38" xfId="1130"/>
    <cellStyle name="Normal 19 39" xfId="1131"/>
    <cellStyle name="Normal 19 4" xfId="1132"/>
    <cellStyle name="Normal 19 40" xfId="1133"/>
    <cellStyle name="Normal 19 41" xfId="1134"/>
    <cellStyle name="Normal 19 42" xfId="1135"/>
    <cellStyle name="Normal 19 43" xfId="1136"/>
    <cellStyle name="Normal 19 44" xfId="1137"/>
    <cellStyle name="Normal 19 45" xfId="1138"/>
    <cellStyle name="Normal 19 46" xfId="1139"/>
    <cellStyle name="Normal 19 47" xfId="1140"/>
    <cellStyle name="Normal 19 48" xfId="1141"/>
    <cellStyle name="Normal 19 49" xfId="1142"/>
    <cellStyle name="Normal 19 5" xfId="1143"/>
    <cellStyle name="Normal 19 50" xfId="1144"/>
    <cellStyle name="Normal 19 6" xfId="1145"/>
    <cellStyle name="Normal 19 7" xfId="1146"/>
    <cellStyle name="Normal 19 8" xfId="1147"/>
    <cellStyle name="Normal 19 9" xfId="1148"/>
    <cellStyle name="Normal 2" xfId="37"/>
    <cellStyle name="Normal 2 10" xfId="1149"/>
    <cellStyle name="Normal 2 11" xfId="1150"/>
    <cellStyle name="Normal 2 12" xfId="1151"/>
    <cellStyle name="Normal 2 13" xfId="1152"/>
    <cellStyle name="Normal 2 14" xfId="1153"/>
    <cellStyle name="Normal 2 15" xfId="1154"/>
    <cellStyle name="Normal 2 16" xfId="1155"/>
    <cellStyle name="Normal 2 17" xfId="1156"/>
    <cellStyle name="Normal 2 18" xfId="1157"/>
    <cellStyle name="Normal 2 19" xfId="1158"/>
    <cellStyle name="Normal 2 2" xfId="39"/>
    <cellStyle name="Normal 2 2 2" xfId="45"/>
    <cellStyle name="Normal 2 20" xfId="1159"/>
    <cellStyle name="Normal 2 21" xfId="1160"/>
    <cellStyle name="Normal 2 22" xfId="1161"/>
    <cellStyle name="Normal 2 23" xfId="1162"/>
    <cellStyle name="Normal 2 24" xfId="1163"/>
    <cellStyle name="Normal 2 25" xfId="1164"/>
    <cellStyle name="Normal 2 26" xfId="1165"/>
    <cellStyle name="Normal 2 27" xfId="1166"/>
    <cellStyle name="Normal 2 28" xfId="1167"/>
    <cellStyle name="Normal 2 29" xfId="1168"/>
    <cellStyle name="Normal 2 3" xfId="44"/>
    <cellStyle name="Normal 2 30" xfId="1169"/>
    <cellStyle name="Normal 2 31" xfId="1170"/>
    <cellStyle name="Normal 2 32" xfId="1171"/>
    <cellStyle name="Normal 2 33" xfId="1172"/>
    <cellStyle name="Normal 2 34" xfId="1173"/>
    <cellStyle name="Normal 2 35" xfId="1174"/>
    <cellStyle name="Normal 2 36" xfId="1175"/>
    <cellStyle name="Normal 2 37" xfId="1176"/>
    <cellStyle name="Normal 2 38" xfId="1177"/>
    <cellStyle name="Normal 2 39" xfId="1178"/>
    <cellStyle name="Normal 2 4" xfId="1179"/>
    <cellStyle name="Normal 2 40" xfId="1180"/>
    <cellStyle name="Normal 2 41" xfId="1181"/>
    <cellStyle name="Normal 2 42" xfId="1182"/>
    <cellStyle name="Normal 2 43" xfId="1183"/>
    <cellStyle name="Normal 2 44" xfId="1184"/>
    <cellStyle name="Normal 2 45" xfId="2127"/>
    <cellStyle name="Normal 2 5" xfId="1185"/>
    <cellStyle name="Normal 2 6" xfId="1186"/>
    <cellStyle name="Normal 2 7" xfId="1187"/>
    <cellStyle name="Normal 2 7 2" xfId="1188"/>
    <cellStyle name="Normal 2 8" xfId="1189"/>
    <cellStyle name="Normal 2 9" xfId="1190"/>
    <cellStyle name="Normal 2_Book1" xfId="40"/>
    <cellStyle name="Normal 20" xfId="1191"/>
    <cellStyle name="Normal 20 10" xfId="1192"/>
    <cellStyle name="Normal 20 11" xfId="1193"/>
    <cellStyle name="Normal 20 12" xfId="1194"/>
    <cellStyle name="Normal 20 13" xfId="1195"/>
    <cellStyle name="Normal 20 14" xfId="1196"/>
    <cellStyle name="Normal 20 15" xfId="1197"/>
    <cellStyle name="Normal 20 16" xfId="1198"/>
    <cellStyle name="Normal 20 17" xfId="1199"/>
    <cellStyle name="Normal 20 18" xfId="1200"/>
    <cellStyle name="Normal 20 19" xfId="1201"/>
    <cellStyle name="Normal 20 2" xfId="1202"/>
    <cellStyle name="Normal 20 20" xfId="1203"/>
    <cellStyle name="Normal 20 21" xfId="1204"/>
    <cellStyle name="Normal 20 22" xfId="1205"/>
    <cellStyle name="Normal 20 23" xfId="1206"/>
    <cellStyle name="Normal 20 24" xfId="1207"/>
    <cellStyle name="Normal 20 25" xfId="1208"/>
    <cellStyle name="Normal 20 26" xfId="1209"/>
    <cellStyle name="Normal 20 27" xfId="1210"/>
    <cellStyle name="Normal 20 28" xfId="1211"/>
    <cellStyle name="Normal 20 29" xfId="1212"/>
    <cellStyle name="Normal 20 3" xfId="1213"/>
    <cellStyle name="Normal 20 30" xfId="1214"/>
    <cellStyle name="Normal 20 31" xfId="1215"/>
    <cellStyle name="Normal 20 32" xfId="1216"/>
    <cellStyle name="Normal 20 33" xfId="1217"/>
    <cellStyle name="Normal 20 34" xfId="1218"/>
    <cellStyle name="Normal 20 35" xfId="1219"/>
    <cellStyle name="Normal 20 36" xfId="1220"/>
    <cellStyle name="Normal 20 37" xfId="1221"/>
    <cellStyle name="Normal 20 38" xfId="1222"/>
    <cellStyle name="Normal 20 39" xfId="1223"/>
    <cellStyle name="Normal 20 4" xfId="1224"/>
    <cellStyle name="Normal 20 40" xfId="1225"/>
    <cellStyle name="Normal 20 41" xfId="1226"/>
    <cellStyle name="Normal 20 42" xfId="1227"/>
    <cellStyle name="Normal 20 43" xfId="1228"/>
    <cellStyle name="Normal 20 44" xfId="1229"/>
    <cellStyle name="Normal 20 45" xfId="1230"/>
    <cellStyle name="Normal 20 46" xfId="1231"/>
    <cellStyle name="Normal 20 47" xfId="1232"/>
    <cellStyle name="Normal 20 48" xfId="1233"/>
    <cellStyle name="Normal 20 49" xfId="1234"/>
    <cellStyle name="Normal 20 5" xfId="1235"/>
    <cellStyle name="Normal 20 6" xfId="1236"/>
    <cellStyle name="Normal 20 7" xfId="1237"/>
    <cellStyle name="Normal 20 8" xfId="1238"/>
    <cellStyle name="Normal 20 9" xfId="1239"/>
    <cellStyle name="Normal 21" xfId="1240"/>
    <cellStyle name="Normal 21 10" xfId="1241"/>
    <cellStyle name="Normal 21 11" xfId="1242"/>
    <cellStyle name="Normal 21 12" xfId="1243"/>
    <cellStyle name="Normal 21 13" xfId="1244"/>
    <cellStyle name="Normal 21 14" xfId="1245"/>
    <cellStyle name="Normal 21 15" xfId="1246"/>
    <cellStyle name="Normal 21 16" xfId="1247"/>
    <cellStyle name="Normal 21 17" xfId="1248"/>
    <cellStyle name="Normal 21 18" xfId="1249"/>
    <cellStyle name="Normal 21 19" xfId="1250"/>
    <cellStyle name="Normal 21 2" xfId="1251"/>
    <cellStyle name="Normal 21 20" xfId="1252"/>
    <cellStyle name="Normal 21 21" xfId="1253"/>
    <cellStyle name="Normal 21 22" xfId="1254"/>
    <cellStyle name="Normal 21 23" xfId="1255"/>
    <cellStyle name="Normal 21 24" xfId="1256"/>
    <cellStyle name="Normal 21 25" xfId="1257"/>
    <cellStyle name="Normal 21 26" xfId="1258"/>
    <cellStyle name="Normal 21 27" xfId="1259"/>
    <cellStyle name="Normal 21 28" xfId="1260"/>
    <cellStyle name="Normal 21 29" xfId="1261"/>
    <cellStyle name="Normal 21 3" xfId="1262"/>
    <cellStyle name="Normal 21 30" xfId="1263"/>
    <cellStyle name="Normal 21 31" xfId="1264"/>
    <cellStyle name="Normal 21 32" xfId="1265"/>
    <cellStyle name="Normal 21 33" xfId="1266"/>
    <cellStyle name="Normal 21 34" xfId="1267"/>
    <cellStyle name="Normal 21 35" xfId="1268"/>
    <cellStyle name="Normal 21 36" xfId="1269"/>
    <cellStyle name="Normal 21 37" xfId="1270"/>
    <cellStyle name="Normal 21 38" xfId="1271"/>
    <cellStyle name="Normal 21 39" xfId="1272"/>
    <cellStyle name="Normal 21 4" xfId="1273"/>
    <cellStyle name="Normal 21 40" xfId="1274"/>
    <cellStyle name="Normal 21 41" xfId="1275"/>
    <cellStyle name="Normal 21 42" xfId="1276"/>
    <cellStyle name="Normal 21 43" xfId="1277"/>
    <cellStyle name="Normal 21 44" xfId="1278"/>
    <cellStyle name="Normal 21 45" xfId="1279"/>
    <cellStyle name="Normal 21 46" xfId="1280"/>
    <cellStyle name="Normal 21 47" xfId="1281"/>
    <cellStyle name="Normal 21 48" xfId="1282"/>
    <cellStyle name="Normal 21 49" xfId="1283"/>
    <cellStyle name="Normal 21 5" xfId="1284"/>
    <cellStyle name="Normal 21 6" xfId="1285"/>
    <cellStyle name="Normal 21 7" xfId="1286"/>
    <cellStyle name="Normal 21 8" xfId="1287"/>
    <cellStyle name="Normal 21 9" xfId="1288"/>
    <cellStyle name="Normal 22" xfId="1289"/>
    <cellStyle name="Normal 22 10" xfId="1290"/>
    <cellStyle name="Normal 22 11" xfId="1291"/>
    <cellStyle name="Normal 22 12" xfId="1292"/>
    <cellStyle name="Normal 22 13" xfId="1293"/>
    <cellStyle name="Normal 22 14" xfId="1294"/>
    <cellStyle name="Normal 22 15" xfId="1295"/>
    <cellStyle name="Normal 22 16" xfId="1296"/>
    <cellStyle name="Normal 22 17" xfId="1297"/>
    <cellStyle name="Normal 22 18" xfId="1298"/>
    <cellStyle name="Normal 22 19" xfId="1299"/>
    <cellStyle name="Normal 22 2" xfId="1300"/>
    <cellStyle name="Normal 22 20" xfId="1301"/>
    <cellStyle name="Normal 22 21" xfId="1302"/>
    <cellStyle name="Normal 22 22" xfId="1303"/>
    <cellStyle name="Normal 22 23" xfId="1304"/>
    <cellStyle name="Normal 22 24" xfId="1305"/>
    <cellStyle name="Normal 22 25" xfId="1306"/>
    <cellStyle name="Normal 22 26" xfId="1307"/>
    <cellStyle name="Normal 22 27" xfId="1308"/>
    <cellStyle name="Normal 22 28" xfId="1309"/>
    <cellStyle name="Normal 22 29" xfId="1310"/>
    <cellStyle name="Normal 22 3" xfId="1311"/>
    <cellStyle name="Normal 22 30" xfId="1312"/>
    <cellStyle name="Normal 22 31" xfId="1313"/>
    <cellStyle name="Normal 22 32" xfId="1314"/>
    <cellStyle name="Normal 22 33" xfId="1315"/>
    <cellStyle name="Normal 22 34" xfId="1316"/>
    <cellStyle name="Normal 22 35" xfId="1317"/>
    <cellStyle name="Normal 22 36" xfId="1318"/>
    <cellStyle name="Normal 22 37" xfId="1319"/>
    <cellStyle name="Normal 22 38" xfId="1320"/>
    <cellStyle name="Normal 22 39" xfId="1321"/>
    <cellStyle name="Normal 22 4" xfId="1322"/>
    <cellStyle name="Normal 22 40" xfId="1323"/>
    <cellStyle name="Normal 22 41" xfId="1324"/>
    <cellStyle name="Normal 22 42" xfId="1325"/>
    <cellStyle name="Normal 22 43" xfId="1326"/>
    <cellStyle name="Normal 22 44" xfId="1327"/>
    <cellStyle name="Normal 22 45" xfId="1328"/>
    <cellStyle name="Normal 22 46" xfId="1329"/>
    <cellStyle name="Normal 22 47" xfId="1330"/>
    <cellStyle name="Normal 22 48" xfId="1331"/>
    <cellStyle name="Normal 22 49" xfId="1332"/>
    <cellStyle name="Normal 22 5" xfId="1333"/>
    <cellStyle name="Normal 22 6" xfId="1334"/>
    <cellStyle name="Normal 22 7" xfId="1335"/>
    <cellStyle name="Normal 22 8" xfId="1336"/>
    <cellStyle name="Normal 22 9" xfId="1337"/>
    <cellStyle name="Normal 23" xfId="1338"/>
    <cellStyle name="Normal 24" xfId="1339"/>
    <cellStyle name="Normal 25" xfId="1340"/>
    <cellStyle name="Normal 25 10" xfId="1341"/>
    <cellStyle name="Normal 25 11" xfId="1342"/>
    <cellStyle name="Normal 25 12" xfId="1343"/>
    <cellStyle name="Normal 25 13" xfId="1344"/>
    <cellStyle name="Normal 25 14" xfId="1345"/>
    <cellStyle name="Normal 25 15" xfId="1346"/>
    <cellStyle name="Normal 25 16" xfId="1347"/>
    <cellStyle name="Normal 25 17" xfId="1348"/>
    <cellStyle name="Normal 25 18" xfId="1349"/>
    <cellStyle name="Normal 25 19" xfId="1350"/>
    <cellStyle name="Normal 25 2" xfId="1351"/>
    <cellStyle name="Normal 25 20" xfId="1352"/>
    <cellStyle name="Normal 25 21" xfId="1353"/>
    <cellStyle name="Normal 25 22" xfId="1354"/>
    <cellStyle name="Normal 25 23" xfId="1355"/>
    <cellStyle name="Normal 25 24" xfId="1356"/>
    <cellStyle name="Normal 25 25" xfId="1357"/>
    <cellStyle name="Normal 25 26" xfId="1358"/>
    <cellStyle name="Normal 25 27" xfId="1359"/>
    <cellStyle name="Normal 25 28" xfId="1360"/>
    <cellStyle name="Normal 25 29" xfId="1361"/>
    <cellStyle name="Normal 25 3" xfId="1362"/>
    <cellStyle name="Normal 25 30" xfId="1363"/>
    <cellStyle name="Normal 25 31" xfId="1364"/>
    <cellStyle name="Normal 25 32" xfId="1365"/>
    <cellStyle name="Normal 25 33" xfId="1366"/>
    <cellStyle name="Normal 25 34" xfId="1367"/>
    <cellStyle name="Normal 25 35" xfId="1368"/>
    <cellStyle name="Normal 25 36" xfId="1369"/>
    <cellStyle name="Normal 25 37" xfId="1370"/>
    <cellStyle name="Normal 25 38" xfId="1371"/>
    <cellStyle name="Normal 25 39" xfId="1372"/>
    <cellStyle name="Normal 25 4" xfId="1373"/>
    <cellStyle name="Normal 25 40" xfId="1374"/>
    <cellStyle name="Normal 25 41" xfId="1375"/>
    <cellStyle name="Normal 25 42" xfId="1376"/>
    <cellStyle name="Normal 25 43" xfId="1377"/>
    <cellStyle name="Normal 25 44" xfId="1378"/>
    <cellStyle name="Normal 25 45" xfId="1379"/>
    <cellStyle name="Normal 25 46" xfId="1380"/>
    <cellStyle name="Normal 25 47" xfId="1381"/>
    <cellStyle name="Normal 25 48" xfId="1382"/>
    <cellStyle name="Normal 25 49" xfId="1383"/>
    <cellStyle name="Normal 25 5" xfId="1384"/>
    <cellStyle name="Normal 25 6" xfId="1385"/>
    <cellStyle name="Normal 25 7" xfId="1386"/>
    <cellStyle name="Normal 25 8" xfId="1387"/>
    <cellStyle name="Normal 25 9" xfId="1388"/>
    <cellStyle name="Normal 26" xfId="1389"/>
    <cellStyle name="Normal 26 10" xfId="1390"/>
    <cellStyle name="Normal 26 11" xfId="1391"/>
    <cellStyle name="Normal 26 12" xfId="1392"/>
    <cellStyle name="Normal 26 13" xfId="1393"/>
    <cellStyle name="Normal 26 14" xfId="1394"/>
    <cellStyle name="Normal 26 15" xfId="1395"/>
    <cellStyle name="Normal 26 16" xfId="1396"/>
    <cellStyle name="Normal 26 17" xfId="1397"/>
    <cellStyle name="Normal 26 18" xfId="1398"/>
    <cellStyle name="Normal 26 19" xfId="1399"/>
    <cellStyle name="Normal 26 2" xfId="1400"/>
    <cellStyle name="Normal 26 20" xfId="1401"/>
    <cellStyle name="Normal 26 21" xfId="1402"/>
    <cellStyle name="Normal 26 22" xfId="1403"/>
    <cellStyle name="Normal 26 23" xfId="1404"/>
    <cellStyle name="Normal 26 24" xfId="1405"/>
    <cellStyle name="Normal 26 25" xfId="1406"/>
    <cellStyle name="Normal 26 26" xfId="1407"/>
    <cellStyle name="Normal 26 27" xfId="1408"/>
    <cellStyle name="Normal 26 28" xfId="1409"/>
    <cellStyle name="Normal 26 29" xfId="1410"/>
    <cellStyle name="Normal 26 3" xfId="1411"/>
    <cellStyle name="Normal 26 30" xfId="1412"/>
    <cellStyle name="Normal 26 31" xfId="1413"/>
    <cellStyle name="Normal 26 32" xfId="1414"/>
    <cellStyle name="Normal 26 33" xfId="1415"/>
    <cellStyle name="Normal 26 34" xfId="1416"/>
    <cellStyle name="Normal 26 35" xfId="1417"/>
    <cellStyle name="Normal 26 36" xfId="1418"/>
    <cellStyle name="Normal 26 37" xfId="1419"/>
    <cellStyle name="Normal 26 38" xfId="1420"/>
    <cellStyle name="Normal 26 39" xfId="1421"/>
    <cellStyle name="Normal 26 4" xfId="1422"/>
    <cellStyle name="Normal 26 40" xfId="1423"/>
    <cellStyle name="Normal 26 41" xfId="1424"/>
    <cellStyle name="Normal 26 42" xfId="1425"/>
    <cellStyle name="Normal 26 43" xfId="1426"/>
    <cellStyle name="Normal 26 44" xfId="1427"/>
    <cellStyle name="Normal 26 45" xfId="1428"/>
    <cellStyle name="Normal 26 46" xfId="1429"/>
    <cellStyle name="Normal 26 47" xfId="1430"/>
    <cellStyle name="Normal 26 48" xfId="1431"/>
    <cellStyle name="Normal 26 49" xfId="1432"/>
    <cellStyle name="Normal 26 5" xfId="1433"/>
    <cellStyle name="Normal 26 6" xfId="1434"/>
    <cellStyle name="Normal 26 7" xfId="1435"/>
    <cellStyle name="Normal 26 8" xfId="1436"/>
    <cellStyle name="Normal 26 9" xfId="1437"/>
    <cellStyle name="Normal 27" xfId="1438"/>
    <cellStyle name="Normal 28" xfId="1439"/>
    <cellStyle name="Normal 28 10" xfId="1440"/>
    <cellStyle name="Normal 28 11" xfId="1441"/>
    <cellStyle name="Normal 28 12" xfId="1442"/>
    <cellStyle name="Normal 28 13" xfId="1443"/>
    <cellStyle name="Normal 28 14" xfId="1444"/>
    <cellStyle name="Normal 28 15" xfId="1445"/>
    <cellStyle name="Normal 28 16" xfId="1446"/>
    <cellStyle name="Normal 28 17" xfId="1447"/>
    <cellStyle name="Normal 28 18" xfId="1448"/>
    <cellStyle name="Normal 28 19" xfId="1449"/>
    <cellStyle name="Normal 28 2" xfId="1450"/>
    <cellStyle name="Normal 28 20" xfId="1451"/>
    <cellStyle name="Normal 28 21" xfId="1452"/>
    <cellStyle name="Normal 28 22" xfId="1453"/>
    <cellStyle name="Normal 28 23" xfId="1454"/>
    <cellStyle name="Normal 28 24" xfId="1455"/>
    <cellStyle name="Normal 28 25" xfId="1456"/>
    <cellStyle name="Normal 28 26" xfId="1457"/>
    <cellStyle name="Normal 28 27" xfId="1458"/>
    <cellStyle name="Normal 28 28" xfId="1459"/>
    <cellStyle name="Normal 28 29" xfId="1460"/>
    <cellStyle name="Normal 28 3" xfId="1461"/>
    <cellStyle name="Normal 28 30" xfId="1462"/>
    <cellStyle name="Normal 28 31" xfId="1463"/>
    <cellStyle name="Normal 28 32" xfId="1464"/>
    <cellStyle name="Normal 28 33" xfId="1465"/>
    <cellStyle name="Normal 28 34" xfId="1466"/>
    <cellStyle name="Normal 28 35" xfId="1467"/>
    <cellStyle name="Normal 28 36" xfId="1468"/>
    <cellStyle name="Normal 28 37" xfId="1469"/>
    <cellStyle name="Normal 28 38" xfId="1470"/>
    <cellStyle name="Normal 28 39" xfId="1471"/>
    <cellStyle name="Normal 28 4" xfId="1472"/>
    <cellStyle name="Normal 28 40" xfId="1473"/>
    <cellStyle name="Normal 28 41" xfId="1474"/>
    <cellStyle name="Normal 28 42" xfId="1475"/>
    <cellStyle name="Normal 28 43" xfId="1476"/>
    <cellStyle name="Normal 28 44" xfId="1477"/>
    <cellStyle name="Normal 28 45" xfId="1478"/>
    <cellStyle name="Normal 28 46" xfId="1479"/>
    <cellStyle name="Normal 28 47" xfId="1480"/>
    <cellStyle name="Normal 28 48" xfId="1481"/>
    <cellStyle name="Normal 28 49" xfId="1482"/>
    <cellStyle name="Normal 28 5" xfId="1483"/>
    <cellStyle name="Normal 28 6" xfId="1484"/>
    <cellStyle name="Normal 28 7" xfId="1485"/>
    <cellStyle name="Normal 28 8" xfId="1486"/>
    <cellStyle name="Normal 28 9" xfId="1487"/>
    <cellStyle name="Normal 29" xfId="1488"/>
    <cellStyle name="Normal 29 10" xfId="1489"/>
    <cellStyle name="Normal 29 11" xfId="1490"/>
    <cellStyle name="Normal 29 12" xfId="1491"/>
    <cellStyle name="Normal 29 13" xfId="1492"/>
    <cellStyle name="Normal 29 14" xfId="1493"/>
    <cellStyle name="Normal 29 15" xfId="1494"/>
    <cellStyle name="Normal 29 16" xfId="1495"/>
    <cellStyle name="Normal 29 17" xfId="1496"/>
    <cellStyle name="Normal 29 18" xfId="1497"/>
    <cellStyle name="Normal 29 19" xfId="1498"/>
    <cellStyle name="Normal 29 2" xfId="1499"/>
    <cellStyle name="Normal 29 20" xfId="1500"/>
    <cellStyle name="Normal 29 21" xfId="1501"/>
    <cellStyle name="Normal 29 22" xfId="1502"/>
    <cellStyle name="Normal 29 23" xfId="1503"/>
    <cellStyle name="Normal 29 24" xfId="1504"/>
    <cellStyle name="Normal 29 25" xfId="1505"/>
    <cellStyle name="Normal 29 26" xfId="1506"/>
    <cellStyle name="Normal 29 27" xfId="1507"/>
    <cellStyle name="Normal 29 28" xfId="1508"/>
    <cellStyle name="Normal 29 29" xfId="1509"/>
    <cellStyle name="Normal 29 3" xfId="1510"/>
    <cellStyle name="Normal 29 30" xfId="1511"/>
    <cellStyle name="Normal 29 31" xfId="1512"/>
    <cellStyle name="Normal 29 32" xfId="1513"/>
    <cellStyle name="Normal 29 33" xfId="1514"/>
    <cellStyle name="Normal 29 34" xfId="1515"/>
    <cellStyle name="Normal 29 35" xfId="1516"/>
    <cellStyle name="Normal 29 36" xfId="1517"/>
    <cellStyle name="Normal 29 37" xfId="1518"/>
    <cellStyle name="Normal 29 38" xfId="1519"/>
    <cellStyle name="Normal 29 39" xfId="1520"/>
    <cellStyle name="Normal 29 4" xfId="1521"/>
    <cellStyle name="Normal 29 40" xfId="1522"/>
    <cellStyle name="Normal 29 41" xfId="1523"/>
    <cellStyle name="Normal 29 42" xfId="1524"/>
    <cellStyle name="Normal 29 43" xfId="1525"/>
    <cellStyle name="Normal 29 44" xfId="1526"/>
    <cellStyle name="Normal 29 45" xfId="1527"/>
    <cellStyle name="Normal 29 46" xfId="1528"/>
    <cellStyle name="Normal 29 47" xfId="1529"/>
    <cellStyle name="Normal 29 48" xfId="1530"/>
    <cellStyle name="Normal 29 49" xfId="1531"/>
    <cellStyle name="Normal 29 5" xfId="1532"/>
    <cellStyle name="Normal 29 6" xfId="1533"/>
    <cellStyle name="Normal 29 7" xfId="1534"/>
    <cellStyle name="Normal 29 8" xfId="1535"/>
    <cellStyle name="Normal 29 9" xfId="1536"/>
    <cellStyle name="Normal 3" xfId="38"/>
    <cellStyle name="Normal 3 10" xfId="1537"/>
    <cellStyle name="Normal 3 11" xfId="1538"/>
    <cellStyle name="Normal 3 12" xfId="1539"/>
    <cellStyle name="Normal 3 13" xfId="1540"/>
    <cellStyle name="Normal 3 14" xfId="1541"/>
    <cellStyle name="Normal 3 15" xfId="1542"/>
    <cellStyle name="Normal 3 16" xfId="1543"/>
    <cellStyle name="Normal 3 17" xfId="1544"/>
    <cellStyle name="Normal 3 18" xfId="1545"/>
    <cellStyle name="Normal 3 19" xfId="1546"/>
    <cellStyle name="Normal 3 2" xfId="1547"/>
    <cellStyle name="Normal 3 2 2" xfId="1548"/>
    <cellStyle name="Normal 3 20" xfId="1549"/>
    <cellStyle name="Normal 3 21" xfId="1550"/>
    <cellStyle name="Normal 3 22" xfId="1551"/>
    <cellStyle name="Normal 3 23" xfId="1552"/>
    <cellStyle name="Normal 3 24" xfId="1553"/>
    <cellStyle name="Normal 3 25" xfId="1554"/>
    <cellStyle name="Normal 3 26" xfId="1555"/>
    <cellStyle name="Normal 3 27" xfId="1556"/>
    <cellStyle name="Normal 3 28" xfId="1557"/>
    <cellStyle name="Normal 3 29" xfId="1558"/>
    <cellStyle name="Normal 3 3" xfId="1559"/>
    <cellStyle name="Normal 3 3 2" xfId="1560"/>
    <cellStyle name="Normal 3 30" xfId="1561"/>
    <cellStyle name="Normal 3 31" xfId="1562"/>
    <cellStyle name="Normal 3 32" xfId="1563"/>
    <cellStyle name="Normal 3 33" xfId="1564"/>
    <cellStyle name="Normal 3 34" xfId="1565"/>
    <cellStyle name="Normal 3 35" xfId="1566"/>
    <cellStyle name="Normal 3 36" xfId="1567"/>
    <cellStyle name="Normal 3 37" xfId="1568"/>
    <cellStyle name="Normal 3 38" xfId="1569"/>
    <cellStyle name="Normal 3 39" xfId="1570"/>
    <cellStyle name="Normal 3 4" xfId="1571"/>
    <cellStyle name="Normal 3 40" xfId="1572"/>
    <cellStyle name="Normal 3 41" xfId="1573"/>
    <cellStyle name="Normal 3 42" xfId="1574"/>
    <cellStyle name="Normal 3 43" xfId="1575"/>
    <cellStyle name="Normal 3 44" xfId="1576"/>
    <cellStyle name="Normal 3 45" xfId="1577"/>
    <cellStyle name="Normal 3 46" xfId="1578"/>
    <cellStyle name="Normal 3 47" xfId="1579"/>
    <cellStyle name="Normal 3 48" xfId="1580"/>
    <cellStyle name="Normal 3 49" xfId="1581"/>
    <cellStyle name="Normal 3 5" xfId="1582"/>
    <cellStyle name="Normal 3 50" xfId="1583"/>
    <cellStyle name="Normal 3 51" xfId="1584"/>
    <cellStyle name="Normal 3 52" xfId="1585"/>
    <cellStyle name="Normal 3 53" xfId="1586"/>
    <cellStyle name="Normal 3 54" xfId="1587"/>
    <cellStyle name="Normal 3 55" xfId="1588"/>
    <cellStyle name="Normal 3 56" xfId="1589"/>
    <cellStyle name="Normal 3 57" xfId="1590"/>
    <cellStyle name="Normal 3 58" xfId="1591"/>
    <cellStyle name="Normal 3 59" xfId="1592"/>
    <cellStyle name="Normal 3 6" xfId="1593"/>
    <cellStyle name="Normal 3 60" xfId="1594"/>
    <cellStyle name="Normal 3 61" xfId="1595"/>
    <cellStyle name="Normal 3 62" xfId="1596"/>
    <cellStyle name="Normal 3 63" xfId="1597"/>
    <cellStyle name="Normal 3 64" xfId="1598"/>
    <cellStyle name="Normal 3 65" xfId="1599"/>
    <cellStyle name="Normal 3 66" xfId="1600"/>
    <cellStyle name="Normal 3 67" xfId="1601"/>
    <cellStyle name="Normal 3 68" xfId="1602"/>
    <cellStyle name="Normal 3 69" xfId="1603"/>
    <cellStyle name="Normal 3 7" xfId="1604"/>
    <cellStyle name="Normal 3 70" xfId="1605"/>
    <cellStyle name="Normal 3 71" xfId="1606"/>
    <cellStyle name="Normal 3 72" xfId="1607"/>
    <cellStyle name="Normal 3 73" xfId="1608"/>
    <cellStyle name="Normal 3 74" xfId="1609"/>
    <cellStyle name="Normal 3 75" xfId="1610"/>
    <cellStyle name="Normal 3 76" xfId="1611"/>
    <cellStyle name="Normal 3 77" xfId="1612"/>
    <cellStyle name="Normal 3 78" xfId="1613"/>
    <cellStyle name="Normal 3 79" xfId="1614"/>
    <cellStyle name="Normal 3 8" xfId="1615"/>
    <cellStyle name="Normal 3 80" xfId="1616"/>
    <cellStyle name="Normal 3 81" xfId="1617"/>
    <cellStyle name="Normal 3 82" xfId="1618"/>
    <cellStyle name="Normal 3 83" xfId="1619"/>
    <cellStyle name="Normal 3 84" xfId="1620"/>
    <cellStyle name="Normal 3 85" xfId="1621"/>
    <cellStyle name="Normal 3 86" xfId="1622"/>
    <cellStyle name="Normal 3 87" xfId="1623"/>
    <cellStyle name="Normal 3 88" xfId="1624"/>
    <cellStyle name="Normal 3 9" xfId="1625"/>
    <cellStyle name="Normal 30" xfId="1626"/>
    <cellStyle name="Normal 30 10" xfId="1627"/>
    <cellStyle name="Normal 30 11" xfId="1628"/>
    <cellStyle name="Normal 30 12" xfId="1629"/>
    <cellStyle name="Normal 30 13" xfId="1630"/>
    <cellStyle name="Normal 30 14" xfId="1631"/>
    <cellStyle name="Normal 30 15" xfId="1632"/>
    <cellStyle name="Normal 30 16" xfId="1633"/>
    <cellStyle name="Normal 30 17" xfId="1634"/>
    <cellStyle name="Normal 30 18" xfId="1635"/>
    <cellStyle name="Normal 30 19" xfId="1636"/>
    <cellStyle name="Normal 30 2" xfId="1637"/>
    <cellStyle name="Normal 30 20" xfId="1638"/>
    <cellStyle name="Normal 30 21" xfId="1639"/>
    <cellStyle name="Normal 30 22" xfId="1640"/>
    <cellStyle name="Normal 30 23" xfId="1641"/>
    <cellStyle name="Normal 30 24" xfId="1642"/>
    <cellStyle name="Normal 30 25" xfId="1643"/>
    <cellStyle name="Normal 30 26" xfId="1644"/>
    <cellStyle name="Normal 30 27" xfId="1645"/>
    <cellStyle name="Normal 30 28" xfId="1646"/>
    <cellStyle name="Normal 30 29" xfId="1647"/>
    <cellStyle name="Normal 30 3" xfId="1648"/>
    <cellStyle name="Normal 30 30" xfId="1649"/>
    <cellStyle name="Normal 30 31" xfId="1650"/>
    <cellStyle name="Normal 30 32" xfId="1651"/>
    <cellStyle name="Normal 30 33" xfId="1652"/>
    <cellStyle name="Normal 30 34" xfId="1653"/>
    <cellStyle name="Normal 30 35" xfId="1654"/>
    <cellStyle name="Normal 30 36" xfId="1655"/>
    <cellStyle name="Normal 30 37" xfId="1656"/>
    <cellStyle name="Normal 30 38" xfId="1657"/>
    <cellStyle name="Normal 30 39" xfId="1658"/>
    <cellStyle name="Normal 30 4" xfId="1659"/>
    <cellStyle name="Normal 30 40" xfId="1660"/>
    <cellStyle name="Normal 30 41" xfId="1661"/>
    <cellStyle name="Normal 30 42" xfId="1662"/>
    <cellStyle name="Normal 30 43" xfId="1663"/>
    <cellStyle name="Normal 30 44" xfId="1664"/>
    <cellStyle name="Normal 30 45" xfId="1665"/>
    <cellStyle name="Normal 30 46" xfId="1666"/>
    <cellStyle name="Normal 30 47" xfId="1667"/>
    <cellStyle name="Normal 30 48" xfId="1668"/>
    <cellStyle name="Normal 30 49" xfId="1669"/>
    <cellStyle name="Normal 30 5" xfId="1670"/>
    <cellStyle name="Normal 30 6" xfId="1671"/>
    <cellStyle name="Normal 30 7" xfId="1672"/>
    <cellStyle name="Normal 30 8" xfId="1673"/>
    <cellStyle name="Normal 30 9" xfId="1674"/>
    <cellStyle name="Normal 31" xfId="1675"/>
    <cellStyle name="Normal 32" xfId="1676"/>
    <cellStyle name="Normal 32 10" xfId="1677"/>
    <cellStyle name="Normal 32 11" xfId="1678"/>
    <cellStyle name="Normal 32 12" xfId="1679"/>
    <cellStyle name="Normal 32 13" xfId="1680"/>
    <cellStyle name="Normal 32 14" xfId="1681"/>
    <cellStyle name="Normal 32 15" xfId="1682"/>
    <cellStyle name="Normal 32 16" xfId="1683"/>
    <cellStyle name="Normal 32 17" xfId="1684"/>
    <cellStyle name="Normal 32 18" xfId="1685"/>
    <cellStyle name="Normal 32 19" xfId="1686"/>
    <cellStyle name="Normal 32 2" xfId="1687"/>
    <cellStyle name="Normal 32 20" xfId="1688"/>
    <cellStyle name="Normal 32 21" xfId="1689"/>
    <cellStyle name="Normal 32 22" xfId="1690"/>
    <cellStyle name="Normal 32 23" xfId="1691"/>
    <cellStyle name="Normal 32 24" xfId="1692"/>
    <cellStyle name="Normal 32 25" xfId="1693"/>
    <cellStyle name="Normal 32 26" xfId="1694"/>
    <cellStyle name="Normal 32 27" xfId="1695"/>
    <cellStyle name="Normal 32 28" xfId="1696"/>
    <cellStyle name="Normal 32 29" xfId="1697"/>
    <cellStyle name="Normal 32 3" xfId="1698"/>
    <cellStyle name="Normal 32 30" xfId="1699"/>
    <cellStyle name="Normal 32 31" xfId="1700"/>
    <cellStyle name="Normal 32 32" xfId="1701"/>
    <cellStyle name="Normal 32 33" xfId="1702"/>
    <cellStyle name="Normal 32 34" xfId="1703"/>
    <cellStyle name="Normal 32 35" xfId="1704"/>
    <cellStyle name="Normal 32 36" xfId="1705"/>
    <cellStyle name="Normal 32 37" xfId="1706"/>
    <cellStyle name="Normal 32 38" xfId="1707"/>
    <cellStyle name="Normal 32 39" xfId="1708"/>
    <cellStyle name="Normal 32 4" xfId="1709"/>
    <cellStyle name="Normal 32 40" xfId="1710"/>
    <cellStyle name="Normal 32 41" xfId="1711"/>
    <cellStyle name="Normal 32 42" xfId="1712"/>
    <cellStyle name="Normal 32 43" xfId="1713"/>
    <cellStyle name="Normal 32 44" xfId="1714"/>
    <cellStyle name="Normal 32 45" xfId="1715"/>
    <cellStyle name="Normal 32 46" xfId="1716"/>
    <cellStyle name="Normal 32 47" xfId="1717"/>
    <cellStyle name="Normal 32 48" xfId="1718"/>
    <cellStyle name="Normal 32 49" xfId="1719"/>
    <cellStyle name="Normal 32 5" xfId="1720"/>
    <cellStyle name="Normal 32 6" xfId="1721"/>
    <cellStyle name="Normal 32 7" xfId="1722"/>
    <cellStyle name="Normal 32 8" xfId="1723"/>
    <cellStyle name="Normal 32 9" xfId="1724"/>
    <cellStyle name="Normal 33" xfId="1725"/>
    <cellStyle name="Normal 34" xfId="2124"/>
    <cellStyle name="Normal 35" xfId="1726"/>
    <cellStyle name="Normal 36" xfId="1727"/>
    <cellStyle name="Normal 37" xfId="1728"/>
    <cellStyle name="Normal 38" xfId="1729"/>
    <cellStyle name="Normal 39" xfId="1730"/>
    <cellStyle name="Normal 4" xfId="41"/>
    <cellStyle name="Normal 4 10" xfId="1731"/>
    <cellStyle name="Normal 4 11" xfId="1732"/>
    <cellStyle name="Normal 4 12" xfId="1733"/>
    <cellStyle name="Normal 4 13" xfId="1734"/>
    <cellStyle name="Normal 4 14" xfId="1735"/>
    <cellStyle name="Normal 4 15" xfId="1736"/>
    <cellStyle name="Normal 4 16" xfId="1737"/>
    <cellStyle name="Normal 4 17" xfId="1738"/>
    <cellStyle name="Normal 4 18" xfId="1739"/>
    <cellStyle name="Normal 4 19" xfId="1740"/>
    <cellStyle name="Normal 4 2" xfId="46"/>
    <cellStyle name="Normal 4 20" xfId="1741"/>
    <cellStyle name="Normal 4 21" xfId="1742"/>
    <cellStyle name="Normal 4 22" xfId="1743"/>
    <cellStyle name="Normal 4 23" xfId="1744"/>
    <cellStyle name="Normal 4 24" xfId="1745"/>
    <cellStyle name="Normal 4 25" xfId="1746"/>
    <cellStyle name="Normal 4 26" xfId="1747"/>
    <cellStyle name="Normal 4 27" xfId="1748"/>
    <cellStyle name="Normal 4 28" xfId="1749"/>
    <cellStyle name="Normal 4 29" xfId="1750"/>
    <cellStyle name="Normal 4 3" xfId="1751"/>
    <cellStyle name="Normal 4 30" xfId="1752"/>
    <cellStyle name="Normal 4 31" xfId="1753"/>
    <cellStyle name="Normal 4 32" xfId="1754"/>
    <cellStyle name="Normal 4 33" xfId="1755"/>
    <cellStyle name="Normal 4 34" xfId="1756"/>
    <cellStyle name="Normal 4 35" xfId="1757"/>
    <cellStyle name="Normal 4 36" xfId="1758"/>
    <cellStyle name="Normal 4 37" xfId="1759"/>
    <cellStyle name="Normal 4 38" xfId="1760"/>
    <cellStyle name="Normal 4 39" xfId="1761"/>
    <cellStyle name="Normal 4 4" xfId="1762"/>
    <cellStyle name="Normal 4 40" xfId="1763"/>
    <cellStyle name="Normal 4 41" xfId="1764"/>
    <cellStyle name="Normal 4 42" xfId="1765"/>
    <cellStyle name="Normal 4 43" xfId="1766"/>
    <cellStyle name="Normal 4 44" xfId="1767"/>
    <cellStyle name="Normal 4 45" xfId="1768"/>
    <cellStyle name="Normal 4 46" xfId="1769"/>
    <cellStyle name="Normal 4 47" xfId="1770"/>
    <cellStyle name="Normal 4 48" xfId="1771"/>
    <cellStyle name="Normal 4 49" xfId="1772"/>
    <cellStyle name="Normal 4 5" xfId="1773"/>
    <cellStyle name="Normal 4 50" xfId="1774"/>
    <cellStyle name="Normal 4 6" xfId="1775"/>
    <cellStyle name="Normal 4 7" xfId="1776"/>
    <cellStyle name="Normal 4 8" xfId="1777"/>
    <cellStyle name="Normal 4 9" xfId="1778"/>
    <cellStyle name="Normal 40" xfId="1779"/>
    <cellStyle name="Normal 41" xfId="2126"/>
    <cellStyle name="Normal 42" xfId="1780"/>
    <cellStyle name="Normal 43" xfId="1781"/>
    <cellStyle name="Normal 44" xfId="1782"/>
    <cellStyle name="Normal 45" xfId="1783"/>
    <cellStyle name="Normal 46" xfId="1784"/>
    <cellStyle name="Normal 47" xfId="1785"/>
    <cellStyle name="Normal 48" xfId="1786"/>
    <cellStyle name="Normal 49" xfId="1787"/>
    <cellStyle name="Normal 5" xfId="48"/>
    <cellStyle name="Normal 5 10" xfId="1788"/>
    <cellStyle name="Normal 5 11" xfId="1789"/>
    <cellStyle name="Normal 5 12" xfId="1790"/>
    <cellStyle name="Normal 5 13" xfId="1791"/>
    <cellStyle name="Normal 5 14" xfId="1792"/>
    <cellStyle name="Normal 5 15" xfId="1793"/>
    <cellStyle name="Normal 5 16" xfId="1794"/>
    <cellStyle name="Normal 5 17" xfId="1795"/>
    <cellStyle name="Normal 5 18" xfId="1796"/>
    <cellStyle name="Normal 5 19" xfId="1797"/>
    <cellStyle name="Normal 5 2" xfId="1798"/>
    <cellStyle name="Normal 5 20" xfId="1799"/>
    <cellStyle name="Normal 5 21" xfId="1800"/>
    <cellStyle name="Normal 5 22" xfId="1801"/>
    <cellStyle name="Normal 5 23" xfId="1802"/>
    <cellStyle name="Normal 5 24" xfId="1803"/>
    <cellStyle name="Normal 5 25" xfId="1804"/>
    <cellStyle name="Normal 5 26" xfId="1805"/>
    <cellStyle name="Normal 5 27" xfId="1806"/>
    <cellStyle name="Normal 5 28" xfId="1807"/>
    <cellStyle name="Normal 5 29" xfId="1808"/>
    <cellStyle name="Normal 5 3" xfId="1809"/>
    <cellStyle name="Normal 5 30" xfId="1810"/>
    <cellStyle name="Normal 5 31" xfId="1811"/>
    <cellStyle name="Normal 5 32" xfId="1812"/>
    <cellStyle name="Normal 5 33" xfId="1813"/>
    <cellStyle name="Normal 5 34" xfId="1814"/>
    <cellStyle name="Normal 5 35" xfId="1815"/>
    <cellStyle name="Normal 5 36" xfId="1816"/>
    <cellStyle name="Normal 5 37" xfId="1817"/>
    <cellStyle name="Normal 5 38" xfId="1818"/>
    <cellStyle name="Normal 5 39" xfId="1819"/>
    <cellStyle name="Normal 5 4" xfId="1820"/>
    <cellStyle name="Normal 5 40" xfId="1821"/>
    <cellStyle name="Normal 5 41" xfId="1822"/>
    <cellStyle name="Normal 5 42" xfId="1823"/>
    <cellStyle name="Normal 5 43" xfId="1824"/>
    <cellStyle name="Normal 5 44" xfId="1825"/>
    <cellStyle name="Normal 5 45" xfId="1826"/>
    <cellStyle name="Normal 5 46" xfId="1827"/>
    <cellStyle name="Normal 5 47" xfId="1828"/>
    <cellStyle name="Normal 5 48" xfId="1829"/>
    <cellStyle name="Normal 5 49" xfId="1830"/>
    <cellStyle name="Normal 5 5" xfId="1831"/>
    <cellStyle name="Normal 5 50" xfId="1832"/>
    <cellStyle name="Normal 5 51" xfId="1833"/>
    <cellStyle name="Normal 5 52" xfId="1834"/>
    <cellStyle name="Normal 5 53" xfId="1835"/>
    <cellStyle name="Normal 5 54" xfId="1836"/>
    <cellStyle name="Normal 5 55" xfId="1837"/>
    <cellStyle name="Normal 5 56" xfId="1838"/>
    <cellStyle name="Normal 5 57" xfId="1839"/>
    <cellStyle name="Normal 5 58" xfId="1840"/>
    <cellStyle name="Normal 5 59" xfId="1841"/>
    <cellStyle name="Normal 5 6" xfId="1842"/>
    <cellStyle name="Normal 5 60" xfId="1843"/>
    <cellStyle name="Normal 5 61" xfId="1844"/>
    <cellStyle name="Normal 5 62" xfId="1845"/>
    <cellStyle name="Normal 5 63" xfId="1846"/>
    <cellStyle name="Normal 5 64" xfId="1847"/>
    <cellStyle name="Normal 5 65" xfId="1848"/>
    <cellStyle name="Normal 5 66" xfId="1849"/>
    <cellStyle name="Normal 5 67" xfId="1850"/>
    <cellStyle name="Normal 5 68" xfId="1851"/>
    <cellStyle name="Normal 5 69" xfId="1852"/>
    <cellStyle name="Normal 5 7" xfId="1853"/>
    <cellStyle name="Normal 5 70" xfId="1854"/>
    <cellStyle name="Normal 5 71" xfId="1855"/>
    <cellStyle name="Normal 5 72" xfId="1856"/>
    <cellStyle name="Normal 5 73" xfId="1857"/>
    <cellStyle name="Normal 5 74" xfId="1858"/>
    <cellStyle name="Normal 5 75" xfId="1859"/>
    <cellStyle name="Normal 5 76" xfId="1860"/>
    <cellStyle name="Normal 5 77" xfId="1861"/>
    <cellStyle name="Normal 5 78" xfId="1862"/>
    <cellStyle name="Normal 5 79" xfId="1863"/>
    <cellStyle name="Normal 5 8" xfId="1864"/>
    <cellStyle name="Normal 5 80" xfId="1865"/>
    <cellStyle name="Normal 5 81" xfId="1866"/>
    <cellStyle name="Normal 5 82" xfId="1867"/>
    <cellStyle name="Normal 5 83" xfId="1868"/>
    <cellStyle name="Normal 5 84" xfId="1869"/>
    <cellStyle name="Normal 5 85" xfId="1870"/>
    <cellStyle name="Normal 5 86" xfId="1871"/>
    <cellStyle name="Normal 5 87" xfId="1872"/>
    <cellStyle name="Normal 5 9" xfId="1873"/>
    <cellStyle name="Normal 50" xfId="1874"/>
    <cellStyle name="Normal 51" xfId="1875"/>
    <cellStyle name="Normal 52" xfId="2130"/>
    <cellStyle name="Normal 53" xfId="1876"/>
    <cellStyle name="Normal 54" xfId="1877"/>
    <cellStyle name="Normal 55" xfId="1878"/>
    <cellStyle name="Normal 56" xfId="1879"/>
    <cellStyle name="Normal 57" xfId="2132"/>
    <cellStyle name="Normal 6" xfId="1880"/>
    <cellStyle name="Normal 6 10" xfId="1881"/>
    <cellStyle name="Normal 6 11" xfId="1882"/>
    <cellStyle name="Normal 6 12" xfId="1883"/>
    <cellStyle name="Normal 6 13" xfId="1884"/>
    <cellStyle name="Normal 6 14" xfId="1885"/>
    <cellStyle name="Normal 6 15" xfId="1886"/>
    <cellStyle name="Normal 6 16" xfId="1887"/>
    <cellStyle name="Normal 6 17" xfId="1888"/>
    <cellStyle name="Normal 6 18" xfId="1889"/>
    <cellStyle name="Normal 6 19" xfId="1890"/>
    <cellStyle name="Normal 6 2" xfId="1891"/>
    <cellStyle name="Normal 6 20" xfId="1892"/>
    <cellStyle name="Normal 6 21" xfId="1893"/>
    <cellStyle name="Normal 6 22" xfId="1894"/>
    <cellStyle name="Normal 6 23" xfId="1895"/>
    <cellStyle name="Normal 6 24" xfId="1896"/>
    <cellStyle name="Normal 6 25" xfId="1897"/>
    <cellStyle name="Normal 6 26" xfId="1898"/>
    <cellStyle name="Normal 6 27" xfId="1899"/>
    <cellStyle name="Normal 6 28" xfId="1900"/>
    <cellStyle name="Normal 6 29" xfId="1901"/>
    <cellStyle name="Normal 6 3" xfId="1902"/>
    <cellStyle name="Normal 6 30" xfId="1903"/>
    <cellStyle name="Normal 6 31" xfId="1904"/>
    <cellStyle name="Normal 6 32" xfId="1905"/>
    <cellStyle name="Normal 6 33" xfId="1906"/>
    <cellStyle name="Normal 6 34" xfId="1907"/>
    <cellStyle name="Normal 6 35" xfId="1908"/>
    <cellStyle name="Normal 6 36" xfId="1909"/>
    <cellStyle name="Normal 6 37" xfId="1910"/>
    <cellStyle name="Normal 6 38" xfId="1911"/>
    <cellStyle name="Normal 6 39" xfId="1912"/>
    <cellStyle name="Normal 6 4" xfId="1913"/>
    <cellStyle name="Normal 6 40" xfId="1914"/>
    <cellStyle name="Normal 6 5" xfId="1915"/>
    <cellStyle name="Normal 6 6" xfId="1916"/>
    <cellStyle name="Normal 6 7" xfId="1917"/>
    <cellStyle name="Normal 6 8" xfId="1918"/>
    <cellStyle name="Normal 6 9" xfId="1919"/>
    <cellStyle name="Normal 61" xfId="1920"/>
    <cellStyle name="Normal 64" xfId="1921"/>
    <cellStyle name="Normal 65" xfId="1922"/>
    <cellStyle name="Normal 7" xfId="1923"/>
    <cellStyle name="Normal 7 10" xfId="1924"/>
    <cellStyle name="Normal 7 11" xfId="1925"/>
    <cellStyle name="Normal 7 12" xfId="1926"/>
    <cellStyle name="Normal 7 13" xfId="1927"/>
    <cellStyle name="Normal 7 14" xfId="1928"/>
    <cellStyle name="Normal 7 15" xfId="1929"/>
    <cellStyle name="Normal 7 16" xfId="1930"/>
    <cellStyle name="Normal 7 17" xfId="1931"/>
    <cellStyle name="Normal 7 18" xfId="1932"/>
    <cellStyle name="Normal 7 19" xfId="1933"/>
    <cellStyle name="Normal 7 2" xfId="1934"/>
    <cellStyle name="Normal 7 20" xfId="1935"/>
    <cellStyle name="Normal 7 21" xfId="1936"/>
    <cellStyle name="Normal 7 22" xfId="1937"/>
    <cellStyle name="Normal 7 23" xfId="1938"/>
    <cellStyle name="Normal 7 24" xfId="1939"/>
    <cellStyle name="Normal 7 25" xfId="1940"/>
    <cellStyle name="Normal 7 26" xfId="1941"/>
    <cellStyle name="Normal 7 27" xfId="1942"/>
    <cellStyle name="Normal 7 28" xfId="1943"/>
    <cellStyle name="Normal 7 29" xfId="1944"/>
    <cellStyle name="Normal 7 3" xfId="1945"/>
    <cellStyle name="Normal 7 30" xfId="1946"/>
    <cellStyle name="Normal 7 31" xfId="1947"/>
    <cellStyle name="Normal 7 32" xfId="1948"/>
    <cellStyle name="Normal 7 33" xfId="1949"/>
    <cellStyle name="Normal 7 34" xfId="1950"/>
    <cellStyle name="Normal 7 35" xfId="1951"/>
    <cellStyle name="Normal 7 36" xfId="1952"/>
    <cellStyle name="Normal 7 37" xfId="1953"/>
    <cellStyle name="Normal 7 38" xfId="1954"/>
    <cellStyle name="Normal 7 39" xfId="1955"/>
    <cellStyle name="Normal 7 4" xfId="1956"/>
    <cellStyle name="Normal 7 40" xfId="1957"/>
    <cellStyle name="Normal 7 41" xfId="1958"/>
    <cellStyle name="Normal 7 42" xfId="1959"/>
    <cellStyle name="Normal 7 43" xfId="1960"/>
    <cellStyle name="Normal 7 44" xfId="1961"/>
    <cellStyle name="Normal 7 45" xfId="1962"/>
    <cellStyle name="Normal 7 46" xfId="1963"/>
    <cellStyle name="Normal 7 47" xfId="1964"/>
    <cellStyle name="Normal 7 48" xfId="1965"/>
    <cellStyle name="Normal 7 49" xfId="1966"/>
    <cellStyle name="Normal 7 5" xfId="1967"/>
    <cellStyle name="Normal 7 50" xfId="1968"/>
    <cellStyle name="Normal 7 51" xfId="1969"/>
    <cellStyle name="Normal 7 52" xfId="1970"/>
    <cellStyle name="Normal 7 53" xfId="1971"/>
    <cellStyle name="Normal 7 54" xfId="1972"/>
    <cellStyle name="Normal 7 55" xfId="1973"/>
    <cellStyle name="Normal 7 56" xfId="1974"/>
    <cellStyle name="Normal 7 57" xfId="1975"/>
    <cellStyle name="Normal 7 58" xfId="1976"/>
    <cellStyle name="Normal 7 59" xfId="1977"/>
    <cellStyle name="Normal 7 6" xfId="1978"/>
    <cellStyle name="Normal 7 60" xfId="1979"/>
    <cellStyle name="Normal 7 61" xfId="1980"/>
    <cellStyle name="Normal 7 62" xfId="1981"/>
    <cellStyle name="Normal 7 63" xfId="1982"/>
    <cellStyle name="Normal 7 64" xfId="1983"/>
    <cellStyle name="Normal 7 65" xfId="1984"/>
    <cellStyle name="Normal 7 66" xfId="1985"/>
    <cellStyle name="Normal 7 67" xfId="1986"/>
    <cellStyle name="Normal 7 68" xfId="1987"/>
    <cellStyle name="Normal 7 69" xfId="1988"/>
    <cellStyle name="Normal 7 7" xfId="1989"/>
    <cellStyle name="Normal 7 70" xfId="1990"/>
    <cellStyle name="Normal 7 71" xfId="1991"/>
    <cellStyle name="Normal 7 72" xfId="1992"/>
    <cellStyle name="Normal 7 73" xfId="1993"/>
    <cellStyle name="Normal 7 74" xfId="1994"/>
    <cellStyle name="Normal 7 75" xfId="1995"/>
    <cellStyle name="Normal 7 76" xfId="1996"/>
    <cellStyle name="Normal 7 77" xfId="1997"/>
    <cellStyle name="Normal 7 78" xfId="1998"/>
    <cellStyle name="Normal 7 79" xfId="1999"/>
    <cellStyle name="Normal 7 8" xfId="2000"/>
    <cellStyle name="Normal 7 80" xfId="2001"/>
    <cellStyle name="Normal 7 81" xfId="2002"/>
    <cellStyle name="Normal 7 82" xfId="2003"/>
    <cellStyle name="Normal 7 83" xfId="2004"/>
    <cellStyle name="Normal 7 84" xfId="2005"/>
    <cellStyle name="Normal 7 85" xfId="2006"/>
    <cellStyle name="Normal 7 86" xfId="2007"/>
    <cellStyle name="Normal 7 87" xfId="2008"/>
    <cellStyle name="Normal 7 88" xfId="2009"/>
    <cellStyle name="Normal 7 9" xfId="2010"/>
    <cellStyle name="Normal 8" xfId="2011"/>
    <cellStyle name="Normal 8 10" xfId="2012"/>
    <cellStyle name="Normal 8 11" xfId="2013"/>
    <cellStyle name="Normal 8 12" xfId="2014"/>
    <cellStyle name="Normal 8 13" xfId="2015"/>
    <cellStyle name="Normal 8 14" xfId="2016"/>
    <cellStyle name="Normal 8 15" xfId="2017"/>
    <cellStyle name="Normal 8 16" xfId="2018"/>
    <cellStyle name="Normal 8 17" xfId="2019"/>
    <cellStyle name="Normal 8 18" xfId="2020"/>
    <cellStyle name="Normal 8 19" xfId="2021"/>
    <cellStyle name="Normal 8 2" xfId="2022"/>
    <cellStyle name="Normal 8 20" xfId="2023"/>
    <cellStyle name="Normal 8 21" xfId="2024"/>
    <cellStyle name="Normal 8 22" xfId="2025"/>
    <cellStyle name="Normal 8 23" xfId="2026"/>
    <cellStyle name="Normal 8 24" xfId="2027"/>
    <cellStyle name="Normal 8 25" xfId="2028"/>
    <cellStyle name="Normal 8 26" xfId="2029"/>
    <cellStyle name="Normal 8 27" xfId="2030"/>
    <cellStyle name="Normal 8 28" xfId="2031"/>
    <cellStyle name="Normal 8 29" xfId="2032"/>
    <cellStyle name="Normal 8 3" xfId="2033"/>
    <cellStyle name="Normal 8 30" xfId="2034"/>
    <cellStyle name="Normal 8 31" xfId="2035"/>
    <cellStyle name="Normal 8 32" xfId="2036"/>
    <cellStyle name="Normal 8 33" xfId="2037"/>
    <cellStyle name="Normal 8 34" xfId="2038"/>
    <cellStyle name="Normal 8 35" xfId="2039"/>
    <cellStyle name="Normal 8 36" xfId="2040"/>
    <cellStyle name="Normal 8 37" xfId="2041"/>
    <cellStyle name="Normal 8 38" xfId="2042"/>
    <cellStyle name="Normal 8 39" xfId="2043"/>
    <cellStyle name="Normal 8 4" xfId="2044"/>
    <cellStyle name="Normal 8 40" xfId="2045"/>
    <cellStyle name="Normal 8 41" xfId="2046"/>
    <cellStyle name="Normal 8 42" xfId="2047"/>
    <cellStyle name="Normal 8 43" xfId="2048"/>
    <cellStyle name="Normal 8 44" xfId="2049"/>
    <cellStyle name="Normal 8 45" xfId="2050"/>
    <cellStyle name="Normal 8 46" xfId="2051"/>
    <cellStyle name="Normal 8 47" xfId="2052"/>
    <cellStyle name="Normal 8 48" xfId="2053"/>
    <cellStyle name="Normal 8 49" xfId="2054"/>
    <cellStyle name="Normal 8 5" xfId="2055"/>
    <cellStyle name="Normal 8 50" xfId="2056"/>
    <cellStyle name="Normal 8 6" xfId="2057"/>
    <cellStyle name="Normal 8 7" xfId="2058"/>
    <cellStyle name="Normal 8 8" xfId="2059"/>
    <cellStyle name="Normal 8 9" xfId="2060"/>
    <cellStyle name="Normal 9" xfId="2061"/>
    <cellStyle name="Normal 9 10" xfId="2062"/>
    <cellStyle name="Normal 9 11" xfId="2063"/>
    <cellStyle name="Normal 9 12" xfId="2064"/>
    <cellStyle name="Normal 9 13" xfId="2065"/>
    <cellStyle name="Normal 9 14" xfId="2066"/>
    <cellStyle name="Normal 9 15" xfId="2067"/>
    <cellStyle name="Normal 9 16" xfId="2068"/>
    <cellStyle name="Normal 9 17" xfId="2069"/>
    <cellStyle name="Normal 9 18" xfId="2070"/>
    <cellStyle name="Normal 9 19" xfId="2071"/>
    <cellStyle name="Normal 9 2" xfId="2072"/>
    <cellStyle name="Normal 9 2 2 2" xfId="2073"/>
    <cellStyle name="Normal 9 2 3" xfId="2074"/>
    <cellStyle name="Normal 9 20" xfId="2075"/>
    <cellStyle name="Normal 9 21" xfId="2076"/>
    <cellStyle name="Normal 9 22" xfId="2077"/>
    <cellStyle name="Normal 9 23" xfId="2078"/>
    <cellStyle name="Normal 9 24" xfId="2079"/>
    <cellStyle name="Normal 9 25" xfId="2080"/>
    <cellStyle name="Normal 9 26" xfId="2081"/>
    <cellStyle name="Normal 9 27" xfId="2082"/>
    <cellStyle name="Normal 9 28" xfId="2083"/>
    <cellStyle name="Normal 9 29" xfId="2084"/>
    <cellStyle name="Normal 9 3" xfId="2085"/>
    <cellStyle name="Normal 9 30" xfId="2086"/>
    <cellStyle name="Normal 9 31" xfId="2087"/>
    <cellStyle name="Normal 9 32" xfId="2088"/>
    <cellStyle name="Normal 9 33" xfId="2089"/>
    <cellStyle name="Normal 9 34" xfId="2090"/>
    <cellStyle name="Normal 9 35" xfId="2091"/>
    <cellStyle name="Normal 9 36" xfId="2092"/>
    <cellStyle name="Normal 9 37" xfId="2093"/>
    <cellStyle name="Normal 9 38" xfId="2094"/>
    <cellStyle name="Normal 9 39" xfId="2095"/>
    <cellStyle name="Normal 9 4" xfId="2096"/>
    <cellStyle name="Normal 9 40" xfId="2097"/>
    <cellStyle name="Normal 9 41" xfId="2098"/>
    <cellStyle name="Normal 9 42" xfId="2099"/>
    <cellStyle name="Normal 9 43" xfId="2100"/>
    <cellStyle name="Normal 9 44" xfId="2101"/>
    <cellStyle name="Normal 9 45" xfId="2102"/>
    <cellStyle name="Normal 9 46" xfId="2103"/>
    <cellStyle name="Normal 9 47" xfId="2104"/>
    <cellStyle name="Normal 9 48" xfId="2105"/>
    <cellStyle name="Normal 9 49" xfId="2106"/>
    <cellStyle name="Normal 9 5" xfId="2107"/>
    <cellStyle name="Normal 9 50" xfId="2108"/>
    <cellStyle name="Normal 9 51" xfId="2109"/>
    <cellStyle name="Normal 9 6" xfId="2110"/>
    <cellStyle name="Normal 9 7" xfId="2111"/>
    <cellStyle name="Normal 9 8" xfId="2112"/>
    <cellStyle name="Normal 9 9" xfId="2113"/>
    <cellStyle name="Normal_10" xfId="13"/>
    <cellStyle name="Normal_11" xfId="14"/>
    <cellStyle name="Normal_12" xfId="15"/>
    <cellStyle name="Normal_16" xfId="16"/>
    <cellStyle name="Normal_18" xfId="17"/>
    <cellStyle name="Normal_19" xfId="18"/>
    <cellStyle name="Normal_20" xfId="19"/>
    <cellStyle name="Normal_21" xfId="20"/>
    <cellStyle name="Normal_22" xfId="21"/>
    <cellStyle name="Normal_23" xfId="22"/>
    <cellStyle name="Normal_24" xfId="23"/>
    <cellStyle name="Normal_25" xfId="24"/>
    <cellStyle name="Normal_26" xfId="25"/>
    <cellStyle name="Normal_27" xfId="26"/>
    <cellStyle name="Normal_28" xfId="27"/>
    <cellStyle name="Normal_29" xfId="28"/>
    <cellStyle name="Normal_29-31" xfId="35"/>
    <cellStyle name="Normal_33" xfId="29"/>
    <cellStyle name="Normal_34" xfId="30"/>
    <cellStyle name="Normal_35" xfId="31"/>
    <cellStyle name="Normal_38" xfId="32"/>
    <cellStyle name="Normal_39" xfId="33"/>
    <cellStyle name="Normal_40" xfId="34"/>
    <cellStyle name="Normal_4-7" xfId="7"/>
    <cellStyle name="Normal_6020" xfId="3"/>
    <cellStyle name="Normal_602086" xfId="4"/>
    <cellStyle name="Normal_602087" xfId="10"/>
    <cellStyle name="Normal_8" xfId="8"/>
    <cellStyle name="Normal_9" xfId="12"/>
    <cellStyle name="Normal_Sheet1" xfId="1"/>
    <cellStyle name="Normal_Sheet2" xfId="2"/>
    <cellStyle name="Normal_Sheet6" xfId="6"/>
    <cellStyle name="Normal_Sheet6 2" xfId="2131"/>
    <cellStyle name="Normal_ترازنامه" xfId="5"/>
    <cellStyle name="Normal_ترازنامه 2" xfId="2123"/>
    <cellStyle name="Normal_جريان وجوه نقد" xfId="11"/>
    <cellStyle name="Normal_سود وزيان" xfId="36"/>
    <cellStyle name="Output 2" xfId="2114"/>
    <cellStyle name="Output 20" xfId="2115"/>
    <cellStyle name="Output 3" xfId="2116"/>
    <cellStyle name="Output 4" xfId="2117"/>
    <cellStyle name="Output 6" xfId="2118"/>
    <cellStyle name="Output 7" xfId="2119"/>
    <cellStyle name="Percent" xfId="43" builtinId="5"/>
    <cellStyle name="Percent 2" xfId="2120"/>
    <cellStyle name="Percent 2 2" xfId="2129"/>
    <cellStyle name="Percent 3" xfId="2121"/>
    <cellStyle name="Percent 4" xfId="2122"/>
  </cellStyles>
  <dxfs count="0"/>
  <tableStyles count="0" defaultTableStyle="TableStyleMedium9" defaultPivotStyle="PivotStyleLight16"/>
  <colors>
    <mruColors>
      <color rgb="FFFF3300"/>
      <color rgb="FF9900CC"/>
      <color rgb="FFFF0066"/>
      <color rgb="FFCCFFFF"/>
      <color rgb="FF00FF99"/>
      <color rgb="FF00CC66"/>
      <color rgb="FFFF99CC"/>
      <color rgb="FFCC00FF"/>
      <color rgb="FFFF9966"/>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206375</xdr:colOff>
      <xdr:row>0</xdr:row>
      <xdr:rowOff>15875</xdr:rowOff>
    </xdr:from>
    <xdr:to>
      <xdr:col>8</xdr:col>
      <xdr:colOff>127000</xdr:colOff>
      <xdr:row>0</xdr:row>
      <xdr:rowOff>1444625</xdr:rowOff>
    </xdr:to>
    <xdr:pic>
      <xdr:nvPicPr>
        <xdr:cNvPr id="5" name="Picture 4" descr="untitled2.bmp"/>
        <xdr:cNvPicPr>
          <a:picLocks noChangeAspect="1"/>
        </xdr:cNvPicPr>
      </xdr:nvPicPr>
      <xdr:blipFill>
        <a:blip xmlns:r="http://schemas.openxmlformats.org/officeDocument/2006/relationships" r:embed="rId1" cstate="print"/>
        <a:stretch>
          <a:fillRect/>
        </a:stretch>
      </xdr:blipFill>
      <xdr:spPr>
        <a:xfrm>
          <a:off x="10921460250" y="15875"/>
          <a:ext cx="2651125" cy="1428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14</xdr:row>
      <xdr:rowOff>127000</xdr:rowOff>
    </xdr:from>
    <xdr:to>
      <xdr:col>7</xdr:col>
      <xdr:colOff>2794000</xdr:colOff>
      <xdr:row>14</xdr:row>
      <xdr:rowOff>127000</xdr:rowOff>
    </xdr:to>
    <xdr:cxnSp macro="">
      <xdr:nvCxnSpPr>
        <xdr:cNvPr id="3" name="Straight Connector 2"/>
        <xdr:cNvCxnSpPr/>
      </xdr:nvCxnSpPr>
      <xdr:spPr>
        <a:xfrm flipH="1">
          <a:off x="4688935250" y="18034000"/>
          <a:ext cx="2794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508000</xdr:colOff>
      <xdr:row>15</xdr:row>
      <xdr:rowOff>127000</xdr:rowOff>
    </xdr:from>
    <xdr:to>
      <xdr:col>7</xdr:col>
      <xdr:colOff>2762250</xdr:colOff>
      <xdr:row>15</xdr:row>
      <xdr:rowOff>127000</xdr:rowOff>
    </xdr:to>
    <xdr:cxnSp macro="">
      <xdr:nvCxnSpPr>
        <xdr:cNvPr id="4" name="Straight Connector 3"/>
        <xdr:cNvCxnSpPr/>
      </xdr:nvCxnSpPr>
      <xdr:spPr>
        <a:xfrm flipH="1">
          <a:off x="4688967000" y="19431000"/>
          <a:ext cx="2794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984250</xdr:colOff>
      <xdr:row>14</xdr:row>
      <xdr:rowOff>127000</xdr:rowOff>
    </xdr:from>
    <xdr:to>
      <xdr:col>11</xdr:col>
      <xdr:colOff>2698750</xdr:colOff>
      <xdr:row>14</xdr:row>
      <xdr:rowOff>127000</xdr:rowOff>
    </xdr:to>
    <xdr:cxnSp macro="">
      <xdr:nvCxnSpPr>
        <xdr:cNvPr id="9" name="Straight Connector 8"/>
        <xdr:cNvCxnSpPr/>
      </xdr:nvCxnSpPr>
      <xdr:spPr>
        <a:xfrm flipH="1">
          <a:off x="4681537500" y="18034000"/>
          <a:ext cx="2730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15</xdr:row>
      <xdr:rowOff>127000</xdr:rowOff>
    </xdr:from>
    <xdr:to>
      <xdr:col>12</xdr:col>
      <xdr:colOff>0</xdr:colOff>
      <xdr:row>15</xdr:row>
      <xdr:rowOff>127000</xdr:rowOff>
    </xdr:to>
    <xdr:cxnSp macro="">
      <xdr:nvCxnSpPr>
        <xdr:cNvPr id="17" name="Straight Connector 16"/>
        <xdr:cNvCxnSpPr/>
      </xdr:nvCxnSpPr>
      <xdr:spPr>
        <a:xfrm flipH="1">
          <a:off x="4681505750" y="19431000"/>
          <a:ext cx="2730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14</xdr:row>
      <xdr:rowOff>127000</xdr:rowOff>
    </xdr:from>
    <xdr:to>
      <xdr:col>14</xdr:col>
      <xdr:colOff>0</xdr:colOff>
      <xdr:row>14</xdr:row>
      <xdr:rowOff>127000</xdr:rowOff>
    </xdr:to>
    <xdr:cxnSp macro="">
      <xdr:nvCxnSpPr>
        <xdr:cNvPr id="18" name="Straight Connector 17"/>
        <xdr:cNvCxnSpPr/>
      </xdr:nvCxnSpPr>
      <xdr:spPr>
        <a:xfrm flipH="1">
          <a:off x="4677854500" y="18034000"/>
          <a:ext cx="2635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984250</xdr:colOff>
      <xdr:row>15</xdr:row>
      <xdr:rowOff>127000</xdr:rowOff>
    </xdr:from>
    <xdr:to>
      <xdr:col>13</xdr:col>
      <xdr:colOff>2603500</xdr:colOff>
      <xdr:row>15</xdr:row>
      <xdr:rowOff>127000</xdr:rowOff>
    </xdr:to>
    <xdr:cxnSp macro="">
      <xdr:nvCxnSpPr>
        <xdr:cNvPr id="22" name="Straight Connector 21"/>
        <xdr:cNvCxnSpPr/>
      </xdr:nvCxnSpPr>
      <xdr:spPr>
        <a:xfrm flipH="1">
          <a:off x="4677886250" y="19431000"/>
          <a:ext cx="2635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285750</xdr:colOff>
      <xdr:row>14</xdr:row>
      <xdr:rowOff>127000</xdr:rowOff>
    </xdr:from>
    <xdr:to>
      <xdr:col>10</xdr:col>
      <xdr:colOff>31750</xdr:colOff>
      <xdr:row>14</xdr:row>
      <xdr:rowOff>127000</xdr:rowOff>
    </xdr:to>
    <xdr:cxnSp macro="">
      <xdr:nvCxnSpPr>
        <xdr:cNvPr id="26" name="Straight Connector 25"/>
        <xdr:cNvCxnSpPr/>
      </xdr:nvCxnSpPr>
      <xdr:spPr>
        <a:xfrm flipH="1">
          <a:off x="4685220500" y="18034000"/>
          <a:ext cx="3397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15</xdr:row>
      <xdr:rowOff>127000</xdr:rowOff>
    </xdr:from>
    <xdr:to>
      <xdr:col>9</xdr:col>
      <xdr:colOff>3270250</xdr:colOff>
      <xdr:row>15</xdr:row>
      <xdr:rowOff>127000</xdr:rowOff>
    </xdr:to>
    <xdr:cxnSp macro="">
      <xdr:nvCxnSpPr>
        <xdr:cNvPr id="28" name="Straight Connector 27"/>
        <xdr:cNvCxnSpPr/>
      </xdr:nvCxnSpPr>
      <xdr:spPr>
        <a:xfrm flipH="1">
          <a:off x="4685284000" y="19431000"/>
          <a:ext cx="3270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361950</xdr:colOff>
      <xdr:row>12</xdr:row>
      <xdr:rowOff>400050</xdr:rowOff>
    </xdr:from>
    <xdr:to>
      <xdr:col>12</xdr:col>
      <xdr:colOff>1581150</xdr:colOff>
      <xdr:row>12</xdr:row>
      <xdr:rowOff>400050</xdr:rowOff>
    </xdr:to>
    <xdr:cxnSp macro="">
      <xdr:nvCxnSpPr>
        <xdr:cNvPr id="7" name="Straight Connector 6"/>
        <xdr:cNvCxnSpPr/>
      </xdr:nvCxnSpPr>
      <xdr:spPr>
        <a:xfrm>
          <a:off x="1882063800" y="53149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14</xdr:row>
      <xdr:rowOff>0</xdr:rowOff>
    </xdr:from>
    <xdr:to>
      <xdr:col>12</xdr:col>
      <xdr:colOff>1600200</xdr:colOff>
      <xdr:row>14</xdr:row>
      <xdr:rowOff>0</xdr:rowOff>
    </xdr:to>
    <xdr:cxnSp macro="">
      <xdr:nvCxnSpPr>
        <xdr:cNvPr id="9" name="Straight Connector 8"/>
        <xdr:cNvCxnSpPr/>
      </xdr:nvCxnSpPr>
      <xdr:spPr>
        <a:xfrm>
          <a:off x="1882044750" y="53721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342900</xdr:colOff>
      <xdr:row>16</xdr:row>
      <xdr:rowOff>19050</xdr:rowOff>
    </xdr:from>
    <xdr:to>
      <xdr:col>12</xdr:col>
      <xdr:colOff>1562100</xdr:colOff>
      <xdr:row>16</xdr:row>
      <xdr:rowOff>19050</xdr:rowOff>
    </xdr:to>
    <xdr:cxnSp macro="">
      <xdr:nvCxnSpPr>
        <xdr:cNvPr id="10" name="Straight Connector 9"/>
        <xdr:cNvCxnSpPr/>
      </xdr:nvCxnSpPr>
      <xdr:spPr>
        <a:xfrm>
          <a:off x="1882082850" y="58102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228600</xdr:colOff>
      <xdr:row>8</xdr:row>
      <xdr:rowOff>19050</xdr:rowOff>
    </xdr:from>
    <xdr:to>
      <xdr:col>14</xdr:col>
      <xdr:colOff>57150</xdr:colOff>
      <xdr:row>8</xdr:row>
      <xdr:rowOff>19050</xdr:rowOff>
    </xdr:to>
    <xdr:cxnSp macro="">
      <xdr:nvCxnSpPr>
        <xdr:cNvPr id="13" name="Straight Connector 12"/>
        <xdr:cNvCxnSpPr/>
      </xdr:nvCxnSpPr>
      <xdr:spPr>
        <a:xfrm>
          <a:off x="1880330250" y="3219450"/>
          <a:ext cx="14097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209550</xdr:colOff>
      <xdr:row>8</xdr:row>
      <xdr:rowOff>361950</xdr:rowOff>
    </xdr:from>
    <xdr:to>
      <xdr:col>14</xdr:col>
      <xdr:colOff>38100</xdr:colOff>
      <xdr:row>8</xdr:row>
      <xdr:rowOff>361950</xdr:rowOff>
    </xdr:to>
    <xdr:cxnSp macro="">
      <xdr:nvCxnSpPr>
        <xdr:cNvPr id="16" name="Straight Connector 15"/>
        <xdr:cNvCxnSpPr/>
      </xdr:nvCxnSpPr>
      <xdr:spPr>
        <a:xfrm>
          <a:off x="1880349300" y="3562350"/>
          <a:ext cx="14097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27</xdr:row>
      <xdr:rowOff>0</xdr:rowOff>
    </xdr:from>
    <xdr:to>
      <xdr:col>12</xdr:col>
      <xdr:colOff>1600200</xdr:colOff>
      <xdr:row>27</xdr:row>
      <xdr:rowOff>0</xdr:rowOff>
    </xdr:to>
    <xdr:cxnSp macro="">
      <xdr:nvCxnSpPr>
        <xdr:cNvPr id="18" name="Straight Connector 17"/>
        <xdr:cNvCxnSpPr/>
      </xdr:nvCxnSpPr>
      <xdr:spPr>
        <a:xfrm>
          <a:off x="1881892350" y="112395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29</xdr:row>
      <xdr:rowOff>19050</xdr:rowOff>
    </xdr:from>
    <xdr:to>
      <xdr:col>12</xdr:col>
      <xdr:colOff>1524000</xdr:colOff>
      <xdr:row>29</xdr:row>
      <xdr:rowOff>19050</xdr:rowOff>
    </xdr:to>
    <xdr:cxnSp macro="">
      <xdr:nvCxnSpPr>
        <xdr:cNvPr id="19" name="Straight Connector 18"/>
        <xdr:cNvCxnSpPr/>
      </xdr:nvCxnSpPr>
      <xdr:spPr>
        <a:xfrm>
          <a:off x="1881968550" y="116776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30</xdr:row>
      <xdr:rowOff>0</xdr:rowOff>
    </xdr:from>
    <xdr:to>
      <xdr:col>12</xdr:col>
      <xdr:colOff>1524000</xdr:colOff>
      <xdr:row>30</xdr:row>
      <xdr:rowOff>0</xdr:rowOff>
    </xdr:to>
    <xdr:cxnSp macro="">
      <xdr:nvCxnSpPr>
        <xdr:cNvPr id="20" name="Straight Connector 19"/>
        <xdr:cNvCxnSpPr/>
      </xdr:nvCxnSpPr>
      <xdr:spPr>
        <a:xfrm>
          <a:off x="1881968550" y="120777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45</xdr:row>
      <xdr:rowOff>0</xdr:rowOff>
    </xdr:from>
    <xdr:to>
      <xdr:col>12</xdr:col>
      <xdr:colOff>1504950</xdr:colOff>
      <xdr:row>45</xdr:row>
      <xdr:rowOff>0</xdr:rowOff>
    </xdr:to>
    <xdr:cxnSp macro="">
      <xdr:nvCxnSpPr>
        <xdr:cNvPr id="21" name="Straight Connector 20"/>
        <xdr:cNvCxnSpPr/>
      </xdr:nvCxnSpPr>
      <xdr:spPr>
        <a:xfrm>
          <a:off x="1881987600" y="180022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46</xdr:row>
      <xdr:rowOff>19050</xdr:rowOff>
    </xdr:from>
    <xdr:to>
      <xdr:col>12</xdr:col>
      <xdr:colOff>1543050</xdr:colOff>
      <xdr:row>46</xdr:row>
      <xdr:rowOff>19050</xdr:rowOff>
    </xdr:to>
    <xdr:cxnSp macro="">
      <xdr:nvCxnSpPr>
        <xdr:cNvPr id="22" name="Straight Connector 21"/>
        <xdr:cNvCxnSpPr/>
      </xdr:nvCxnSpPr>
      <xdr:spPr>
        <a:xfrm>
          <a:off x="1881949500" y="184785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45</xdr:row>
      <xdr:rowOff>19050</xdr:rowOff>
    </xdr:from>
    <xdr:to>
      <xdr:col>14</xdr:col>
      <xdr:colOff>38100</xdr:colOff>
      <xdr:row>45</xdr:row>
      <xdr:rowOff>19050</xdr:rowOff>
    </xdr:to>
    <xdr:cxnSp macro="">
      <xdr:nvCxnSpPr>
        <xdr:cNvPr id="23" name="Straight Connector 22"/>
        <xdr:cNvCxnSpPr/>
      </xdr:nvCxnSpPr>
      <xdr:spPr>
        <a:xfrm>
          <a:off x="1880196900" y="180213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46</xdr:row>
      <xdr:rowOff>19050</xdr:rowOff>
    </xdr:from>
    <xdr:to>
      <xdr:col>14</xdr:col>
      <xdr:colOff>19050</xdr:colOff>
      <xdr:row>46</xdr:row>
      <xdr:rowOff>19050</xdr:rowOff>
    </xdr:to>
    <xdr:cxnSp macro="">
      <xdr:nvCxnSpPr>
        <xdr:cNvPr id="24" name="Straight Connector 23"/>
        <xdr:cNvCxnSpPr/>
      </xdr:nvCxnSpPr>
      <xdr:spPr>
        <a:xfrm>
          <a:off x="1880215950" y="184785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247650</xdr:colOff>
      <xdr:row>58</xdr:row>
      <xdr:rowOff>0</xdr:rowOff>
    </xdr:from>
    <xdr:to>
      <xdr:col>12</xdr:col>
      <xdr:colOff>1466850</xdr:colOff>
      <xdr:row>58</xdr:row>
      <xdr:rowOff>0</xdr:rowOff>
    </xdr:to>
    <xdr:cxnSp macro="">
      <xdr:nvCxnSpPr>
        <xdr:cNvPr id="25" name="Straight Connector 24"/>
        <xdr:cNvCxnSpPr/>
      </xdr:nvCxnSpPr>
      <xdr:spPr>
        <a:xfrm>
          <a:off x="1882025700" y="234886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247650</xdr:colOff>
      <xdr:row>59</xdr:row>
      <xdr:rowOff>0</xdr:rowOff>
    </xdr:from>
    <xdr:to>
      <xdr:col>12</xdr:col>
      <xdr:colOff>1466850</xdr:colOff>
      <xdr:row>59</xdr:row>
      <xdr:rowOff>0</xdr:rowOff>
    </xdr:to>
    <xdr:cxnSp macro="">
      <xdr:nvCxnSpPr>
        <xdr:cNvPr id="26" name="Straight Connector 25"/>
        <xdr:cNvCxnSpPr/>
      </xdr:nvCxnSpPr>
      <xdr:spPr>
        <a:xfrm>
          <a:off x="1882025700" y="239077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75</xdr:row>
      <xdr:rowOff>0</xdr:rowOff>
    </xdr:from>
    <xdr:to>
      <xdr:col>12</xdr:col>
      <xdr:colOff>1504950</xdr:colOff>
      <xdr:row>75</xdr:row>
      <xdr:rowOff>0</xdr:rowOff>
    </xdr:to>
    <xdr:cxnSp macro="">
      <xdr:nvCxnSpPr>
        <xdr:cNvPr id="27" name="Straight Connector 26"/>
        <xdr:cNvCxnSpPr/>
      </xdr:nvCxnSpPr>
      <xdr:spPr>
        <a:xfrm>
          <a:off x="1881987600" y="272605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228600</xdr:colOff>
      <xdr:row>76</xdr:row>
      <xdr:rowOff>0</xdr:rowOff>
    </xdr:from>
    <xdr:to>
      <xdr:col>12</xdr:col>
      <xdr:colOff>1447800</xdr:colOff>
      <xdr:row>76</xdr:row>
      <xdr:rowOff>0</xdr:rowOff>
    </xdr:to>
    <xdr:cxnSp macro="">
      <xdr:nvCxnSpPr>
        <xdr:cNvPr id="28" name="Straight Connector 27"/>
        <xdr:cNvCxnSpPr/>
      </xdr:nvCxnSpPr>
      <xdr:spPr>
        <a:xfrm>
          <a:off x="1882044750" y="2767965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1415142</xdr:colOff>
      <xdr:row>0</xdr:row>
      <xdr:rowOff>95250</xdr:rowOff>
    </xdr:from>
    <xdr:to>
      <xdr:col>0</xdr:col>
      <xdr:colOff>2735035</xdr:colOff>
      <xdr:row>3</xdr:row>
      <xdr:rowOff>54429</xdr:rowOff>
    </xdr:to>
    <xdr:sp macro="" textlink="">
      <xdr:nvSpPr>
        <xdr:cNvPr id="2" name="Oval 1"/>
        <xdr:cNvSpPr/>
      </xdr:nvSpPr>
      <xdr:spPr>
        <a:xfrm>
          <a:off x="11246156615" y="95250"/>
          <a:ext cx="1319893" cy="87357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rtlCol="1" anchor="ctr"/>
        <a:lstStyle/>
        <a:p>
          <a:pPr algn="ctr" rtl="1"/>
          <a:r>
            <a:rPr lang="fa-IR" sz="1600">
              <a:cs typeface="B Titr" pitchFamily="2" charset="-78"/>
            </a:rPr>
            <a:t>5800</a:t>
          </a:r>
          <a:endParaRPr lang="fa-IR" sz="1100">
            <a:cs typeface="B Titr" pitchFamily="2" charset="-7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1415142</xdr:colOff>
      <xdr:row>0</xdr:row>
      <xdr:rowOff>95250</xdr:rowOff>
    </xdr:from>
    <xdr:to>
      <xdr:col>0</xdr:col>
      <xdr:colOff>2735035</xdr:colOff>
      <xdr:row>3</xdr:row>
      <xdr:rowOff>54429</xdr:rowOff>
    </xdr:to>
    <xdr:sp macro="" textlink="">
      <xdr:nvSpPr>
        <xdr:cNvPr id="3" name="Oval 2"/>
        <xdr:cNvSpPr/>
      </xdr:nvSpPr>
      <xdr:spPr>
        <a:xfrm>
          <a:off x="11246585240" y="95250"/>
          <a:ext cx="1319893" cy="87357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rtlCol="1" anchor="ctr"/>
        <a:lstStyle/>
        <a:p>
          <a:pPr algn="ctr" rtl="1"/>
          <a:r>
            <a:rPr lang="fa-IR" sz="1600">
              <a:cs typeface="B Titr" pitchFamily="2" charset="-78"/>
            </a:rPr>
            <a:t>5800</a:t>
          </a:r>
          <a:endParaRPr lang="fa-IR" sz="1100">
            <a:cs typeface="B Titr" pitchFamily="2" charset="-7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obeiri-r/Downloads/&#1589;&#1608;&#1585;&#1578;&#1607;&#1575;&#1740;%20&#1605;&#1575;&#1604;&#1740;%20&#1587;&#1575;&#1604;1400/&#1578;&#1585;&#1575;&#1586;%20&#1575;&#1587;&#1601;&#1606;&#1583;12-&#1587;&#1575;&#1604;1400-15&#1578;&#1740;&#1585;%20&#1605;&#1575;&#1607;1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0"/>
      <sheetName val="94"/>
      <sheetName val="95"/>
      <sheetName val="97"/>
      <sheetName val="98"/>
      <sheetName val="96"/>
      <sheetName val="سود و زیان"/>
      <sheetName val="وضعیت مالی"/>
      <sheetName val="صورت تغیرات در حقوق مالکانه"/>
      <sheetName val="صورت جریان نقدی"/>
      <sheetName val="1"/>
      <sheetName val="2"/>
      <sheetName val="3"/>
      <sheetName val="4"/>
      <sheetName val="10"/>
      <sheetName val="11"/>
      <sheetName val="12-13"/>
      <sheetName val="14"/>
      <sheetName val="14 قبلي"/>
      <sheetName val="15"/>
      <sheetName val="16"/>
      <sheetName val="17"/>
      <sheetName val="18"/>
      <sheetName val="19"/>
      <sheetName val="20"/>
      <sheetName val="21"/>
      <sheetName val="12"/>
      <sheetName val="22"/>
      <sheetName val="23"/>
      <sheetName val="24-25"/>
      <sheetName val="26"/>
      <sheetName val="27"/>
      <sheetName val="28 (2)"/>
      <sheetName val="29"/>
      <sheetName val="30"/>
      <sheetName val="31-32"/>
      <sheetName val="33"/>
      <sheetName val="نسبتها"/>
      <sheetName val="مفروضات"/>
      <sheetName val="602086"/>
      <sheetName val="602085"/>
      <sheetName val="Sheet2"/>
      <sheetName val="Sheet1 (2)"/>
      <sheetName val="Sheet2 (2)"/>
      <sheetName val="Sheet3 (2)"/>
      <sheetName val="Sheet1"/>
      <sheetName val="Sheet2 (3)"/>
    </sheetNames>
    <sheetDataSet>
      <sheetData sheetId="0">
        <row r="487">
          <cell r="U487">
            <v>0</v>
          </cell>
          <cell r="V487">
            <v>0</v>
          </cell>
        </row>
      </sheetData>
      <sheetData sheetId="1"/>
      <sheetData sheetId="2"/>
      <sheetData sheetId="3"/>
      <sheetData sheetId="4"/>
      <sheetData sheetId="5"/>
      <sheetData sheetId="6"/>
      <sheetData sheetId="7">
        <row r="36">
          <cell r="G36">
            <v>0</v>
          </cell>
          <cell r="I36">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AA593"/>
  <sheetViews>
    <sheetView rightToLeft="1" zoomScale="90" zoomScaleNormal="90" zoomScaleSheetLayoutView="98" workbookViewId="0">
      <pane ySplit="3" topLeftCell="A4" activePane="bottomLeft" state="frozen"/>
      <selection activeCell="E19" sqref="E19:G19"/>
      <selection pane="bottomLeft" activeCell="T204" sqref="T204:T450"/>
    </sheetView>
  </sheetViews>
  <sheetFormatPr defaultColWidth="1.375" defaultRowHeight="19.5" customHeight="1"/>
  <cols>
    <col min="1" max="1" width="7.625" style="597" bestFit="1" customWidth="1"/>
    <col min="2" max="2" width="8.5" style="597" customWidth="1"/>
    <col min="3" max="3" width="8.875" style="580" customWidth="1"/>
    <col min="4" max="4" width="20.25" style="2072" bestFit="1" customWidth="1"/>
    <col min="5" max="5" width="33.75" style="1140" bestFit="1" customWidth="1"/>
    <col min="6" max="7" width="20.375" style="580" hidden="1" customWidth="1"/>
    <col min="8" max="9" width="19.25" style="597" hidden="1" customWidth="1"/>
    <col min="10" max="11" width="20.375" style="597" hidden="1" customWidth="1"/>
    <col min="12" max="13" width="19.25" style="597" hidden="1" customWidth="1"/>
    <col min="14" max="14" width="19.25" style="597" customWidth="1"/>
    <col min="15" max="15" width="19" style="597" customWidth="1"/>
    <col min="16" max="16" width="16.375" style="597" hidden="1" customWidth="1"/>
    <col min="17" max="17" width="9.625" style="597" hidden="1" customWidth="1"/>
    <col min="18" max="18" width="17.625" style="598" hidden="1" customWidth="1"/>
    <col min="19" max="19" width="20.875" style="597" hidden="1" customWidth="1"/>
    <col min="20" max="20" width="21" style="1985" bestFit="1" customWidth="1"/>
    <col min="21" max="21" width="20.375" style="597" bestFit="1" customWidth="1"/>
    <col min="22" max="22" width="12.375" style="1102" bestFit="1" customWidth="1"/>
    <col min="23" max="23" width="12.375" style="597" bestFit="1" customWidth="1"/>
    <col min="24" max="24" width="23" style="597" bestFit="1" customWidth="1"/>
    <col min="25" max="25" width="22.625" style="597" bestFit="1" customWidth="1"/>
    <col min="26" max="26" width="20.375" style="1102" bestFit="1" customWidth="1"/>
    <col min="27" max="27" width="16.875" style="597" bestFit="1" customWidth="1"/>
    <col min="28" max="16384" width="1.375" style="597"/>
  </cols>
  <sheetData>
    <row r="1" spans="1:27" ht="19.5" customHeight="1">
      <c r="M1" s="597" t="s">
        <v>2349</v>
      </c>
      <c r="N1" s="2951" t="s">
        <v>2346</v>
      </c>
      <c r="O1" s="2951"/>
      <c r="P1" s="2951"/>
      <c r="Q1" s="2951"/>
      <c r="R1" s="2951"/>
      <c r="S1" s="2951"/>
      <c r="T1" s="1985" t="s">
        <v>2348</v>
      </c>
    </row>
    <row r="2" spans="1:27" s="608" customFormat="1" ht="22.5">
      <c r="A2" s="2937" t="s">
        <v>1683</v>
      </c>
      <c r="B2" s="2937" t="s">
        <v>1658</v>
      </c>
      <c r="C2" s="2939" t="s">
        <v>1657</v>
      </c>
      <c r="D2" s="2060"/>
      <c r="E2" s="2941" t="s">
        <v>62</v>
      </c>
      <c r="F2" s="2943" t="s">
        <v>2037</v>
      </c>
      <c r="G2" s="2943" t="s">
        <v>1567</v>
      </c>
      <c r="H2" s="2945" t="s">
        <v>1568</v>
      </c>
      <c r="I2" s="2945" t="s">
        <v>1366</v>
      </c>
      <c r="J2" s="2945" t="s">
        <v>1367</v>
      </c>
      <c r="K2" s="2945" t="s">
        <v>1475</v>
      </c>
      <c r="L2" s="2945" t="s">
        <v>1437</v>
      </c>
      <c r="M2" s="2497" t="s">
        <v>2347</v>
      </c>
      <c r="N2" s="2945" t="s">
        <v>1438</v>
      </c>
      <c r="O2" s="2945" t="s">
        <v>1439</v>
      </c>
      <c r="P2" s="2945" t="s">
        <v>1498</v>
      </c>
      <c r="Q2" s="2945" t="s">
        <v>1569</v>
      </c>
      <c r="R2" s="1736" t="s">
        <v>1847</v>
      </c>
      <c r="S2" s="1739" t="s">
        <v>1848</v>
      </c>
      <c r="T2" s="2947" t="s">
        <v>2350</v>
      </c>
      <c r="U2" s="2949">
        <v>1400</v>
      </c>
      <c r="V2" s="2959">
        <v>1401</v>
      </c>
      <c r="W2" s="2949">
        <v>1400</v>
      </c>
      <c r="X2" s="2955" t="s">
        <v>1473</v>
      </c>
      <c r="Y2" s="2957" t="s">
        <v>1474</v>
      </c>
      <c r="Z2" s="2959" t="s">
        <v>2351</v>
      </c>
      <c r="AA2" s="2949" t="s">
        <v>2352</v>
      </c>
    </row>
    <row r="3" spans="1:27" s="609" customFormat="1" ht="22.5" hidden="1" customHeight="1">
      <c r="A3" s="2938"/>
      <c r="B3" s="2938"/>
      <c r="C3" s="2940"/>
      <c r="D3" s="2061"/>
      <c r="E3" s="2942"/>
      <c r="F3" s="2944"/>
      <c r="G3" s="2944"/>
      <c r="H3" s="2946"/>
      <c r="I3" s="2946"/>
      <c r="J3" s="2946"/>
      <c r="K3" s="2946"/>
      <c r="L3" s="2946"/>
      <c r="M3" s="2498"/>
      <c r="N3" s="2946"/>
      <c r="O3" s="2946"/>
      <c r="P3" s="2946"/>
      <c r="Q3" s="2946"/>
      <c r="R3" s="1740"/>
      <c r="S3" s="1740"/>
      <c r="T3" s="2948"/>
      <c r="U3" s="2950"/>
      <c r="V3" s="2960"/>
      <c r="W3" s="2950"/>
      <c r="X3" s="2956"/>
      <c r="Y3" s="2958"/>
      <c r="Z3" s="2960"/>
      <c r="AA3" s="2950"/>
    </row>
    <row r="4" spans="1:27" ht="22.5" hidden="1" customHeight="1">
      <c r="A4" s="583"/>
      <c r="B4" s="583">
        <v>100201</v>
      </c>
      <c r="C4" s="581">
        <v>17</v>
      </c>
      <c r="D4" s="582" t="s">
        <v>604</v>
      </c>
      <c r="E4" s="1138" t="s">
        <v>532</v>
      </c>
      <c r="F4" s="1826"/>
      <c r="G4" s="1826"/>
      <c r="H4" s="2096"/>
      <c r="I4" s="599"/>
      <c r="J4" s="2066"/>
      <c r="K4" s="599"/>
      <c r="L4" s="599"/>
      <c r="M4" s="2065"/>
      <c r="N4" s="599"/>
      <c r="O4" s="1097"/>
      <c r="P4" s="1097"/>
      <c r="Q4" s="599"/>
      <c r="R4" s="599"/>
      <c r="S4" s="599"/>
      <c r="T4" s="1096">
        <f>SUM(F4:S4)</f>
        <v>0</v>
      </c>
      <c r="U4" s="599">
        <v>0</v>
      </c>
      <c r="V4" s="1407">
        <f t="shared" ref="V4:V37" si="0">ROUND((T4/1000000),0)</f>
        <v>0</v>
      </c>
      <c r="W4" s="599">
        <f t="shared" ref="W4:W37" si="1">ROUND((U4/1000000),0)</f>
        <v>0</v>
      </c>
      <c r="X4" s="620"/>
      <c r="Y4" s="621"/>
      <c r="Z4" s="1096">
        <f t="shared" ref="Z4:Z37" si="2">T4+Y4-X4</f>
        <v>0</v>
      </c>
      <c r="AA4" s="882">
        <f t="shared" ref="AA4:AA37" si="3">ROUND((Z4/1000000),0)</f>
        <v>0</v>
      </c>
    </row>
    <row r="5" spans="1:27" ht="22.5" hidden="1" customHeight="1">
      <c r="A5" s="583">
        <v>6587</v>
      </c>
      <c r="B5" s="583">
        <v>100201</v>
      </c>
      <c r="C5" s="581">
        <v>17</v>
      </c>
      <c r="D5" s="1825" t="s">
        <v>18</v>
      </c>
      <c r="E5" s="1138" t="s">
        <v>1982</v>
      </c>
      <c r="F5" s="599">
        <v>-12043601945040</v>
      </c>
      <c r="G5" s="1826"/>
      <c r="H5" s="599"/>
      <c r="I5" s="599"/>
      <c r="J5" s="2066"/>
      <c r="K5" s="599"/>
      <c r="L5" s="599"/>
      <c r="M5" s="2065"/>
      <c r="N5" s="599"/>
      <c r="O5" s="1918"/>
      <c r="P5" s="1097"/>
      <c r="Q5" s="599"/>
      <c r="R5" s="599"/>
      <c r="S5" s="599"/>
      <c r="T5" s="1096">
        <f t="shared" ref="T5:T70" si="4">SUM(F5:S5)</f>
        <v>-12043601945040</v>
      </c>
      <c r="U5" s="599">
        <v>-4769353085219</v>
      </c>
      <c r="V5" s="1407">
        <f t="shared" si="0"/>
        <v>-12043602</v>
      </c>
      <c r="W5" s="599">
        <f t="shared" si="1"/>
        <v>-4769353</v>
      </c>
      <c r="X5" s="620"/>
      <c r="Y5" s="621"/>
      <c r="Z5" s="1096">
        <f t="shared" si="2"/>
        <v>-12043601945040</v>
      </c>
      <c r="AA5" s="882">
        <f t="shared" si="3"/>
        <v>-12043602</v>
      </c>
    </row>
    <row r="6" spans="1:27" ht="22.5" hidden="1" customHeight="1">
      <c r="A6" s="583"/>
      <c r="B6" s="583">
        <v>10040</v>
      </c>
      <c r="C6" s="581">
        <v>11</v>
      </c>
      <c r="D6" s="582" t="s">
        <v>1345</v>
      </c>
      <c r="E6" s="1138" t="s">
        <v>1346</v>
      </c>
      <c r="F6" s="1826"/>
      <c r="G6" s="1826"/>
      <c r="H6" s="1833"/>
      <c r="I6" s="599"/>
      <c r="J6" s="2065"/>
      <c r="K6" s="599"/>
      <c r="L6" s="599"/>
      <c r="M6" s="2065"/>
      <c r="N6" s="599"/>
      <c r="O6" s="1097"/>
      <c r="P6" s="1097"/>
      <c r="Q6" s="599"/>
      <c r="R6" s="599"/>
      <c r="S6" s="599"/>
      <c r="T6" s="1096">
        <f t="shared" si="4"/>
        <v>0</v>
      </c>
      <c r="U6" s="599">
        <v>0</v>
      </c>
      <c r="V6" s="1407">
        <f t="shared" si="0"/>
        <v>0</v>
      </c>
      <c r="W6" s="599">
        <f t="shared" si="1"/>
        <v>0</v>
      </c>
      <c r="X6" s="620"/>
      <c r="Y6" s="621"/>
      <c r="Z6" s="1096">
        <f t="shared" si="2"/>
        <v>0</v>
      </c>
      <c r="AA6" s="882">
        <f t="shared" si="3"/>
        <v>0</v>
      </c>
    </row>
    <row r="7" spans="1:27" ht="22.5" hidden="1" customHeight="1">
      <c r="A7" s="583">
        <v>6587</v>
      </c>
      <c r="B7" s="583">
        <v>100201</v>
      </c>
      <c r="C7" s="581">
        <v>17</v>
      </c>
      <c r="D7" s="1825" t="s">
        <v>1692</v>
      </c>
      <c r="E7" s="1138" t="s">
        <v>228</v>
      </c>
      <c r="F7" s="599">
        <v>-3001782015614</v>
      </c>
      <c r="G7" s="1826"/>
      <c r="H7" s="599"/>
      <c r="I7" s="599"/>
      <c r="J7" s="2066">
        <v>-1446040554027</v>
      </c>
      <c r="K7" s="599"/>
      <c r="L7" s="599"/>
      <c r="M7" s="2065"/>
      <c r="N7" s="599"/>
      <c r="O7" s="1097"/>
      <c r="P7" s="1097"/>
      <c r="Q7" s="599"/>
      <c r="R7" s="599"/>
      <c r="S7" s="599"/>
      <c r="T7" s="1096">
        <f t="shared" si="4"/>
        <v>-4447822569641</v>
      </c>
      <c r="U7" s="599">
        <v>-3001782015614</v>
      </c>
      <c r="V7" s="1407">
        <f t="shared" si="0"/>
        <v>-4447823</v>
      </c>
      <c r="W7" s="599">
        <f t="shared" si="1"/>
        <v>-3001782</v>
      </c>
      <c r="X7" s="620"/>
      <c r="Y7" s="621"/>
      <c r="Z7" s="1096">
        <f t="shared" si="2"/>
        <v>-4447822569641</v>
      </c>
      <c r="AA7" s="882">
        <f t="shared" si="3"/>
        <v>-4447823</v>
      </c>
    </row>
    <row r="8" spans="1:27" ht="22.5" hidden="1" customHeight="1">
      <c r="A8" s="583">
        <v>6587</v>
      </c>
      <c r="B8" s="583">
        <v>100201</v>
      </c>
      <c r="C8" s="581">
        <v>17</v>
      </c>
      <c r="D8" s="1825" t="s">
        <v>2029</v>
      </c>
      <c r="E8" s="1138" t="s">
        <v>228</v>
      </c>
      <c r="F8" s="599">
        <v>-5407418469602</v>
      </c>
      <c r="G8" s="1826"/>
      <c r="H8" s="599"/>
      <c r="I8" s="599"/>
      <c r="J8" s="2066">
        <v>-639983359868</v>
      </c>
      <c r="K8" s="599"/>
      <c r="L8" s="599"/>
      <c r="M8" s="2065"/>
      <c r="N8" s="599"/>
      <c r="O8" s="1097"/>
      <c r="P8" s="1097"/>
      <c r="Q8" s="599"/>
      <c r="R8" s="599"/>
      <c r="S8" s="599"/>
      <c r="T8" s="1096">
        <f t="shared" si="4"/>
        <v>-6047401829470</v>
      </c>
      <c r="U8" s="599">
        <v>-5407418469602</v>
      </c>
      <c r="V8" s="1407">
        <f t="shared" si="0"/>
        <v>-6047402</v>
      </c>
      <c r="W8" s="599">
        <f t="shared" si="1"/>
        <v>-5407418</v>
      </c>
      <c r="X8" s="620"/>
      <c r="Y8" s="621"/>
      <c r="Z8" s="1096">
        <f t="shared" si="2"/>
        <v>-6047401829470</v>
      </c>
      <c r="AA8" s="882">
        <f t="shared" si="3"/>
        <v>-6047402</v>
      </c>
    </row>
    <row r="9" spans="1:27" ht="22.5" hidden="1" customHeight="1">
      <c r="A9" s="583">
        <v>6587</v>
      </c>
      <c r="B9" s="583">
        <v>100201</v>
      </c>
      <c r="C9" s="581">
        <v>17</v>
      </c>
      <c r="D9" s="1825" t="s">
        <v>1770</v>
      </c>
      <c r="E9" s="1138" t="s">
        <v>228</v>
      </c>
      <c r="F9" s="599">
        <v>-1129148517401</v>
      </c>
      <c r="G9" s="1826"/>
      <c r="H9" s="599"/>
      <c r="I9" s="599"/>
      <c r="J9" s="2066"/>
      <c r="K9" s="2083"/>
      <c r="L9" s="599"/>
      <c r="M9" s="2065"/>
      <c r="N9" s="599"/>
      <c r="O9" s="1097"/>
      <c r="P9" s="1097"/>
      <c r="Q9" s="599"/>
      <c r="R9" s="599"/>
      <c r="S9" s="599"/>
      <c r="T9" s="1096">
        <f t="shared" si="4"/>
        <v>-1129148517401</v>
      </c>
      <c r="U9" s="599">
        <v>-1129148517401</v>
      </c>
      <c r="V9" s="1407">
        <f>ROUND((T9/1000000),0)+1</f>
        <v>-1129148</v>
      </c>
      <c r="W9" s="599">
        <f t="shared" si="1"/>
        <v>-1129149</v>
      </c>
      <c r="X9" s="620"/>
      <c r="Y9" s="621"/>
      <c r="Z9" s="1096">
        <f t="shared" si="2"/>
        <v>-1129148517401</v>
      </c>
      <c r="AA9" s="882">
        <f t="shared" si="3"/>
        <v>-1129149</v>
      </c>
    </row>
    <row r="10" spans="1:27" ht="22.5" hidden="1" customHeight="1">
      <c r="A10" s="583">
        <v>3214</v>
      </c>
      <c r="B10" s="583">
        <v>100201</v>
      </c>
      <c r="C10" s="581">
        <v>17</v>
      </c>
      <c r="D10" s="582" t="s">
        <v>18</v>
      </c>
      <c r="E10" s="1138" t="s">
        <v>228</v>
      </c>
      <c r="F10" s="1826"/>
      <c r="G10" s="1826"/>
      <c r="H10" s="1826"/>
      <c r="I10" s="599"/>
      <c r="J10" s="2066"/>
      <c r="K10" s="2065">
        <f>-13312754728206+4274473952281</f>
        <v>-9038280775925</v>
      </c>
      <c r="L10" s="1918"/>
      <c r="M10" s="2080"/>
      <c r="N10" s="599"/>
      <c r="O10" s="599"/>
      <c r="P10" s="1097"/>
      <c r="Q10" s="599"/>
      <c r="R10" s="599"/>
      <c r="S10" s="599"/>
      <c r="T10" s="1096">
        <f t="shared" si="4"/>
        <v>-9038280775925</v>
      </c>
      <c r="U10" s="599">
        <v>-9811679836540</v>
      </c>
      <c r="V10" s="1407">
        <f t="shared" si="0"/>
        <v>-9038281</v>
      </c>
      <c r="W10" s="599">
        <f t="shared" si="1"/>
        <v>-9811680</v>
      </c>
      <c r="X10" s="620"/>
      <c r="Y10" s="621"/>
      <c r="Z10" s="1096">
        <f t="shared" si="2"/>
        <v>-9038280775925</v>
      </c>
      <c r="AA10" s="882">
        <f t="shared" si="3"/>
        <v>-9038281</v>
      </c>
    </row>
    <row r="11" spans="1:27" ht="22.5" hidden="1" customHeight="1">
      <c r="A11" s="2062"/>
      <c r="B11" s="2062">
        <v>100201</v>
      </c>
      <c r="C11" s="2063">
        <v>17</v>
      </c>
      <c r="D11" s="2073" t="s">
        <v>2422</v>
      </c>
      <c r="E11" s="2074" t="s">
        <v>2423</v>
      </c>
      <c r="F11" s="2075"/>
      <c r="G11" s="2075"/>
      <c r="H11" s="2075"/>
      <c r="I11" s="2065"/>
      <c r="J11" s="2066"/>
      <c r="K11" s="2088">
        <v>-23238371936203</v>
      </c>
      <c r="L11" s="2080"/>
      <c r="M11" s="2080"/>
      <c r="N11" s="2065"/>
      <c r="O11" s="2065"/>
      <c r="P11" s="2066"/>
      <c r="Q11" s="2065"/>
      <c r="R11" s="2065"/>
      <c r="S11" s="2065"/>
      <c r="T11" s="1096">
        <f t="shared" si="4"/>
        <v>-23238371936203</v>
      </c>
      <c r="U11" s="2065"/>
      <c r="V11" s="1407">
        <f t="shared" si="0"/>
        <v>-23238372</v>
      </c>
      <c r="W11" s="2065"/>
      <c r="X11" s="2067"/>
      <c r="Y11" s="2068"/>
      <c r="Z11" s="1096">
        <f t="shared" si="2"/>
        <v>-23238371936203</v>
      </c>
      <c r="AA11" s="882">
        <f t="shared" si="3"/>
        <v>-23238372</v>
      </c>
    </row>
    <row r="12" spans="1:27" ht="22.5" hidden="1" customHeight="1">
      <c r="A12" s="583">
        <v>6587</v>
      </c>
      <c r="B12" s="583">
        <v>100201</v>
      </c>
      <c r="C12" s="581">
        <v>17</v>
      </c>
      <c r="D12" s="1825" t="s">
        <v>23</v>
      </c>
      <c r="E12" s="1138" t="s">
        <v>2142</v>
      </c>
      <c r="F12" s="1830">
        <v>-10056693945410</v>
      </c>
      <c r="G12" s="1826"/>
      <c r="H12" s="1826"/>
      <c r="I12" s="599">
        <v>4812801218371</v>
      </c>
      <c r="J12" s="2066">
        <v>5243892727039</v>
      </c>
      <c r="K12" s="2088"/>
      <c r="L12" s="599"/>
      <c r="M12" s="2065"/>
      <c r="N12" s="599"/>
      <c r="O12" s="1097"/>
      <c r="P12" s="1097"/>
      <c r="Q12" s="599"/>
      <c r="R12" s="599"/>
      <c r="S12" s="599"/>
      <c r="T12" s="1096">
        <f t="shared" si="4"/>
        <v>0</v>
      </c>
      <c r="U12" s="599">
        <v>0</v>
      </c>
      <c r="V12" s="1407">
        <f t="shared" si="0"/>
        <v>0</v>
      </c>
      <c r="W12" s="599">
        <f t="shared" si="1"/>
        <v>0</v>
      </c>
      <c r="X12" s="620"/>
      <c r="Y12" s="621"/>
      <c r="Z12" s="1096">
        <f t="shared" si="2"/>
        <v>0</v>
      </c>
      <c r="AA12" s="882">
        <f t="shared" si="3"/>
        <v>0</v>
      </c>
    </row>
    <row r="13" spans="1:27" ht="22.5" hidden="1" customHeight="1">
      <c r="A13" s="583">
        <v>3214</v>
      </c>
      <c r="B13" s="583">
        <v>100201</v>
      </c>
      <c r="C13" s="581">
        <v>17</v>
      </c>
      <c r="D13" s="1825" t="s">
        <v>23</v>
      </c>
      <c r="E13" s="1138" t="s">
        <v>2142</v>
      </c>
      <c r="F13" s="1826"/>
      <c r="G13" s="1826"/>
      <c r="H13" s="599"/>
      <c r="I13" s="599"/>
      <c r="J13" s="2066"/>
      <c r="K13" s="599"/>
      <c r="L13" s="599"/>
      <c r="M13" s="2065"/>
      <c r="N13" s="599"/>
      <c r="O13" s="1097"/>
      <c r="P13" s="1097"/>
      <c r="Q13" s="599"/>
      <c r="R13" s="599"/>
      <c r="S13" s="599"/>
      <c r="T13" s="1096">
        <f t="shared" si="4"/>
        <v>0</v>
      </c>
      <c r="U13" s="599">
        <v>0</v>
      </c>
      <c r="V13" s="1407">
        <f t="shared" si="0"/>
        <v>0</v>
      </c>
      <c r="W13" s="599">
        <f t="shared" si="1"/>
        <v>0</v>
      </c>
      <c r="X13" s="620"/>
      <c r="Y13" s="621"/>
      <c r="Z13" s="1096">
        <f t="shared" si="2"/>
        <v>0</v>
      </c>
      <c r="AA13" s="882">
        <f t="shared" si="3"/>
        <v>0</v>
      </c>
    </row>
    <row r="14" spans="1:27" ht="22.5" hidden="1" customHeight="1">
      <c r="A14" s="583"/>
      <c r="B14" s="583">
        <v>100201</v>
      </c>
      <c r="C14" s="581">
        <v>17</v>
      </c>
      <c r="D14" s="582" t="s">
        <v>1160</v>
      </c>
      <c r="E14" s="1138" t="s">
        <v>1161</v>
      </c>
      <c r="F14" s="1826"/>
      <c r="G14" s="1826"/>
      <c r="H14" s="599"/>
      <c r="I14" s="599"/>
      <c r="J14" s="2066"/>
      <c r="K14" s="599"/>
      <c r="L14" s="599"/>
      <c r="M14" s="2065"/>
      <c r="N14" s="599"/>
      <c r="O14" s="1097"/>
      <c r="P14" s="1097"/>
      <c r="Q14" s="599"/>
      <c r="R14" s="599"/>
      <c r="S14" s="599"/>
      <c r="T14" s="1096">
        <f t="shared" si="4"/>
        <v>0</v>
      </c>
      <c r="U14" s="599">
        <v>0</v>
      </c>
      <c r="V14" s="1407">
        <f t="shared" si="0"/>
        <v>0</v>
      </c>
      <c r="W14" s="599">
        <f t="shared" si="1"/>
        <v>0</v>
      </c>
      <c r="X14" s="620"/>
      <c r="Y14" s="621"/>
      <c r="Z14" s="1096">
        <f t="shared" si="2"/>
        <v>0</v>
      </c>
      <c r="AA14" s="882">
        <f t="shared" si="3"/>
        <v>0</v>
      </c>
    </row>
    <row r="15" spans="1:27" ht="22.5" hidden="1" customHeight="1">
      <c r="A15" s="583">
        <v>6587</v>
      </c>
      <c r="B15" s="583">
        <v>100201</v>
      </c>
      <c r="C15" s="581">
        <v>17</v>
      </c>
      <c r="D15" s="1825" t="s">
        <v>1499</v>
      </c>
      <c r="E15" s="1138" t="s">
        <v>1523</v>
      </c>
      <c r="F15" s="1830">
        <v>-2853919816103</v>
      </c>
      <c r="G15" s="1833"/>
      <c r="H15" s="2131"/>
      <c r="I15" s="599"/>
      <c r="J15" s="2080">
        <v>2853919816103</v>
      </c>
      <c r="K15" s="599"/>
      <c r="L15" s="599"/>
      <c r="M15" s="2065"/>
      <c r="N15" s="599"/>
      <c r="O15" s="1097"/>
      <c r="P15" s="1097"/>
      <c r="Q15" s="599"/>
      <c r="R15" s="599"/>
      <c r="S15" s="599"/>
      <c r="T15" s="1096">
        <f t="shared" si="4"/>
        <v>0</v>
      </c>
      <c r="U15" s="599">
        <v>0</v>
      </c>
      <c r="V15" s="1407">
        <f t="shared" si="0"/>
        <v>0</v>
      </c>
      <c r="W15" s="599">
        <f t="shared" si="1"/>
        <v>0</v>
      </c>
      <c r="X15" s="620"/>
      <c r="Y15" s="621"/>
      <c r="Z15" s="1096">
        <f t="shared" si="2"/>
        <v>0</v>
      </c>
      <c r="AA15" s="882">
        <f t="shared" si="3"/>
        <v>0</v>
      </c>
    </row>
    <row r="16" spans="1:27" ht="22.5" hidden="1" customHeight="1">
      <c r="A16" s="583">
        <v>3214</v>
      </c>
      <c r="B16" s="583">
        <v>100201</v>
      </c>
      <c r="C16" s="581">
        <v>17</v>
      </c>
      <c r="D16" s="1825" t="s">
        <v>1499</v>
      </c>
      <c r="E16" s="1138" t="s">
        <v>1523</v>
      </c>
      <c r="F16" s="1826"/>
      <c r="G16" s="1826"/>
      <c r="H16" s="599"/>
      <c r="I16" s="599"/>
      <c r="J16" s="2066"/>
      <c r="K16" s="599"/>
      <c r="L16" s="599"/>
      <c r="M16" s="2065"/>
      <c r="N16" s="599"/>
      <c r="O16" s="1097"/>
      <c r="P16" s="1097"/>
      <c r="Q16" s="599"/>
      <c r="R16" s="599"/>
      <c r="S16" s="599"/>
      <c r="T16" s="1096">
        <f t="shared" si="4"/>
        <v>0</v>
      </c>
      <c r="U16" s="599">
        <v>0</v>
      </c>
      <c r="V16" s="1407">
        <f t="shared" si="0"/>
        <v>0</v>
      </c>
      <c r="W16" s="599">
        <f t="shared" si="1"/>
        <v>0</v>
      </c>
      <c r="X16" s="620"/>
      <c r="Y16" s="621"/>
      <c r="Z16" s="1096">
        <f t="shared" si="2"/>
        <v>0</v>
      </c>
      <c r="AA16" s="882">
        <f t="shared" si="3"/>
        <v>0</v>
      </c>
    </row>
    <row r="17" spans="1:27" ht="22.5" hidden="1" customHeight="1">
      <c r="A17" s="583"/>
      <c r="B17" s="583">
        <v>10040</v>
      </c>
      <c r="C17" s="581">
        <v>11</v>
      </c>
      <c r="D17" s="582" t="s">
        <v>764</v>
      </c>
      <c r="E17" s="1138" t="s">
        <v>823</v>
      </c>
      <c r="F17" s="1826"/>
      <c r="G17" s="1826"/>
      <c r="H17" s="2096"/>
      <c r="I17" s="599"/>
      <c r="J17" s="2066"/>
      <c r="K17" s="599"/>
      <c r="L17" s="599"/>
      <c r="M17" s="2065"/>
      <c r="N17" s="599"/>
      <c r="O17" s="1097"/>
      <c r="P17" s="1097"/>
      <c r="Q17" s="599"/>
      <c r="R17" s="599"/>
      <c r="S17" s="599"/>
      <c r="T17" s="1096">
        <f t="shared" si="4"/>
        <v>0</v>
      </c>
      <c r="U17" s="599">
        <v>0</v>
      </c>
      <c r="V17" s="1407">
        <f t="shared" si="0"/>
        <v>0</v>
      </c>
      <c r="W17" s="599">
        <f t="shared" si="1"/>
        <v>0</v>
      </c>
      <c r="X17" s="620"/>
      <c r="Y17" s="621"/>
      <c r="Z17" s="1096">
        <f t="shared" si="2"/>
        <v>0</v>
      </c>
      <c r="AA17" s="882">
        <f t="shared" si="3"/>
        <v>0</v>
      </c>
    </row>
    <row r="18" spans="1:27" ht="22.5" hidden="1" customHeight="1">
      <c r="A18" s="583"/>
      <c r="B18" s="583">
        <v>10040</v>
      </c>
      <c r="C18" s="581">
        <v>11</v>
      </c>
      <c r="D18" s="582" t="s">
        <v>1196</v>
      </c>
      <c r="E18" s="1138" t="s">
        <v>1197</v>
      </c>
      <c r="F18" s="1826"/>
      <c r="G18" s="1826"/>
      <c r="H18" s="599"/>
      <c r="I18" s="599"/>
      <c r="J18" s="2066"/>
      <c r="K18" s="599"/>
      <c r="L18" s="599"/>
      <c r="M18" s="2065"/>
      <c r="N18" s="599"/>
      <c r="O18" s="1097"/>
      <c r="P18" s="1097"/>
      <c r="Q18" s="599"/>
      <c r="R18" s="599"/>
      <c r="S18" s="599"/>
      <c r="T18" s="1096">
        <f t="shared" si="4"/>
        <v>0</v>
      </c>
      <c r="U18" s="599">
        <v>0</v>
      </c>
      <c r="V18" s="1407">
        <f t="shared" si="0"/>
        <v>0</v>
      </c>
      <c r="W18" s="599">
        <f t="shared" si="1"/>
        <v>0</v>
      </c>
      <c r="X18" s="620"/>
      <c r="Y18" s="621"/>
      <c r="Z18" s="1096">
        <f t="shared" si="2"/>
        <v>0</v>
      </c>
      <c r="AA18" s="882">
        <f t="shared" si="3"/>
        <v>0</v>
      </c>
    </row>
    <row r="19" spans="1:27" ht="22.5" hidden="1" customHeight="1">
      <c r="A19" s="583">
        <v>1</v>
      </c>
      <c r="B19" s="583">
        <v>406</v>
      </c>
      <c r="C19" s="581">
        <v>11</v>
      </c>
      <c r="D19" s="582" t="s">
        <v>158</v>
      </c>
      <c r="E19" s="1138" t="s">
        <v>159</v>
      </c>
      <c r="F19" s="1830">
        <v>-17516868419</v>
      </c>
      <c r="G19" s="1826">
        <v>33147100</v>
      </c>
      <c r="H19" s="2096"/>
      <c r="I19" s="2096">
        <v>277542401</v>
      </c>
      <c r="J19" s="2080">
        <v>-525703239</v>
      </c>
      <c r="K19" s="1918">
        <v>17731882157</v>
      </c>
      <c r="L19" s="599"/>
      <c r="M19" s="2065"/>
      <c r="N19" s="1918"/>
      <c r="O19" s="1097"/>
      <c r="P19" s="1097"/>
      <c r="Q19" s="599"/>
      <c r="R19" s="599"/>
      <c r="S19" s="599"/>
      <c r="T19" s="1096">
        <f t="shared" si="4"/>
        <v>0</v>
      </c>
      <c r="U19" s="599">
        <v>0</v>
      </c>
      <c r="V19" s="1407">
        <f t="shared" si="0"/>
        <v>0</v>
      </c>
      <c r="W19" s="599">
        <f t="shared" si="1"/>
        <v>0</v>
      </c>
      <c r="X19" s="620"/>
      <c r="Y19" s="621"/>
      <c r="Z19" s="1096">
        <f t="shared" si="2"/>
        <v>0</v>
      </c>
      <c r="AA19" s="882">
        <f t="shared" si="3"/>
        <v>0</v>
      </c>
    </row>
    <row r="20" spans="1:27" ht="22.5" hidden="1" customHeight="1">
      <c r="A20" s="583">
        <v>3214</v>
      </c>
      <c r="B20" s="583">
        <v>100201</v>
      </c>
      <c r="C20" s="581">
        <v>17</v>
      </c>
      <c r="D20" s="582" t="s">
        <v>538</v>
      </c>
      <c r="E20" s="1138" t="s">
        <v>1463</v>
      </c>
      <c r="F20" s="1826"/>
      <c r="G20" s="1826"/>
      <c r="H20" s="599"/>
      <c r="I20" s="599"/>
      <c r="J20" s="2066"/>
      <c r="K20" s="599"/>
      <c r="L20" s="599"/>
      <c r="M20" s="2065"/>
      <c r="N20" s="599"/>
      <c r="O20" s="1097"/>
      <c r="P20" s="1097"/>
      <c r="Q20" s="599"/>
      <c r="R20" s="599"/>
      <c r="S20" s="599"/>
      <c r="T20" s="1096">
        <f t="shared" si="4"/>
        <v>0</v>
      </c>
      <c r="U20" s="599">
        <v>0</v>
      </c>
      <c r="V20" s="1407">
        <f t="shared" si="0"/>
        <v>0</v>
      </c>
      <c r="W20" s="599">
        <f t="shared" si="1"/>
        <v>0</v>
      </c>
      <c r="X20" s="620"/>
      <c r="Y20" s="621"/>
      <c r="Z20" s="1096">
        <f t="shared" si="2"/>
        <v>0</v>
      </c>
      <c r="AA20" s="882">
        <f t="shared" si="3"/>
        <v>0</v>
      </c>
    </row>
    <row r="21" spans="1:27" ht="22.5" hidden="1" customHeight="1">
      <c r="A21" s="583">
        <v>7</v>
      </c>
      <c r="B21" s="583">
        <v>406</v>
      </c>
      <c r="C21" s="581">
        <v>11</v>
      </c>
      <c r="D21" s="582" t="s">
        <v>1570</v>
      </c>
      <c r="E21" s="1138" t="s">
        <v>159</v>
      </c>
      <c r="F21" s="1829">
        <v>327067839087</v>
      </c>
      <c r="G21" s="1828">
        <v>204590649186</v>
      </c>
      <c r="H21" s="599"/>
      <c r="I21" s="599"/>
      <c r="J21" s="2065"/>
      <c r="K21" s="1918">
        <v>-531658488273</v>
      </c>
      <c r="L21" s="599"/>
      <c r="M21" s="2065"/>
      <c r="N21" s="1918"/>
      <c r="O21" s="1097"/>
      <c r="P21" s="1097"/>
      <c r="Q21" s="599"/>
      <c r="R21" s="599"/>
      <c r="S21" s="599"/>
      <c r="T21" s="1096">
        <f t="shared" si="4"/>
        <v>0</v>
      </c>
      <c r="U21" s="599">
        <v>0</v>
      </c>
      <c r="V21" s="1407">
        <f t="shared" si="0"/>
        <v>0</v>
      </c>
      <c r="W21" s="599">
        <f t="shared" si="1"/>
        <v>0</v>
      </c>
      <c r="X21" s="620"/>
      <c r="Y21" s="621"/>
      <c r="Z21" s="1096">
        <f t="shared" si="2"/>
        <v>0</v>
      </c>
      <c r="AA21" s="882">
        <f t="shared" si="3"/>
        <v>0</v>
      </c>
    </row>
    <row r="22" spans="1:27" ht="22.5" hidden="1" customHeight="1">
      <c r="A22" s="583"/>
      <c r="B22" s="583">
        <v>1013</v>
      </c>
      <c r="C22" s="581">
        <v>11</v>
      </c>
      <c r="D22" s="582" t="s">
        <v>681</v>
      </c>
      <c r="E22" s="1138" t="s">
        <v>682</v>
      </c>
      <c r="F22" s="1829">
        <v>2495074150083</v>
      </c>
      <c r="G22" s="1833">
        <v>-5400000</v>
      </c>
      <c r="H22" s="2129"/>
      <c r="I22" s="1918"/>
      <c r="J22" s="2080"/>
      <c r="K22" s="1918"/>
      <c r="L22" s="1918"/>
      <c r="M22" s="2080"/>
      <c r="N22" s="1918"/>
      <c r="O22" s="1918"/>
      <c r="P22" s="1097"/>
      <c r="Q22" s="599"/>
      <c r="R22" s="599"/>
      <c r="S22" s="599"/>
      <c r="T22" s="1096">
        <f t="shared" si="4"/>
        <v>2495068750083</v>
      </c>
      <c r="U22" s="599">
        <v>2058504950572</v>
      </c>
      <c r="V22" s="1407">
        <f t="shared" si="0"/>
        <v>2495069</v>
      </c>
      <c r="W22" s="599">
        <f t="shared" si="1"/>
        <v>2058505</v>
      </c>
      <c r="X22" s="620"/>
      <c r="Y22" s="621"/>
      <c r="Z22" s="1096">
        <f t="shared" si="2"/>
        <v>2495068750083</v>
      </c>
      <c r="AA22" s="882">
        <f t="shared" si="3"/>
        <v>2495069</v>
      </c>
    </row>
    <row r="23" spans="1:27" ht="22.5" hidden="1" customHeight="1">
      <c r="A23" s="583"/>
      <c r="B23" s="583">
        <v>1013</v>
      </c>
      <c r="C23" s="581">
        <v>11</v>
      </c>
      <c r="D23" s="582" t="s">
        <v>683</v>
      </c>
      <c r="E23" s="1138" t="s">
        <v>684</v>
      </c>
      <c r="F23" s="1829">
        <v>1058979025602</v>
      </c>
      <c r="G23" s="1833"/>
      <c r="H23" s="2129"/>
      <c r="I23" s="1918"/>
      <c r="J23" s="2080"/>
      <c r="K23" s="1918"/>
      <c r="L23" s="1918"/>
      <c r="M23" s="2080"/>
      <c r="N23" s="1918"/>
      <c r="O23" s="1918"/>
      <c r="P23" s="1097"/>
      <c r="Q23" s="599"/>
      <c r="R23" s="599"/>
      <c r="S23" s="599"/>
      <c r="T23" s="1096">
        <f t="shared" si="4"/>
        <v>1058979025602</v>
      </c>
      <c r="U23" s="599">
        <v>1030094801272</v>
      </c>
      <c r="V23" s="1407">
        <f t="shared" si="0"/>
        <v>1058979</v>
      </c>
      <c r="W23" s="599">
        <f t="shared" si="1"/>
        <v>1030095</v>
      </c>
      <c r="X23" s="620"/>
      <c r="Y23" s="621"/>
      <c r="Z23" s="1096">
        <f t="shared" si="2"/>
        <v>1058979025602</v>
      </c>
      <c r="AA23" s="882">
        <f t="shared" si="3"/>
        <v>1058979</v>
      </c>
    </row>
    <row r="24" spans="1:27" ht="22.5" hidden="1" customHeight="1">
      <c r="A24" s="583">
        <v>1</v>
      </c>
      <c r="B24" s="583">
        <v>10040</v>
      </c>
      <c r="C24" s="581">
        <v>17</v>
      </c>
      <c r="D24" s="582" t="s">
        <v>59</v>
      </c>
      <c r="E24" s="1138" t="s">
        <v>342</v>
      </c>
      <c r="F24" s="1830">
        <v>-1271159341070</v>
      </c>
      <c r="G24" s="1828">
        <v>-44471269878</v>
      </c>
      <c r="H24" s="2128">
        <v>-2884772961</v>
      </c>
      <c r="I24" s="599">
        <v>-3128433298</v>
      </c>
      <c r="J24" s="2065"/>
      <c r="K24" s="1918">
        <v>-7324433625</v>
      </c>
      <c r="L24" s="1918"/>
      <c r="M24" s="2080"/>
      <c r="N24" s="1918"/>
      <c r="O24" s="1918"/>
      <c r="P24" s="1097"/>
      <c r="Q24" s="599"/>
      <c r="R24" s="599"/>
      <c r="S24" s="599"/>
      <c r="T24" s="1096">
        <f t="shared" si="4"/>
        <v>-1328968250832</v>
      </c>
      <c r="U24" s="599">
        <v>-1084885164662</v>
      </c>
      <c r="V24" s="1407">
        <f t="shared" si="0"/>
        <v>-1328968</v>
      </c>
      <c r="W24" s="599">
        <f t="shared" si="1"/>
        <v>-1084885</v>
      </c>
      <c r="X24" s="620"/>
      <c r="Y24" s="621"/>
      <c r="Z24" s="1096">
        <f t="shared" si="2"/>
        <v>-1328968250832</v>
      </c>
      <c r="AA24" s="882">
        <f t="shared" si="3"/>
        <v>-1328968</v>
      </c>
    </row>
    <row r="25" spans="1:27" ht="22.5" hidden="1" customHeight="1">
      <c r="A25" s="583">
        <v>3214</v>
      </c>
      <c r="B25" s="583">
        <v>100201</v>
      </c>
      <c r="C25" s="581">
        <v>17</v>
      </c>
      <c r="D25" s="1825" t="s">
        <v>59</v>
      </c>
      <c r="E25" s="1138" t="s">
        <v>342</v>
      </c>
      <c r="F25" s="1826"/>
      <c r="G25" s="1826"/>
      <c r="H25" s="599"/>
      <c r="I25" s="599"/>
      <c r="J25" s="2065">
        <v>-12876397789405</v>
      </c>
      <c r="K25" s="599">
        <v>-1966725781288</v>
      </c>
      <c r="L25" s="599"/>
      <c r="M25" s="2065"/>
      <c r="N25" s="599"/>
      <c r="O25" s="1918"/>
      <c r="P25" s="1097"/>
      <c r="Q25" s="599"/>
      <c r="R25" s="599"/>
      <c r="S25" s="599"/>
      <c r="T25" s="1096">
        <f t="shared" si="4"/>
        <v>-14843123570693</v>
      </c>
      <c r="U25" s="599">
        <v>-761362053142</v>
      </c>
      <c r="V25" s="1407">
        <f t="shared" si="0"/>
        <v>-14843124</v>
      </c>
      <c r="W25" s="599">
        <f t="shared" si="1"/>
        <v>-761362</v>
      </c>
      <c r="X25" s="620"/>
      <c r="Y25" s="621"/>
      <c r="Z25" s="1096">
        <f t="shared" si="2"/>
        <v>-14843123570693</v>
      </c>
      <c r="AA25" s="882">
        <f t="shared" si="3"/>
        <v>-14843124</v>
      </c>
    </row>
    <row r="26" spans="1:27" ht="22.5" hidden="1" customHeight="1">
      <c r="A26" s="583"/>
      <c r="B26" s="583">
        <v>10040</v>
      </c>
      <c r="C26" s="581">
        <v>17</v>
      </c>
      <c r="D26" s="1825" t="s">
        <v>59</v>
      </c>
      <c r="E26" s="1138" t="s">
        <v>923</v>
      </c>
      <c r="F26" s="1826"/>
      <c r="G26" s="1826"/>
      <c r="H26" s="599"/>
      <c r="I26" s="599"/>
      <c r="J26" s="2065"/>
      <c r="K26" s="599"/>
      <c r="L26" s="599"/>
      <c r="M26" s="2065"/>
      <c r="N26" s="599"/>
      <c r="O26" s="1097"/>
      <c r="P26" s="1097"/>
      <c r="Q26" s="599"/>
      <c r="R26" s="599"/>
      <c r="S26" s="599"/>
      <c r="T26" s="1096">
        <f t="shared" si="4"/>
        <v>0</v>
      </c>
      <c r="U26" s="599">
        <v>0</v>
      </c>
      <c r="V26" s="1407">
        <f t="shared" si="0"/>
        <v>0</v>
      </c>
      <c r="W26" s="599">
        <f t="shared" si="1"/>
        <v>0</v>
      </c>
      <c r="X26" s="620"/>
      <c r="Y26" s="621"/>
      <c r="Z26" s="1096">
        <f t="shared" si="2"/>
        <v>0</v>
      </c>
      <c r="AA26" s="882">
        <f t="shared" si="3"/>
        <v>0</v>
      </c>
    </row>
    <row r="27" spans="1:27" ht="22.5" hidden="1" customHeight="1">
      <c r="A27" s="2062"/>
      <c r="B27" s="2062">
        <v>1013</v>
      </c>
      <c r="C27" s="2063">
        <v>11</v>
      </c>
      <c r="D27" s="2098" t="s">
        <v>2387</v>
      </c>
      <c r="E27" s="2074" t="s">
        <v>2390</v>
      </c>
      <c r="F27" s="2075">
        <v>765843172410</v>
      </c>
      <c r="G27" s="2075">
        <v>169383193119</v>
      </c>
      <c r="H27" s="2065">
        <v>14738221575</v>
      </c>
      <c r="I27" s="2065">
        <v>52736982703</v>
      </c>
      <c r="J27" s="2065">
        <v>4393302446</v>
      </c>
      <c r="K27" s="2065">
        <v>6823533514</v>
      </c>
      <c r="L27" s="2065"/>
      <c r="M27" s="2065"/>
      <c r="N27" s="2065"/>
      <c r="O27" s="2066"/>
      <c r="P27" s="2066"/>
      <c r="Q27" s="2065"/>
      <c r="R27" s="2065"/>
      <c r="S27" s="2065"/>
      <c r="T27" s="1096">
        <f t="shared" si="4"/>
        <v>1013918405767</v>
      </c>
      <c r="U27" s="2065"/>
      <c r="V27" s="1407">
        <f t="shared" si="0"/>
        <v>1013918</v>
      </c>
      <c r="W27" s="2065"/>
      <c r="X27" s="2067"/>
      <c r="Y27" s="2068"/>
      <c r="Z27" s="1096">
        <f t="shared" si="2"/>
        <v>1013918405767</v>
      </c>
      <c r="AA27" s="882">
        <f t="shared" si="3"/>
        <v>1013918</v>
      </c>
    </row>
    <row r="28" spans="1:27" ht="22.5" hidden="1" customHeight="1">
      <c r="A28" s="583"/>
      <c r="B28" s="583">
        <v>1013</v>
      </c>
      <c r="C28" s="581">
        <v>11</v>
      </c>
      <c r="D28" s="582" t="s">
        <v>685</v>
      </c>
      <c r="E28" s="1138" t="s">
        <v>688</v>
      </c>
      <c r="F28" s="1830">
        <v>-229424952311</v>
      </c>
      <c r="G28" s="1833"/>
      <c r="H28" s="1826"/>
      <c r="I28" s="1918"/>
      <c r="J28" s="2080"/>
      <c r="K28" s="1918"/>
      <c r="L28" s="599"/>
      <c r="M28" s="2065"/>
      <c r="N28" s="1918"/>
      <c r="O28" s="1918"/>
      <c r="P28" s="1097"/>
      <c r="Q28" s="599"/>
      <c r="R28" s="599"/>
      <c r="S28" s="599"/>
      <c r="T28" s="1096">
        <f t="shared" si="4"/>
        <v>-229424952311</v>
      </c>
      <c r="U28" s="599">
        <v>-224352190046</v>
      </c>
      <c r="V28" s="1407">
        <f t="shared" si="0"/>
        <v>-229425</v>
      </c>
      <c r="W28" s="599">
        <f t="shared" si="1"/>
        <v>-224352</v>
      </c>
      <c r="X28" s="620"/>
      <c r="Y28" s="621"/>
      <c r="Z28" s="1096">
        <f t="shared" si="2"/>
        <v>-229424952311</v>
      </c>
      <c r="AA28" s="882">
        <f t="shared" si="3"/>
        <v>-229425</v>
      </c>
    </row>
    <row r="29" spans="1:27" ht="22.5" hidden="1" customHeight="1">
      <c r="A29" s="583">
        <v>7</v>
      </c>
      <c r="B29" s="583">
        <v>10040</v>
      </c>
      <c r="C29" s="581">
        <v>17</v>
      </c>
      <c r="D29" s="582" t="s">
        <v>608</v>
      </c>
      <c r="E29" s="1138" t="s">
        <v>609</v>
      </c>
      <c r="F29" s="1830">
        <v>-50276116462967</v>
      </c>
      <c r="G29" s="1833">
        <v>-1632513293472</v>
      </c>
      <c r="H29" s="1833">
        <v>-858841193230</v>
      </c>
      <c r="I29" s="1918"/>
      <c r="J29" s="2066">
        <v>-5243892727039</v>
      </c>
      <c r="K29" s="1918">
        <f>52465292763943-396813856271-832042225984</f>
        <v>51236436681688</v>
      </c>
      <c r="L29" s="2080"/>
      <c r="M29" s="2133"/>
      <c r="N29" s="1918"/>
      <c r="O29" s="1097"/>
      <c r="P29" s="1097"/>
      <c r="Q29" s="599"/>
      <c r="R29" s="599"/>
      <c r="S29" s="599"/>
      <c r="T29" s="1096">
        <f t="shared" si="4"/>
        <v>-6774926995020</v>
      </c>
      <c r="U29" s="599">
        <v>-2601027008025</v>
      </c>
      <c r="V29" s="1407">
        <f t="shared" si="0"/>
        <v>-6774927</v>
      </c>
      <c r="W29" s="599">
        <f t="shared" si="1"/>
        <v>-2601027</v>
      </c>
      <c r="X29" s="620"/>
      <c r="Y29" s="621"/>
      <c r="Z29" s="1096">
        <f t="shared" si="2"/>
        <v>-6774926995020</v>
      </c>
      <c r="AA29" s="882">
        <f t="shared" si="3"/>
        <v>-6774927</v>
      </c>
    </row>
    <row r="30" spans="1:27" ht="22.5" hidden="1" customHeight="1">
      <c r="A30" s="583"/>
      <c r="B30" s="583">
        <v>1301</v>
      </c>
      <c r="C30" s="581">
        <v>18</v>
      </c>
      <c r="D30" s="582" t="s">
        <v>134</v>
      </c>
      <c r="E30" s="1138" t="s">
        <v>135</v>
      </c>
      <c r="F30" s="1830">
        <v>1759506483</v>
      </c>
      <c r="G30" s="1826"/>
      <c r="H30" s="599"/>
      <c r="I30" s="599"/>
      <c r="J30" s="2065">
        <v>-1759506483</v>
      </c>
      <c r="K30" s="599"/>
      <c r="L30" s="2133"/>
      <c r="M30" s="2133"/>
      <c r="N30" s="599"/>
      <c r="O30" s="1097"/>
      <c r="P30" s="1097"/>
      <c r="Q30" s="599"/>
      <c r="R30" s="599"/>
      <c r="S30" s="599"/>
      <c r="T30" s="1981">
        <f t="shared" si="4"/>
        <v>0</v>
      </c>
      <c r="U30" s="599">
        <v>0</v>
      </c>
      <c r="V30" s="1407">
        <f t="shared" si="0"/>
        <v>0</v>
      </c>
      <c r="W30" s="599">
        <f t="shared" si="1"/>
        <v>0</v>
      </c>
      <c r="X30" s="620"/>
      <c r="Y30" s="621"/>
      <c r="Z30" s="1096">
        <f t="shared" si="2"/>
        <v>0</v>
      </c>
      <c r="AA30" s="882">
        <f t="shared" si="3"/>
        <v>0</v>
      </c>
    </row>
    <row r="31" spans="1:27" ht="22.5" hidden="1" customHeight="1">
      <c r="A31" s="583"/>
      <c r="B31" s="583">
        <v>1031</v>
      </c>
      <c r="C31" s="581">
        <v>17</v>
      </c>
      <c r="D31" s="582" t="s">
        <v>977</v>
      </c>
      <c r="E31" s="1138" t="s">
        <v>978</v>
      </c>
      <c r="F31" s="1826">
        <v>-328706595</v>
      </c>
      <c r="G31" s="1826"/>
      <c r="H31" s="599"/>
      <c r="I31" s="599"/>
      <c r="J31" s="2065"/>
      <c r="K31" s="599"/>
      <c r="L31" s="599"/>
      <c r="M31" s="2065"/>
      <c r="N31" s="599"/>
      <c r="O31" s="1097"/>
      <c r="P31" s="1097"/>
      <c r="Q31" s="599"/>
      <c r="R31" s="599"/>
      <c r="S31" s="599"/>
      <c r="T31" s="1096">
        <f t="shared" si="4"/>
        <v>-328706595</v>
      </c>
      <c r="U31" s="599">
        <v>-477814409</v>
      </c>
      <c r="V31" s="1407">
        <f t="shared" si="0"/>
        <v>-329</v>
      </c>
      <c r="W31" s="599">
        <f t="shared" si="1"/>
        <v>-478</v>
      </c>
      <c r="X31" s="620"/>
      <c r="Y31" s="621"/>
      <c r="Z31" s="1096">
        <f t="shared" si="2"/>
        <v>-328706595</v>
      </c>
      <c r="AA31" s="882">
        <f t="shared" si="3"/>
        <v>-329</v>
      </c>
    </row>
    <row r="32" spans="1:27" ht="22.5" hidden="1" customHeight="1">
      <c r="A32" s="583"/>
      <c r="B32" s="583">
        <v>1030</v>
      </c>
      <c r="C32" s="581">
        <v>17</v>
      </c>
      <c r="D32" s="582" t="s">
        <v>310</v>
      </c>
      <c r="E32" s="1138" t="s">
        <v>967</v>
      </c>
      <c r="F32" s="1830">
        <v>-3615184845</v>
      </c>
      <c r="G32" s="1826">
        <v>-252392801</v>
      </c>
      <c r="H32" s="599"/>
      <c r="I32" s="599"/>
      <c r="J32" s="2065"/>
      <c r="K32" s="1918">
        <v>7778400</v>
      </c>
      <c r="L32" s="599"/>
      <c r="M32" s="2065"/>
      <c r="N32" s="599"/>
      <c r="O32" s="1097"/>
      <c r="P32" s="1097"/>
      <c r="Q32" s="599"/>
      <c r="R32" s="599"/>
      <c r="S32" s="599"/>
      <c r="T32" s="1096">
        <f t="shared" si="4"/>
        <v>-3859799246</v>
      </c>
      <c r="U32" s="599">
        <v>-3718288365</v>
      </c>
      <c r="V32" s="1407">
        <f t="shared" si="0"/>
        <v>-3860</v>
      </c>
      <c r="W32" s="599">
        <f t="shared" si="1"/>
        <v>-3718</v>
      </c>
      <c r="X32" s="620"/>
      <c r="Y32" s="621"/>
      <c r="Z32" s="1096">
        <f t="shared" si="2"/>
        <v>-3859799246</v>
      </c>
      <c r="AA32" s="882">
        <f t="shared" si="3"/>
        <v>-3860</v>
      </c>
    </row>
    <row r="33" spans="1:27" ht="22.5" hidden="1" customHeight="1">
      <c r="A33" s="583"/>
      <c r="B33" s="583">
        <v>428</v>
      </c>
      <c r="C33" s="581">
        <v>11</v>
      </c>
      <c r="D33" s="582" t="s">
        <v>577</v>
      </c>
      <c r="E33" s="1138" t="s">
        <v>578</v>
      </c>
      <c r="F33" s="1830">
        <v>7483852633</v>
      </c>
      <c r="G33" s="1828">
        <v>16423315</v>
      </c>
      <c r="H33" s="2128">
        <v>-2381432</v>
      </c>
      <c r="I33" s="1918">
        <v>-1559842887</v>
      </c>
      <c r="J33" s="2065"/>
      <c r="K33" s="599">
        <v>-28633045</v>
      </c>
      <c r="L33" s="1918"/>
      <c r="M33" s="2080"/>
      <c r="N33" s="1918"/>
      <c r="O33" s="1097"/>
      <c r="P33" s="1097"/>
      <c r="Q33" s="599"/>
      <c r="R33" s="599"/>
      <c r="S33" s="599"/>
      <c r="T33" s="1096">
        <f t="shared" si="4"/>
        <v>5909418584</v>
      </c>
      <c r="U33" s="599">
        <v>-228972892</v>
      </c>
      <c r="V33" s="1407">
        <f t="shared" si="0"/>
        <v>5909</v>
      </c>
      <c r="W33" s="599">
        <f t="shared" si="1"/>
        <v>-229</v>
      </c>
      <c r="X33" s="620"/>
      <c r="Y33" s="621"/>
      <c r="Z33" s="1096">
        <f t="shared" si="2"/>
        <v>5909418584</v>
      </c>
      <c r="AA33" s="882">
        <f t="shared" si="3"/>
        <v>5909</v>
      </c>
    </row>
    <row r="34" spans="1:27" ht="22.5" hidden="1" customHeight="1">
      <c r="A34" s="583">
        <v>3215</v>
      </c>
      <c r="B34" s="583">
        <v>425</v>
      </c>
      <c r="C34" s="581">
        <v>11</v>
      </c>
      <c r="D34" s="582" t="s">
        <v>568</v>
      </c>
      <c r="E34" s="1138" t="s">
        <v>153</v>
      </c>
      <c r="F34" s="1830">
        <v>914401958</v>
      </c>
      <c r="G34" s="1828">
        <v>-3944611264</v>
      </c>
      <c r="H34" s="2134"/>
      <c r="I34" s="599">
        <v>8272051438</v>
      </c>
      <c r="J34" s="2065"/>
      <c r="K34" s="599">
        <v>-2470749489</v>
      </c>
      <c r="L34" s="2096"/>
      <c r="M34" s="2096"/>
      <c r="N34" s="599"/>
      <c r="O34" s="1097"/>
      <c r="P34" s="1097"/>
      <c r="Q34" s="599"/>
      <c r="R34" s="599"/>
      <c r="S34" s="599"/>
      <c r="T34" s="1096">
        <f t="shared" si="4"/>
        <v>2771092643</v>
      </c>
      <c r="U34" s="599">
        <v>-20914038232</v>
      </c>
      <c r="V34" s="1407">
        <f t="shared" si="0"/>
        <v>2771</v>
      </c>
      <c r="W34" s="599">
        <f t="shared" si="1"/>
        <v>-20914</v>
      </c>
      <c r="X34" s="620"/>
      <c r="Y34" s="621"/>
      <c r="Z34" s="1096">
        <f t="shared" si="2"/>
        <v>2771092643</v>
      </c>
      <c r="AA34" s="882">
        <f t="shared" si="3"/>
        <v>2771</v>
      </c>
    </row>
    <row r="35" spans="1:27" ht="22.5" hidden="1" customHeight="1">
      <c r="A35" s="583"/>
      <c r="B35" s="583">
        <v>1027</v>
      </c>
      <c r="C35" s="581">
        <v>17</v>
      </c>
      <c r="D35" s="582" t="s">
        <v>308</v>
      </c>
      <c r="E35" s="1138" t="s">
        <v>309</v>
      </c>
      <c r="F35" s="1830">
        <v>-1508149241198</v>
      </c>
      <c r="G35" s="1826"/>
      <c r="H35" s="599"/>
      <c r="I35" s="599"/>
      <c r="J35" s="2080">
        <v>172000000</v>
      </c>
      <c r="K35" s="599">
        <v>-19445193768</v>
      </c>
      <c r="L35" s="599"/>
      <c r="M35" s="2065"/>
      <c r="N35" s="599"/>
      <c r="O35" s="1918"/>
      <c r="P35" s="1097"/>
      <c r="Q35" s="599"/>
      <c r="R35" s="599"/>
      <c r="S35" s="599"/>
      <c r="T35" s="1096">
        <f t="shared" si="4"/>
        <v>-1527422434966</v>
      </c>
      <c r="U35" s="599">
        <v>-1500808837781</v>
      </c>
      <c r="V35" s="1407">
        <f t="shared" si="0"/>
        <v>-1527422</v>
      </c>
      <c r="W35" s="599">
        <f t="shared" si="1"/>
        <v>-1500809</v>
      </c>
      <c r="X35" s="620"/>
      <c r="Y35" s="621"/>
      <c r="Z35" s="1096">
        <f t="shared" si="2"/>
        <v>-1527422434966</v>
      </c>
      <c r="AA35" s="882">
        <f t="shared" si="3"/>
        <v>-1527422</v>
      </c>
    </row>
    <row r="36" spans="1:27" ht="22.5" hidden="1" customHeight="1">
      <c r="A36" s="583"/>
      <c r="B36" s="583">
        <v>1026</v>
      </c>
      <c r="C36" s="581">
        <v>17</v>
      </c>
      <c r="D36" s="582" t="s">
        <v>305</v>
      </c>
      <c r="E36" s="1138" t="s">
        <v>172</v>
      </c>
      <c r="F36" s="1826">
        <v>-5481184060</v>
      </c>
      <c r="G36" s="1826">
        <v>3231090086</v>
      </c>
      <c r="H36" s="2134"/>
      <c r="I36" s="599">
        <v>-3398510093</v>
      </c>
      <c r="J36" s="2080">
        <v>-520944790</v>
      </c>
      <c r="K36" s="1918">
        <v>-22710000</v>
      </c>
      <c r="L36" s="2096"/>
      <c r="M36" s="2096"/>
      <c r="N36" s="599"/>
      <c r="O36" s="1097"/>
      <c r="P36" s="1097"/>
      <c r="Q36" s="599"/>
      <c r="R36" s="599"/>
      <c r="S36" s="599"/>
      <c r="T36" s="1096">
        <f t="shared" si="4"/>
        <v>-6192258857</v>
      </c>
      <c r="U36" s="599">
        <v>-4356178540</v>
      </c>
      <c r="V36" s="1407">
        <f t="shared" si="0"/>
        <v>-6192</v>
      </c>
      <c r="W36" s="599">
        <f t="shared" si="1"/>
        <v>-4356</v>
      </c>
      <c r="X36" s="620"/>
      <c r="Y36" s="621"/>
      <c r="Z36" s="1096">
        <f t="shared" si="2"/>
        <v>-6192258857</v>
      </c>
      <c r="AA36" s="882">
        <f t="shared" si="3"/>
        <v>-6192</v>
      </c>
    </row>
    <row r="37" spans="1:27" ht="22.5" hidden="1" customHeight="1">
      <c r="A37" s="583"/>
      <c r="B37" s="583">
        <v>1025</v>
      </c>
      <c r="C37" s="581">
        <v>17</v>
      </c>
      <c r="D37" s="582" t="s">
        <v>57</v>
      </c>
      <c r="E37" s="1138" t="s">
        <v>137</v>
      </c>
      <c r="F37" s="1830">
        <v>-32982761262</v>
      </c>
      <c r="G37" s="1828">
        <v>-4691632500</v>
      </c>
      <c r="H37" s="2128">
        <v>-12108810000</v>
      </c>
      <c r="I37" s="1918"/>
      <c r="J37" s="2065"/>
      <c r="K37" s="1918"/>
      <c r="L37" s="599"/>
      <c r="M37" s="2065"/>
      <c r="N37" s="599"/>
      <c r="O37" s="1097"/>
      <c r="P37" s="1097"/>
      <c r="Q37" s="599"/>
      <c r="R37" s="599"/>
      <c r="S37" s="599"/>
      <c r="T37" s="1096">
        <f t="shared" si="4"/>
        <v>-49783203762</v>
      </c>
      <c r="U37" s="599">
        <v>-16228809600</v>
      </c>
      <c r="V37" s="1407">
        <f t="shared" si="0"/>
        <v>-49783</v>
      </c>
      <c r="W37" s="599">
        <f t="shared" si="1"/>
        <v>-16229</v>
      </c>
      <c r="X37" s="620"/>
      <c r="Y37" s="621"/>
      <c r="Z37" s="1096">
        <f t="shared" si="2"/>
        <v>-49783203762</v>
      </c>
      <c r="AA37" s="882">
        <f t="shared" si="3"/>
        <v>-49783</v>
      </c>
    </row>
    <row r="38" spans="1:27" ht="22.5" hidden="1" customHeight="1">
      <c r="A38" s="583">
        <v>1</v>
      </c>
      <c r="B38" s="583">
        <v>1023</v>
      </c>
      <c r="C38" s="581">
        <v>11</v>
      </c>
      <c r="D38" s="582" t="s">
        <v>521</v>
      </c>
      <c r="E38" s="1138" t="s">
        <v>207</v>
      </c>
      <c r="F38" s="1830">
        <v>-12775281311</v>
      </c>
      <c r="G38" s="1828">
        <v>-28912484192</v>
      </c>
      <c r="H38" s="2094">
        <v>-6175131891</v>
      </c>
      <c r="I38" s="1918">
        <v>-327159549</v>
      </c>
      <c r="J38" s="2065"/>
      <c r="K38" s="1918">
        <f>22720325756-4992475</f>
        <v>22715333281</v>
      </c>
      <c r="L38" s="1918"/>
      <c r="M38" s="2080"/>
      <c r="N38" s="1918"/>
      <c r="O38" s="1097"/>
      <c r="P38" s="1097"/>
      <c r="Q38" s="599"/>
      <c r="R38" s="599"/>
      <c r="S38" s="599"/>
      <c r="T38" s="1096">
        <f t="shared" si="4"/>
        <v>-25474723662</v>
      </c>
      <c r="U38" s="599">
        <v>-12147741169</v>
      </c>
      <c r="V38" s="1407">
        <f t="shared" ref="V38:V66" si="5">ROUND((T38/1000000),0)</f>
        <v>-25475</v>
      </c>
      <c r="W38" s="599">
        <f t="shared" ref="W38:W66" si="6">ROUND((U38/1000000),0)</f>
        <v>-12148</v>
      </c>
      <c r="X38" s="620"/>
      <c r="Y38" s="621"/>
      <c r="Z38" s="1096">
        <f t="shared" ref="Z38:Z70" si="7">T38+Y38-X38</f>
        <v>-25474723662</v>
      </c>
      <c r="AA38" s="882">
        <f t="shared" ref="AA38:AA70" si="8">ROUND((Z38/1000000),0)</f>
        <v>-25475</v>
      </c>
    </row>
    <row r="39" spans="1:27" ht="22.5" hidden="1" customHeight="1">
      <c r="A39" s="583">
        <v>7</v>
      </c>
      <c r="B39" s="583">
        <v>1023</v>
      </c>
      <c r="C39" s="581">
        <v>11</v>
      </c>
      <c r="D39" s="582" t="s">
        <v>1329</v>
      </c>
      <c r="E39" s="1138" t="s">
        <v>207</v>
      </c>
      <c r="F39" s="1829">
        <v>5282214414499</v>
      </c>
      <c r="G39" s="1828">
        <v>3376368069186</v>
      </c>
      <c r="H39" s="2096"/>
      <c r="I39" s="599">
        <v>42642151</v>
      </c>
      <c r="J39" s="2065">
        <v>-210586700030</v>
      </c>
      <c r="K39" s="1918">
        <v>-8448081067957</v>
      </c>
      <c r="L39" s="599">
        <f>-12885910240+62141700000-25640435400-8266200900+14246186700+108988539830+20430864265</f>
        <v>159014744255</v>
      </c>
      <c r="M39" s="2065"/>
      <c r="N39" s="1918"/>
      <c r="O39" s="1097"/>
      <c r="P39" s="1097"/>
      <c r="Q39" s="599"/>
      <c r="R39" s="599"/>
      <c r="S39" s="599"/>
      <c r="T39" s="1096">
        <f t="shared" si="4"/>
        <v>158972102104</v>
      </c>
      <c r="U39" s="599">
        <v>-8931271</v>
      </c>
      <c r="V39" s="1407">
        <f t="shared" si="5"/>
        <v>158972</v>
      </c>
      <c r="W39" s="599">
        <f t="shared" si="6"/>
        <v>-9</v>
      </c>
      <c r="X39" s="620"/>
      <c r="Y39" s="621"/>
      <c r="Z39" s="1096">
        <f t="shared" si="7"/>
        <v>158972102104</v>
      </c>
      <c r="AA39" s="882">
        <f t="shared" si="8"/>
        <v>158972</v>
      </c>
    </row>
    <row r="40" spans="1:27" ht="22.5" hidden="1" customHeight="1">
      <c r="A40" s="583">
        <v>1</v>
      </c>
      <c r="B40" s="583">
        <v>1022</v>
      </c>
      <c r="C40" s="581">
        <v>11</v>
      </c>
      <c r="D40" s="582" t="s">
        <v>60</v>
      </c>
      <c r="E40" s="1138" t="s">
        <v>1375</v>
      </c>
      <c r="F40" s="1829">
        <v>11931328632</v>
      </c>
      <c r="G40" s="1828">
        <v>445948764</v>
      </c>
      <c r="H40" s="2128">
        <v>-5620178084</v>
      </c>
      <c r="I40" s="1918">
        <v>48355818904</v>
      </c>
      <c r="J40" s="2065">
        <v>-32726046249</v>
      </c>
      <c r="K40" s="1918">
        <f>-30863197449-389969126-4268079570-51301759603</f>
        <v>-86823005748</v>
      </c>
      <c r="L40" s="1918"/>
      <c r="M40" s="2080"/>
      <c r="N40" s="1918"/>
      <c r="O40" s="1918"/>
      <c r="P40" s="1097"/>
      <c r="Q40" s="599"/>
      <c r="R40" s="599"/>
      <c r="S40" s="599"/>
      <c r="T40" s="1096">
        <f t="shared" si="4"/>
        <v>-64436133781</v>
      </c>
      <c r="U40" s="599">
        <v>-18858496794</v>
      </c>
      <c r="V40" s="1407">
        <f t="shared" si="5"/>
        <v>-64436</v>
      </c>
      <c r="W40" s="599">
        <f t="shared" si="6"/>
        <v>-18858</v>
      </c>
      <c r="X40" s="620"/>
      <c r="Y40" s="621"/>
      <c r="Z40" s="1096">
        <f t="shared" si="7"/>
        <v>-64436133781</v>
      </c>
      <c r="AA40" s="882">
        <f t="shared" si="8"/>
        <v>-64436</v>
      </c>
    </row>
    <row r="41" spans="1:27" ht="22.5" hidden="1" customHeight="1">
      <c r="A41" s="583"/>
      <c r="B41" s="583">
        <v>1013</v>
      </c>
      <c r="C41" s="581">
        <v>11</v>
      </c>
      <c r="D41" s="582" t="s">
        <v>686</v>
      </c>
      <c r="E41" s="1138" t="s">
        <v>689</v>
      </c>
      <c r="F41" s="1830">
        <v>-112424986116</v>
      </c>
      <c r="G41" s="1833"/>
      <c r="H41" s="1826"/>
      <c r="I41" s="1918"/>
      <c r="J41" s="2080"/>
      <c r="K41" s="1918"/>
      <c r="L41" s="599"/>
      <c r="M41" s="2065"/>
      <c r="N41" s="1918"/>
      <c r="O41" s="1918"/>
      <c r="P41" s="1097"/>
      <c r="Q41" s="599"/>
      <c r="R41" s="599"/>
      <c r="S41" s="599"/>
      <c r="T41" s="1096">
        <f t="shared" si="4"/>
        <v>-112424986116</v>
      </c>
      <c r="U41" s="599">
        <v>-112424986116</v>
      </c>
      <c r="V41" s="1407">
        <f t="shared" si="5"/>
        <v>-112425</v>
      </c>
      <c r="W41" s="599">
        <f t="shared" si="6"/>
        <v>-112425</v>
      </c>
      <c r="X41" s="620"/>
      <c r="Y41" s="621"/>
      <c r="Z41" s="1096">
        <f t="shared" si="7"/>
        <v>-112424986116</v>
      </c>
      <c r="AA41" s="882">
        <f t="shared" si="8"/>
        <v>-112425</v>
      </c>
    </row>
    <row r="42" spans="1:27" ht="22.5" hidden="1" customHeight="1">
      <c r="A42" s="583">
        <v>7</v>
      </c>
      <c r="B42" s="583">
        <v>1022</v>
      </c>
      <c r="C42" s="581">
        <v>11</v>
      </c>
      <c r="D42" s="582" t="s">
        <v>1327</v>
      </c>
      <c r="E42" s="1138" t="s">
        <v>778</v>
      </c>
      <c r="F42" s="1829">
        <v>13848876786000</v>
      </c>
      <c r="G42" s="1828">
        <v>6051959864115</v>
      </c>
      <c r="H42" s="2096"/>
      <c r="I42" s="599"/>
      <c r="J42" s="2065"/>
      <c r="K42" s="1918">
        <v>-19900836650115</v>
      </c>
      <c r="L42" s="599">
        <f>-14246186700+225791782570</f>
        <v>211545595870</v>
      </c>
      <c r="M42" s="2065"/>
      <c r="N42" s="1918"/>
      <c r="O42" s="1097"/>
      <c r="P42" s="1097"/>
      <c r="Q42" s="599"/>
      <c r="R42" s="599"/>
      <c r="S42" s="599"/>
      <c r="T42" s="1096">
        <f t="shared" si="4"/>
        <v>211545595870</v>
      </c>
      <c r="U42" s="599">
        <v>0</v>
      </c>
      <c r="V42" s="1407">
        <f t="shared" si="5"/>
        <v>211546</v>
      </c>
      <c r="W42" s="599">
        <f t="shared" si="6"/>
        <v>0</v>
      </c>
      <c r="X42" s="620"/>
      <c r="Y42" s="621"/>
      <c r="Z42" s="1096">
        <f t="shared" si="7"/>
        <v>211545595870</v>
      </c>
      <c r="AA42" s="882">
        <f t="shared" si="8"/>
        <v>211546</v>
      </c>
    </row>
    <row r="43" spans="1:27" ht="22.5" hidden="1" customHeight="1">
      <c r="A43" s="2062"/>
      <c r="B43" s="2062">
        <v>1013</v>
      </c>
      <c r="C43" s="2063">
        <v>11</v>
      </c>
      <c r="D43" s="2073" t="s">
        <v>2388</v>
      </c>
      <c r="E43" s="2074" t="s">
        <v>2389</v>
      </c>
      <c r="F43" s="2076">
        <v>-90283434120</v>
      </c>
      <c r="G43" s="2077">
        <v>1159153826</v>
      </c>
      <c r="H43" s="2065">
        <v>-1998988244</v>
      </c>
      <c r="I43" s="2065">
        <v>-23667507072</v>
      </c>
      <c r="J43" s="2065"/>
      <c r="K43" s="2080">
        <f>-146097000+178200000</f>
        <v>32103000</v>
      </c>
      <c r="L43" s="2065">
        <v>1063974240</v>
      </c>
      <c r="M43" s="2065"/>
      <c r="N43" s="2080"/>
      <c r="O43" s="2066">
        <v>-2160451000</v>
      </c>
      <c r="P43" s="2066"/>
      <c r="Q43" s="2065"/>
      <c r="R43" s="2065"/>
      <c r="S43" s="2065"/>
      <c r="T43" s="1096">
        <f t="shared" si="4"/>
        <v>-115855149370</v>
      </c>
      <c r="U43" s="2065"/>
      <c r="V43" s="1407">
        <f t="shared" si="5"/>
        <v>-115855</v>
      </c>
      <c r="W43" s="2065"/>
      <c r="X43" s="2067"/>
      <c r="Y43" s="2068"/>
      <c r="Z43" s="1096">
        <f t="shared" si="7"/>
        <v>-115855149370</v>
      </c>
      <c r="AA43" s="882">
        <f t="shared" si="8"/>
        <v>-115855</v>
      </c>
    </row>
    <row r="44" spans="1:27" ht="22.5" hidden="1" customHeight="1">
      <c r="A44" s="583"/>
      <c r="B44" s="583">
        <v>1013</v>
      </c>
      <c r="C44" s="581">
        <v>11</v>
      </c>
      <c r="D44" s="582" t="s">
        <v>687</v>
      </c>
      <c r="E44" s="1138" t="s">
        <v>691</v>
      </c>
      <c r="F44" s="1829">
        <v>705837905135</v>
      </c>
      <c r="G44" s="1833">
        <v>-176377684</v>
      </c>
      <c r="H44" s="2129"/>
      <c r="I44" s="599"/>
      <c r="J44" s="2066"/>
      <c r="K44" s="599"/>
      <c r="L44" s="599"/>
      <c r="M44" s="2065"/>
      <c r="N44" s="599"/>
      <c r="O44" s="1097"/>
      <c r="P44" s="1097"/>
      <c r="Q44" s="599"/>
      <c r="R44" s="599"/>
      <c r="S44" s="599"/>
      <c r="T44" s="1096">
        <f t="shared" si="4"/>
        <v>705661527451</v>
      </c>
      <c r="U44" s="599">
        <v>705661527451</v>
      </c>
      <c r="V44" s="1407">
        <f t="shared" si="5"/>
        <v>705662</v>
      </c>
      <c r="W44" s="599">
        <f t="shared" si="6"/>
        <v>705662</v>
      </c>
      <c r="X44" s="620"/>
      <c r="Y44" s="621"/>
      <c r="Z44" s="1096">
        <f t="shared" si="7"/>
        <v>705661527451</v>
      </c>
      <c r="AA44" s="882">
        <f t="shared" si="8"/>
        <v>705662</v>
      </c>
    </row>
    <row r="45" spans="1:27" ht="22.5" hidden="1" customHeight="1">
      <c r="A45" s="583"/>
      <c r="B45" s="583">
        <v>1022</v>
      </c>
      <c r="C45" s="581">
        <v>11</v>
      </c>
      <c r="D45" s="582" t="s">
        <v>121</v>
      </c>
      <c r="E45" s="1138" t="s">
        <v>1150</v>
      </c>
      <c r="F45" s="2308"/>
      <c r="G45" s="1826"/>
      <c r="H45" s="1833"/>
      <c r="I45" s="599"/>
      <c r="J45" s="2066"/>
      <c r="K45" s="599"/>
      <c r="L45" s="599"/>
      <c r="M45" s="2065"/>
      <c r="N45" s="599"/>
      <c r="O45" s="1097"/>
      <c r="P45" s="1097"/>
      <c r="Q45" s="599"/>
      <c r="R45" s="599"/>
      <c r="S45" s="599"/>
      <c r="T45" s="1096">
        <f t="shared" si="4"/>
        <v>0</v>
      </c>
      <c r="U45" s="599">
        <v>0</v>
      </c>
      <c r="V45" s="1407">
        <f t="shared" si="5"/>
        <v>0</v>
      </c>
      <c r="W45" s="599">
        <f t="shared" si="6"/>
        <v>0</v>
      </c>
      <c r="X45" s="620"/>
      <c r="Y45" s="621"/>
      <c r="Z45" s="1096">
        <f t="shared" si="7"/>
        <v>0</v>
      </c>
      <c r="AA45" s="882">
        <f t="shared" si="8"/>
        <v>0</v>
      </c>
    </row>
    <row r="46" spans="1:27" ht="22.5" hidden="1" customHeight="1">
      <c r="A46" s="583"/>
      <c r="B46" s="583">
        <v>1013</v>
      </c>
      <c r="C46" s="581">
        <v>11</v>
      </c>
      <c r="D46" s="582" t="s">
        <v>690</v>
      </c>
      <c r="E46" s="1138" t="s">
        <v>692</v>
      </c>
      <c r="F46" s="1829">
        <v>361978480554</v>
      </c>
      <c r="G46" s="1833">
        <v>1800000</v>
      </c>
      <c r="H46" s="2525"/>
      <c r="I46" s="599"/>
      <c r="J46" s="2066"/>
      <c r="K46" s="599"/>
      <c r="L46" s="599"/>
      <c r="M46" s="2065"/>
      <c r="N46" s="599"/>
      <c r="O46" s="1097"/>
      <c r="P46" s="1097"/>
      <c r="Q46" s="599"/>
      <c r="R46" s="599"/>
      <c r="S46" s="599"/>
      <c r="T46" s="1096">
        <f t="shared" si="4"/>
        <v>361980280554</v>
      </c>
      <c r="U46" s="599">
        <v>361980280554</v>
      </c>
      <c r="V46" s="1407">
        <f t="shared" si="5"/>
        <v>361980</v>
      </c>
      <c r="W46" s="599">
        <f t="shared" si="6"/>
        <v>361980</v>
      </c>
      <c r="X46" s="620"/>
      <c r="Y46" s="621"/>
      <c r="Z46" s="1096">
        <f t="shared" si="7"/>
        <v>361980280554</v>
      </c>
      <c r="AA46" s="882">
        <f t="shared" si="8"/>
        <v>361980</v>
      </c>
    </row>
    <row r="47" spans="1:27" ht="22.5" hidden="1" customHeight="1">
      <c r="A47" s="583">
        <v>7</v>
      </c>
      <c r="B47" s="583">
        <v>1006</v>
      </c>
      <c r="C47" s="581">
        <v>17</v>
      </c>
      <c r="D47" s="582" t="s">
        <v>1381</v>
      </c>
      <c r="E47" s="1138" t="s">
        <v>1380</v>
      </c>
      <c r="F47" s="1829">
        <v>5305595125950</v>
      </c>
      <c r="G47" s="1828">
        <v>3293189806975</v>
      </c>
      <c r="H47" s="599"/>
      <c r="I47" s="599"/>
      <c r="J47" s="2065"/>
      <c r="K47" s="1918">
        <v>-8598784932925</v>
      </c>
      <c r="L47" s="599"/>
      <c r="M47" s="2065"/>
      <c r="N47" s="1918"/>
      <c r="O47" s="1097"/>
      <c r="P47" s="1097"/>
      <c r="Q47" s="599"/>
      <c r="R47" s="599"/>
      <c r="S47" s="599"/>
      <c r="T47" s="1096">
        <f t="shared" si="4"/>
        <v>0</v>
      </c>
      <c r="U47" s="599">
        <v>0</v>
      </c>
      <c r="V47" s="1407">
        <f t="shared" si="5"/>
        <v>0</v>
      </c>
      <c r="W47" s="599">
        <f t="shared" si="6"/>
        <v>0</v>
      </c>
      <c r="X47" s="620"/>
      <c r="Y47" s="621"/>
      <c r="Z47" s="1096">
        <f t="shared" si="7"/>
        <v>0</v>
      </c>
      <c r="AA47" s="882">
        <f t="shared" si="8"/>
        <v>0</v>
      </c>
    </row>
    <row r="48" spans="1:27" ht="22.5" hidden="1" customHeight="1">
      <c r="A48" s="583">
        <v>7</v>
      </c>
      <c r="B48" s="583">
        <v>1005</v>
      </c>
      <c r="C48" s="581">
        <v>17</v>
      </c>
      <c r="D48" s="582" t="s">
        <v>1378</v>
      </c>
      <c r="E48" s="1138" t="s">
        <v>1379</v>
      </c>
      <c r="F48" s="1829">
        <v>772609497289</v>
      </c>
      <c r="G48" s="1828">
        <v>485902295130</v>
      </c>
      <c r="H48" s="599"/>
      <c r="I48" s="599"/>
      <c r="J48" s="2065"/>
      <c r="K48" s="1918">
        <v>-1258511792419</v>
      </c>
      <c r="L48" s="599"/>
      <c r="M48" s="2065"/>
      <c r="N48" s="1918"/>
      <c r="O48" s="1097"/>
      <c r="P48" s="1097"/>
      <c r="Q48" s="599"/>
      <c r="R48" s="599"/>
      <c r="S48" s="599"/>
      <c r="T48" s="1096">
        <f t="shared" si="4"/>
        <v>0</v>
      </c>
      <c r="U48" s="599">
        <v>0</v>
      </c>
      <c r="V48" s="1407">
        <f t="shared" si="5"/>
        <v>0</v>
      </c>
      <c r="W48" s="599">
        <f t="shared" si="6"/>
        <v>0</v>
      </c>
      <c r="X48" s="620"/>
      <c r="Y48" s="621"/>
      <c r="Z48" s="1096">
        <f t="shared" si="7"/>
        <v>0</v>
      </c>
      <c r="AA48" s="882">
        <f t="shared" si="8"/>
        <v>0</v>
      </c>
    </row>
    <row r="49" spans="1:27" ht="22.5" hidden="1" customHeight="1">
      <c r="A49" s="583">
        <v>1</v>
      </c>
      <c r="B49" s="583">
        <v>1021</v>
      </c>
      <c r="C49" s="581">
        <v>17</v>
      </c>
      <c r="D49" s="582" t="s">
        <v>343</v>
      </c>
      <c r="E49" s="1138" t="s">
        <v>344</v>
      </c>
      <c r="F49" s="1830">
        <v>-995509080585</v>
      </c>
      <c r="G49" s="1826">
        <v>-63015405553</v>
      </c>
      <c r="H49" s="2128">
        <v>-93857285763</v>
      </c>
      <c r="I49" s="1918">
        <v>-182482410084</v>
      </c>
      <c r="J49" s="2065"/>
      <c r="K49" s="1918">
        <f>-3677813479</f>
        <v>-3677813479</v>
      </c>
      <c r="L49" s="599"/>
      <c r="M49" s="2065"/>
      <c r="N49" s="599"/>
      <c r="O49" s="1097"/>
      <c r="P49" s="1097"/>
      <c r="Q49" s="599"/>
      <c r="R49" s="599"/>
      <c r="S49" s="599"/>
      <c r="T49" s="1096">
        <f t="shared" si="4"/>
        <v>-1338541995464</v>
      </c>
      <c r="U49" s="599">
        <v>-553539930801</v>
      </c>
      <c r="V49" s="1407">
        <f t="shared" si="5"/>
        <v>-1338542</v>
      </c>
      <c r="W49" s="599">
        <f t="shared" si="6"/>
        <v>-553540</v>
      </c>
      <c r="X49" s="620"/>
      <c r="Y49" s="621"/>
      <c r="Z49" s="1096">
        <f t="shared" si="7"/>
        <v>-1338541995464</v>
      </c>
      <c r="AA49" s="882">
        <f t="shared" si="8"/>
        <v>-1338542</v>
      </c>
    </row>
    <row r="50" spans="1:27" ht="22.5" hidden="1" customHeight="1">
      <c r="A50" s="583"/>
      <c r="B50" s="583">
        <v>1020</v>
      </c>
      <c r="C50" s="581">
        <v>17</v>
      </c>
      <c r="D50" s="1825" t="s">
        <v>1403</v>
      </c>
      <c r="E50" s="1138" t="s">
        <v>821</v>
      </c>
      <c r="F50" s="599">
        <v>-326760957024</v>
      </c>
      <c r="G50" s="1826"/>
      <c r="H50" s="599">
        <v>-86730521688</v>
      </c>
      <c r="I50" s="599"/>
      <c r="J50" s="2066"/>
      <c r="K50" s="599"/>
      <c r="L50" s="599"/>
      <c r="M50" s="2065"/>
      <c r="N50" s="599"/>
      <c r="O50" s="1097"/>
      <c r="P50" s="1097"/>
      <c r="Q50" s="599"/>
      <c r="R50" s="599"/>
      <c r="S50" s="599"/>
      <c r="T50" s="1096">
        <f t="shared" si="4"/>
        <v>-413491478712</v>
      </c>
      <c r="U50" s="599">
        <v>-326760957024</v>
      </c>
      <c r="V50" s="1407">
        <f t="shared" si="5"/>
        <v>-413491</v>
      </c>
      <c r="W50" s="599">
        <f t="shared" si="6"/>
        <v>-326761</v>
      </c>
      <c r="X50" s="620"/>
      <c r="Y50" s="621"/>
      <c r="Z50" s="1096">
        <f t="shared" si="7"/>
        <v>-413491478712</v>
      </c>
      <c r="AA50" s="882">
        <f t="shared" si="8"/>
        <v>-413491</v>
      </c>
    </row>
    <row r="51" spans="1:27" ht="22.5" hidden="1" customHeight="1">
      <c r="A51" s="583">
        <v>7</v>
      </c>
      <c r="B51" s="583">
        <v>1003</v>
      </c>
      <c r="C51" s="581">
        <v>11</v>
      </c>
      <c r="D51" s="582" t="s">
        <v>1330</v>
      </c>
      <c r="E51" s="1138" t="s">
        <v>209</v>
      </c>
      <c r="F51" s="1829">
        <v>3685367731244</v>
      </c>
      <c r="G51" s="1828">
        <v>2347822197999</v>
      </c>
      <c r="H51" s="599"/>
      <c r="I51" s="599"/>
      <c r="J51" s="2065"/>
      <c r="K51" s="1918">
        <v>-6033189929243</v>
      </c>
      <c r="L51" s="599"/>
      <c r="M51" s="2065"/>
      <c r="N51" s="1918"/>
      <c r="O51" s="1097"/>
      <c r="P51" s="1097"/>
      <c r="Q51" s="599"/>
      <c r="R51" s="599"/>
      <c r="S51" s="599"/>
      <c r="T51" s="1096">
        <f t="shared" si="4"/>
        <v>0</v>
      </c>
      <c r="U51" s="599">
        <v>0</v>
      </c>
      <c r="V51" s="1407">
        <f t="shared" si="5"/>
        <v>0</v>
      </c>
      <c r="W51" s="599">
        <f t="shared" si="6"/>
        <v>0</v>
      </c>
      <c r="X51" s="620"/>
      <c r="Y51" s="621"/>
      <c r="Z51" s="1096">
        <f t="shared" si="7"/>
        <v>0</v>
      </c>
      <c r="AA51" s="882">
        <f t="shared" si="8"/>
        <v>0</v>
      </c>
    </row>
    <row r="52" spans="1:27" ht="22.5" hidden="1" customHeight="1">
      <c r="A52" s="2062"/>
      <c r="B52" s="2062">
        <v>421</v>
      </c>
      <c r="C52" s="2063">
        <v>11</v>
      </c>
      <c r="D52" s="2098" t="s">
        <v>610</v>
      </c>
      <c r="E52" s="2074" t="s">
        <v>611</v>
      </c>
      <c r="F52" s="2065">
        <v>6528597339</v>
      </c>
      <c r="G52" s="2075"/>
      <c r="H52" s="2078"/>
      <c r="I52" s="2065">
        <v>-1305719468</v>
      </c>
      <c r="J52" s="2066"/>
      <c r="K52" s="2065"/>
      <c r="L52" s="2065"/>
      <c r="M52" s="2065"/>
      <c r="N52" s="2065"/>
      <c r="O52" s="2066"/>
      <c r="P52" s="2066"/>
      <c r="Q52" s="2065"/>
      <c r="R52" s="2065"/>
      <c r="S52" s="2065"/>
      <c r="T52" s="1096">
        <f t="shared" si="4"/>
        <v>5222877871</v>
      </c>
      <c r="U52" s="2065">
        <v>6528597339</v>
      </c>
      <c r="V52" s="1407">
        <f t="shared" si="5"/>
        <v>5223</v>
      </c>
      <c r="W52" s="599">
        <f t="shared" si="6"/>
        <v>6529</v>
      </c>
      <c r="X52" s="2067"/>
      <c r="Y52" s="2068"/>
      <c r="Z52" s="2069">
        <f t="shared" si="7"/>
        <v>5222877871</v>
      </c>
      <c r="AA52" s="2070">
        <f t="shared" si="8"/>
        <v>5223</v>
      </c>
    </row>
    <row r="53" spans="1:27" ht="22.5" hidden="1" customHeight="1">
      <c r="A53" s="583"/>
      <c r="B53" s="583">
        <v>420</v>
      </c>
      <c r="C53" s="581">
        <v>11</v>
      </c>
      <c r="D53" s="1825" t="s">
        <v>483</v>
      </c>
      <c r="E53" s="1138" t="s">
        <v>1057</v>
      </c>
      <c r="F53" s="1829">
        <v>17851944466</v>
      </c>
      <c r="G53" s="1828">
        <v>-560000000</v>
      </c>
      <c r="H53" s="2128">
        <v>-214305507</v>
      </c>
      <c r="I53" s="599"/>
      <c r="J53" s="2065"/>
      <c r="K53" s="599"/>
      <c r="L53" s="599"/>
      <c r="M53" s="2065"/>
      <c r="N53" s="599"/>
      <c r="O53" s="1097"/>
      <c r="P53" s="1097"/>
      <c r="Q53" s="599"/>
      <c r="R53" s="599"/>
      <c r="S53" s="599"/>
      <c r="T53" s="1981">
        <f t="shared" si="4"/>
        <v>17077638959</v>
      </c>
      <c r="U53" s="599">
        <v>20014722273</v>
      </c>
      <c r="V53" s="1407">
        <f t="shared" si="5"/>
        <v>17078</v>
      </c>
      <c r="W53" s="599">
        <f t="shared" si="6"/>
        <v>20015</v>
      </c>
      <c r="X53" s="620"/>
      <c r="Y53" s="621"/>
      <c r="Z53" s="1096">
        <f t="shared" si="7"/>
        <v>17077638959</v>
      </c>
      <c r="AA53" s="882">
        <f t="shared" si="8"/>
        <v>17078</v>
      </c>
    </row>
    <row r="54" spans="1:27" ht="27" hidden="1" customHeight="1">
      <c r="A54" s="583"/>
      <c r="B54" s="583">
        <v>1032</v>
      </c>
      <c r="C54" s="581">
        <v>17</v>
      </c>
      <c r="D54" s="582" t="s">
        <v>443</v>
      </c>
      <c r="E54" s="1138" t="s">
        <v>1596</v>
      </c>
      <c r="F54" s="1830">
        <v>-435572974427</v>
      </c>
      <c r="G54" s="1826"/>
      <c r="H54" s="2096"/>
      <c r="I54" s="599">
        <v>-1</v>
      </c>
      <c r="J54" s="2065"/>
      <c r="K54" s="599"/>
      <c r="L54" s="599"/>
      <c r="M54" s="2065"/>
      <c r="N54" s="599"/>
      <c r="O54" s="1097"/>
      <c r="P54" s="1097"/>
      <c r="Q54" s="599"/>
      <c r="R54" s="599"/>
      <c r="S54" s="599"/>
      <c r="T54" s="1096">
        <f t="shared" si="4"/>
        <v>-435572974428</v>
      </c>
      <c r="U54" s="599">
        <v>-854251423615</v>
      </c>
      <c r="V54" s="1407">
        <f t="shared" si="5"/>
        <v>-435573</v>
      </c>
      <c r="W54" s="599">
        <f t="shared" si="6"/>
        <v>-854251</v>
      </c>
      <c r="X54" s="620"/>
      <c r="Y54" s="621"/>
      <c r="Z54" s="1096">
        <f t="shared" si="7"/>
        <v>-435572974428</v>
      </c>
      <c r="AA54" s="882">
        <f t="shared" si="8"/>
        <v>-435573</v>
      </c>
    </row>
    <row r="55" spans="1:27" ht="27" hidden="1" customHeight="1">
      <c r="A55" s="583"/>
      <c r="B55" s="583">
        <v>418</v>
      </c>
      <c r="C55" s="581">
        <v>11</v>
      </c>
      <c r="D55" s="582" t="s">
        <v>660</v>
      </c>
      <c r="E55" s="1138" t="s">
        <v>661</v>
      </c>
      <c r="F55" s="1829">
        <v>79341200293</v>
      </c>
      <c r="G55" s="1826"/>
      <c r="H55" s="599"/>
      <c r="I55" s="599">
        <v>-347457810</v>
      </c>
      <c r="J55" s="2065"/>
      <c r="K55" s="599"/>
      <c r="L55" s="599"/>
      <c r="M55" s="2065"/>
      <c r="N55" s="599"/>
      <c r="O55" s="1097"/>
      <c r="P55" s="1097"/>
      <c r="Q55" s="599"/>
      <c r="R55" s="599"/>
      <c r="S55" s="599"/>
      <c r="T55" s="1096">
        <f t="shared" si="4"/>
        <v>78993742483</v>
      </c>
      <c r="U55" s="599">
        <v>74794429850</v>
      </c>
      <c r="V55" s="1407">
        <f t="shared" si="5"/>
        <v>78994</v>
      </c>
      <c r="W55" s="599">
        <f t="shared" si="6"/>
        <v>74794</v>
      </c>
      <c r="X55" s="620"/>
      <c r="Y55" s="621"/>
      <c r="Z55" s="1096">
        <f t="shared" si="7"/>
        <v>78993742483</v>
      </c>
      <c r="AA55" s="882">
        <f t="shared" si="8"/>
        <v>78994</v>
      </c>
    </row>
    <row r="56" spans="1:27" ht="27" hidden="1" customHeight="1">
      <c r="A56" s="583"/>
      <c r="B56" s="583">
        <v>417</v>
      </c>
      <c r="C56" s="581">
        <v>11</v>
      </c>
      <c r="D56" s="582" t="s">
        <v>266</v>
      </c>
      <c r="E56" s="1138" t="s">
        <v>267</v>
      </c>
      <c r="F56" s="1829">
        <v>1164138936</v>
      </c>
      <c r="G56" s="1828"/>
      <c r="H56" s="599"/>
      <c r="I56" s="599"/>
      <c r="J56" s="2065"/>
      <c r="K56" s="599"/>
      <c r="L56" s="599"/>
      <c r="M56" s="2065"/>
      <c r="N56" s="1918"/>
      <c r="O56" s="1918"/>
      <c r="P56" s="1097"/>
      <c r="Q56" s="599"/>
      <c r="R56" s="599"/>
      <c r="S56" s="599"/>
      <c r="T56" s="1096">
        <f t="shared" si="4"/>
        <v>1164138936</v>
      </c>
      <c r="U56" s="599">
        <v>83848377530</v>
      </c>
      <c r="V56" s="1407">
        <f t="shared" si="5"/>
        <v>1164</v>
      </c>
      <c r="W56" s="599">
        <f t="shared" si="6"/>
        <v>83848</v>
      </c>
      <c r="X56" s="620"/>
      <c r="Y56" s="621"/>
      <c r="Z56" s="1096">
        <f t="shared" si="7"/>
        <v>1164138936</v>
      </c>
      <c r="AA56" s="882">
        <f t="shared" si="8"/>
        <v>1164</v>
      </c>
    </row>
    <row r="57" spans="1:27" ht="27" hidden="1" customHeight="1">
      <c r="A57" s="583"/>
      <c r="B57" s="583">
        <v>1032</v>
      </c>
      <c r="C57" s="581">
        <v>17</v>
      </c>
      <c r="D57" s="582" t="s">
        <v>79</v>
      </c>
      <c r="E57" s="1138" t="s">
        <v>1595</v>
      </c>
      <c r="F57" s="1829">
        <v>-211077248000</v>
      </c>
      <c r="G57" s="1828">
        <v>-21256000000</v>
      </c>
      <c r="H57" s="599"/>
      <c r="I57" s="1918">
        <v>209448000</v>
      </c>
      <c r="J57" s="2065"/>
      <c r="K57" s="1918"/>
      <c r="L57" s="599"/>
      <c r="M57" s="2065"/>
      <c r="N57" s="599"/>
      <c r="O57" s="1097"/>
      <c r="P57" s="1097"/>
      <c r="Q57" s="599"/>
      <c r="R57" s="599"/>
      <c r="S57" s="599"/>
      <c r="T57" s="1096">
        <f t="shared" si="4"/>
        <v>-232123800000</v>
      </c>
      <c r="U57" s="599">
        <v>-622823991453</v>
      </c>
      <c r="V57" s="1407">
        <f t="shared" si="5"/>
        <v>-232124</v>
      </c>
      <c r="W57" s="599">
        <f t="shared" si="6"/>
        <v>-622824</v>
      </c>
      <c r="X57" s="620"/>
      <c r="Y57" s="621"/>
      <c r="Z57" s="1096">
        <f t="shared" si="7"/>
        <v>-232123800000</v>
      </c>
      <c r="AA57" s="882">
        <f t="shared" si="8"/>
        <v>-232124</v>
      </c>
    </row>
    <row r="58" spans="1:27" ht="27" hidden="1" customHeight="1">
      <c r="A58" s="583"/>
      <c r="B58" s="583">
        <v>416</v>
      </c>
      <c r="C58" s="581">
        <v>11</v>
      </c>
      <c r="D58" s="582" t="s">
        <v>581</v>
      </c>
      <c r="E58" s="1138" t="s">
        <v>756</v>
      </c>
      <c r="F58" s="1829">
        <v>191020827517</v>
      </c>
      <c r="G58" s="1828">
        <v>-23329518060</v>
      </c>
      <c r="H58" s="599"/>
      <c r="I58" s="1918">
        <v>-1170530639</v>
      </c>
      <c r="J58" s="2065"/>
      <c r="K58" s="1918"/>
      <c r="L58" s="599"/>
      <c r="M58" s="2065"/>
      <c r="N58" s="599"/>
      <c r="O58" s="1097">
        <v>26165462115</v>
      </c>
      <c r="P58" s="1097"/>
      <c r="Q58" s="599"/>
      <c r="R58" s="599"/>
      <c r="S58" s="599"/>
      <c r="T58" s="1096">
        <f t="shared" si="4"/>
        <v>192686240933</v>
      </c>
      <c r="U58" s="599">
        <v>118621107643</v>
      </c>
      <c r="V58" s="1407">
        <f t="shared" si="5"/>
        <v>192686</v>
      </c>
      <c r="W58" s="599">
        <f t="shared" si="6"/>
        <v>118621</v>
      </c>
      <c r="X58" s="620"/>
      <c r="Y58" s="621"/>
      <c r="Z58" s="1096">
        <f t="shared" si="7"/>
        <v>192686240933</v>
      </c>
      <c r="AA58" s="882">
        <f t="shared" si="8"/>
        <v>192686</v>
      </c>
    </row>
    <row r="59" spans="1:27" ht="27" hidden="1" customHeight="1">
      <c r="A59" s="583">
        <v>7</v>
      </c>
      <c r="B59" s="583">
        <v>415</v>
      </c>
      <c r="C59" s="581">
        <v>17</v>
      </c>
      <c r="D59" s="582" t="s">
        <v>1328</v>
      </c>
      <c r="E59" s="1138" t="s">
        <v>558</v>
      </c>
      <c r="F59" s="1829">
        <v>1652245495447</v>
      </c>
      <c r="G59" s="1828">
        <v>926645595838</v>
      </c>
      <c r="H59" s="599"/>
      <c r="I59" s="599"/>
      <c r="J59" s="2065"/>
      <c r="K59" s="1918">
        <v>-2578891091285</v>
      </c>
      <c r="L59" s="599"/>
      <c r="M59" s="2065"/>
      <c r="N59" s="1918"/>
      <c r="O59" s="1097"/>
      <c r="P59" s="1097"/>
      <c r="Q59" s="599"/>
      <c r="R59" s="599"/>
      <c r="S59" s="599"/>
      <c r="T59" s="1096">
        <f t="shared" si="4"/>
        <v>0</v>
      </c>
      <c r="U59" s="599">
        <v>0</v>
      </c>
      <c r="V59" s="1407">
        <f t="shared" si="5"/>
        <v>0</v>
      </c>
      <c r="W59" s="599">
        <f t="shared" si="6"/>
        <v>0</v>
      </c>
      <c r="X59" s="620"/>
      <c r="Y59" s="621"/>
      <c r="Z59" s="1096">
        <f t="shared" si="7"/>
        <v>0</v>
      </c>
      <c r="AA59" s="882">
        <f t="shared" si="8"/>
        <v>0</v>
      </c>
    </row>
    <row r="60" spans="1:27" ht="27" hidden="1" customHeight="1">
      <c r="A60" s="583">
        <v>7</v>
      </c>
      <c r="B60" s="583">
        <v>414</v>
      </c>
      <c r="C60" s="581">
        <v>17</v>
      </c>
      <c r="D60" s="582" t="s">
        <v>1376</v>
      </c>
      <c r="E60" s="1138" t="s">
        <v>1377</v>
      </c>
      <c r="F60" s="1829">
        <v>3480517187923</v>
      </c>
      <c r="G60" s="1828">
        <v>2334021816667</v>
      </c>
      <c r="H60" s="599">
        <v>-168811400000</v>
      </c>
      <c r="I60" s="599"/>
      <c r="J60" s="2065"/>
      <c r="K60" s="1918">
        <v>-5645727604590</v>
      </c>
      <c r="L60" s="599"/>
      <c r="M60" s="2065"/>
      <c r="N60" s="1918"/>
      <c r="O60" s="1097"/>
      <c r="P60" s="1097"/>
      <c r="Q60" s="599"/>
      <c r="R60" s="599"/>
      <c r="S60" s="599"/>
      <c r="T60" s="1096">
        <f t="shared" si="4"/>
        <v>0</v>
      </c>
      <c r="U60" s="599">
        <v>0</v>
      </c>
      <c r="V60" s="1407">
        <f t="shared" si="5"/>
        <v>0</v>
      </c>
      <c r="W60" s="599">
        <f t="shared" si="6"/>
        <v>0</v>
      </c>
      <c r="X60" s="620"/>
      <c r="Y60" s="621"/>
      <c r="Z60" s="1096">
        <f t="shared" si="7"/>
        <v>0</v>
      </c>
      <c r="AA60" s="882">
        <f t="shared" si="8"/>
        <v>0</v>
      </c>
    </row>
    <row r="61" spans="1:27" ht="27" hidden="1" customHeight="1">
      <c r="A61" s="583"/>
      <c r="B61" s="583">
        <v>411</v>
      </c>
      <c r="C61" s="581">
        <v>11</v>
      </c>
      <c r="D61" s="1825" t="s">
        <v>409</v>
      </c>
      <c r="E61" s="1138" t="s">
        <v>410</v>
      </c>
      <c r="F61" s="1829">
        <v>46522427596</v>
      </c>
      <c r="G61" s="1833">
        <v>-4387972622</v>
      </c>
      <c r="H61" s="599"/>
      <c r="I61" s="1918"/>
      <c r="J61" s="2066"/>
      <c r="K61" s="599"/>
      <c r="L61" s="599"/>
      <c r="M61" s="2065"/>
      <c r="N61" s="599"/>
      <c r="O61" s="1097"/>
      <c r="P61" s="1097"/>
      <c r="Q61" s="599"/>
      <c r="R61" s="599"/>
      <c r="S61" s="599"/>
      <c r="T61" s="1096">
        <f t="shared" si="4"/>
        <v>42134454974</v>
      </c>
      <c r="U61" s="599">
        <v>28851232526</v>
      </c>
      <c r="V61" s="1407">
        <f t="shared" si="5"/>
        <v>42134</v>
      </c>
      <c r="W61" s="599">
        <f t="shared" si="6"/>
        <v>28851</v>
      </c>
      <c r="X61" s="620"/>
      <c r="Y61" s="621"/>
      <c r="Z61" s="1096">
        <f t="shared" si="7"/>
        <v>42134454974</v>
      </c>
      <c r="AA61" s="882">
        <f t="shared" si="8"/>
        <v>42134</v>
      </c>
    </row>
    <row r="62" spans="1:27" ht="27" hidden="1" customHeight="1">
      <c r="A62" s="583">
        <v>3214</v>
      </c>
      <c r="B62" s="583">
        <v>408</v>
      </c>
      <c r="C62" s="581">
        <v>11</v>
      </c>
      <c r="D62" s="1825" t="s">
        <v>293</v>
      </c>
      <c r="E62" s="1138" t="s">
        <v>1457</v>
      </c>
      <c r="F62" s="1826"/>
      <c r="G62" s="1826"/>
      <c r="H62" s="599"/>
      <c r="I62" s="599"/>
      <c r="J62" s="2065">
        <v>12876397789405</v>
      </c>
      <c r="K62" s="599">
        <f>-4645760179822-1939153808369</f>
        <v>-6584913988191</v>
      </c>
      <c r="L62" s="1918">
        <v>-6291483801214</v>
      </c>
      <c r="M62" s="2080"/>
      <c r="N62" s="599"/>
      <c r="O62" s="1918"/>
      <c r="P62" s="1097"/>
      <c r="Q62" s="599"/>
      <c r="R62" s="599"/>
      <c r="S62" s="599"/>
      <c r="T62" s="1096">
        <f t="shared" si="4"/>
        <v>0</v>
      </c>
      <c r="U62" s="599">
        <v>-119469980257</v>
      </c>
      <c r="V62" s="1407">
        <f t="shared" si="5"/>
        <v>0</v>
      </c>
      <c r="W62" s="599">
        <f t="shared" si="6"/>
        <v>-119470</v>
      </c>
      <c r="X62" s="620"/>
      <c r="Y62" s="621"/>
      <c r="Z62" s="1096">
        <f t="shared" si="7"/>
        <v>0</v>
      </c>
      <c r="AA62" s="882">
        <f t="shared" si="8"/>
        <v>0</v>
      </c>
    </row>
    <row r="63" spans="1:27" ht="27" hidden="1" customHeight="1">
      <c r="A63" s="583"/>
      <c r="B63" s="583">
        <v>410</v>
      </c>
      <c r="C63" s="581">
        <v>11</v>
      </c>
      <c r="D63" s="1825" t="s">
        <v>610</v>
      </c>
      <c r="E63" s="1138" t="s">
        <v>611</v>
      </c>
      <c r="F63" s="1826"/>
      <c r="G63" s="1826"/>
      <c r="H63" s="1833"/>
      <c r="I63" s="599"/>
      <c r="J63" s="2066"/>
      <c r="K63" s="599"/>
      <c r="L63" s="599"/>
      <c r="M63" s="2065"/>
      <c r="N63" s="599"/>
      <c r="O63" s="1097"/>
      <c r="P63" s="1097"/>
      <c r="Q63" s="599"/>
      <c r="R63" s="599"/>
      <c r="S63" s="599"/>
      <c r="T63" s="1096">
        <f t="shared" si="4"/>
        <v>0</v>
      </c>
      <c r="U63" s="599">
        <v>0</v>
      </c>
      <c r="V63" s="1407">
        <f t="shared" si="5"/>
        <v>0</v>
      </c>
      <c r="W63" s="599">
        <f t="shared" si="6"/>
        <v>0</v>
      </c>
      <c r="X63" s="620"/>
      <c r="Y63" s="621"/>
      <c r="Z63" s="1096">
        <f t="shared" si="7"/>
        <v>0</v>
      </c>
      <c r="AA63" s="882">
        <f t="shared" si="8"/>
        <v>0</v>
      </c>
    </row>
    <row r="64" spans="1:27" ht="27" hidden="1" customHeight="1">
      <c r="A64" s="583"/>
      <c r="B64" s="583">
        <v>409</v>
      </c>
      <c r="C64" s="581">
        <v>11</v>
      </c>
      <c r="D64" s="582" t="s">
        <v>50</v>
      </c>
      <c r="E64" s="1138" t="s">
        <v>2176</v>
      </c>
      <c r="F64" s="1829">
        <v>212460210367</v>
      </c>
      <c r="G64" s="1828">
        <v>-235011366</v>
      </c>
      <c r="H64" s="2134"/>
      <c r="I64" s="599">
        <v>105648728751</v>
      </c>
      <c r="J64" s="2080"/>
      <c r="K64" s="1918">
        <f>-2104892000-7883831-2158200000</f>
        <v>-4270975831</v>
      </c>
      <c r="L64" s="1918"/>
      <c r="M64" s="2080"/>
      <c r="N64" s="1918"/>
      <c r="O64" s="1097"/>
      <c r="P64" s="1097"/>
      <c r="Q64" s="599"/>
      <c r="R64" s="599"/>
      <c r="S64" s="599"/>
      <c r="T64" s="1096">
        <f t="shared" si="4"/>
        <v>313602951921</v>
      </c>
      <c r="U64" s="599">
        <v>208107486345</v>
      </c>
      <c r="V64" s="1407">
        <f t="shared" si="5"/>
        <v>313603</v>
      </c>
      <c r="W64" s="599">
        <f t="shared" si="6"/>
        <v>208107</v>
      </c>
      <c r="X64" s="620"/>
      <c r="Y64" s="621"/>
      <c r="Z64" s="1096">
        <f t="shared" si="7"/>
        <v>313602951921</v>
      </c>
      <c r="AA64" s="882">
        <f t="shared" si="8"/>
        <v>313603</v>
      </c>
    </row>
    <row r="65" spans="1:27" ht="27" hidden="1" customHeight="1">
      <c r="A65" s="583">
        <v>3214</v>
      </c>
      <c r="B65" s="583">
        <v>408</v>
      </c>
      <c r="C65" s="581">
        <v>11</v>
      </c>
      <c r="D65" s="1825" t="s">
        <v>409</v>
      </c>
      <c r="E65" s="1138" t="s">
        <v>1669</v>
      </c>
      <c r="F65" s="1826"/>
      <c r="G65" s="1826"/>
      <c r="H65" s="599"/>
      <c r="I65" s="599"/>
      <c r="J65" s="2066"/>
      <c r="K65" s="599">
        <v>779117831026</v>
      </c>
      <c r="L65" s="1918">
        <v>-779117831026</v>
      </c>
      <c r="M65" s="2080"/>
      <c r="N65" s="599">
        <v>35736101026</v>
      </c>
      <c r="O65" s="1918"/>
      <c r="P65" s="1097"/>
      <c r="Q65" s="599"/>
      <c r="R65" s="599"/>
      <c r="S65" s="599"/>
      <c r="T65" s="1096">
        <f t="shared" si="4"/>
        <v>35736101026</v>
      </c>
      <c r="U65" s="599">
        <v>6839363697354</v>
      </c>
      <c r="V65" s="1407">
        <f t="shared" si="5"/>
        <v>35736</v>
      </c>
      <c r="W65" s="599">
        <f t="shared" si="6"/>
        <v>6839364</v>
      </c>
      <c r="X65" s="620"/>
      <c r="Y65" s="621"/>
      <c r="Z65" s="1096">
        <f t="shared" si="7"/>
        <v>35736101026</v>
      </c>
      <c r="AA65" s="882">
        <f t="shared" si="8"/>
        <v>35736</v>
      </c>
    </row>
    <row r="66" spans="1:27" ht="27" hidden="1" customHeight="1">
      <c r="A66" s="583"/>
      <c r="B66" s="583">
        <v>407</v>
      </c>
      <c r="C66" s="581">
        <v>11</v>
      </c>
      <c r="D66" s="582" t="s">
        <v>58</v>
      </c>
      <c r="E66" s="1138" t="s">
        <v>139</v>
      </c>
      <c r="F66" s="1830">
        <v>-2060905283752</v>
      </c>
      <c r="G66" s="1826"/>
      <c r="H66" s="2134">
        <v>2060905283752</v>
      </c>
      <c r="I66" s="599"/>
      <c r="J66" s="2065"/>
      <c r="K66" s="2096"/>
      <c r="L66" s="599"/>
      <c r="M66" s="2065"/>
      <c r="N66" s="599"/>
      <c r="O66" s="1097"/>
      <c r="P66" s="1097"/>
      <c r="Q66" s="599"/>
      <c r="R66" s="599"/>
      <c r="S66" s="599"/>
      <c r="T66" s="1096">
        <f t="shared" si="4"/>
        <v>0</v>
      </c>
      <c r="U66" s="599">
        <v>0</v>
      </c>
      <c r="V66" s="1407">
        <f t="shared" si="5"/>
        <v>0</v>
      </c>
      <c r="W66" s="599">
        <f t="shared" si="6"/>
        <v>0</v>
      </c>
      <c r="X66" s="620"/>
      <c r="Y66" s="621"/>
      <c r="Z66" s="1096">
        <f t="shared" si="7"/>
        <v>0</v>
      </c>
      <c r="AA66" s="882">
        <f t="shared" si="8"/>
        <v>0</v>
      </c>
    </row>
    <row r="67" spans="1:27" ht="27" hidden="1" customHeight="1">
      <c r="A67" s="583"/>
      <c r="B67" s="583">
        <v>407</v>
      </c>
      <c r="C67" s="581">
        <v>11</v>
      </c>
      <c r="D67" s="582" t="s">
        <v>1373</v>
      </c>
      <c r="E67" s="1138" t="s">
        <v>1374</v>
      </c>
      <c r="F67" s="1829">
        <v>1006738331142</v>
      </c>
      <c r="G67" s="1828"/>
      <c r="H67" s="2128">
        <v>-2060905283752</v>
      </c>
      <c r="I67" s="599">
        <v>5516198506</v>
      </c>
      <c r="J67" s="2065">
        <v>-702496454</v>
      </c>
      <c r="K67" s="1918">
        <f>-83552461298+396813856271+832042225984</f>
        <v>1145303620957</v>
      </c>
      <c r="L67" s="599"/>
      <c r="M67" s="2065"/>
      <c r="N67" s="599"/>
      <c r="O67" s="1097"/>
      <c r="P67" s="1097"/>
      <c r="Q67" s="599"/>
      <c r="R67" s="599"/>
      <c r="S67" s="599"/>
      <c r="T67" s="1096">
        <f t="shared" si="4"/>
        <v>95950370399</v>
      </c>
      <c r="U67" s="599">
        <v>85390476991</v>
      </c>
      <c r="V67" s="1407">
        <f>ROUND((T67/1000000),0)</f>
        <v>95950</v>
      </c>
      <c r="W67" s="599">
        <f t="shared" ref="W67:W99" si="9">ROUND((U67/1000000),0)</f>
        <v>85390</v>
      </c>
      <c r="X67" s="620"/>
      <c r="Y67" s="621"/>
      <c r="Z67" s="1096">
        <f t="shared" si="7"/>
        <v>95950370399</v>
      </c>
      <c r="AA67" s="882">
        <f t="shared" si="8"/>
        <v>95950</v>
      </c>
    </row>
    <row r="68" spans="1:27" ht="27" hidden="1" customHeight="1">
      <c r="A68" s="583">
        <v>1</v>
      </c>
      <c r="B68" s="583">
        <v>407</v>
      </c>
      <c r="C68" s="581">
        <v>11</v>
      </c>
      <c r="D68" s="582" t="s">
        <v>2130</v>
      </c>
      <c r="E68" s="1138" t="s">
        <v>2131</v>
      </c>
      <c r="F68" s="1829">
        <v>-41582892307</v>
      </c>
      <c r="G68" s="1828">
        <v>19739658835</v>
      </c>
      <c r="H68" s="2128"/>
      <c r="I68" s="599">
        <v>22293856277</v>
      </c>
      <c r="J68" s="2065"/>
      <c r="K68" s="1918"/>
      <c r="L68" s="599"/>
      <c r="M68" s="2065"/>
      <c r="N68" s="599"/>
      <c r="O68" s="1097"/>
      <c r="P68" s="1097"/>
      <c r="Q68" s="599"/>
      <c r="R68" s="599"/>
      <c r="S68" s="599"/>
      <c r="T68" s="1096">
        <f t="shared" si="4"/>
        <v>450622805</v>
      </c>
      <c r="U68" s="599">
        <v>7440391000</v>
      </c>
      <c r="V68" s="1407">
        <f t="shared" ref="V68:V135" si="10">ROUND((T68/1000000),0)</f>
        <v>451</v>
      </c>
      <c r="W68" s="599">
        <f t="shared" si="9"/>
        <v>7440</v>
      </c>
      <c r="X68" s="620"/>
      <c r="Y68" s="621"/>
      <c r="Z68" s="1096">
        <f t="shared" si="7"/>
        <v>450622805</v>
      </c>
      <c r="AA68" s="882">
        <f t="shared" si="8"/>
        <v>451</v>
      </c>
    </row>
    <row r="69" spans="1:27" ht="27" hidden="1" customHeight="1">
      <c r="A69" s="583"/>
      <c r="B69" s="583">
        <v>429</v>
      </c>
      <c r="C69" s="581">
        <v>11</v>
      </c>
      <c r="D69" s="582" t="s">
        <v>586</v>
      </c>
      <c r="E69" s="1138" t="s">
        <v>587</v>
      </c>
      <c r="F69" s="1829">
        <v>1200347195</v>
      </c>
      <c r="G69" s="1826">
        <v>621625000</v>
      </c>
      <c r="H69" s="1833">
        <v>62162500</v>
      </c>
      <c r="I69" s="1918">
        <v>3855432083</v>
      </c>
      <c r="J69" s="2066">
        <v>14980000</v>
      </c>
      <c r="K69" s="1918">
        <f>43234641638+14013404253+11330877+39968962977+139831574301+2470749489</f>
        <v>239530663535</v>
      </c>
      <c r="L69" s="1918"/>
      <c r="M69" s="2080"/>
      <c r="N69" s="1918">
        <v>12443388856</v>
      </c>
      <c r="O69" s="1097"/>
      <c r="P69" s="1097"/>
      <c r="Q69" s="599"/>
      <c r="R69" s="599"/>
      <c r="S69" s="599"/>
      <c r="T69" s="1096">
        <f t="shared" si="4"/>
        <v>257728599169</v>
      </c>
      <c r="U69" s="599">
        <v>223511388118</v>
      </c>
      <c r="V69" s="1407">
        <f t="shared" si="10"/>
        <v>257729</v>
      </c>
      <c r="W69" s="599">
        <f t="shared" si="9"/>
        <v>223511</v>
      </c>
      <c r="X69" s="620"/>
      <c r="Y69" s="621"/>
      <c r="Z69" s="1096">
        <f t="shared" si="7"/>
        <v>257728599169</v>
      </c>
      <c r="AA69" s="882">
        <f t="shared" si="8"/>
        <v>257729</v>
      </c>
    </row>
    <row r="70" spans="1:27" ht="27" hidden="1" customHeight="1">
      <c r="A70" s="583"/>
      <c r="B70" s="583">
        <v>406</v>
      </c>
      <c r="C70" s="581">
        <v>11</v>
      </c>
      <c r="D70" s="582" t="s">
        <v>73</v>
      </c>
      <c r="E70" s="1138" t="s">
        <v>74</v>
      </c>
      <c r="F70" s="1829">
        <v>27220756719</v>
      </c>
      <c r="G70" s="1833">
        <v>-9376434000</v>
      </c>
      <c r="H70" s="2078">
        <v>-490113300</v>
      </c>
      <c r="I70" s="599">
        <v>-548986820</v>
      </c>
      <c r="J70" s="2066"/>
      <c r="K70" s="599"/>
      <c r="L70" s="599"/>
      <c r="M70" s="2065"/>
      <c r="N70" s="599"/>
      <c r="O70" s="1097"/>
      <c r="P70" s="1097"/>
      <c r="Q70" s="599"/>
      <c r="R70" s="599"/>
      <c r="S70" s="599"/>
      <c r="T70" s="1096">
        <f t="shared" si="4"/>
        <v>16805222599</v>
      </c>
      <c r="U70" s="599">
        <v>68787870615</v>
      </c>
      <c r="V70" s="1407">
        <f t="shared" si="10"/>
        <v>16805</v>
      </c>
      <c r="W70" s="599">
        <f t="shared" si="9"/>
        <v>68788</v>
      </c>
      <c r="X70" s="620"/>
      <c r="Y70" s="621"/>
      <c r="Z70" s="1096">
        <f t="shared" si="7"/>
        <v>16805222599</v>
      </c>
      <c r="AA70" s="882">
        <f t="shared" si="8"/>
        <v>16805</v>
      </c>
    </row>
    <row r="71" spans="1:27" ht="27" hidden="1" customHeight="1">
      <c r="A71" s="583"/>
      <c r="B71" s="583">
        <v>426</v>
      </c>
      <c r="C71" s="581">
        <v>11</v>
      </c>
      <c r="D71" s="582" t="s">
        <v>643</v>
      </c>
      <c r="E71" s="1138" t="s">
        <v>642</v>
      </c>
      <c r="F71" s="1829">
        <v>181690597692</v>
      </c>
      <c r="G71" s="1828"/>
      <c r="H71" s="599"/>
      <c r="I71" s="599"/>
      <c r="J71" s="2065"/>
      <c r="K71" s="1918"/>
      <c r="L71" s="599"/>
      <c r="M71" s="2065"/>
      <c r="N71" s="599"/>
      <c r="O71" s="1097"/>
      <c r="P71" s="1097"/>
      <c r="Q71" s="599"/>
      <c r="R71" s="599"/>
      <c r="S71" s="599"/>
      <c r="T71" s="1096">
        <f t="shared" ref="T71:T138" si="11">SUM(F71:S71)</f>
        <v>181690597692</v>
      </c>
      <c r="U71" s="599">
        <v>59085880382</v>
      </c>
      <c r="V71" s="1407">
        <f t="shared" si="10"/>
        <v>181691</v>
      </c>
      <c r="W71" s="599">
        <f t="shared" si="9"/>
        <v>59086</v>
      </c>
      <c r="X71" s="620"/>
      <c r="Y71" s="621"/>
      <c r="Z71" s="1096">
        <f t="shared" ref="Z71:Z106" si="12">T71+Y71-X71</f>
        <v>181690597692</v>
      </c>
      <c r="AA71" s="882">
        <f t="shared" ref="AA71:AA106" si="13">ROUND((Z71/1000000),0)</f>
        <v>181691</v>
      </c>
    </row>
    <row r="72" spans="1:27" ht="27" hidden="1" customHeight="1">
      <c r="A72" s="583"/>
      <c r="B72" s="583">
        <v>1018</v>
      </c>
      <c r="C72" s="581">
        <v>17</v>
      </c>
      <c r="D72" s="582" t="s">
        <v>515</v>
      </c>
      <c r="E72" s="1138" t="s">
        <v>516</v>
      </c>
      <c r="F72" s="599">
        <v>-44173000000</v>
      </c>
      <c r="G72" s="1826"/>
      <c r="H72" s="599"/>
      <c r="I72" s="599"/>
      <c r="J72" s="2066"/>
      <c r="K72" s="599"/>
      <c r="L72" s="599"/>
      <c r="M72" s="2065"/>
      <c r="N72" s="599"/>
      <c r="O72" s="1097"/>
      <c r="P72" s="1097"/>
      <c r="Q72" s="599"/>
      <c r="R72" s="599"/>
      <c r="S72" s="599"/>
      <c r="T72" s="1096">
        <f t="shared" si="11"/>
        <v>-44173000000</v>
      </c>
      <c r="U72" s="599">
        <v>-44173000000</v>
      </c>
      <c r="V72" s="1407">
        <f t="shared" si="10"/>
        <v>-44173</v>
      </c>
      <c r="W72" s="599">
        <f t="shared" si="9"/>
        <v>-44173</v>
      </c>
      <c r="X72" s="620"/>
      <c r="Y72" s="621"/>
      <c r="Z72" s="1096">
        <f t="shared" si="12"/>
        <v>-44173000000</v>
      </c>
      <c r="AA72" s="882">
        <f t="shared" si="13"/>
        <v>-44173</v>
      </c>
    </row>
    <row r="73" spans="1:27" ht="27" hidden="1" customHeight="1">
      <c r="A73" s="583"/>
      <c r="B73" s="583">
        <v>1032</v>
      </c>
      <c r="C73" s="581">
        <v>17</v>
      </c>
      <c r="D73" s="582" t="s">
        <v>445</v>
      </c>
      <c r="E73" s="1138" t="s">
        <v>1597</v>
      </c>
      <c r="F73" s="1829">
        <v>27907107190</v>
      </c>
      <c r="G73" s="1828">
        <v>-32112799200</v>
      </c>
      <c r="H73" s="599">
        <v>1526267010</v>
      </c>
      <c r="I73" s="1918"/>
      <c r="J73" s="2065"/>
      <c r="K73" s="2096"/>
      <c r="L73" s="599"/>
      <c r="M73" s="2065"/>
      <c r="N73" s="599"/>
      <c r="O73" s="1097"/>
      <c r="P73" s="1097"/>
      <c r="Q73" s="599"/>
      <c r="R73" s="599"/>
      <c r="S73" s="599"/>
      <c r="T73" s="1096">
        <f t="shared" si="11"/>
        <v>-2679425000</v>
      </c>
      <c r="U73" s="599">
        <v>-16649745001</v>
      </c>
      <c r="V73" s="1407">
        <f t="shared" si="10"/>
        <v>-2679</v>
      </c>
      <c r="W73" s="599">
        <f t="shared" si="9"/>
        <v>-16650</v>
      </c>
      <c r="X73" s="620"/>
      <c r="Y73" s="621"/>
      <c r="Z73" s="1096">
        <f t="shared" si="12"/>
        <v>-2679425000</v>
      </c>
      <c r="AA73" s="882">
        <f t="shared" si="13"/>
        <v>-2679</v>
      </c>
    </row>
    <row r="74" spans="1:27" ht="27" hidden="1" customHeight="1">
      <c r="A74" s="583"/>
      <c r="B74" s="583">
        <v>422</v>
      </c>
      <c r="C74" s="581">
        <v>11</v>
      </c>
      <c r="D74" s="582" t="s">
        <v>201</v>
      </c>
      <c r="E74" s="1138" t="s">
        <v>2144</v>
      </c>
      <c r="F74" s="599">
        <v>41065829500</v>
      </c>
      <c r="G74" s="1826"/>
      <c r="H74" s="599"/>
      <c r="I74" s="599"/>
      <c r="J74" s="2066"/>
      <c r="K74" s="599"/>
      <c r="L74" s="599"/>
      <c r="M74" s="2065"/>
      <c r="N74" s="599"/>
      <c r="O74" s="1097"/>
      <c r="P74" s="1097"/>
      <c r="Q74" s="599"/>
      <c r="R74" s="599"/>
      <c r="S74" s="599"/>
      <c r="T74" s="1096">
        <f t="shared" si="11"/>
        <v>41065829500</v>
      </c>
      <c r="U74" s="599">
        <v>41065829500</v>
      </c>
      <c r="V74" s="1407">
        <f t="shared" si="10"/>
        <v>41066</v>
      </c>
      <c r="W74" s="599">
        <f t="shared" si="9"/>
        <v>41066</v>
      </c>
      <c r="X74" s="620"/>
      <c r="Y74" s="621"/>
      <c r="Z74" s="1096">
        <f t="shared" si="12"/>
        <v>41065829500</v>
      </c>
      <c r="AA74" s="882">
        <f t="shared" si="13"/>
        <v>41066</v>
      </c>
    </row>
    <row r="75" spans="1:27" ht="27" hidden="1" customHeight="1">
      <c r="A75" s="583"/>
      <c r="B75" s="583">
        <v>1018</v>
      </c>
      <c r="C75" s="581">
        <v>17</v>
      </c>
      <c r="D75" s="582" t="s">
        <v>894</v>
      </c>
      <c r="E75" s="1138" t="s">
        <v>895</v>
      </c>
      <c r="F75" s="1829">
        <v>-155473639417</v>
      </c>
      <c r="G75" s="1833"/>
      <c r="H75" s="1833">
        <v>39539140000</v>
      </c>
      <c r="I75" s="599"/>
      <c r="J75" s="2066"/>
      <c r="K75" s="599"/>
      <c r="L75" s="599"/>
      <c r="M75" s="2065"/>
      <c r="N75" s="599"/>
      <c r="O75" s="1097"/>
      <c r="P75" s="1097"/>
      <c r="Q75" s="599"/>
      <c r="R75" s="599"/>
      <c r="S75" s="599"/>
      <c r="T75" s="1096">
        <f t="shared" si="11"/>
        <v>-115934499417</v>
      </c>
      <c r="U75" s="599">
        <v>-4944283205</v>
      </c>
      <c r="V75" s="1407">
        <f t="shared" si="10"/>
        <v>-115934</v>
      </c>
      <c r="W75" s="599">
        <f t="shared" si="9"/>
        <v>-4944</v>
      </c>
      <c r="X75" s="620"/>
      <c r="Y75" s="621"/>
      <c r="Z75" s="1096">
        <f t="shared" si="12"/>
        <v>-115934499417</v>
      </c>
      <c r="AA75" s="882">
        <f t="shared" si="13"/>
        <v>-115934</v>
      </c>
    </row>
    <row r="76" spans="1:27" ht="27" hidden="1" customHeight="1">
      <c r="A76" s="583"/>
      <c r="B76" s="583">
        <v>406</v>
      </c>
      <c r="C76" s="581">
        <v>11</v>
      </c>
      <c r="D76" s="582" t="s">
        <v>503</v>
      </c>
      <c r="E76" s="1138" t="s">
        <v>504</v>
      </c>
      <c r="F76" s="1830">
        <v>77909588772</v>
      </c>
      <c r="G76" s="1826">
        <v>31189131001</v>
      </c>
      <c r="H76" s="2129">
        <v>21000000</v>
      </c>
      <c r="I76" s="599">
        <v>3242205916</v>
      </c>
      <c r="J76" s="2080"/>
      <c r="K76" s="1918"/>
      <c r="L76" s="599"/>
      <c r="M76" s="2065"/>
      <c r="N76" s="599"/>
      <c r="O76" s="1097"/>
      <c r="P76" s="1097"/>
      <c r="Q76" s="599"/>
      <c r="R76" s="599"/>
      <c r="S76" s="599"/>
      <c r="T76" s="1096">
        <f t="shared" si="11"/>
        <v>112361925689</v>
      </c>
      <c r="U76" s="599">
        <v>35885757493</v>
      </c>
      <c r="V76" s="1407">
        <f t="shared" si="10"/>
        <v>112362</v>
      </c>
      <c r="W76" s="599">
        <f t="shared" si="9"/>
        <v>35886</v>
      </c>
      <c r="X76" s="620"/>
      <c r="Y76" s="621"/>
      <c r="Z76" s="1096">
        <f t="shared" si="12"/>
        <v>112361925689</v>
      </c>
      <c r="AA76" s="882">
        <f t="shared" si="13"/>
        <v>112362</v>
      </c>
    </row>
    <row r="77" spans="1:27" ht="27" hidden="1" customHeight="1">
      <c r="A77" s="583"/>
      <c r="B77" s="583">
        <v>1032</v>
      </c>
      <c r="C77" s="581">
        <v>17</v>
      </c>
      <c r="D77" s="582" t="s">
        <v>298</v>
      </c>
      <c r="E77" s="1138" t="s">
        <v>1594</v>
      </c>
      <c r="F77" s="1830">
        <v>-4075614506</v>
      </c>
      <c r="G77" s="1826"/>
      <c r="H77" s="599"/>
      <c r="I77" s="599"/>
      <c r="J77" s="2065"/>
      <c r="K77" s="599"/>
      <c r="L77" s="599"/>
      <c r="M77" s="2065"/>
      <c r="N77" s="599"/>
      <c r="O77" s="1097"/>
      <c r="P77" s="1097"/>
      <c r="Q77" s="599"/>
      <c r="R77" s="599"/>
      <c r="S77" s="599"/>
      <c r="T77" s="1096">
        <f t="shared" si="11"/>
        <v>-4075614506</v>
      </c>
      <c r="U77" s="599">
        <v>-4075614506</v>
      </c>
      <c r="V77" s="1407">
        <f t="shared" si="10"/>
        <v>-4076</v>
      </c>
      <c r="W77" s="599">
        <f t="shared" si="9"/>
        <v>-4076</v>
      </c>
      <c r="X77" s="620"/>
      <c r="Y77" s="621"/>
      <c r="Z77" s="1096">
        <f t="shared" si="12"/>
        <v>-4075614506</v>
      </c>
      <c r="AA77" s="882">
        <f t="shared" si="13"/>
        <v>-4076</v>
      </c>
    </row>
    <row r="78" spans="1:27" ht="27" hidden="1" customHeight="1">
      <c r="A78" s="583"/>
      <c r="B78" s="583">
        <v>1018</v>
      </c>
      <c r="C78" s="581">
        <v>17</v>
      </c>
      <c r="D78" s="582" t="s">
        <v>1190</v>
      </c>
      <c r="E78" s="1138" t="s">
        <v>1191</v>
      </c>
      <c r="F78" s="1830">
        <v>-2349695595</v>
      </c>
      <c r="G78" s="1828"/>
      <c r="H78" s="2128"/>
      <c r="I78" s="599"/>
      <c r="J78" s="2065"/>
      <c r="K78" s="599"/>
      <c r="L78" s="599"/>
      <c r="M78" s="2065"/>
      <c r="N78" s="599"/>
      <c r="O78" s="1097"/>
      <c r="P78" s="1097"/>
      <c r="Q78" s="599"/>
      <c r="R78" s="599"/>
      <c r="S78" s="599"/>
      <c r="T78" s="1096">
        <f t="shared" si="11"/>
        <v>-2349695595</v>
      </c>
      <c r="U78" s="599">
        <v>-1794022422</v>
      </c>
      <c r="V78" s="1407">
        <f t="shared" si="10"/>
        <v>-2350</v>
      </c>
      <c r="W78" s="599">
        <f t="shared" si="9"/>
        <v>-1794</v>
      </c>
      <c r="X78" s="620"/>
      <c r="Y78" s="621"/>
      <c r="Z78" s="1096">
        <f t="shared" si="12"/>
        <v>-2349695595</v>
      </c>
      <c r="AA78" s="882">
        <f t="shared" si="13"/>
        <v>-2350</v>
      </c>
    </row>
    <row r="79" spans="1:27" ht="27" hidden="1" customHeight="1">
      <c r="A79" s="583"/>
      <c r="B79" s="583">
        <v>427</v>
      </c>
      <c r="C79" s="581">
        <v>11</v>
      </c>
      <c r="D79" s="582" t="s">
        <v>336</v>
      </c>
      <c r="E79" s="1138" t="s">
        <v>656</v>
      </c>
      <c r="F79" s="1829">
        <v>25608931212</v>
      </c>
      <c r="G79" s="1828"/>
      <c r="H79" s="2128"/>
      <c r="I79" s="599"/>
      <c r="J79" s="2065"/>
      <c r="K79" s="599"/>
      <c r="L79" s="599"/>
      <c r="M79" s="2065"/>
      <c r="N79" s="599"/>
      <c r="O79" s="1097"/>
      <c r="P79" s="1097"/>
      <c r="Q79" s="599"/>
      <c r="R79" s="599"/>
      <c r="S79" s="599"/>
      <c r="T79" s="1096">
        <f t="shared" si="11"/>
        <v>25608931212</v>
      </c>
      <c r="U79" s="599">
        <v>26453740382</v>
      </c>
      <c r="V79" s="1407">
        <f t="shared" si="10"/>
        <v>25609</v>
      </c>
      <c r="W79" s="599">
        <f t="shared" si="9"/>
        <v>26454</v>
      </c>
      <c r="X79" s="620"/>
      <c r="Y79" s="621"/>
      <c r="Z79" s="1096">
        <f t="shared" si="12"/>
        <v>25608931212</v>
      </c>
      <c r="AA79" s="882">
        <f t="shared" si="13"/>
        <v>25609</v>
      </c>
    </row>
    <row r="80" spans="1:27" ht="27" hidden="1" customHeight="1">
      <c r="A80" s="583"/>
      <c r="B80" s="583">
        <v>501</v>
      </c>
      <c r="C80" s="581">
        <v>13</v>
      </c>
      <c r="D80" s="582" t="s">
        <v>464</v>
      </c>
      <c r="E80" s="1138" t="s">
        <v>311</v>
      </c>
      <c r="F80" s="1830">
        <v>-1149139997</v>
      </c>
      <c r="G80" s="1826"/>
      <c r="H80" s="599"/>
      <c r="I80" s="599"/>
      <c r="J80" s="2065"/>
      <c r="K80" s="599"/>
      <c r="L80" s="599"/>
      <c r="M80" s="2065"/>
      <c r="N80" s="599"/>
      <c r="O80" s="1097"/>
      <c r="P80" s="1097"/>
      <c r="Q80" s="599"/>
      <c r="R80" s="599"/>
      <c r="S80" s="599"/>
      <c r="T80" s="1096">
        <f t="shared" si="11"/>
        <v>-1149139997</v>
      </c>
      <c r="U80" s="599">
        <v>-445591933</v>
      </c>
      <c r="V80" s="1407">
        <f t="shared" si="10"/>
        <v>-1149</v>
      </c>
      <c r="W80" s="599">
        <f t="shared" si="9"/>
        <v>-446</v>
      </c>
      <c r="X80" s="620"/>
      <c r="Y80" s="621"/>
      <c r="Z80" s="1096">
        <f t="shared" si="12"/>
        <v>-1149139997</v>
      </c>
      <c r="AA80" s="882">
        <f t="shared" si="13"/>
        <v>-1149</v>
      </c>
    </row>
    <row r="81" spans="1:27" ht="27" hidden="1" customHeight="1">
      <c r="A81" s="583"/>
      <c r="B81" s="583">
        <v>406</v>
      </c>
      <c r="C81" s="581">
        <v>11</v>
      </c>
      <c r="D81" s="1825" t="s">
        <v>293</v>
      </c>
      <c r="E81" s="1138" t="s">
        <v>467</v>
      </c>
      <c r="F81" s="1826">
        <v>13850793871</v>
      </c>
      <c r="G81" s="1826">
        <v>5547402173</v>
      </c>
      <c r="H81" s="599"/>
      <c r="I81" s="599"/>
      <c r="J81" s="2065"/>
      <c r="K81" s="599"/>
      <c r="L81" s="599"/>
      <c r="M81" s="2065"/>
      <c r="N81" s="599"/>
      <c r="O81" s="1097"/>
      <c r="P81" s="1097"/>
      <c r="Q81" s="599"/>
      <c r="R81" s="599"/>
      <c r="S81" s="599"/>
      <c r="T81" s="1096">
        <f t="shared" si="11"/>
        <v>19398196044</v>
      </c>
      <c r="U81" s="599">
        <v>13138218590</v>
      </c>
      <c r="V81" s="1407">
        <f t="shared" si="10"/>
        <v>19398</v>
      </c>
      <c r="W81" s="599">
        <f t="shared" si="9"/>
        <v>13138</v>
      </c>
      <c r="X81" s="620"/>
      <c r="Y81" s="621"/>
      <c r="Z81" s="1096">
        <f t="shared" si="12"/>
        <v>19398196044</v>
      </c>
      <c r="AA81" s="882">
        <f t="shared" si="13"/>
        <v>19398</v>
      </c>
    </row>
    <row r="82" spans="1:27" ht="27" hidden="1" customHeight="1">
      <c r="A82" s="583"/>
      <c r="B82" s="583">
        <v>406</v>
      </c>
      <c r="C82" s="581">
        <v>11</v>
      </c>
      <c r="D82" s="582" t="s">
        <v>63</v>
      </c>
      <c r="E82" s="1138" t="s">
        <v>559</v>
      </c>
      <c r="F82" s="1829">
        <v>62691158672</v>
      </c>
      <c r="G82" s="1826"/>
      <c r="H82" s="2132"/>
      <c r="I82" s="599"/>
      <c r="J82" s="2066"/>
      <c r="K82" s="599"/>
      <c r="L82" s="599"/>
      <c r="M82" s="2065"/>
      <c r="N82" s="599"/>
      <c r="O82" s="1097"/>
      <c r="P82" s="1097"/>
      <c r="Q82" s="599"/>
      <c r="R82" s="599"/>
      <c r="S82" s="599"/>
      <c r="T82" s="1096">
        <f t="shared" si="11"/>
        <v>62691158672</v>
      </c>
      <c r="U82" s="599">
        <v>8558999922</v>
      </c>
      <c r="V82" s="1407">
        <f t="shared" si="10"/>
        <v>62691</v>
      </c>
      <c r="W82" s="599">
        <f t="shared" si="9"/>
        <v>8559</v>
      </c>
      <c r="X82" s="620"/>
      <c r="Y82" s="621"/>
      <c r="Z82" s="1096">
        <f t="shared" si="12"/>
        <v>62691158672</v>
      </c>
      <c r="AA82" s="882">
        <f t="shared" si="13"/>
        <v>62691</v>
      </c>
    </row>
    <row r="83" spans="1:27" ht="27" hidden="1" customHeight="1">
      <c r="A83" s="583"/>
      <c r="B83" s="583">
        <v>428</v>
      </c>
      <c r="C83" s="581">
        <v>11</v>
      </c>
      <c r="D83" s="582" t="s">
        <v>52</v>
      </c>
      <c r="E83" s="1138" t="s">
        <v>206</v>
      </c>
      <c r="F83" s="1829">
        <v>18756924358</v>
      </c>
      <c r="G83" s="1828">
        <v>1651005839</v>
      </c>
      <c r="H83" s="599"/>
      <c r="I83" s="599">
        <v>521532423</v>
      </c>
      <c r="J83" s="2065"/>
      <c r="K83" s="599"/>
      <c r="L83" s="599"/>
      <c r="M83" s="2065"/>
      <c r="N83" s="599"/>
      <c r="O83" s="1097"/>
      <c r="P83" s="1097"/>
      <c r="Q83" s="599"/>
      <c r="R83" s="599"/>
      <c r="S83" s="599"/>
      <c r="T83" s="1096">
        <f t="shared" si="11"/>
        <v>20929462620</v>
      </c>
      <c r="U83" s="599">
        <v>8061964437</v>
      </c>
      <c r="V83" s="1407">
        <f t="shared" si="10"/>
        <v>20929</v>
      </c>
      <c r="W83" s="599">
        <f t="shared" si="9"/>
        <v>8062</v>
      </c>
      <c r="X83" s="620"/>
      <c r="Y83" s="621"/>
      <c r="Z83" s="1096">
        <f t="shared" si="12"/>
        <v>20929462620</v>
      </c>
      <c r="AA83" s="882">
        <f t="shared" si="13"/>
        <v>20929</v>
      </c>
    </row>
    <row r="84" spans="1:27" ht="27" hidden="1" customHeight="1">
      <c r="A84" s="583"/>
      <c r="B84" s="583">
        <v>1018</v>
      </c>
      <c r="C84" s="581">
        <v>17</v>
      </c>
      <c r="D84" s="582" t="s">
        <v>605</v>
      </c>
      <c r="E84" s="1138" t="s">
        <v>227</v>
      </c>
      <c r="F84" s="599">
        <v>-282948731</v>
      </c>
      <c r="G84" s="1826"/>
      <c r="H84" s="2096"/>
      <c r="I84" s="599"/>
      <c r="J84" s="2066"/>
      <c r="K84" s="2065"/>
      <c r="L84" s="599"/>
      <c r="M84" s="2065"/>
      <c r="N84" s="599"/>
      <c r="O84" s="1097"/>
      <c r="P84" s="1097"/>
      <c r="Q84" s="599"/>
      <c r="R84" s="599"/>
      <c r="S84" s="599"/>
      <c r="T84" s="1096">
        <f t="shared" si="11"/>
        <v>-282948731</v>
      </c>
      <c r="U84" s="599">
        <v>-282948731</v>
      </c>
      <c r="V84" s="1407">
        <f t="shared" si="10"/>
        <v>-283</v>
      </c>
      <c r="W84" s="599">
        <f t="shared" si="9"/>
        <v>-283</v>
      </c>
      <c r="X84" s="620"/>
      <c r="Y84" s="621"/>
      <c r="Z84" s="1096">
        <f t="shared" si="12"/>
        <v>-282948731</v>
      </c>
      <c r="AA84" s="882">
        <f t="shared" si="13"/>
        <v>-283</v>
      </c>
    </row>
    <row r="85" spans="1:27" ht="27" hidden="1" customHeight="1">
      <c r="A85" s="583"/>
      <c r="B85" s="583">
        <v>1018</v>
      </c>
      <c r="C85" s="581">
        <v>17</v>
      </c>
      <c r="D85" s="582" t="s">
        <v>1194</v>
      </c>
      <c r="E85" s="1138" t="s">
        <v>1195</v>
      </c>
      <c r="F85" s="1830">
        <v>-41329511</v>
      </c>
      <c r="G85" s="1826"/>
      <c r="H85" s="2096"/>
      <c r="I85" s="599"/>
      <c r="J85" s="2065"/>
      <c r="K85" s="2065"/>
      <c r="L85" s="599"/>
      <c r="M85" s="2065"/>
      <c r="N85" s="599"/>
      <c r="O85" s="1097"/>
      <c r="P85" s="1097"/>
      <c r="Q85" s="599"/>
      <c r="R85" s="599"/>
      <c r="S85" s="599"/>
      <c r="T85" s="1096">
        <f t="shared" si="11"/>
        <v>-41329511</v>
      </c>
      <c r="U85" s="599">
        <v>-19279511</v>
      </c>
      <c r="V85" s="1407">
        <f t="shared" si="10"/>
        <v>-41</v>
      </c>
      <c r="W85" s="599">
        <f t="shared" si="9"/>
        <v>-19</v>
      </c>
      <c r="X85" s="620"/>
      <c r="Y85" s="621"/>
      <c r="Z85" s="1096">
        <f t="shared" si="12"/>
        <v>-41329511</v>
      </c>
      <c r="AA85" s="882">
        <f t="shared" si="13"/>
        <v>-41</v>
      </c>
    </row>
    <row r="86" spans="1:27" ht="27" hidden="1" customHeight="1">
      <c r="A86" s="583"/>
      <c r="B86" s="583">
        <v>1032</v>
      </c>
      <c r="C86" s="581">
        <v>17</v>
      </c>
      <c r="D86" s="582" t="s">
        <v>296</v>
      </c>
      <c r="E86" s="1138" t="s">
        <v>1593</v>
      </c>
      <c r="F86" s="1830">
        <v>-12072096</v>
      </c>
      <c r="G86" s="1826"/>
      <c r="H86" s="2096"/>
      <c r="I86" s="599"/>
      <c r="J86" s="2065"/>
      <c r="K86" s="599"/>
      <c r="L86" s="2096"/>
      <c r="M86" s="2096"/>
      <c r="N86" s="599"/>
      <c r="O86" s="1097"/>
      <c r="P86" s="1097"/>
      <c r="Q86" s="599"/>
      <c r="R86" s="599"/>
      <c r="S86" s="599"/>
      <c r="T86" s="1096">
        <f t="shared" si="11"/>
        <v>-12072096</v>
      </c>
      <c r="U86" s="599">
        <v>-12072096</v>
      </c>
      <c r="V86" s="1407">
        <f t="shared" si="10"/>
        <v>-12</v>
      </c>
      <c r="W86" s="599">
        <f t="shared" si="9"/>
        <v>-12</v>
      </c>
      <c r="X86" s="620"/>
      <c r="Y86" s="621"/>
      <c r="Z86" s="1096">
        <f t="shared" si="12"/>
        <v>-12072096</v>
      </c>
      <c r="AA86" s="882">
        <f t="shared" si="13"/>
        <v>-12</v>
      </c>
    </row>
    <row r="87" spans="1:27" ht="27" hidden="1" customHeight="1">
      <c r="A87" s="583"/>
      <c r="B87" s="583">
        <v>428</v>
      </c>
      <c r="C87" s="581">
        <v>11</v>
      </c>
      <c r="D87" s="582" t="s">
        <v>254</v>
      </c>
      <c r="E87" s="1138" t="s">
        <v>959</v>
      </c>
      <c r="F87" s="1829">
        <v>18797336432</v>
      </c>
      <c r="G87" s="1826"/>
      <c r="H87" s="2128"/>
      <c r="I87" s="599"/>
      <c r="J87" s="2065"/>
      <c r="K87" s="599"/>
      <c r="L87" s="599"/>
      <c r="M87" s="2065"/>
      <c r="N87" s="599"/>
      <c r="O87" s="1097"/>
      <c r="P87" s="1097"/>
      <c r="Q87" s="599"/>
      <c r="R87" s="599"/>
      <c r="S87" s="599"/>
      <c r="T87" s="1096">
        <f t="shared" si="11"/>
        <v>18797336432</v>
      </c>
      <c r="U87" s="599">
        <v>8027180380</v>
      </c>
      <c r="V87" s="1407">
        <f t="shared" si="10"/>
        <v>18797</v>
      </c>
      <c r="W87" s="599">
        <f t="shared" si="9"/>
        <v>8027</v>
      </c>
      <c r="X87" s="620"/>
      <c r="Y87" s="621"/>
      <c r="Z87" s="1096">
        <f t="shared" si="12"/>
        <v>18797336432</v>
      </c>
      <c r="AA87" s="882">
        <f t="shared" si="13"/>
        <v>18797</v>
      </c>
    </row>
    <row r="88" spans="1:27" ht="27" hidden="1" customHeight="1">
      <c r="A88" s="583"/>
      <c r="B88" s="583">
        <v>428</v>
      </c>
      <c r="C88" s="581">
        <v>11</v>
      </c>
      <c r="D88" s="582" t="s">
        <v>662</v>
      </c>
      <c r="E88" s="1138" t="s">
        <v>989</v>
      </c>
      <c r="F88" s="1829">
        <v>19932044735</v>
      </c>
      <c r="G88" s="1826">
        <v>96030588</v>
      </c>
      <c r="H88" s="2128">
        <v>-221287963</v>
      </c>
      <c r="I88" s="599"/>
      <c r="J88" s="2065"/>
      <c r="K88" s="1918"/>
      <c r="L88" s="1918"/>
      <c r="M88" s="2080"/>
      <c r="N88" s="599"/>
      <c r="O88" s="1918"/>
      <c r="P88" s="1097"/>
      <c r="Q88" s="599"/>
      <c r="R88" s="599"/>
      <c r="S88" s="599"/>
      <c r="T88" s="1096">
        <f t="shared" si="11"/>
        <v>19806787360</v>
      </c>
      <c r="U88" s="599">
        <v>7221309190</v>
      </c>
      <c r="V88" s="1407">
        <f t="shared" si="10"/>
        <v>19807</v>
      </c>
      <c r="W88" s="599">
        <f t="shared" si="9"/>
        <v>7221</v>
      </c>
      <c r="X88" s="620"/>
      <c r="Y88" s="621"/>
      <c r="Z88" s="1096">
        <f t="shared" si="12"/>
        <v>19806787360</v>
      </c>
      <c r="AA88" s="882">
        <f t="shared" si="13"/>
        <v>19807</v>
      </c>
    </row>
    <row r="89" spans="1:27" ht="27" hidden="1" customHeight="1">
      <c r="A89" s="583"/>
      <c r="B89" s="583">
        <v>406</v>
      </c>
      <c r="C89" s="581">
        <v>11</v>
      </c>
      <c r="D89" s="582" t="s">
        <v>75</v>
      </c>
      <c r="E89" s="1138" t="s">
        <v>406</v>
      </c>
      <c r="F89" s="599">
        <v>4743111468</v>
      </c>
      <c r="G89" s="1826"/>
      <c r="H89" s="599"/>
      <c r="I89" s="599"/>
      <c r="J89" s="2066"/>
      <c r="K89" s="599"/>
      <c r="L89" s="599"/>
      <c r="M89" s="2065"/>
      <c r="N89" s="599"/>
      <c r="O89" s="1097"/>
      <c r="P89" s="1097"/>
      <c r="Q89" s="599"/>
      <c r="R89" s="599"/>
      <c r="S89" s="599"/>
      <c r="T89" s="1096">
        <f t="shared" si="11"/>
        <v>4743111468</v>
      </c>
      <c r="U89" s="599">
        <v>4743111468</v>
      </c>
      <c r="V89" s="1407">
        <f t="shared" si="10"/>
        <v>4743</v>
      </c>
      <c r="W89" s="599">
        <f t="shared" si="9"/>
        <v>4743</v>
      </c>
      <c r="X89" s="620"/>
      <c r="Y89" s="621"/>
      <c r="Z89" s="1096">
        <f t="shared" si="12"/>
        <v>4743111468</v>
      </c>
      <c r="AA89" s="882">
        <f t="shared" si="13"/>
        <v>4743</v>
      </c>
    </row>
    <row r="90" spans="1:27" ht="27" hidden="1" customHeight="1">
      <c r="A90" s="2062"/>
      <c r="B90" s="2062">
        <v>428</v>
      </c>
      <c r="C90" s="2063">
        <v>11</v>
      </c>
      <c r="D90" s="582" t="s">
        <v>582</v>
      </c>
      <c r="E90" s="2074" t="s">
        <v>583</v>
      </c>
      <c r="F90" s="2076">
        <v>5886743692</v>
      </c>
      <c r="G90" s="1828">
        <v>172278239</v>
      </c>
      <c r="H90" s="2128"/>
      <c r="I90" s="599"/>
      <c r="J90" s="2065"/>
      <c r="K90" s="1918"/>
      <c r="L90" s="599"/>
      <c r="M90" s="2065"/>
      <c r="N90" s="2065"/>
      <c r="O90" s="2066"/>
      <c r="P90" s="2066"/>
      <c r="Q90" s="2065"/>
      <c r="R90" s="2065"/>
      <c r="S90" s="2065"/>
      <c r="T90" s="1096">
        <f t="shared" si="11"/>
        <v>6059021931</v>
      </c>
      <c r="U90" s="2065">
        <v>3085471570</v>
      </c>
      <c r="V90" s="1407">
        <f t="shared" si="10"/>
        <v>6059</v>
      </c>
      <c r="W90" s="599">
        <f t="shared" si="9"/>
        <v>3085</v>
      </c>
      <c r="X90" s="2067"/>
      <c r="Y90" s="2068"/>
      <c r="Z90" s="2069">
        <f t="shared" si="12"/>
        <v>6059021931</v>
      </c>
      <c r="AA90" s="2070">
        <f t="shared" si="13"/>
        <v>6059</v>
      </c>
    </row>
    <row r="91" spans="1:27" ht="27" hidden="1" customHeight="1">
      <c r="A91" s="583"/>
      <c r="B91" s="583">
        <v>1301</v>
      </c>
      <c r="C91" s="581">
        <v>18</v>
      </c>
      <c r="D91" s="582" t="s">
        <v>9</v>
      </c>
      <c r="E91" s="1138" t="s">
        <v>590</v>
      </c>
      <c r="F91" s="1830">
        <v>-9695181191722</v>
      </c>
      <c r="G91" s="1826">
        <v>-229071951964</v>
      </c>
      <c r="H91" s="1830">
        <v>39711837618</v>
      </c>
      <c r="I91" s="599">
        <v>1266391966</v>
      </c>
      <c r="J91" s="2065">
        <v>-900955140</v>
      </c>
      <c r="K91" s="599"/>
      <c r="L91" s="599"/>
      <c r="M91" s="2065"/>
      <c r="N91" s="599"/>
      <c r="O91" s="1097"/>
      <c r="P91" s="1097"/>
      <c r="Q91" s="599"/>
      <c r="R91" s="599"/>
      <c r="S91" s="599"/>
      <c r="T91" s="1981">
        <f t="shared" si="11"/>
        <v>-9884175869242</v>
      </c>
      <c r="U91" s="599">
        <v>-9163508079390</v>
      </c>
      <c r="V91" s="1407">
        <f t="shared" si="10"/>
        <v>-9884176</v>
      </c>
      <c r="W91" s="599">
        <f t="shared" si="9"/>
        <v>-9163508</v>
      </c>
      <c r="X91" s="620"/>
      <c r="Y91" s="621"/>
      <c r="Z91" s="1096">
        <f t="shared" si="12"/>
        <v>-9884175869242</v>
      </c>
      <c r="AA91" s="882">
        <f t="shared" si="13"/>
        <v>-9884176</v>
      </c>
    </row>
    <row r="92" spans="1:27" ht="27" hidden="1" customHeight="1">
      <c r="A92" s="583"/>
      <c r="B92" s="583">
        <v>1018</v>
      </c>
      <c r="C92" s="581">
        <v>17</v>
      </c>
      <c r="D92" s="582" t="s">
        <v>501</v>
      </c>
      <c r="E92" s="1138" t="s">
        <v>695</v>
      </c>
      <c r="F92" s="599">
        <v>-10000000</v>
      </c>
      <c r="G92" s="1826"/>
      <c r="H92" s="599"/>
      <c r="I92" s="599"/>
      <c r="J92" s="2066"/>
      <c r="K92" s="599"/>
      <c r="L92" s="599"/>
      <c r="M92" s="2065"/>
      <c r="N92" s="599"/>
      <c r="O92" s="1097"/>
      <c r="P92" s="1097"/>
      <c r="Q92" s="599"/>
      <c r="R92" s="599"/>
      <c r="S92" s="599"/>
      <c r="T92" s="1096">
        <f t="shared" si="11"/>
        <v>-10000000</v>
      </c>
      <c r="U92" s="599">
        <v>-10000000</v>
      </c>
      <c r="V92" s="1407">
        <f t="shared" si="10"/>
        <v>-10</v>
      </c>
      <c r="W92" s="599">
        <f t="shared" si="9"/>
        <v>-10</v>
      </c>
      <c r="X92" s="620"/>
      <c r="Y92" s="621"/>
      <c r="Z92" s="1096">
        <f t="shared" si="12"/>
        <v>-10000000</v>
      </c>
      <c r="AA92" s="882">
        <f t="shared" si="13"/>
        <v>-10</v>
      </c>
    </row>
    <row r="93" spans="1:27" ht="27" hidden="1" customHeight="1">
      <c r="A93" s="2062">
        <v>3214</v>
      </c>
      <c r="B93" s="2062">
        <v>1018</v>
      </c>
      <c r="C93" s="2063">
        <v>17</v>
      </c>
      <c r="D93" s="2073" t="s">
        <v>501</v>
      </c>
      <c r="E93" s="2074" t="s">
        <v>695</v>
      </c>
      <c r="F93" s="2065"/>
      <c r="G93" s="2075"/>
      <c r="H93" s="2065"/>
      <c r="I93" s="2065"/>
      <c r="J93" s="2066"/>
      <c r="K93" s="2065">
        <v>-7946110209</v>
      </c>
      <c r="L93" s="2065"/>
      <c r="M93" s="2065"/>
      <c r="N93" s="2065"/>
      <c r="O93" s="2066"/>
      <c r="P93" s="2066"/>
      <c r="Q93" s="2065"/>
      <c r="R93" s="2065"/>
      <c r="S93" s="2065"/>
      <c r="T93" s="1096">
        <f t="shared" si="11"/>
        <v>-7946110209</v>
      </c>
      <c r="U93" s="599"/>
      <c r="V93" s="1407">
        <f t="shared" si="10"/>
        <v>-7946</v>
      </c>
      <c r="W93" s="2065"/>
      <c r="X93" s="2067"/>
      <c r="Y93" s="2068"/>
      <c r="Z93" s="1096">
        <f t="shared" si="12"/>
        <v>-7946110209</v>
      </c>
      <c r="AA93" s="882">
        <f t="shared" si="13"/>
        <v>-7946</v>
      </c>
    </row>
    <row r="94" spans="1:27" ht="27" hidden="1" customHeight="1">
      <c r="A94" s="583"/>
      <c r="B94" s="583">
        <v>1018</v>
      </c>
      <c r="C94" s="581">
        <v>17</v>
      </c>
      <c r="D94" s="582" t="s">
        <v>1000</v>
      </c>
      <c r="E94" s="1138" t="s">
        <v>1001</v>
      </c>
      <c r="F94" s="599">
        <v>-9317180</v>
      </c>
      <c r="G94" s="1826"/>
      <c r="H94" s="599"/>
      <c r="I94" s="599"/>
      <c r="J94" s="2066"/>
      <c r="K94" s="599"/>
      <c r="L94" s="599"/>
      <c r="M94" s="2065"/>
      <c r="N94" s="599"/>
      <c r="O94" s="1097"/>
      <c r="P94" s="1097"/>
      <c r="Q94" s="599"/>
      <c r="R94" s="599"/>
      <c r="S94" s="599"/>
      <c r="T94" s="1096">
        <f t="shared" si="11"/>
        <v>-9317180</v>
      </c>
      <c r="U94" s="599">
        <v>-9317180</v>
      </c>
      <c r="V94" s="1407">
        <f t="shared" si="10"/>
        <v>-9</v>
      </c>
      <c r="W94" s="599">
        <f t="shared" si="9"/>
        <v>-9</v>
      </c>
      <c r="X94" s="620"/>
      <c r="Y94" s="621"/>
      <c r="Z94" s="1096">
        <f t="shared" si="12"/>
        <v>-9317180</v>
      </c>
      <c r="AA94" s="882">
        <f t="shared" si="13"/>
        <v>-9</v>
      </c>
    </row>
    <row r="95" spans="1:27" ht="27" hidden="1" customHeight="1">
      <c r="A95" s="583"/>
      <c r="B95" s="583">
        <v>1018</v>
      </c>
      <c r="C95" s="581">
        <v>17</v>
      </c>
      <c r="D95" s="582" t="s">
        <v>983</v>
      </c>
      <c r="E95" s="1138" t="s">
        <v>984</v>
      </c>
      <c r="F95" s="1830"/>
      <c r="G95" s="1826"/>
      <c r="H95" s="599"/>
      <c r="I95" s="599"/>
      <c r="J95" s="2065"/>
      <c r="K95" s="599"/>
      <c r="L95" s="599"/>
      <c r="M95" s="2065"/>
      <c r="N95" s="599"/>
      <c r="O95" s="1097"/>
      <c r="P95" s="1097"/>
      <c r="Q95" s="599"/>
      <c r="R95" s="599"/>
      <c r="S95" s="599"/>
      <c r="T95" s="1096">
        <f t="shared" si="11"/>
        <v>0</v>
      </c>
      <c r="U95" s="599">
        <v>0</v>
      </c>
      <c r="V95" s="1407">
        <f t="shared" si="10"/>
        <v>0</v>
      </c>
      <c r="W95" s="599">
        <f t="shared" si="9"/>
        <v>0</v>
      </c>
      <c r="X95" s="620"/>
      <c r="Y95" s="621"/>
      <c r="Z95" s="1096">
        <f t="shared" si="12"/>
        <v>0</v>
      </c>
      <c r="AA95" s="882">
        <f t="shared" si="13"/>
        <v>0</v>
      </c>
    </row>
    <row r="96" spans="1:27" ht="27" hidden="1" customHeight="1">
      <c r="A96" s="583"/>
      <c r="B96" s="583">
        <v>428</v>
      </c>
      <c r="C96" s="581">
        <v>11</v>
      </c>
      <c r="D96" s="582" t="s">
        <v>572</v>
      </c>
      <c r="E96" s="1138" t="s">
        <v>168</v>
      </c>
      <c r="F96" s="1830">
        <v>3975165573</v>
      </c>
      <c r="G96" s="1828"/>
      <c r="H96" s="2128"/>
      <c r="I96" s="599">
        <v>86827852</v>
      </c>
      <c r="J96" s="2065"/>
      <c r="K96" s="1918"/>
      <c r="L96" s="2096"/>
      <c r="M96" s="2096"/>
      <c r="N96" s="1918"/>
      <c r="O96" s="1097"/>
      <c r="P96" s="1097"/>
      <c r="Q96" s="599"/>
      <c r="R96" s="599"/>
      <c r="S96" s="599"/>
      <c r="T96" s="1096">
        <f t="shared" si="11"/>
        <v>4061993425</v>
      </c>
      <c r="U96" s="599">
        <v>2540544729</v>
      </c>
      <c r="V96" s="1407">
        <f t="shared" si="10"/>
        <v>4062</v>
      </c>
      <c r="W96" s="599">
        <f t="shared" si="9"/>
        <v>2541</v>
      </c>
      <c r="X96" s="620"/>
      <c r="Y96" s="621"/>
      <c r="Z96" s="1096">
        <f t="shared" si="12"/>
        <v>4061993425</v>
      </c>
      <c r="AA96" s="882">
        <f t="shared" si="13"/>
        <v>4062</v>
      </c>
    </row>
    <row r="97" spans="1:27" ht="27" hidden="1" customHeight="1">
      <c r="A97" s="583"/>
      <c r="B97" s="583">
        <v>1018</v>
      </c>
      <c r="C97" s="581">
        <v>17</v>
      </c>
      <c r="D97" s="582" t="s">
        <v>890</v>
      </c>
      <c r="E97" s="1138" t="s">
        <v>892</v>
      </c>
      <c r="F97" s="1826"/>
      <c r="G97" s="1826"/>
      <c r="H97" s="599"/>
      <c r="I97" s="599"/>
      <c r="J97" s="2065"/>
      <c r="K97" s="599"/>
      <c r="L97" s="599"/>
      <c r="M97" s="2065"/>
      <c r="N97" s="599"/>
      <c r="O97" s="1097"/>
      <c r="P97" s="1097"/>
      <c r="Q97" s="599"/>
      <c r="R97" s="599"/>
      <c r="S97" s="599"/>
      <c r="T97" s="1096">
        <f t="shared" si="11"/>
        <v>0</v>
      </c>
      <c r="U97" s="599">
        <v>0</v>
      </c>
      <c r="V97" s="1407">
        <f t="shared" si="10"/>
        <v>0</v>
      </c>
      <c r="W97" s="599">
        <f t="shared" si="9"/>
        <v>0</v>
      </c>
      <c r="X97" s="620"/>
      <c r="Y97" s="621"/>
      <c r="Z97" s="1096">
        <f t="shared" si="12"/>
        <v>0</v>
      </c>
      <c r="AA97" s="882">
        <f t="shared" si="13"/>
        <v>0</v>
      </c>
    </row>
    <row r="98" spans="1:27" ht="27" hidden="1" customHeight="1">
      <c r="A98" s="583"/>
      <c r="B98" s="583">
        <v>1018</v>
      </c>
      <c r="C98" s="581">
        <v>17</v>
      </c>
      <c r="D98" s="582" t="s">
        <v>846</v>
      </c>
      <c r="E98" s="1138" t="s">
        <v>900</v>
      </c>
      <c r="F98" s="1830">
        <v>-189600000</v>
      </c>
      <c r="G98" s="1826"/>
      <c r="H98" s="599">
        <v>-30000</v>
      </c>
      <c r="I98" s="599">
        <v>189630000</v>
      </c>
      <c r="J98" s="2065"/>
      <c r="K98" s="599"/>
      <c r="L98" s="1918"/>
      <c r="M98" s="2080"/>
      <c r="N98" s="599"/>
      <c r="O98" s="1097"/>
      <c r="P98" s="1097"/>
      <c r="Q98" s="599"/>
      <c r="R98" s="599"/>
      <c r="S98" s="599"/>
      <c r="T98" s="1096">
        <f t="shared" si="11"/>
        <v>0</v>
      </c>
      <c r="U98" s="599">
        <v>0</v>
      </c>
      <c r="V98" s="1407">
        <f t="shared" si="10"/>
        <v>0</v>
      </c>
      <c r="W98" s="599">
        <f t="shared" si="9"/>
        <v>0</v>
      </c>
      <c r="X98" s="620"/>
      <c r="Y98" s="621"/>
      <c r="Z98" s="1096">
        <f t="shared" si="12"/>
        <v>0</v>
      </c>
      <c r="AA98" s="882">
        <f t="shared" si="13"/>
        <v>0</v>
      </c>
    </row>
    <row r="99" spans="1:27" ht="27" hidden="1" customHeight="1">
      <c r="A99" s="583"/>
      <c r="B99" s="583">
        <v>1018</v>
      </c>
      <c r="C99" s="581">
        <v>17</v>
      </c>
      <c r="D99" s="582" t="s">
        <v>893</v>
      </c>
      <c r="E99" s="1138" t="s">
        <v>1182</v>
      </c>
      <c r="F99" s="1830">
        <v>-3750000</v>
      </c>
      <c r="G99" s="1826"/>
      <c r="H99" s="599"/>
      <c r="I99" s="2096">
        <v>3750000</v>
      </c>
      <c r="J99" s="2065"/>
      <c r="K99" s="2065"/>
      <c r="L99" s="1918"/>
      <c r="M99" s="2080"/>
      <c r="N99" s="599"/>
      <c r="O99" s="1097"/>
      <c r="P99" s="1097"/>
      <c r="Q99" s="599"/>
      <c r="R99" s="599"/>
      <c r="S99" s="599"/>
      <c r="T99" s="1096">
        <f t="shared" si="11"/>
        <v>0</v>
      </c>
      <c r="U99" s="599">
        <v>0</v>
      </c>
      <c r="V99" s="1407">
        <f t="shared" si="10"/>
        <v>0</v>
      </c>
      <c r="W99" s="599">
        <f t="shared" si="9"/>
        <v>0</v>
      </c>
      <c r="X99" s="620"/>
      <c r="Y99" s="621"/>
      <c r="Z99" s="1096">
        <f t="shared" si="12"/>
        <v>0</v>
      </c>
      <c r="AA99" s="882">
        <f t="shared" si="13"/>
        <v>0</v>
      </c>
    </row>
    <row r="100" spans="1:27" ht="27" hidden="1" customHeight="1">
      <c r="A100" s="2062"/>
      <c r="B100" s="2062">
        <v>1018</v>
      </c>
      <c r="C100" s="2063">
        <v>17</v>
      </c>
      <c r="D100" s="2073" t="s">
        <v>2400</v>
      </c>
      <c r="E100" s="2074" t="s">
        <v>2401</v>
      </c>
      <c r="F100" s="2064">
        <v>-12299931</v>
      </c>
      <c r="G100" s="2075"/>
      <c r="H100" s="2065"/>
      <c r="I100" s="2096">
        <v>12299931</v>
      </c>
      <c r="J100" s="2065"/>
      <c r="K100" s="2065"/>
      <c r="L100" s="2080"/>
      <c r="M100" s="2080"/>
      <c r="N100" s="2065"/>
      <c r="O100" s="2066"/>
      <c r="P100" s="2066"/>
      <c r="Q100" s="2065"/>
      <c r="R100" s="2065"/>
      <c r="S100" s="2065"/>
      <c r="T100" s="2069">
        <f t="shared" si="11"/>
        <v>0</v>
      </c>
      <c r="U100" s="2065"/>
      <c r="V100" s="2102">
        <f t="shared" si="10"/>
        <v>0</v>
      </c>
      <c r="W100" s="2065"/>
      <c r="X100" s="2067"/>
      <c r="Y100" s="2068"/>
      <c r="Z100" s="2069">
        <f t="shared" si="12"/>
        <v>0</v>
      </c>
      <c r="AA100" s="2070">
        <f t="shared" si="13"/>
        <v>0</v>
      </c>
    </row>
    <row r="101" spans="1:27" ht="27" hidden="1" customHeight="1">
      <c r="A101" s="2062"/>
      <c r="B101" s="2062">
        <v>1018</v>
      </c>
      <c r="C101" s="2063">
        <v>17</v>
      </c>
      <c r="D101" s="2073" t="s">
        <v>2398</v>
      </c>
      <c r="E101" s="2074" t="s">
        <v>2399</v>
      </c>
      <c r="F101" s="2064">
        <v>-157317876</v>
      </c>
      <c r="G101" s="2075"/>
      <c r="H101" s="2065"/>
      <c r="I101" s="2096"/>
      <c r="J101" s="2065"/>
      <c r="K101" s="2065"/>
      <c r="L101" s="2080"/>
      <c r="M101" s="2080"/>
      <c r="N101" s="2065"/>
      <c r="O101" s="2066"/>
      <c r="P101" s="2066"/>
      <c r="Q101" s="2065"/>
      <c r="R101" s="2065"/>
      <c r="S101" s="2065"/>
      <c r="T101" s="1096">
        <f t="shared" si="11"/>
        <v>-157317876</v>
      </c>
      <c r="U101" s="2065"/>
      <c r="V101" s="1407">
        <f t="shared" si="10"/>
        <v>-157</v>
      </c>
      <c r="W101" s="2065"/>
      <c r="X101" s="2067"/>
      <c r="Y101" s="2068"/>
      <c r="Z101" s="1096">
        <f t="shared" si="12"/>
        <v>-157317876</v>
      </c>
      <c r="AA101" s="882">
        <f t="shared" si="13"/>
        <v>-157</v>
      </c>
    </row>
    <row r="102" spans="1:27" ht="27" hidden="1" customHeight="1">
      <c r="A102" s="583"/>
      <c r="B102" s="583">
        <v>1018</v>
      </c>
      <c r="C102" s="581">
        <v>17</v>
      </c>
      <c r="D102" s="582" t="s">
        <v>1183</v>
      </c>
      <c r="E102" s="1138" t="s">
        <v>1184</v>
      </c>
      <c r="F102" s="1826"/>
      <c r="G102" s="1826"/>
      <c r="H102" s="599"/>
      <c r="I102" s="599"/>
      <c r="J102" s="2065"/>
      <c r="K102" s="599"/>
      <c r="L102" s="599"/>
      <c r="M102" s="2065"/>
      <c r="N102" s="599"/>
      <c r="O102" s="1097"/>
      <c r="P102" s="1097"/>
      <c r="Q102" s="599"/>
      <c r="R102" s="599"/>
      <c r="S102" s="599"/>
      <c r="T102" s="1096">
        <f t="shared" si="11"/>
        <v>0</v>
      </c>
      <c r="U102" s="599">
        <v>0</v>
      </c>
      <c r="V102" s="1407">
        <f t="shared" si="10"/>
        <v>0</v>
      </c>
      <c r="W102" s="599">
        <f t="shared" ref="W102:W140" si="14">ROUND((U102/1000000),0)</f>
        <v>0</v>
      </c>
      <c r="X102" s="620"/>
      <c r="Y102" s="621"/>
      <c r="Z102" s="1096">
        <f t="shared" si="12"/>
        <v>0</v>
      </c>
      <c r="AA102" s="882">
        <f t="shared" si="13"/>
        <v>0</v>
      </c>
    </row>
    <row r="103" spans="1:27" ht="27" hidden="1" customHeight="1">
      <c r="A103" s="583"/>
      <c r="B103" s="583">
        <v>1018</v>
      </c>
      <c r="C103" s="581">
        <v>17</v>
      </c>
      <c r="D103" s="582" t="s">
        <v>1185</v>
      </c>
      <c r="E103" s="1138" t="s">
        <v>1186</v>
      </c>
      <c r="F103" s="1830"/>
      <c r="G103" s="1826"/>
      <c r="H103" s="599"/>
      <c r="I103" s="599"/>
      <c r="J103" s="2065"/>
      <c r="K103" s="599"/>
      <c r="L103" s="599"/>
      <c r="M103" s="2065"/>
      <c r="N103" s="599"/>
      <c r="O103" s="1097"/>
      <c r="P103" s="1097"/>
      <c r="Q103" s="599"/>
      <c r="R103" s="599"/>
      <c r="S103" s="599"/>
      <c r="T103" s="1096">
        <f t="shared" si="11"/>
        <v>0</v>
      </c>
      <c r="U103" s="599">
        <v>0</v>
      </c>
      <c r="V103" s="1407">
        <f t="shared" si="10"/>
        <v>0</v>
      </c>
      <c r="W103" s="599">
        <f t="shared" si="14"/>
        <v>0</v>
      </c>
      <c r="X103" s="620"/>
      <c r="Y103" s="621"/>
      <c r="Z103" s="1096">
        <f t="shared" si="12"/>
        <v>0</v>
      </c>
      <c r="AA103" s="882">
        <f t="shared" si="13"/>
        <v>0</v>
      </c>
    </row>
    <row r="104" spans="1:27" ht="27" hidden="1" customHeight="1">
      <c r="A104" s="2062"/>
      <c r="B104" s="2062">
        <v>1018</v>
      </c>
      <c r="C104" s="2063">
        <v>17</v>
      </c>
      <c r="D104" s="2073" t="s">
        <v>2396</v>
      </c>
      <c r="E104" s="2074" t="s">
        <v>2397</v>
      </c>
      <c r="F104" s="2064">
        <v>-16740000</v>
      </c>
      <c r="G104" s="2075"/>
      <c r="H104" s="2065"/>
      <c r="I104" s="2065">
        <v>16740000</v>
      </c>
      <c r="J104" s="2065"/>
      <c r="K104" s="2065"/>
      <c r="L104" s="2096"/>
      <c r="M104" s="2096"/>
      <c r="N104" s="2065"/>
      <c r="O104" s="2066"/>
      <c r="P104" s="2066"/>
      <c r="Q104" s="2065"/>
      <c r="R104" s="2065"/>
      <c r="S104" s="2065"/>
      <c r="T104" s="1096">
        <f t="shared" si="11"/>
        <v>0</v>
      </c>
      <c r="U104" s="2065"/>
      <c r="V104" s="1407">
        <f t="shared" si="10"/>
        <v>0</v>
      </c>
      <c r="W104" s="2065"/>
      <c r="X104" s="2067"/>
      <c r="Y104" s="2068"/>
      <c r="Z104" s="1096">
        <f t="shared" si="12"/>
        <v>0</v>
      </c>
      <c r="AA104" s="882">
        <f t="shared" si="13"/>
        <v>0</v>
      </c>
    </row>
    <row r="105" spans="1:27" ht="27" hidden="1" customHeight="1">
      <c r="A105" s="583"/>
      <c r="B105" s="583">
        <v>1018</v>
      </c>
      <c r="C105" s="581">
        <v>17</v>
      </c>
      <c r="D105" s="582" t="s">
        <v>1187</v>
      </c>
      <c r="E105" s="1138" t="s">
        <v>1188</v>
      </c>
      <c r="F105" s="1830"/>
      <c r="G105" s="1826"/>
      <c r="H105" s="599"/>
      <c r="I105" s="599"/>
      <c r="J105" s="2065"/>
      <c r="K105" s="599"/>
      <c r="L105" s="2133"/>
      <c r="M105" s="2133"/>
      <c r="N105" s="599"/>
      <c r="O105" s="1097"/>
      <c r="P105" s="1097"/>
      <c r="Q105" s="599"/>
      <c r="R105" s="599"/>
      <c r="S105" s="599"/>
      <c r="T105" s="1096">
        <f t="shared" si="11"/>
        <v>0</v>
      </c>
      <c r="U105" s="599">
        <v>0</v>
      </c>
      <c r="V105" s="1407">
        <f t="shared" si="10"/>
        <v>0</v>
      </c>
      <c r="W105" s="599">
        <f t="shared" si="14"/>
        <v>0</v>
      </c>
      <c r="X105" s="620"/>
      <c r="Y105" s="621"/>
      <c r="Z105" s="1096">
        <f t="shared" si="12"/>
        <v>0</v>
      </c>
      <c r="AA105" s="882">
        <f t="shared" si="13"/>
        <v>0</v>
      </c>
    </row>
    <row r="106" spans="1:27" ht="27" hidden="1" customHeight="1">
      <c r="A106" s="583"/>
      <c r="B106" s="583">
        <v>1018</v>
      </c>
      <c r="C106" s="581">
        <v>17</v>
      </c>
      <c r="D106" s="582" t="s">
        <v>845</v>
      </c>
      <c r="E106" s="1138" t="s">
        <v>1189</v>
      </c>
      <c r="F106" s="1830">
        <v>-240000</v>
      </c>
      <c r="G106" s="1826"/>
      <c r="H106" s="599"/>
      <c r="I106" s="2065">
        <v>240000</v>
      </c>
      <c r="J106" s="2065"/>
      <c r="K106" s="599"/>
      <c r="L106" s="2133"/>
      <c r="M106" s="2133"/>
      <c r="N106" s="599"/>
      <c r="O106" s="1097"/>
      <c r="P106" s="1097"/>
      <c r="Q106" s="599"/>
      <c r="R106" s="599"/>
      <c r="S106" s="599"/>
      <c r="T106" s="1096">
        <f t="shared" si="11"/>
        <v>0</v>
      </c>
      <c r="U106" s="599">
        <v>0</v>
      </c>
      <c r="V106" s="1407">
        <f t="shared" si="10"/>
        <v>0</v>
      </c>
      <c r="W106" s="599">
        <f t="shared" si="14"/>
        <v>0</v>
      </c>
      <c r="X106" s="620"/>
      <c r="Y106" s="621"/>
      <c r="Z106" s="1096">
        <f t="shared" si="12"/>
        <v>0</v>
      </c>
      <c r="AA106" s="882">
        <f t="shared" si="13"/>
        <v>0</v>
      </c>
    </row>
    <row r="107" spans="1:27" ht="27" hidden="1" customHeight="1">
      <c r="A107" s="583"/>
      <c r="B107" s="583">
        <v>406</v>
      </c>
      <c r="C107" s="581">
        <v>11</v>
      </c>
      <c r="D107" s="582" t="s">
        <v>1250</v>
      </c>
      <c r="E107" s="1138" t="s">
        <v>1106</v>
      </c>
      <c r="F107" s="1826">
        <v>450000</v>
      </c>
      <c r="G107" s="1826"/>
      <c r="H107" s="599"/>
      <c r="I107" s="599"/>
      <c r="J107" s="2065"/>
      <c r="K107" s="599"/>
      <c r="L107" s="2096"/>
      <c r="M107" s="2096"/>
      <c r="N107" s="599"/>
      <c r="O107" s="1097"/>
      <c r="P107" s="1097"/>
      <c r="Q107" s="599"/>
      <c r="R107" s="599"/>
      <c r="S107" s="599"/>
      <c r="T107" s="1096">
        <f t="shared" si="11"/>
        <v>450000</v>
      </c>
      <c r="U107" s="599">
        <v>0</v>
      </c>
      <c r="V107" s="1407">
        <f t="shared" si="10"/>
        <v>0</v>
      </c>
      <c r="W107" s="599">
        <f t="shared" si="14"/>
        <v>0</v>
      </c>
      <c r="X107" s="620"/>
      <c r="Y107" s="621"/>
      <c r="Z107" s="1096">
        <f t="shared" ref="Z107:Z138" si="15">T107+Y107-X107</f>
        <v>450000</v>
      </c>
      <c r="AA107" s="882">
        <f t="shared" ref="AA107:AA138" si="16">ROUND((Z107/1000000),0)</f>
        <v>0</v>
      </c>
    </row>
    <row r="108" spans="1:27" ht="27" hidden="1" customHeight="1">
      <c r="A108" s="583"/>
      <c r="B108" s="583">
        <v>428</v>
      </c>
      <c r="C108" s="581">
        <v>11</v>
      </c>
      <c r="D108" s="582" t="s">
        <v>239</v>
      </c>
      <c r="E108" s="1138" t="s">
        <v>1642</v>
      </c>
      <c r="F108" s="1826">
        <v>2608504593</v>
      </c>
      <c r="G108" s="2075"/>
      <c r="H108" s="2065"/>
      <c r="I108" s="2065">
        <v>987401758</v>
      </c>
      <c r="J108" s="2065"/>
      <c r="K108" s="599"/>
      <c r="L108" s="599"/>
      <c r="M108" s="2065"/>
      <c r="N108" s="599"/>
      <c r="O108" s="1097"/>
      <c r="P108" s="1097"/>
      <c r="Q108" s="599"/>
      <c r="R108" s="599"/>
      <c r="S108" s="599"/>
      <c r="T108" s="1096">
        <f t="shared" si="11"/>
        <v>3595906351</v>
      </c>
      <c r="U108" s="599">
        <v>2501051766</v>
      </c>
      <c r="V108" s="1407">
        <f t="shared" si="10"/>
        <v>3596</v>
      </c>
      <c r="W108" s="599">
        <f t="shared" si="14"/>
        <v>2501</v>
      </c>
      <c r="X108" s="620"/>
      <c r="Y108" s="621"/>
      <c r="Z108" s="1096">
        <f t="shared" si="15"/>
        <v>3595906351</v>
      </c>
      <c r="AA108" s="882">
        <f t="shared" si="16"/>
        <v>3596</v>
      </c>
    </row>
    <row r="109" spans="1:27" ht="27" hidden="1" customHeight="1">
      <c r="A109" s="2062"/>
      <c r="B109" s="2062">
        <v>406</v>
      </c>
      <c r="C109" s="2063">
        <v>11</v>
      </c>
      <c r="D109" s="2073" t="s">
        <v>1260</v>
      </c>
      <c r="E109" s="2074" t="s">
        <v>1030</v>
      </c>
      <c r="F109" s="2076">
        <v>15056872730</v>
      </c>
      <c r="G109" s="2078">
        <v>-6142421072</v>
      </c>
      <c r="H109" s="2078"/>
      <c r="I109" s="2065"/>
      <c r="J109" s="2081">
        <v>-7222096323</v>
      </c>
      <c r="K109" s="2065"/>
      <c r="L109" s="2065"/>
      <c r="M109" s="2065"/>
      <c r="N109" s="2065"/>
      <c r="O109" s="2066"/>
      <c r="P109" s="2066"/>
      <c r="Q109" s="2065"/>
      <c r="R109" s="2065"/>
      <c r="S109" s="2065"/>
      <c r="T109" s="2069">
        <f t="shared" si="11"/>
        <v>1692355335</v>
      </c>
      <c r="U109" s="2065">
        <v>1692355335</v>
      </c>
      <c r="V109" s="1407">
        <f t="shared" si="10"/>
        <v>1692</v>
      </c>
      <c r="W109" s="599">
        <f t="shared" si="14"/>
        <v>1692</v>
      </c>
      <c r="X109" s="2067"/>
      <c r="Y109" s="2068"/>
      <c r="Z109" s="2069">
        <f t="shared" si="15"/>
        <v>1692355335</v>
      </c>
      <c r="AA109" s="2070">
        <f t="shared" si="16"/>
        <v>1692</v>
      </c>
    </row>
    <row r="110" spans="1:27" ht="27" hidden="1" customHeight="1">
      <c r="A110" s="583"/>
      <c r="B110" s="583">
        <v>1018</v>
      </c>
      <c r="C110" s="581">
        <v>17</v>
      </c>
      <c r="D110" s="582" t="s">
        <v>990</v>
      </c>
      <c r="E110" s="1138" t="s">
        <v>991</v>
      </c>
      <c r="F110" s="1826"/>
      <c r="G110" s="2075"/>
      <c r="H110" s="2065"/>
      <c r="I110" s="2065"/>
      <c r="J110" s="2065"/>
      <c r="K110" s="599"/>
      <c r="L110" s="599"/>
      <c r="M110" s="2065"/>
      <c r="N110" s="599"/>
      <c r="O110" s="1097"/>
      <c r="P110" s="1097"/>
      <c r="Q110" s="599"/>
      <c r="R110" s="599"/>
      <c r="S110" s="599"/>
      <c r="T110" s="1096">
        <f t="shared" si="11"/>
        <v>0</v>
      </c>
      <c r="U110" s="599">
        <v>0</v>
      </c>
      <c r="V110" s="1407">
        <f t="shared" si="10"/>
        <v>0</v>
      </c>
      <c r="W110" s="599">
        <f t="shared" si="14"/>
        <v>0</v>
      </c>
      <c r="X110" s="620"/>
      <c r="Y110" s="621"/>
      <c r="Z110" s="1096">
        <f t="shared" si="15"/>
        <v>0</v>
      </c>
      <c r="AA110" s="882">
        <f t="shared" si="16"/>
        <v>0</v>
      </c>
    </row>
    <row r="111" spans="1:27" ht="27" hidden="1" customHeight="1">
      <c r="A111" s="583"/>
      <c r="B111" s="583">
        <v>1018</v>
      </c>
      <c r="C111" s="581">
        <v>17</v>
      </c>
      <c r="D111" s="582" t="s">
        <v>992</v>
      </c>
      <c r="E111" s="1138" t="s">
        <v>993</v>
      </c>
      <c r="F111" s="1826"/>
      <c r="G111" s="2075"/>
      <c r="H111" s="2065"/>
      <c r="I111" s="2065"/>
      <c r="J111" s="2065"/>
      <c r="K111" s="599"/>
      <c r="L111" s="599"/>
      <c r="M111" s="2065"/>
      <c r="N111" s="599"/>
      <c r="O111" s="1097"/>
      <c r="P111" s="1097"/>
      <c r="Q111" s="599"/>
      <c r="R111" s="599"/>
      <c r="S111" s="599"/>
      <c r="T111" s="1096">
        <f t="shared" si="11"/>
        <v>0</v>
      </c>
      <c r="U111" s="599">
        <v>0</v>
      </c>
      <c r="V111" s="1407">
        <f t="shared" si="10"/>
        <v>0</v>
      </c>
      <c r="W111" s="599">
        <f t="shared" si="14"/>
        <v>0</v>
      </c>
      <c r="X111" s="620"/>
      <c r="Y111" s="621"/>
      <c r="Z111" s="1096">
        <f t="shared" si="15"/>
        <v>0</v>
      </c>
      <c r="AA111" s="882">
        <f t="shared" si="16"/>
        <v>0</v>
      </c>
    </row>
    <row r="112" spans="1:27" ht="27" hidden="1" customHeight="1">
      <c r="A112" s="583"/>
      <c r="B112" s="583">
        <v>406</v>
      </c>
      <c r="C112" s="581">
        <v>11</v>
      </c>
      <c r="D112" s="582" t="s">
        <v>565</v>
      </c>
      <c r="E112" s="1138" t="s">
        <v>566</v>
      </c>
      <c r="F112" s="1829">
        <v>1659038740</v>
      </c>
      <c r="G112" s="2075"/>
      <c r="H112" s="2065"/>
      <c r="I112" s="2065"/>
      <c r="J112" s="2065"/>
      <c r="K112" s="599"/>
      <c r="L112" s="2096"/>
      <c r="M112" s="2096"/>
      <c r="N112" s="599"/>
      <c r="O112" s="1097"/>
      <c r="P112" s="1097"/>
      <c r="Q112" s="599"/>
      <c r="R112" s="599"/>
      <c r="S112" s="599"/>
      <c r="T112" s="1096">
        <f t="shared" si="11"/>
        <v>1659038740</v>
      </c>
      <c r="U112" s="599">
        <v>1659038740</v>
      </c>
      <c r="V112" s="1407">
        <f t="shared" si="10"/>
        <v>1659</v>
      </c>
      <c r="W112" s="599">
        <f t="shared" si="14"/>
        <v>1659</v>
      </c>
      <c r="X112" s="620"/>
      <c r="Y112" s="621"/>
      <c r="Z112" s="1096">
        <f t="shared" si="15"/>
        <v>1659038740</v>
      </c>
      <c r="AA112" s="882">
        <f t="shared" si="16"/>
        <v>1659</v>
      </c>
    </row>
    <row r="113" spans="1:27" ht="27" hidden="1" customHeight="1">
      <c r="A113" s="583"/>
      <c r="B113" s="583">
        <v>428</v>
      </c>
      <c r="C113" s="581">
        <v>11</v>
      </c>
      <c r="D113" s="582" t="s">
        <v>109</v>
      </c>
      <c r="E113" s="1138" t="s">
        <v>840</v>
      </c>
      <c r="F113" s="1829">
        <v>3320710312</v>
      </c>
      <c r="G113" s="1826"/>
      <c r="H113" s="599"/>
      <c r="I113" s="599"/>
      <c r="J113" s="2065"/>
      <c r="K113" s="599"/>
      <c r="L113" s="599"/>
      <c r="M113" s="2065"/>
      <c r="N113" s="599"/>
      <c r="O113" s="1097"/>
      <c r="P113" s="1097"/>
      <c r="Q113" s="599"/>
      <c r="R113" s="599"/>
      <c r="S113" s="599"/>
      <c r="T113" s="1096">
        <f t="shared" si="11"/>
        <v>3320710312</v>
      </c>
      <c r="U113" s="599">
        <v>1640309108</v>
      </c>
      <c r="V113" s="1407">
        <f t="shared" si="10"/>
        <v>3321</v>
      </c>
      <c r="W113" s="599">
        <f t="shared" si="14"/>
        <v>1640</v>
      </c>
      <c r="X113" s="620"/>
      <c r="Y113" s="621"/>
      <c r="Z113" s="1096">
        <f t="shared" si="15"/>
        <v>3320710312</v>
      </c>
      <c r="AA113" s="882">
        <f t="shared" si="16"/>
        <v>3321</v>
      </c>
    </row>
    <row r="114" spans="1:27" ht="27" hidden="1" customHeight="1">
      <c r="A114" s="583"/>
      <c r="B114" s="583">
        <v>428</v>
      </c>
      <c r="C114" s="581">
        <v>11</v>
      </c>
      <c r="D114" s="582" t="s">
        <v>306</v>
      </c>
      <c r="E114" s="1138" t="s">
        <v>307</v>
      </c>
      <c r="F114" s="1826">
        <v>209708501</v>
      </c>
      <c r="G114" s="1828"/>
      <c r="H114" s="599">
        <v>-209708501</v>
      </c>
      <c r="I114" s="599"/>
      <c r="J114" s="2065"/>
      <c r="K114" s="599"/>
      <c r="L114" s="2096"/>
      <c r="M114" s="2096"/>
      <c r="N114" s="599"/>
      <c r="O114" s="1097"/>
      <c r="P114" s="1097"/>
      <c r="Q114" s="599"/>
      <c r="R114" s="599"/>
      <c r="S114" s="599"/>
      <c r="T114" s="1096">
        <f t="shared" si="11"/>
        <v>0</v>
      </c>
      <c r="U114" s="599">
        <v>1460897419</v>
      </c>
      <c r="V114" s="1407">
        <f t="shared" si="10"/>
        <v>0</v>
      </c>
      <c r="W114" s="599">
        <f t="shared" si="14"/>
        <v>1461</v>
      </c>
      <c r="X114" s="620"/>
      <c r="Y114" s="621"/>
      <c r="Z114" s="1096">
        <f t="shared" si="15"/>
        <v>0</v>
      </c>
      <c r="AA114" s="882">
        <f t="shared" si="16"/>
        <v>0</v>
      </c>
    </row>
    <row r="115" spans="1:27" ht="27" hidden="1" customHeight="1">
      <c r="A115" s="583"/>
      <c r="B115" s="583">
        <v>1018</v>
      </c>
      <c r="C115" s="581">
        <v>17</v>
      </c>
      <c r="D115" s="582" t="s">
        <v>994</v>
      </c>
      <c r="E115" s="1138" t="s">
        <v>995</v>
      </c>
      <c r="F115" s="1830"/>
      <c r="G115" s="1826"/>
      <c r="H115" s="599"/>
      <c r="I115" s="1918"/>
      <c r="J115" s="2065"/>
      <c r="K115" s="599"/>
      <c r="L115" s="599"/>
      <c r="M115" s="2065"/>
      <c r="N115" s="599"/>
      <c r="O115" s="1097"/>
      <c r="P115" s="1097"/>
      <c r="Q115" s="599"/>
      <c r="R115" s="599"/>
      <c r="S115" s="599"/>
      <c r="T115" s="1096">
        <f t="shared" si="11"/>
        <v>0</v>
      </c>
      <c r="U115" s="599">
        <v>0</v>
      </c>
      <c r="V115" s="1407">
        <f t="shared" si="10"/>
        <v>0</v>
      </c>
      <c r="W115" s="599">
        <f t="shared" si="14"/>
        <v>0</v>
      </c>
      <c r="X115" s="620"/>
      <c r="Y115" s="621"/>
      <c r="Z115" s="1096">
        <f t="shared" si="15"/>
        <v>0</v>
      </c>
      <c r="AA115" s="882">
        <f t="shared" si="16"/>
        <v>0</v>
      </c>
    </row>
    <row r="116" spans="1:27" ht="27" hidden="1" customHeight="1">
      <c r="A116" s="583"/>
      <c r="B116" s="583">
        <v>428</v>
      </c>
      <c r="C116" s="581">
        <v>11</v>
      </c>
      <c r="D116" s="582" t="s">
        <v>567</v>
      </c>
      <c r="E116" s="1138" t="s">
        <v>777</v>
      </c>
      <c r="F116" s="1829">
        <v>2835038031</v>
      </c>
      <c r="G116" s="1826">
        <v>-355643446</v>
      </c>
      <c r="H116" s="2096"/>
      <c r="I116" s="599"/>
      <c r="J116" s="2065">
        <v>8795364</v>
      </c>
      <c r="K116" s="1918"/>
      <c r="L116" s="599"/>
      <c r="M116" s="2065"/>
      <c r="N116" s="599"/>
      <c r="O116" s="1097"/>
      <c r="P116" s="1097"/>
      <c r="Q116" s="599"/>
      <c r="R116" s="599"/>
      <c r="S116" s="599"/>
      <c r="T116" s="1096">
        <f t="shared" si="11"/>
        <v>2488189949</v>
      </c>
      <c r="U116" s="599">
        <v>1435348912</v>
      </c>
      <c r="V116" s="1407">
        <f t="shared" si="10"/>
        <v>2488</v>
      </c>
      <c r="W116" s="599">
        <f t="shared" si="14"/>
        <v>1435</v>
      </c>
      <c r="X116" s="620"/>
      <c r="Y116" s="621"/>
      <c r="Z116" s="1096">
        <f t="shared" si="15"/>
        <v>2488189949</v>
      </c>
      <c r="AA116" s="882">
        <f t="shared" si="16"/>
        <v>2488</v>
      </c>
    </row>
    <row r="117" spans="1:27" ht="27" hidden="1" customHeight="1">
      <c r="A117" s="583"/>
      <c r="B117" s="583">
        <v>406</v>
      </c>
      <c r="C117" s="581">
        <v>11</v>
      </c>
      <c r="D117" s="582" t="s">
        <v>1151</v>
      </c>
      <c r="E117" s="1138" t="s">
        <v>1152</v>
      </c>
      <c r="F117" s="599">
        <v>1348983865</v>
      </c>
      <c r="G117" s="1826"/>
      <c r="H117" s="2132"/>
      <c r="I117" s="599"/>
      <c r="J117" s="2079"/>
      <c r="K117" s="599"/>
      <c r="L117" s="599"/>
      <c r="M117" s="2065"/>
      <c r="N117" s="599"/>
      <c r="O117" s="1097"/>
      <c r="P117" s="1097"/>
      <c r="Q117" s="599"/>
      <c r="R117" s="599"/>
      <c r="S117" s="599"/>
      <c r="T117" s="1096">
        <f t="shared" si="11"/>
        <v>1348983865</v>
      </c>
      <c r="U117" s="599">
        <v>1348983865</v>
      </c>
      <c r="V117" s="1407">
        <f t="shared" si="10"/>
        <v>1349</v>
      </c>
      <c r="W117" s="599">
        <f t="shared" si="14"/>
        <v>1349</v>
      </c>
      <c r="X117" s="620"/>
      <c r="Y117" s="621"/>
      <c r="Z117" s="1096">
        <f t="shared" si="15"/>
        <v>1348983865</v>
      </c>
      <c r="AA117" s="882">
        <f t="shared" si="16"/>
        <v>1349</v>
      </c>
    </row>
    <row r="118" spans="1:27" ht="27" hidden="1" customHeight="1">
      <c r="A118" s="583"/>
      <c r="B118" s="583">
        <v>428</v>
      </c>
      <c r="C118" s="581">
        <v>11</v>
      </c>
      <c r="D118" s="582" t="s">
        <v>960</v>
      </c>
      <c r="E118" s="1138" t="s">
        <v>962</v>
      </c>
      <c r="F118" s="1829">
        <v>2067411720</v>
      </c>
      <c r="G118" s="1826"/>
      <c r="H118" s="2096"/>
      <c r="I118" s="599"/>
      <c r="J118" s="2065"/>
      <c r="K118" s="599"/>
      <c r="L118" s="599"/>
      <c r="M118" s="2065"/>
      <c r="N118" s="599"/>
      <c r="O118" s="1097"/>
      <c r="P118" s="1097"/>
      <c r="Q118" s="599"/>
      <c r="R118" s="599"/>
      <c r="S118" s="599"/>
      <c r="T118" s="1096">
        <f t="shared" si="11"/>
        <v>2067411720</v>
      </c>
      <c r="U118" s="599">
        <v>1315625640</v>
      </c>
      <c r="V118" s="1407">
        <f t="shared" si="10"/>
        <v>2067</v>
      </c>
      <c r="W118" s="599">
        <f t="shared" si="14"/>
        <v>1316</v>
      </c>
      <c r="X118" s="620"/>
      <c r="Y118" s="621"/>
      <c r="Z118" s="1096">
        <f t="shared" si="15"/>
        <v>2067411720</v>
      </c>
      <c r="AA118" s="882">
        <f t="shared" si="16"/>
        <v>2067</v>
      </c>
    </row>
    <row r="119" spans="1:27" ht="27" hidden="1" customHeight="1">
      <c r="A119" s="583"/>
      <c r="B119" s="583">
        <v>1018</v>
      </c>
      <c r="C119" s="581">
        <v>17</v>
      </c>
      <c r="D119" s="582" t="s">
        <v>996</v>
      </c>
      <c r="E119" s="1138" t="s">
        <v>997</v>
      </c>
      <c r="F119" s="1829"/>
      <c r="G119" s="1826"/>
      <c r="H119" s="2096"/>
      <c r="I119" s="1918"/>
      <c r="J119" s="2096"/>
      <c r="K119" s="599"/>
      <c r="L119" s="2096"/>
      <c r="M119" s="2096"/>
      <c r="N119" s="599"/>
      <c r="O119" s="1097"/>
      <c r="P119" s="1097"/>
      <c r="Q119" s="599"/>
      <c r="R119" s="599"/>
      <c r="S119" s="599"/>
      <c r="T119" s="1096">
        <f t="shared" si="11"/>
        <v>0</v>
      </c>
      <c r="U119" s="599">
        <v>0</v>
      </c>
      <c r="V119" s="1407">
        <f t="shared" si="10"/>
        <v>0</v>
      </c>
      <c r="W119" s="599">
        <f t="shared" si="14"/>
        <v>0</v>
      </c>
      <c r="X119" s="620"/>
      <c r="Y119" s="621"/>
      <c r="Z119" s="1096">
        <f t="shared" si="15"/>
        <v>0</v>
      </c>
      <c r="AA119" s="882">
        <f t="shared" si="16"/>
        <v>0</v>
      </c>
    </row>
    <row r="120" spans="1:27" ht="27" hidden="1" customHeight="1">
      <c r="A120" s="583"/>
      <c r="B120" s="583">
        <v>428</v>
      </c>
      <c r="C120" s="581">
        <v>11</v>
      </c>
      <c r="D120" s="582" t="s">
        <v>971</v>
      </c>
      <c r="E120" s="1138" t="s">
        <v>972</v>
      </c>
      <c r="F120" s="1829">
        <v>530614193</v>
      </c>
      <c r="G120" s="1826"/>
      <c r="H120" s="2096"/>
      <c r="I120" s="599"/>
      <c r="J120" s="2096"/>
      <c r="K120" s="2096"/>
      <c r="L120" s="599"/>
      <c r="M120" s="2065"/>
      <c r="N120" s="599"/>
      <c r="O120" s="2079"/>
      <c r="P120" s="1097"/>
      <c r="Q120" s="599"/>
      <c r="R120" s="599"/>
      <c r="S120" s="599"/>
      <c r="T120" s="1096">
        <f t="shared" si="11"/>
        <v>530614193</v>
      </c>
      <c r="U120" s="599">
        <v>575609393</v>
      </c>
      <c r="V120" s="1407">
        <f t="shared" si="10"/>
        <v>531</v>
      </c>
      <c r="W120" s="599">
        <f t="shared" si="14"/>
        <v>576</v>
      </c>
      <c r="X120" s="620"/>
      <c r="Y120" s="621"/>
      <c r="Z120" s="1096">
        <f t="shared" si="15"/>
        <v>530614193</v>
      </c>
      <c r="AA120" s="882">
        <f t="shared" si="16"/>
        <v>531</v>
      </c>
    </row>
    <row r="121" spans="1:27" ht="27" hidden="1" customHeight="1">
      <c r="A121" s="583"/>
      <c r="B121" s="583">
        <v>1018</v>
      </c>
      <c r="C121" s="581">
        <v>17</v>
      </c>
      <c r="D121" s="582" t="s">
        <v>1382</v>
      </c>
      <c r="E121" s="1138" t="s">
        <v>1383</v>
      </c>
      <c r="F121" s="1826"/>
      <c r="G121" s="1826"/>
      <c r="H121" s="599"/>
      <c r="I121" s="599"/>
      <c r="J121" s="2065"/>
      <c r="K121" s="599"/>
      <c r="L121" s="2096"/>
      <c r="M121" s="2096"/>
      <c r="N121" s="599"/>
      <c r="O121" s="1097"/>
      <c r="P121" s="1097"/>
      <c r="Q121" s="599"/>
      <c r="R121" s="599"/>
      <c r="S121" s="599"/>
      <c r="T121" s="1096">
        <f t="shared" si="11"/>
        <v>0</v>
      </c>
      <c r="U121" s="599">
        <v>0</v>
      </c>
      <c r="V121" s="1407">
        <f t="shared" si="10"/>
        <v>0</v>
      </c>
      <c r="W121" s="599">
        <f t="shared" si="14"/>
        <v>0</v>
      </c>
      <c r="X121" s="620"/>
      <c r="Y121" s="621"/>
      <c r="Z121" s="1096">
        <f t="shared" si="15"/>
        <v>0</v>
      </c>
      <c r="AA121" s="882">
        <f t="shared" si="16"/>
        <v>0</v>
      </c>
    </row>
    <row r="122" spans="1:27" ht="27" hidden="1" customHeight="1">
      <c r="A122" s="583"/>
      <c r="B122" s="583">
        <v>1018</v>
      </c>
      <c r="C122" s="581">
        <v>17</v>
      </c>
      <c r="D122" s="582" t="s">
        <v>753</v>
      </c>
      <c r="E122" s="1138" t="s">
        <v>998</v>
      </c>
      <c r="F122" s="1826"/>
      <c r="G122" s="1826"/>
      <c r="H122" s="599"/>
      <c r="I122" s="599"/>
      <c r="J122" s="2065"/>
      <c r="K122" s="599"/>
      <c r="L122" s="599"/>
      <c r="M122" s="2065"/>
      <c r="N122" s="599"/>
      <c r="O122" s="1097"/>
      <c r="P122" s="1097"/>
      <c r="Q122" s="599"/>
      <c r="R122" s="599"/>
      <c r="S122" s="599"/>
      <c r="T122" s="1096">
        <f t="shared" si="11"/>
        <v>0</v>
      </c>
      <c r="U122" s="599">
        <v>0</v>
      </c>
      <c r="V122" s="1407">
        <f t="shared" si="10"/>
        <v>0</v>
      </c>
      <c r="W122" s="599">
        <f t="shared" si="14"/>
        <v>0</v>
      </c>
      <c r="X122" s="620"/>
      <c r="Y122" s="621"/>
      <c r="Z122" s="1096">
        <f t="shared" si="15"/>
        <v>0</v>
      </c>
      <c r="AA122" s="882">
        <f t="shared" si="16"/>
        <v>0</v>
      </c>
    </row>
    <row r="123" spans="1:27" ht="27" hidden="1" customHeight="1">
      <c r="A123" s="583"/>
      <c r="B123" s="583">
        <v>428</v>
      </c>
      <c r="C123" s="581">
        <v>11</v>
      </c>
      <c r="D123" s="582" t="s">
        <v>269</v>
      </c>
      <c r="E123" s="1138" t="s">
        <v>268</v>
      </c>
      <c r="F123" s="1829">
        <v>798291029</v>
      </c>
      <c r="G123" s="1826"/>
      <c r="H123" s="599"/>
      <c r="I123" s="599"/>
      <c r="J123" s="2065"/>
      <c r="K123" s="599"/>
      <c r="L123" s="599"/>
      <c r="M123" s="2065"/>
      <c r="N123" s="599"/>
      <c r="O123" s="1097"/>
      <c r="P123" s="1097"/>
      <c r="Q123" s="599"/>
      <c r="R123" s="599"/>
      <c r="S123" s="599"/>
      <c r="T123" s="1096">
        <f t="shared" si="11"/>
        <v>798291029</v>
      </c>
      <c r="U123" s="599">
        <v>531459029</v>
      </c>
      <c r="V123" s="1407">
        <f t="shared" si="10"/>
        <v>798</v>
      </c>
      <c r="W123" s="599">
        <f t="shared" si="14"/>
        <v>531</v>
      </c>
      <c r="X123" s="620"/>
      <c r="Y123" s="621"/>
      <c r="Z123" s="1096">
        <f t="shared" si="15"/>
        <v>798291029</v>
      </c>
      <c r="AA123" s="882">
        <f t="shared" si="16"/>
        <v>798</v>
      </c>
    </row>
    <row r="124" spans="1:27" ht="27" hidden="1" customHeight="1">
      <c r="A124" s="583"/>
      <c r="B124" s="583">
        <v>428</v>
      </c>
      <c r="C124" s="581">
        <v>11</v>
      </c>
      <c r="D124" s="582" t="s">
        <v>1070</v>
      </c>
      <c r="E124" s="1138" t="s">
        <v>1071</v>
      </c>
      <c r="F124" s="1829">
        <v>548825280</v>
      </c>
      <c r="G124" s="1826"/>
      <c r="H124" s="2096"/>
      <c r="I124" s="599"/>
      <c r="J124" s="2065"/>
      <c r="K124" s="599"/>
      <c r="L124" s="2096"/>
      <c r="M124" s="2096"/>
      <c r="N124" s="599"/>
      <c r="O124" s="1097"/>
      <c r="P124" s="1097"/>
      <c r="Q124" s="599"/>
      <c r="R124" s="599"/>
      <c r="S124" s="599"/>
      <c r="T124" s="1096">
        <f t="shared" si="11"/>
        <v>548825280</v>
      </c>
      <c r="U124" s="599">
        <v>473438700</v>
      </c>
      <c r="V124" s="1407">
        <f t="shared" si="10"/>
        <v>549</v>
      </c>
      <c r="W124" s="599">
        <f t="shared" si="14"/>
        <v>473</v>
      </c>
      <c r="X124" s="620"/>
      <c r="Y124" s="621"/>
      <c r="Z124" s="1096">
        <f t="shared" si="15"/>
        <v>548825280</v>
      </c>
      <c r="AA124" s="882">
        <f t="shared" si="16"/>
        <v>549</v>
      </c>
    </row>
    <row r="125" spans="1:27" ht="27" hidden="1" customHeight="1">
      <c r="A125" s="583"/>
      <c r="B125" s="583">
        <v>1018</v>
      </c>
      <c r="C125" s="581">
        <v>17</v>
      </c>
      <c r="D125" s="582" t="s">
        <v>665</v>
      </c>
      <c r="E125" s="1138" t="s">
        <v>664</v>
      </c>
      <c r="F125" s="1826"/>
      <c r="G125" s="1826"/>
      <c r="H125" s="2096"/>
      <c r="I125" s="599"/>
      <c r="J125" s="2065"/>
      <c r="K125" s="599"/>
      <c r="L125" s="2096"/>
      <c r="M125" s="2096"/>
      <c r="N125" s="599"/>
      <c r="O125" s="1097"/>
      <c r="P125" s="1097"/>
      <c r="Q125" s="599"/>
      <c r="R125" s="599"/>
      <c r="S125" s="599"/>
      <c r="T125" s="1096">
        <f t="shared" si="11"/>
        <v>0</v>
      </c>
      <c r="U125" s="599">
        <v>0</v>
      </c>
      <c r="V125" s="1407">
        <f t="shared" si="10"/>
        <v>0</v>
      </c>
      <c r="W125" s="599">
        <f t="shared" si="14"/>
        <v>0</v>
      </c>
      <c r="X125" s="620"/>
      <c r="Y125" s="621"/>
      <c r="Z125" s="1096">
        <f t="shared" si="15"/>
        <v>0</v>
      </c>
      <c r="AA125" s="882">
        <f t="shared" si="16"/>
        <v>0</v>
      </c>
    </row>
    <row r="126" spans="1:27" ht="27" hidden="1" customHeight="1">
      <c r="A126" s="583"/>
      <c r="B126" s="583">
        <v>1032</v>
      </c>
      <c r="C126" s="581">
        <v>17</v>
      </c>
      <c r="D126" s="582" t="s">
        <v>1835</v>
      </c>
      <c r="E126" s="1138" t="s">
        <v>1824</v>
      </c>
      <c r="F126" s="1826"/>
      <c r="G126" s="1826"/>
      <c r="H126" s="599"/>
      <c r="I126" s="599"/>
      <c r="J126" s="2065"/>
      <c r="K126" s="599"/>
      <c r="L126" s="599"/>
      <c r="M126" s="2065"/>
      <c r="N126" s="599"/>
      <c r="O126" s="1097"/>
      <c r="P126" s="1097"/>
      <c r="Q126" s="599"/>
      <c r="R126" s="599"/>
      <c r="S126" s="599"/>
      <c r="T126" s="1096">
        <f t="shared" si="11"/>
        <v>0</v>
      </c>
      <c r="U126" s="599">
        <v>0</v>
      </c>
      <c r="V126" s="1407">
        <f t="shared" si="10"/>
        <v>0</v>
      </c>
      <c r="W126" s="599">
        <f t="shared" si="14"/>
        <v>0</v>
      </c>
      <c r="X126" s="620"/>
      <c r="Y126" s="621"/>
      <c r="Z126" s="1096">
        <f t="shared" si="15"/>
        <v>0</v>
      </c>
      <c r="AA126" s="882">
        <f t="shared" si="16"/>
        <v>0</v>
      </c>
    </row>
    <row r="127" spans="1:27" ht="27" hidden="1" customHeight="1">
      <c r="A127" s="583"/>
      <c r="B127" s="583">
        <v>428</v>
      </c>
      <c r="C127" s="581">
        <v>11</v>
      </c>
      <c r="D127" s="582" t="s">
        <v>964</v>
      </c>
      <c r="E127" s="1138" t="s">
        <v>965</v>
      </c>
      <c r="F127" s="1829">
        <v>475952400</v>
      </c>
      <c r="G127" s="1826"/>
      <c r="H127" s="2096"/>
      <c r="I127" s="599"/>
      <c r="J127" s="2065"/>
      <c r="K127" s="2096"/>
      <c r="L127" s="599"/>
      <c r="M127" s="2065"/>
      <c r="N127" s="599"/>
      <c r="O127" s="1097"/>
      <c r="P127" s="1097"/>
      <c r="Q127" s="599"/>
      <c r="R127" s="599"/>
      <c r="S127" s="599"/>
      <c r="T127" s="1096">
        <f t="shared" si="11"/>
        <v>475952400</v>
      </c>
      <c r="U127" s="599">
        <v>415522800</v>
      </c>
      <c r="V127" s="1407">
        <f t="shared" si="10"/>
        <v>476</v>
      </c>
      <c r="W127" s="599">
        <f t="shared" si="14"/>
        <v>416</v>
      </c>
      <c r="X127" s="620"/>
      <c r="Y127" s="621"/>
      <c r="Z127" s="1096">
        <f t="shared" si="15"/>
        <v>475952400</v>
      </c>
      <c r="AA127" s="882">
        <f t="shared" si="16"/>
        <v>476</v>
      </c>
    </row>
    <row r="128" spans="1:27" ht="27" hidden="1" customHeight="1">
      <c r="A128" s="583"/>
      <c r="B128" s="583">
        <v>1018</v>
      </c>
      <c r="C128" s="581">
        <v>17</v>
      </c>
      <c r="D128" s="582" t="s">
        <v>981</v>
      </c>
      <c r="E128" s="1138" t="s">
        <v>982</v>
      </c>
      <c r="F128" s="1829">
        <v>-473970442</v>
      </c>
      <c r="G128" s="1826"/>
      <c r="H128" s="2096"/>
      <c r="I128" s="2096"/>
      <c r="J128" s="2065"/>
      <c r="K128" s="599"/>
      <c r="L128" s="599"/>
      <c r="M128" s="2065"/>
      <c r="N128" s="599"/>
      <c r="O128" s="1097"/>
      <c r="P128" s="1097"/>
      <c r="Q128" s="599"/>
      <c r="R128" s="599"/>
      <c r="S128" s="599"/>
      <c r="T128" s="1096">
        <f t="shared" si="11"/>
        <v>-473970442</v>
      </c>
      <c r="U128" s="599">
        <v>406488037</v>
      </c>
      <c r="V128" s="1407">
        <f t="shared" si="10"/>
        <v>-474</v>
      </c>
      <c r="W128" s="599">
        <f t="shared" si="14"/>
        <v>406</v>
      </c>
      <c r="X128" s="620"/>
      <c r="Y128" s="621"/>
      <c r="Z128" s="1096">
        <f t="shared" si="15"/>
        <v>-473970442</v>
      </c>
      <c r="AA128" s="882">
        <f t="shared" si="16"/>
        <v>-474</v>
      </c>
    </row>
    <row r="129" spans="1:27" ht="27" hidden="1" customHeight="1">
      <c r="A129" s="583"/>
      <c r="B129" s="583">
        <v>428</v>
      </c>
      <c r="C129" s="581">
        <v>11</v>
      </c>
      <c r="D129" s="582" t="s">
        <v>584</v>
      </c>
      <c r="E129" s="1138" t="s">
        <v>645</v>
      </c>
      <c r="F129" s="1830">
        <v>491742756</v>
      </c>
      <c r="G129" s="2082"/>
      <c r="H129" s="2083"/>
      <c r="I129" s="2083"/>
      <c r="J129" s="2083"/>
      <c r="K129" s="2083"/>
      <c r="L129" s="2083"/>
      <c r="M129" s="2083"/>
      <c r="N129" s="2083"/>
      <c r="O129" s="2084"/>
      <c r="P129" s="2084"/>
      <c r="Q129" s="2083"/>
      <c r="R129" s="2083"/>
      <c r="S129" s="2083"/>
      <c r="T129" s="1096">
        <f t="shared" si="11"/>
        <v>491742756</v>
      </c>
      <c r="U129" s="599">
        <v>387102756</v>
      </c>
      <c r="V129" s="1407">
        <f t="shared" si="10"/>
        <v>492</v>
      </c>
      <c r="W129" s="599">
        <f t="shared" si="14"/>
        <v>387</v>
      </c>
      <c r="X129" s="620"/>
      <c r="Y129" s="621"/>
      <c r="Z129" s="1096">
        <f t="shared" si="15"/>
        <v>491742756</v>
      </c>
      <c r="AA129" s="882">
        <f t="shared" si="16"/>
        <v>492</v>
      </c>
    </row>
    <row r="130" spans="1:27" ht="27" hidden="1" customHeight="1">
      <c r="A130" s="583"/>
      <c r="B130" s="583">
        <v>1018</v>
      </c>
      <c r="C130" s="581">
        <v>17</v>
      </c>
      <c r="D130" s="582" t="s">
        <v>573</v>
      </c>
      <c r="E130" s="1138" t="s">
        <v>966</v>
      </c>
      <c r="F130" s="1829">
        <v>1406117006</v>
      </c>
      <c r="G130" s="2075">
        <v>248045834</v>
      </c>
      <c r="H130" s="2094"/>
      <c r="I130" s="2065"/>
      <c r="J130" s="2065"/>
      <c r="K130" s="2065">
        <v>-2378854782</v>
      </c>
      <c r="L130" s="2065"/>
      <c r="M130" s="2065"/>
      <c r="N130" s="2065"/>
      <c r="O130" s="2066"/>
      <c r="P130" s="2066"/>
      <c r="Q130" s="2065"/>
      <c r="R130" s="2065"/>
      <c r="S130" s="2065"/>
      <c r="T130" s="1096">
        <f t="shared" si="11"/>
        <v>-724691942</v>
      </c>
      <c r="U130" s="599">
        <v>378636040</v>
      </c>
      <c r="V130" s="1407">
        <f t="shared" si="10"/>
        <v>-725</v>
      </c>
      <c r="W130" s="599">
        <f t="shared" si="14"/>
        <v>379</v>
      </c>
      <c r="X130" s="620"/>
      <c r="Y130" s="621"/>
      <c r="Z130" s="1096">
        <f t="shared" si="15"/>
        <v>-724691942</v>
      </c>
      <c r="AA130" s="882">
        <f t="shared" si="16"/>
        <v>-725</v>
      </c>
    </row>
    <row r="131" spans="1:27" ht="27" hidden="1" customHeight="1">
      <c r="A131" s="583"/>
      <c r="B131" s="583">
        <v>428</v>
      </c>
      <c r="C131" s="581">
        <v>11</v>
      </c>
      <c r="D131" s="582" t="s">
        <v>570</v>
      </c>
      <c r="E131" s="1138" t="s">
        <v>257</v>
      </c>
      <c r="F131" s="1829">
        <v>990119376</v>
      </c>
      <c r="G131" s="2075"/>
      <c r="H131" s="2065"/>
      <c r="I131" s="2065"/>
      <c r="J131" s="2065"/>
      <c r="K131" s="2065"/>
      <c r="L131" s="2065"/>
      <c r="M131" s="2065"/>
      <c r="N131" s="2065"/>
      <c r="O131" s="2066"/>
      <c r="P131" s="2066"/>
      <c r="Q131" s="2065"/>
      <c r="R131" s="2065"/>
      <c r="S131" s="2065"/>
      <c r="T131" s="1096">
        <f t="shared" si="11"/>
        <v>990119376</v>
      </c>
      <c r="U131" s="599">
        <v>330039792</v>
      </c>
      <c r="V131" s="1407">
        <f t="shared" si="10"/>
        <v>990</v>
      </c>
      <c r="W131" s="599">
        <f t="shared" si="14"/>
        <v>330</v>
      </c>
      <c r="X131" s="620"/>
      <c r="Y131" s="621"/>
      <c r="Z131" s="1096">
        <f t="shared" si="15"/>
        <v>990119376</v>
      </c>
      <c r="AA131" s="882">
        <f t="shared" si="16"/>
        <v>990</v>
      </c>
    </row>
    <row r="132" spans="1:27" ht="27" hidden="1" customHeight="1">
      <c r="A132" s="583"/>
      <c r="B132" s="583">
        <v>406</v>
      </c>
      <c r="C132" s="581">
        <v>11</v>
      </c>
      <c r="D132" s="582" t="s">
        <v>549</v>
      </c>
      <c r="E132" s="1138" t="s">
        <v>550</v>
      </c>
      <c r="F132" s="1830">
        <v>-218431672</v>
      </c>
      <c r="G132" s="2075">
        <v>189535672</v>
      </c>
      <c r="H132" s="2064">
        <v>452259800</v>
      </c>
      <c r="I132" s="2065"/>
      <c r="J132" s="2065">
        <v>-74003200</v>
      </c>
      <c r="K132" s="2065"/>
      <c r="L132" s="2065"/>
      <c r="M132" s="2065"/>
      <c r="N132" s="2065"/>
      <c r="O132" s="2066"/>
      <c r="P132" s="2066"/>
      <c r="Q132" s="2065"/>
      <c r="R132" s="2065"/>
      <c r="S132" s="2065"/>
      <c r="T132" s="1981">
        <f t="shared" si="11"/>
        <v>349360600</v>
      </c>
      <c r="U132" s="599">
        <v>244636500</v>
      </c>
      <c r="V132" s="1407">
        <f t="shared" si="10"/>
        <v>349</v>
      </c>
      <c r="W132" s="599">
        <f t="shared" si="14"/>
        <v>245</v>
      </c>
      <c r="X132" s="620"/>
      <c r="Y132" s="621"/>
      <c r="Z132" s="1096">
        <f t="shared" si="15"/>
        <v>349360600</v>
      </c>
      <c r="AA132" s="882">
        <f t="shared" si="16"/>
        <v>349</v>
      </c>
    </row>
    <row r="133" spans="1:27" ht="27" hidden="1" customHeight="1">
      <c r="A133" s="583"/>
      <c r="B133" s="583">
        <v>428</v>
      </c>
      <c r="C133" s="581">
        <v>11</v>
      </c>
      <c r="D133" s="582" t="s">
        <v>260</v>
      </c>
      <c r="E133" s="1138" t="s">
        <v>261</v>
      </c>
      <c r="F133" s="1829">
        <v>258493500</v>
      </c>
      <c r="G133" s="2075"/>
      <c r="H133" s="2065"/>
      <c r="I133" s="2065"/>
      <c r="J133" s="2065"/>
      <c r="K133" s="2065"/>
      <c r="L133" s="2065"/>
      <c r="M133" s="2065"/>
      <c r="N133" s="2065"/>
      <c r="O133" s="2066"/>
      <c r="P133" s="2066"/>
      <c r="Q133" s="2065"/>
      <c r="R133" s="2065"/>
      <c r="S133" s="2065"/>
      <c r="T133" s="1096">
        <f t="shared" si="11"/>
        <v>258493500</v>
      </c>
      <c r="U133" s="599">
        <v>225139500</v>
      </c>
      <c r="V133" s="1407">
        <f t="shared" si="10"/>
        <v>258</v>
      </c>
      <c r="W133" s="599">
        <f t="shared" si="14"/>
        <v>225</v>
      </c>
      <c r="X133" s="620"/>
      <c r="Y133" s="621"/>
      <c r="Z133" s="1096">
        <f t="shared" si="15"/>
        <v>258493500</v>
      </c>
      <c r="AA133" s="882">
        <f t="shared" si="16"/>
        <v>258</v>
      </c>
    </row>
    <row r="134" spans="1:27" ht="27" hidden="1" customHeight="1">
      <c r="A134" s="583"/>
      <c r="B134" s="583">
        <v>1032</v>
      </c>
      <c r="C134" s="581">
        <v>17</v>
      </c>
      <c r="D134" s="582" t="s">
        <v>450</v>
      </c>
      <c r="E134" s="1138" t="s">
        <v>1012</v>
      </c>
      <c r="F134" s="1826"/>
      <c r="G134" s="2087"/>
      <c r="H134" s="2088"/>
      <c r="I134" s="2088"/>
      <c r="J134" s="2088"/>
      <c r="K134" s="2088"/>
      <c r="L134" s="2088"/>
      <c r="M134" s="2088"/>
      <c r="N134" s="2088"/>
      <c r="O134" s="2089"/>
      <c r="P134" s="2089"/>
      <c r="Q134" s="2088"/>
      <c r="R134" s="2088"/>
      <c r="S134" s="2088"/>
      <c r="T134" s="1096">
        <f t="shared" si="11"/>
        <v>0</v>
      </c>
      <c r="U134" s="599">
        <v>0</v>
      </c>
      <c r="V134" s="1407">
        <f t="shared" si="10"/>
        <v>0</v>
      </c>
      <c r="W134" s="599">
        <f t="shared" si="14"/>
        <v>0</v>
      </c>
      <c r="X134" s="620"/>
      <c r="Y134" s="621"/>
      <c r="Z134" s="1096">
        <f t="shared" si="15"/>
        <v>0</v>
      </c>
      <c r="AA134" s="882">
        <f t="shared" si="16"/>
        <v>0</v>
      </c>
    </row>
    <row r="135" spans="1:27" ht="27" hidden="1" customHeight="1">
      <c r="A135" s="583"/>
      <c r="B135" s="583">
        <v>1032</v>
      </c>
      <c r="C135" s="581">
        <v>17</v>
      </c>
      <c r="D135" s="582" t="s">
        <v>395</v>
      </c>
      <c r="E135" s="1138" t="s">
        <v>1652</v>
      </c>
      <c r="F135" s="1829"/>
      <c r="G135" s="1826"/>
      <c r="H135" s="599"/>
      <c r="I135" s="1918"/>
      <c r="J135" s="2065"/>
      <c r="K135" s="599"/>
      <c r="L135" s="599"/>
      <c r="M135" s="2065"/>
      <c r="N135" s="599"/>
      <c r="O135" s="1097"/>
      <c r="P135" s="1097"/>
      <c r="Q135" s="599"/>
      <c r="R135" s="599"/>
      <c r="S135" s="599"/>
      <c r="T135" s="1096">
        <f t="shared" si="11"/>
        <v>0</v>
      </c>
      <c r="U135" s="599">
        <v>0</v>
      </c>
      <c r="V135" s="1407">
        <f t="shared" si="10"/>
        <v>0</v>
      </c>
      <c r="W135" s="599">
        <f t="shared" si="14"/>
        <v>0</v>
      </c>
      <c r="X135" s="620"/>
      <c r="Y135" s="621"/>
      <c r="Z135" s="1096">
        <f t="shared" si="15"/>
        <v>0</v>
      </c>
      <c r="AA135" s="882">
        <f t="shared" si="16"/>
        <v>0</v>
      </c>
    </row>
    <row r="136" spans="1:27" ht="27" hidden="1" customHeight="1">
      <c r="A136" s="583"/>
      <c r="B136" s="583">
        <v>428</v>
      </c>
      <c r="C136" s="581">
        <v>11</v>
      </c>
      <c r="D136" s="582" t="s">
        <v>210</v>
      </c>
      <c r="E136" s="1138" t="s">
        <v>211</v>
      </c>
      <c r="F136" s="1829">
        <v>239309486</v>
      </c>
      <c r="G136" s="1826"/>
      <c r="H136" s="2096"/>
      <c r="I136" s="599"/>
      <c r="J136" s="2065"/>
      <c r="K136" s="2096"/>
      <c r="L136" s="599"/>
      <c r="M136" s="2065"/>
      <c r="N136" s="599"/>
      <c r="O136" s="1097"/>
      <c r="P136" s="1097"/>
      <c r="Q136" s="599"/>
      <c r="R136" s="599"/>
      <c r="S136" s="599"/>
      <c r="T136" s="1096">
        <f t="shared" si="11"/>
        <v>239309486</v>
      </c>
      <c r="U136" s="599">
        <v>205955486</v>
      </c>
      <c r="V136" s="1407">
        <f t="shared" ref="V136:V199" si="17">ROUND((T136/1000000),0)</f>
        <v>239</v>
      </c>
      <c r="W136" s="599">
        <f t="shared" si="14"/>
        <v>206</v>
      </c>
      <c r="X136" s="620"/>
      <c r="Y136" s="621"/>
      <c r="Z136" s="1096">
        <f t="shared" si="15"/>
        <v>239309486</v>
      </c>
      <c r="AA136" s="882">
        <f t="shared" si="16"/>
        <v>239</v>
      </c>
    </row>
    <row r="137" spans="1:27" ht="27" hidden="1" customHeight="1">
      <c r="A137" s="583"/>
      <c r="B137" s="583">
        <v>406</v>
      </c>
      <c r="C137" s="581">
        <v>11</v>
      </c>
      <c r="D137" s="582" t="s">
        <v>407</v>
      </c>
      <c r="E137" s="1138" t="s">
        <v>408</v>
      </c>
      <c r="F137" s="1829">
        <v>199100360</v>
      </c>
      <c r="G137" s="1826"/>
      <c r="H137" s="2096"/>
      <c r="I137" s="599"/>
      <c r="J137" s="2066"/>
      <c r="K137" s="599"/>
      <c r="L137" s="599"/>
      <c r="M137" s="2065"/>
      <c r="N137" s="599"/>
      <c r="O137" s="1097"/>
      <c r="P137" s="1097"/>
      <c r="Q137" s="599"/>
      <c r="R137" s="599"/>
      <c r="S137" s="599"/>
      <c r="T137" s="1096">
        <f t="shared" si="11"/>
        <v>199100360</v>
      </c>
      <c r="U137" s="599">
        <v>199100360</v>
      </c>
      <c r="V137" s="1407">
        <f t="shared" si="17"/>
        <v>199</v>
      </c>
      <c r="W137" s="599">
        <f t="shared" si="14"/>
        <v>199</v>
      </c>
      <c r="X137" s="620"/>
      <c r="Y137" s="621"/>
      <c r="Z137" s="1096">
        <f t="shared" si="15"/>
        <v>199100360</v>
      </c>
      <c r="AA137" s="882">
        <f t="shared" si="16"/>
        <v>199</v>
      </c>
    </row>
    <row r="138" spans="1:27" ht="27" hidden="1" customHeight="1">
      <c r="A138" s="583"/>
      <c r="B138" s="583">
        <v>1032</v>
      </c>
      <c r="C138" s="581">
        <v>17</v>
      </c>
      <c r="D138" s="582" t="s">
        <v>1836</v>
      </c>
      <c r="E138" s="1138" t="s">
        <v>1825</v>
      </c>
      <c r="F138" s="1830"/>
      <c r="G138" s="1826"/>
      <c r="H138" s="2096"/>
      <c r="I138" s="2096"/>
      <c r="J138" s="2065"/>
      <c r="K138" s="2080"/>
      <c r="L138" s="599"/>
      <c r="M138" s="2065"/>
      <c r="N138" s="599"/>
      <c r="O138" s="1097"/>
      <c r="P138" s="1097"/>
      <c r="Q138" s="599"/>
      <c r="R138" s="599"/>
      <c r="S138" s="599"/>
      <c r="T138" s="1096">
        <f t="shared" si="11"/>
        <v>0</v>
      </c>
      <c r="U138" s="599">
        <v>0</v>
      </c>
      <c r="V138" s="1407">
        <f t="shared" si="17"/>
        <v>0</v>
      </c>
      <c r="W138" s="599">
        <f t="shared" si="14"/>
        <v>0</v>
      </c>
      <c r="X138" s="620"/>
      <c r="Y138" s="621"/>
      <c r="Z138" s="1096">
        <f t="shared" si="15"/>
        <v>0</v>
      </c>
      <c r="AA138" s="882">
        <f t="shared" si="16"/>
        <v>0</v>
      </c>
    </row>
    <row r="139" spans="1:27" ht="27" hidden="1" customHeight="1">
      <c r="A139" s="583"/>
      <c r="B139" s="583">
        <v>406</v>
      </c>
      <c r="C139" s="581">
        <v>11</v>
      </c>
      <c r="D139" s="582" t="s">
        <v>715</v>
      </c>
      <c r="E139" s="1138" t="s">
        <v>716</v>
      </c>
      <c r="F139" s="1826">
        <v>-708652981</v>
      </c>
      <c r="G139" s="1828">
        <v>-231475161</v>
      </c>
      <c r="H139" s="2134">
        <v>-224996161</v>
      </c>
      <c r="I139" s="599">
        <v>1496826065</v>
      </c>
      <c r="J139" s="2065"/>
      <c r="K139" s="1918"/>
      <c r="L139" s="599"/>
      <c r="M139" s="2065"/>
      <c r="N139" s="599"/>
      <c r="O139" s="1097"/>
      <c r="P139" s="1097"/>
      <c r="Q139" s="599"/>
      <c r="R139" s="599"/>
      <c r="S139" s="599"/>
      <c r="T139" s="1096">
        <f t="shared" ref="T139:T202" si="18">SUM(F139:S139)</f>
        <v>331701762</v>
      </c>
      <c r="U139" s="599">
        <v>186224887</v>
      </c>
      <c r="V139" s="1407">
        <f t="shared" si="17"/>
        <v>332</v>
      </c>
      <c r="W139" s="599">
        <f t="shared" si="14"/>
        <v>186</v>
      </c>
      <c r="X139" s="620"/>
      <c r="Y139" s="621"/>
      <c r="Z139" s="1096">
        <f t="shared" ref="Z139" si="19">T139+Y139-X139</f>
        <v>331701762</v>
      </c>
      <c r="AA139" s="882">
        <f t="shared" ref="AA139" si="20">ROUND((Z139/1000000),0)</f>
        <v>332</v>
      </c>
    </row>
    <row r="140" spans="1:27" ht="27" hidden="1" customHeight="1">
      <c r="A140" s="583">
        <v>3214</v>
      </c>
      <c r="B140" s="583">
        <v>406</v>
      </c>
      <c r="C140" s="581">
        <v>11</v>
      </c>
      <c r="D140" s="582" t="s">
        <v>2145</v>
      </c>
      <c r="E140" s="1138" t="s">
        <v>2146</v>
      </c>
      <c r="F140" s="1829"/>
      <c r="G140" s="1833"/>
      <c r="H140" s="2132"/>
      <c r="I140" s="599"/>
      <c r="J140" s="2066"/>
      <c r="K140" s="2065">
        <v>160000000</v>
      </c>
      <c r="L140" s="599"/>
      <c r="M140" s="2065"/>
      <c r="N140" s="599"/>
      <c r="O140" s="1097"/>
      <c r="P140" s="1097"/>
      <c r="Q140" s="599"/>
      <c r="R140" s="599"/>
      <c r="S140" s="599"/>
      <c r="T140" s="1096">
        <f t="shared" si="18"/>
        <v>160000000</v>
      </c>
      <c r="U140" s="599">
        <v>160000000</v>
      </c>
      <c r="V140" s="1407">
        <f t="shared" si="17"/>
        <v>160</v>
      </c>
      <c r="W140" s="599">
        <f t="shared" si="14"/>
        <v>160</v>
      </c>
      <c r="X140" s="620"/>
      <c r="Y140" s="621"/>
      <c r="Z140" s="1096"/>
      <c r="AA140" s="882"/>
    </row>
    <row r="141" spans="1:27" ht="27" hidden="1" customHeight="1">
      <c r="A141" s="2062"/>
      <c r="B141" s="2062">
        <v>406</v>
      </c>
      <c r="C141" s="2063">
        <v>11</v>
      </c>
      <c r="D141" s="2073" t="s">
        <v>1639</v>
      </c>
      <c r="E141" s="2074" t="s">
        <v>1638</v>
      </c>
      <c r="F141" s="2076">
        <v>428094473</v>
      </c>
      <c r="G141" s="2075">
        <v>77388403009</v>
      </c>
      <c r="H141" s="2131">
        <v>-77593497482</v>
      </c>
      <c r="I141" s="599"/>
      <c r="J141" s="2081"/>
      <c r="K141" s="2096"/>
      <c r="L141" s="2096"/>
      <c r="M141" s="2096"/>
      <c r="N141" s="2096"/>
      <c r="O141" s="2079"/>
      <c r="P141" s="2066"/>
      <c r="Q141" s="2065"/>
      <c r="R141" s="2065"/>
      <c r="S141" s="2065"/>
      <c r="T141" s="2069">
        <f t="shared" si="18"/>
        <v>223000000</v>
      </c>
      <c r="U141" s="2065">
        <v>155000000</v>
      </c>
      <c r="V141" s="1407">
        <f t="shared" si="17"/>
        <v>223</v>
      </c>
      <c r="W141" s="599">
        <f t="shared" ref="W141:W204" si="21">ROUND((U141/1000000),0)</f>
        <v>155</v>
      </c>
      <c r="X141" s="2067"/>
      <c r="Y141" s="2068"/>
      <c r="Z141" s="2069">
        <f t="shared" ref="Z141:Z172" si="22">T141+Y141-X141</f>
        <v>223000000</v>
      </c>
      <c r="AA141" s="2070">
        <f t="shared" ref="AA141:AA172" si="23">ROUND((Z141/1000000),0)</f>
        <v>223</v>
      </c>
    </row>
    <row r="142" spans="1:27" ht="27" hidden="1" customHeight="1">
      <c r="A142" s="583"/>
      <c r="B142" s="583">
        <v>1018</v>
      </c>
      <c r="C142" s="581">
        <v>17</v>
      </c>
      <c r="D142" s="582" t="s">
        <v>1347</v>
      </c>
      <c r="E142" s="1138" t="s">
        <v>1348</v>
      </c>
      <c r="F142" s="1826"/>
      <c r="G142" s="1826"/>
      <c r="H142" s="2096"/>
      <c r="I142" s="599"/>
      <c r="J142" s="2066"/>
      <c r="K142" s="2096"/>
      <c r="L142" s="2096"/>
      <c r="M142" s="2096"/>
      <c r="N142" s="2096"/>
      <c r="O142" s="2079"/>
      <c r="P142" s="1097"/>
      <c r="Q142" s="599"/>
      <c r="R142" s="599"/>
      <c r="S142" s="599"/>
      <c r="T142" s="1096">
        <f t="shared" si="18"/>
        <v>0</v>
      </c>
      <c r="U142" s="599">
        <v>0</v>
      </c>
      <c r="V142" s="1407">
        <f t="shared" si="17"/>
        <v>0</v>
      </c>
      <c r="W142" s="599">
        <f t="shared" si="21"/>
        <v>0</v>
      </c>
      <c r="X142" s="620"/>
      <c r="Y142" s="621"/>
      <c r="Z142" s="1096">
        <f t="shared" si="22"/>
        <v>0</v>
      </c>
      <c r="AA142" s="882">
        <f t="shared" si="23"/>
        <v>0</v>
      </c>
    </row>
    <row r="143" spans="1:27" ht="27" hidden="1" customHeight="1">
      <c r="A143" s="583"/>
      <c r="B143" s="583">
        <v>1018</v>
      </c>
      <c r="C143" s="581">
        <v>17</v>
      </c>
      <c r="D143" s="582" t="s">
        <v>764</v>
      </c>
      <c r="E143" s="1138" t="s">
        <v>824</v>
      </c>
      <c r="F143" s="1826"/>
      <c r="G143" s="1833"/>
      <c r="H143" s="599"/>
      <c r="I143" s="599"/>
      <c r="J143" s="2066"/>
      <c r="K143" s="1918"/>
      <c r="L143" s="599"/>
      <c r="M143" s="2065"/>
      <c r="N143" s="599"/>
      <c r="O143" s="2079"/>
      <c r="P143" s="1097"/>
      <c r="Q143" s="599"/>
      <c r="R143" s="599"/>
      <c r="S143" s="599"/>
      <c r="T143" s="1096">
        <f t="shared" si="18"/>
        <v>0</v>
      </c>
      <c r="U143" s="599">
        <v>0</v>
      </c>
      <c r="V143" s="1407">
        <f t="shared" si="17"/>
        <v>0</v>
      </c>
      <c r="W143" s="599">
        <f t="shared" si="21"/>
        <v>0</v>
      </c>
      <c r="X143" s="620"/>
      <c r="Y143" s="621"/>
      <c r="Z143" s="1096">
        <f t="shared" si="22"/>
        <v>0</v>
      </c>
      <c r="AA143" s="882">
        <f t="shared" si="23"/>
        <v>0</v>
      </c>
    </row>
    <row r="144" spans="1:27" ht="27" hidden="1" customHeight="1">
      <c r="A144" s="583"/>
      <c r="B144" s="583">
        <v>1018</v>
      </c>
      <c r="C144" s="581">
        <v>17</v>
      </c>
      <c r="D144" s="582" t="s">
        <v>30</v>
      </c>
      <c r="E144" s="1138" t="s">
        <v>31</v>
      </c>
      <c r="F144" s="1826"/>
      <c r="G144" s="1826"/>
      <c r="H144" s="599"/>
      <c r="I144" s="599"/>
      <c r="J144" s="2066"/>
      <c r="K144" s="599"/>
      <c r="L144" s="599"/>
      <c r="M144" s="2065"/>
      <c r="N144" s="599"/>
      <c r="O144" s="1097"/>
      <c r="P144" s="1097"/>
      <c r="Q144" s="599"/>
      <c r="R144" s="599"/>
      <c r="S144" s="599"/>
      <c r="T144" s="1096">
        <f t="shared" si="18"/>
        <v>0</v>
      </c>
      <c r="U144" s="599">
        <v>0</v>
      </c>
      <c r="V144" s="1407">
        <f t="shared" si="17"/>
        <v>0</v>
      </c>
      <c r="W144" s="599">
        <f t="shared" si="21"/>
        <v>0</v>
      </c>
      <c r="X144" s="620"/>
      <c r="Y144" s="621"/>
      <c r="Z144" s="1096">
        <f t="shared" si="22"/>
        <v>0</v>
      </c>
      <c r="AA144" s="882">
        <f t="shared" si="23"/>
        <v>0</v>
      </c>
    </row>
    <row r="145" spans="1:27" ht="27" hidden="1" customHeight="1">
      <c r="A145" s="583"/>
      <c r="B145" s="583">
        <v>428</v>
      </c>
      <c r="C145" s="581">
        <v>11</v>
      </c>
      <c r="D145" s="582" t="s">
        <v>535</v>
      </c>
      <c r="E145" s="1138" t="s">
        <v>64</v>
      </c>
      <c r="F145" s="1829">
        <v>66708000</v>
      </c>
      <c r="G145" s="1826"/>
      <c r="H145" s="599"/>
      <c r="I145" s="599"/>
      <c r="J145" s="2065"/>
      <c r="K145" s="599">
        <v>-66708000</v>
      </c>
      <c r="L145" s="599"/>
      <c r="M145" s="2065"/>
      <c r="N145" s="599"/>
      <c r="O145" s="1097"/>
      <c r="P145" s="1097"/>
      <c r="Q145" s="599"/>
      <c r="R145" s="599"/>
      <c r="S145" s="599"/>
      <c r="T145" s="1096">
        <f t="shared" si="18"/>
        <v>0</v>
      </c>
      <c r="U145" s="599">
        <v>100062000</v>
      </c>
      <c r="V145" s="1407">
        <f t="shared" si="17"/>
        <v>0</v>
      </c>
      <c r="W145" s="599">
        <f t="shared" si="21"/>
        <v>100</v>
      </c>
      <c r="X145" s="620"/>
      <c r="Y145" s="621"/>
      <c r="Z145" s="1096">
        <f t="shared" si="22"/>
        <v>0</v>
      </c>
      <c r="AA145" s="882">
        <f t="shared" si="23"/>
        <v>0</v>
      </c>
    </row>
    <row r="146" spans="1:27" ht="27" hidden="1" customHeight="1">
      <c r="A146" s="583"/>
      <c r="B146" s="583">
        <v>1018</v>
      </c>
      <c r="C146" s="581">
        <v>17</v>
      </c>
      <c r="D146" s="582" t="s">
        <v>97</v>
      </c>
      <c r="E146" s="1138" t="s">
        <v>95</v>
      </c>
      <c r="F146" s="1826"/>
      <c r="G146" s="1826"/>
      <c r="H146" s="2096"/>
      <c r="I146" s="2096"/>
      <c r="J146" s="2066"/>
      <c r="K146" s="2065"/>
      <c r="L146" s="2096"/>
      <c r="M146" s="2096"/>
      <c r="N146" s="599"/>
      <c r="O146" s="2079"/>
      <c r="P146" s="1097"/>
      <c r="Q146" s="599"/>
      <c r="R146" s="599"/>
      <c r="S146" s="599"/>
      <c r="T146" s="1096">
        <f t="shared" si="18"/>
        <v>0</v>
      </c>
      <c r="U146" s="599">
        <v>0</v>
      </c>
      <c r="V146" s="1407">
        <f t="shared" si="17"/>
        <v>0</v>
      </c>
      <c r="W146" s="599">
        <f t="shared" si="21"/>
        <v>0</v>
      </c>
      <c r="X146" s="620"/>
      <c r="Y146" s="621"/>
      <c r="Z146" s="1096">
        <f t="shared" si="22"/>
        <v>0</v>
      </c>
      <c r="AA146" s="882">
        <f t="shared" si="23"/>
        <v>0</v>
      </c>
    </row>
    <row r="147" spans="1:27" ht="27" hidden="1" customHeight="1">
      <c r="A147" s="583"/>
      <c r="B147" s="583">
        <v>1018</v>
      </c>
      <c r="C147" s="581">
        <v>17</v>
      </c>
      <c r="D147" s="582" t="s">
        <v>471</v>
      </c>
      <c r="E147" s="1138" t="s">
        <v>98</v>
      </c>
      <c r="F147" s="1826"/>
      <c r="G147" s="1826"/>
      <c r="H147" s="599"/>
      <c r="I147" s="599"/>
      <c r="J147" s="2066"/>
      <c r="K147" s="2065"/>
      <c r="L147" s="2546"/>
      <c r="M147" s="1867"/>
      <c r="N147" s="599"/>
      <c r="O147" s="1097"/>
      <c r="P147" s="1097"/>
      <c r="Q147" s="599"/>
      <c r="R147" s="599"/>
      <c r="S147" s="599"/>
      <c r="T147" s="1096">
        <f t="shared" si="18"/>
        <v>0</v>
      </c>
      <c r="U147" s="599">
        <v>0</v>
      </c>
      <c r="V147" s="1407">
        <f t="shared" si="17"/>
        <v>0</v>
      </c>
      <c r="W147" s="599">
        <f t="shared" si="21"/>
        <v>0</v>
      </c>
      <c r="X147" s="620"/>
      <c r="Y147" s="621"/>
      <c r="Z147" s="1096">
        <f t="shared" si="22"/>
        <v>0</v>
      </c>
      <c r="AA147" s="882">
        <f t="shared" si="23"/>
        <v>0</v>
      </c>
    </row>
    <row r="148" spans="1:27" ht="27" hidden="1" customHeight="1">
      <c r="A148" s="583"/>
      <c r="B148" s="583">
        <v>1018</v>
      </c>
      <c r="C148" s="581">
        <v>17</v>
      </c>
      <c r="D148" s="582" t="s">
        <v>1262</v>
      </c>
      <c r="E148" s="1138" t="s">
        <v>1263</v>
      </c>
      <c r="F148" s="1829">
        <v>-1565262618</v>
      </c>
      <c r="G148" s="1826">
        <v>39540971818</v>
      </c>
      <c r="H148" s="2129">
        <v>-40164097418</v>
      </c>
      <c r="I148" s="599"/>
      <c r="J148" s="2066">
        <v>2012660658</v>
      </c>
      <c r="K148" s="599">
        <v>-15200000</v>
      </c>
      <c r="L148" s="599"/>
      <c r="M148" s="2065"/>
      <c r="N148" s="599"/>
      <c r="O148" s="1097"/>
      <c r="P148" s="1097"/>
      <c r="Q148" s="599"/>
      <c r="R148" s="599"/>
      <c r="S148" s="599"/>
      <c r="T148" s="1096">
        <f t="shared" si="18"/>
        <v>-190927560</v>
      </c>
      <c r="U148" s="599">
        <v>99024840</v>
      </c>
      <c r="V148" s="1407">
        <f t="shared" si="17"/>
        <v>-191</v>
      </c>
      <c r="W148" s="599">
        <f t="shared" si="21"/>
        <v>99</v>
      </c>
      <c r="X148" s="620"/>
      <c r="Y148" s="621"/>
      <c r="Z148" s="1096">
        <f t="shared" si="22"/>
        <v>-190927560</v>
      </c>
      <c r="AA148" s="882">
        <f t="shared" si="23"/>
        <v>-191</v>
      </c>
    </row>
    <row r="149" spans="1:27" ht="27" hidden="1" customHeight="1">
      <c r="A149" s="583"/>
      <c r="B149" s="583">
        <v>1018</v>
      </c>
      <c r="C149" s="581">
        <v>17</v>
      </c>
      <c r="D149" s="582" t="s">
        <v>571</v>
      </c>
      <c r="E149" s="1138" t="s">
        <v>2120</v>
      </c>
      <c r="F149" s="1829">
        <v>91560000</v>
      </c>
      <c r="G149" s="1826"/>
      <c r="H149" s="599"/>
      <c r="I149" s="599"/>
      <c r="J149" s="2065"/>
      <c r="K149" s="2096">
        <v>-1055687960</v>
      </c>
      <c r="L149" s="599"/>
      <c r="M149" s="2065"/>
      <c r="N149" s="599"/>
      <c r="O149" s="1097"/>
      <c r="P149" s="1097"/>
      <c r="Q149" s="599"/>
      <c r="R149" s="599"/>
      <c r="S149" s="599"/>
      <c r="T149" s="1096">
        <f t="shared" si="18"/>
        <v>-964127960</v>
      </c>
      <c r="U149" s="599">
        <v>91560000</v>
      </c>
      <c r="V149" s="1407">
        <f t="shared" si="17"/>
        <v>-964</v>
      </c>
      <c r="W149" s="599">
        <f t="shared" si="21"/>
        <v>92</v>
      </c>
      <c r="X149" s="620"/>
      <c r="Y149" s="621"/>
      <c r="Z149" s="1096">
        <f t="shared" si="22"/>
        <v>-964127960</v>
      </c>
      <c r="AA149" s="882">
        <f t="shared" si="23"/>
        <v>-964</v>
      </c>
    </row>
    <row r="150" spans="1:27" ht="27" hidden="1" customHeight="1">
      <c r="A150" s="583"/>
      <c r="B150" s="583">
        <v>428</v>
      </c>
      <c r="C150" s="581">
        <v>11</v>
      </c>
      <c r="D150" s="582" t="s">
        <v>884</v>
      </c>
      <c r="E150" s="1138" t="s">
        <v>885</v>
      </c>
      <c r="F150" s="1829">
        <v>116739000</v>
      </c>
      <c r="G150" s="1826"/>
      <c r="H150" s="599"/>
      <c r="I150" s="599"/>
      <c r="J150" s="2065"/>
      <c r="K150" s="599"/>
      <c r="L150" s="599"/>
      <c r="M150" s="2065"/>
      <c r="N150" s="599"/>
      <c r="O150" s="1097"/>
      <c r="P150" s="1097"/>
      <c r="Q150" s="599"/>
      <c r="R150" s="599"/>
      <c r="S150" s="599"/>
      <c r="T150" s="1096">
        <f t="shared" si="18"/>
        <v>116739000</v>
      </c>
      <c r="U150" s="599">
        <v>83385000</v>
      </c>
      <c r="V150" s="1407">
        <f t="shared" si="17"/>
        <v>117</v>
      </c>
      <c r="W150" s="599">
        <f t="shared" si="21"/>
        <v>83</v>
      </c>
      <c r="X150" s="620"/>
      <c r="Y150" s="621"/>
      <c r="Z150" s="1096">
        <f t="shared" si="22"/>
        <v>116739000</v>
      </c>
      <c r="AA150" s="882">
        <f t="shared" si="23"/>
        <v>117</v>
      </c>
    </row>
    <row r="151" spans="1:27" ht="27" hidden="1" customHeight="1">
      <c r="A151" s="583"/>
      <c r="B151" s="583">
        <v>1018</v>
      </c>
      <c r="C151" s="581">
        <v>17</v>
      </c>
      <c r="D151" s="582" t="s">
        <v>100</v>
      </c>
      <c r="E151" s="1138" t="s">
        <v>1653</v>
      </c>
      <c r="F151" s="1826"/>
      <c r="G151" s="1826"/>
      <c r="H151" s="2096"/>
      <c r="I151" s="599"/>
      <c r="J151" s="2066"/>
      <c r="K151" s="599"/>
      <c r="L151" s="599"/>
      <c r="M151" s="2065"/>
      <c r="N151" s="599"/>
      <c r="O151" s="1097"/>
      <c r="P151" s="1097"/>
      <c r="Q151" s="599"/>
      <c r="R151" s="599"/>
      <c r="S151" s="599"/>
      <c r="T151" s="1096">
        <f t="shared" si="18"/>
        <v>0</v>
      </c>
      <c r="U151" s="599">
        <v>0</v>
      </c>
      <c r="V151" s="1407">
        <f t="shared" si="17"/>
        <v>0</v>
      </c>
      <c r="W151" s="599">
        <f t="shared" si="21"/>
        <v>0</v>
      </c>
      <c r="X151" s="620"/>
      <c r="Y151" s="621"/>
      <c r="Z151" s="1096">
        <f t="shared" si="22"/>
        <v>0</v>
      </c>
      <c r="AA151" s="882">
        <f t="shared" si="23"/>
        <v>0</v>
      </c>
    </row>
    <row r="152" spans="1:27" ht="27" hidden="1" customHeight="1">
      <c r="A152" s="583"/>
      <c r="B152" s="583">
        <v>406</v>
      </c>
      <c r="C152" s="581">
        <v>11</v>
      </c>
      <c r="D152" s="1825" t="s">
        <v>355</v>
      </c>
      <c r="E152" s="1138" t="s">
        <v>356</v>
      </c>
      <c r="F152" s="599">
        <v>78800606</v>
      </c>
      <c r="G152" s="1826"/>
      <c r="H152" s="2096"/>
      <c r="I152" s="599"/>
      <c r="J152" s="2066"/>
      <c r="K152" s="599"/>
      <c r="L152" s="599"/>
      <c r="M152" s="2065"/>
      <c r="N152" s="599"/>
      <c r="O152" s="1097"/>
      <c r="P152" s="1097"/>
      <c r="Q152" s="599"/>
      <c r="R152" s="599"/>
      <c r="S152" s="599"/>
      <c r="T152" s="1096">
        <f t="shared" si="18"/>
        <v>78800606</v>
      </c>
      <c r="U152" s="599">
        <v>78800606</v>
      </c>
      <c r="V152" s="1407">
        <f t="shared" si="17"/>
        <v>79</v>
      </c>
      <c r="W152" s="599">
        <f t="shared" si="21"/>
        <v>79</v>
      </c>
      <c r="X152" s="620"/>
      <c r="Y152" s="621"/>
      <c r="Z152" s="1096">
        <f t="shared" si="22"/>
        <v>78800606</v>
      </c>
      <c r="AA152" s="882">
        <f t="shared" si="23"/>
        <v>79</v>
      </c>
    </row>
    <row r="153" spans="1:27" ht="27" hidden="1" customHeight="1">
      <c r="A153" s="583"/>
      <c r="B153" s="583">
        <v>1018</v>
      </c>
      <c r="C153" s="581">
        <v>17</v>
      </c>
      <c r="D153" s="582" t="s">
        <v>1369</v>
      </c>
      <c r="E153" s="1138" t="s">
        <v>1654</v>
      </c>
      <c r="F153" s="1826"/>
      <c r="G153" s="1826"/>
      <c r="H153" s="2096"/>
      <c r="I153" s="599"/>
      <c r="J153" s="2066"/>
      <c r="K153" s="599"/>
      <c r="L153" s="599"/>
      <c r="M153" s="2065"/>
      <c r="N153" s="599"/>
      <c r="O153" s="1097"/>
      <c r="P153" s="1097"/>
      <c r="Q153" s="599"/>
      <c r="R153" s="599"/>
      <c r="S153" s="599"/>
      <c r="T153" s="1096">
        <f t="shared" si="18"/>
        <v>0</v>
      </c>
      <c r="U153" s="599">
        <v>0</v>
      </c>
      <c r="V153" s="1407">
        <f t="shared" si="17"/>
        <v>0</v>
      </c>
      <c r="W153" s="599">
        <f t="shared" si="21"/>
        <v>0</v>
      </c>
      <c r="X153" s="620"/>
      <c r="Y153" s="621"/>
      <c r="Z153" s="1096">
        <f t="shared" si="22"/>
        <v>0</v>
      </c>
      <c r="AA153" s="882">
        <f t="shared" si="23"/>
        <v>0</v>
      </c>
    </row>
    <row r="154" spans="1:27" ht="27" hidden="1" customHeight="1">
      <c r="A154" s="583"/>
      <c r="B154" s="583">
        <v>428</v>
      </c>
      <c r="C154" s="581">
        <v>11</v>
      </c>
      <c r="D154" s="582" t="s">
        <v>1834</v>
      </c>
      <c r="E154" s="1138" t="s">
        <v>1828</v>
      </c>
      <c r="F154" s="1829">
        <v>130800000</v>
      </c>
      <c r="G154" s="1826"/>
      <c r="H154" s="599"/>
      <c r="I154" s="599"/>
      <c r="J154" s="2065"/>
      <c r="K154" s="599"/>
      <c r="L154" s="599"/>
      <c r="M154" s="2065"/>
      <c r="N154" s="599"/>
      <c r="O154" s="1097"/>
      <c r="P154" s="1097"/>
      <c r="Q154" s="599"/>
      <c r="R154" s="599"/>
      <c r="S154" s="599"/>
      <c r="T154" s="1096">
        <f t="shared" si="18"/>
        <v>130800000</v>
      </c>
      <c r="U154" s="599">
        <v>78480000</v>
      </c>
      <c r="V154" s="1407">
        <f t="shared" si="17"/>
        <v>131</v>
      </c>
      <c r="W154" s="599">
        <f t="shared" si="21"/>
        <v>78</v>
      </c>
      <c r="X154" s="620"/>
      <c r="Y154" s="621"/>
      <c r="Z154" s="1096">
        <f t="shared" si="22"/>
        <v>130800000</v>
      </c>
      <c r="AA154" s="882">
        <f t="shared" si="23"/>
        <v>131</v>
      </c>
    </row>
    <row r="155" spans="1:27" ht="27" hidden="1" customHeight="1">
      <c r="A155" s="583"/>
      <c r="B155" s="583">
        <v>428</v>
      </c>
      <c r="C155" s="581">
        <v>11</v>
      </c>
      <c r="D155" s="582" t="s">
        <v>412</v>
      </c>
      <c r="E155" s="1138" t="s">
        <v>17</v>
      </c>
      <c r="F155" s="1829">
        <v>-715060208</v>
      </c>
      <c r="G155" s="1826"/>
      <c r="H155" s="2128"/>
      <c r="I155" s="599"/>
      <c r="J155" s="2065">
        <v>937440000</v>
      </c>
      <c r="K155" s="599"/>
      <c r="L155" s="599"/>
      <c r="M155" s="2065"/>
      <c r="N155" s="599"/>
      <c r="O155" s="1097"/>
      <c r="P155" s="1097"/>
      <c r="Q155" s="599"/>
      <c r="R155" s="599"/>
      <c r="S155" s="599"/>
      <c r="T155" s="1096">
        <f t="shared" si="18"/>
        <v>222379792</v>
      </c>
      <c r="U155" s="599">
        <v>72680601</v>
      </c>
      <c r="V155" s="1407">
        <f t="shared" si="17"/>
        <v>222</v>
      </c>
      <c r="W155" s="599">
        <f t="shared" si="21"/>
        <v>73</v>
      </c>
      <c r="X155" s="620"/>
      <c r="Y155" s="621"/>
      <c r="Z155" s="1096">
        <f t="shared" si="22"/>
        <v>222379792</v>
      </c>
      <c r="AA155" s="882">
        <f t="shared" si="23"/>
        <v>222</v>
      </c>
    </row>
    <row r="156" spans="1:27" ht="27" hidden="1" customHeight="1">
      <c r="A156" s="583"/>
      <c r="B156" s="583">
        <v>406</v>
      </c>
      <c r="C156" s="581">
        <v>11</v>
      </c>
      <c r="D156" s="582" t="s">
        <v>489</v>
      </c>
      <c r="E156" s="1138" t="s">
        <v>855</v>
      </c>
      <c r="F156" s="1829">
        <v>71320783</v>
      </c>
      <c r="G156" s="1826"/>
      <c r="H156" s="599"/>
      <c r="I156" s="599"/>
      <c r="J156" s="2065"/>
      <c r="K156" s="599"/>
      <c r="L156" s="599"/>
      <c r="M156" s="2065"/>
      <c r="N156" s="599"/>
      <c r="O156" s="1097"/>
      <c r="P156" s="1097"/>
      <c r="Q156" s="599"/>
      <c r="R156" s="599"/>
      <c r="S156" s="599"/>
      <c r="T156" s="1096">
        <f t="shared" si="18"/>
        <v>71320783</v>
      </c>
      <c r="U156" s="599">
        <v>71320783</v>
      </c>
      <c r="V156" s="1407">
        <f t="shared" si="17"/>
        <v>71</v>
      </c>
      <c r="W156" s="599">
        <f t="shared" si="21"/>
        <v>71</v>
      </c>
      <c r="X156" s="620"/>
      <c r="Y156" s="621"/>
      <c r="Z156" s="1096">
        <f t="shared" si="22"/>
        <v>71320783</v>
      </c>
      <c r="AA156" s="882">
        <f t="shared" si="23"/>
        <v>71</v>
      </c>
    </row>
    <row r="157" spans="1:27" ht="27" hidden="1" customHeight="1">
      <c r="A157" s="583"/>
      <c r="B157" s="583">
        <v>428</v>
      </c>
      <c r="C157" s="581">
        <v>11</v>
      </c>
      <c r="D157" s="582" t="s">
        <v>1177</v>
      </c>
      <c r="E157" s="1138" t="s">
        <v>1178</v>
      </c>
      <c r="F157" s="1829">
        <v>100062000</v>
      </c>
      <c r="G157" s="1826"/>
      <c r="H157" s="599"/>
      <c r="I157" s="599"/>
      <c r="J157" s="2065"/>
      <c r="K157" s="599"/>
      <c r="L157" s="599"/>
      <c r="M157" s="2065"/>
      <c r="N157" s="599"/>
      <c r="O157" s="1097"/>
      <c r="P157" s="1097"/>
      <c r="Q157" s="599"/>
      <c r="R157" s="599"/>
      <c r="S157" s="599"/>
      <c r="T157" s="1096">
        <f t="shared" si="18"/>
        <v>100062000</v>
      </c>
      <c r="U157" s="599">
        <v>66708000</v>
      </c>
      <c r="V157" s="1407">
        <f t="shared" si="17"/>
        <v>100</v>
      </c>
      <c r="W157" s="599">
        <f t="shared" si="21"/>
        <v>67</v>
      </c>
      <c r="X157" s="620"/>
      <c r="Y157" s="621"/>
      <c r="Z157" s="1096">
        <f t="shared" si="22"/>
        <v>100062000</v>
      </c>
      <c r="AA157" s="882">
        <f t="shared" si="23"/>
        <v>100</v>
      </c>
    </row>
    <row r="158" spans="1:27" ht="27" hidden="1" customHeight="1">
      <c r="A158" s="583"/>
      <c r="B158" s="583">
        <v>428</v>
      </c>
      <c r="C158" s="581">
        <v>11</v>
      </c>
      <c r="D158" s="582" t="s">
        <v>1833</v>
      </c>
      <c r="E158" s="1138" t="s">
        <v>1827</v>
      </c>
      <c r="F158" s="1829">
        <v>52320000</v>
      </c>
      <c r="G158" s="1826"/>
      <c r="H158" s="599"/>
      <c r="I158" s="599"/>
      <c r="J158" s="2065"/>
      <c r="K158" s="599"/>
      <c r="L158" s="599"/>
      <c r="M158" s="2065"/>
      <c r="N158" s="599"/>
      <c r="O158" s="1097"/>
      <c r="P158" s="1097"/>
      <c r="Q158" s="599"/>
      <c r="R158" s="599"/>
      <c r="S158" s="599"/>
      <c r="T158" s="1096">
        <f t="shared" si="18"/>
        <v>52320000</v>
      </c>
      <c r="U158" s="599">
        <v>52320000</v>
      </c>
      <c r="V158" s="1407">
        <f t="shared" si="17"/>
        <v>52</v>
      </c>
      <c r="W158" s="599">
        <f t="shared" si="21"/>
        <v>52</v>
      </c>
      <c r="X158" s="620"/>
      <c r="Y158" s="621"/>
      <c r="Z158" s="1096">
        <f t="shared" si="22"/>
        <v>52320000</v>
      </c>
      <c r="AA158" s="882">
        <f t="shared" si="23"/>
        <v>52</v>
      </c>
    </row>
    <row r="159" spans="1:27" ht="27" hidden="1" customHeight="1">
      <c r="A159" s="583"/>
      <c r="B159" s="583">
        <v>406</v>
      </c>
      <c r="C159" s="581">
        <v>11</v>
      </c>
      <c r="D159" s="582" t="s">
        <v>975</v>
      </c>
      <c r="E159" s="1138" t="s">
        <v>976</v>
      </c>
      <c r="F159" s="1829">
        <v>17265200</v>
      </c>
      <c r="G159" s="1826"/>
      <c r="H159" s="599"/>
      <c r="I159" s="599"/>
      <c r="J159" s="2065"/>
      <c r="K159" s="599"/>
      <c r="L159" s="599"/>
      <c r="M159" s="2065"/>
      <c r="N159" s="599"/>
      <c r="O159" s="1097"/>
      <c r="P159" s="1097"/>
      <c r="Q159" s="599"/>
      <c r="R159" s="599"/>
      <c r="S159" s="599"/>
      <c r="T159" s="1096">
        <f t="shared" si="18"/>
        <v>17265200</v>
      </c>
      <c r="U159" s="599">
        <v>8632800</v>
      </c>
      <c r="V159" s="1407">
        <f t="shared" si="17"/>
        <v>17</v>
      </c>
      <c r="W159" s="599">
        <f t="shared" si="21"/>
        <v>9</v>
      </c>
      <c r="X159" s="620"/>
      <c r="Y159" s="621"/>
      <c r="Z159" s="1096">
        <f t="shared" si="22"/>
        <v>17265200</v>
      </c>
      <c r="AA159" s="882">
        <f t="shared" si="23"/>
        <v>17</v>
      </c>
    </row>
    <row r="160" spans="1:27" ht="27" hidden="1" customHeight="1">
      <c r="A160" s="583"/>
      <c r="B160" s="583">
        <v>406</v>
      </c>
      <c r="C160" s="581">
        <v>11</v>
      </c>
      <c r="D160" s="582" t="s">
        <v>1004</v>
      </c>
      <c r="E160" s="1138" t="s">
        <v>1261</v>
      </c>
      <c r="F160" s="1829">
        <v>6320000</v>
      </c>
      <c r="G160" s="1826"/>
      <c r="H160" s="599"/>
      <c r="I160" s="599"/>
      <c r="J160" s="2066"/>
      <c r="K160" s="2065"/>
      <c r="L160" s="599"/>
      <c r="M160" s="2065"/>
      <c r="N160" s="599"/>
      <c r="O160" s="1097"/>
      <c r="P160" s="1097"/>
      <c r="Q160" s="599"/>
      <c r="R160" s="599"/>
      <c r="S160" s="599"/>
      <c r="T160" s="1096">
        <f t="shared" si="18"/>
        <v>6320000</v>
      </c>
      <c r="U160" s="599">
        <v>6320000</v>
      </c>
      <c r="V160" s="1407">
        <f t="shared" si="17"/>
        <v>6</v>
      </c>
      <c r="W160" s="599">
        <f t="shared" si="21"/>
        <v>6</v>
      </c>
      <c r="X160" s="620"/>
      <c r="Y160" s="621"/>
      <c r="Z160" s="1096">
        <f t="shared" si="22"/>
        <v>6320000</v>
      </c>
      <c r="AA160" s="882">
        <f t="shared" si="23"/>
        <v>6</v>
      </c>
    </row>
    <row r="161" spans="1:27" ht="27" hidden="1" customHeight="1">
      <c r="A161" s="583"/>
      <c r="B161" s="583">
        <v>406</v>
      </c>
      <c r="C161" s="581">
        <v>11</v>
      </c>
      <c r="D161" s="582" t="s">
        <v>1192</v>
      </c>
      <c r="E161" s="1138" t="s">
        <v>1193</v>
      </c>
      <c r="F161" s="1829">
        <v>3233832</v>
      </c>
      <c r="G161" s="1826"/>
      <c r="H161" s="2096"/>
      <c r="I161" s="599"/>
      <c r="J161" s="2065"/>
      <c r="K161" s="2065"/>
      <c r="L161" s="599"/>
      <c r="M161" s="2096"/>
      <c r="N161" s="2096"/>
      <c r="O161" s="1097"/>
      <c r="P161" s="1097"/>
      <c r="Q161" s="599"/>
      <c r="R161" s="599"/>
      <c r="S161" s="599"/>
      <c r="T161" s="1096">
        <f t="shared" si="18"/>
        <v>3233832</v>
      </c>
      <c r="U161" s="599">
        <v>3233832</v>
      </c>
      <c r="V161" s="1407">
        <f t="shared" si="17"/>
        <v>3</v>
      </c>
      <c r="W161" s="599">
        <f t="shared" si="21"/>
        <v>3</v>
      </c>
      <c r="X161" s="620"/>
      <c r="Y161" s="621"/>
      <c r="Z161" s="1096">
        <f t="shared" si="22"/>
        <v>3233832</v>
      </c>
      <c r="AA161" s="882">
        <f t="shared" si="23"/>
        <v>3</v>
      </c>
    </row>
    <row r="162" spans="1:27" ht="27" hidden="1" customHeight="1">
      <c r="A162" s="583"/>
      <c r="B162" s="583">
        <v>406</v>
      </c>
      <c r="C162" s="581">
        <v>11</v>
      </c>
      <c r="D162" s="582" t="s">
        <v>43</v>
      </c>
      <c r="E162" s="1138" t="s">
        <v>1002</v>
      </c>
      <c r="F162" s="1830"/>
      <c r="G162" s="1826"/>
      <c r="H162" s="2134"/>
      <c r="I162" s="2130"/>
      <c r="J162" s="2065"/>
      <c r="K162" s="599"/>
      <c r="L162" s="1918"/>
      <c r="M162" s="2080"/>
      <c r="N162" s="599"/>
      <c r="O162" s="1097"/>
      <c r="P162" s="1097"/>
      <c r="Q162" s="599"/>
      <c r="R162" s="599"/>
      <c r="S162" s="599"/>
      <c r="T162" s="1096">
        <f t="shared" si="18"/>
        <v>0</v>
      </c>
      <c r="U162" s="599">
        <v>0</v>
      </c>
      <c r="V162" s="1407">
        <f t="shared" si="17"/>
        <v>0</v>
      </c>
      <c r="W162" s="599">
        <f t="shared" si="21"/>
        <v>0</v>
      </c>
      <c r="X162" s="620"/>
      <c r="Y162" s="621"/>
      <c r="Z162" s="1096">
        <f t="shared" si="22"/>
        <v>0</v>
      </c>
      <c r="AA162" s="882">
        <f t="shared" si="23"/>
        <v>0</v>
      </c>
    </row>
    <row r="163" spans="1:27" ht="27" hidden="1" customHeight="1">
      <c r="A163" s="583"/>
      <c r="B163" s="583">
        <v>1018</v>
      </c>
      <c r="C163" s="581">
        <v>17</v>
      </c>
      <c r="D163" s="582" t="s">
        <v>913</v>
      </c>
      <c r="E163" s="1138" t="s">
        <v>1006</v>
      </c>
      <c r="F163" s="1826"/>
      <c r="G163" s="1826"/>
      <c r="H163" s="599"/>
      <c r="I163" s="599"/>
      <c r="J163" s="2066"/>
      <c r="K163" s="599"/>
      <c r="L163" s="599"/>
      <c r="M163" s="2065"/>
      <c r="N163" s="599"/>
      <c r="O163" s="1097"/>
      <c r="P163" s="1097"/>
      <c r="Q163" s="599"/>
      <c r="R163" s="599"/>
      <c r="S163" s="599"/>
      <c r="T163" s="1096">
        <f t="shared" si="18"/>
        <v>0</v>
      </c>
      <c r="U163" s="599">
        <v>0</v>
      </c>
      <c r="V163" s="1407">
        <f t="shared" si="17"/>
        <v>0</v>
      </c>
      <c r="W163" s="599">
        <f t="shared" si="21"/>
        <v>0</v>
      </c>
      <c r="X163" s="620"/>
      <c r="Y163" s="621"/>
      <c r="Z163" s="1096">
        <f t="shared" si="22"/>
        <v>0</v>
      </c>
      <c r="AA163" s="882">
        <f t="shared" si="23"/>
        <v>0</v>
      </c>
    </row>
    <row r="164" spans="1:27" ht="27" hidden="1" customHeight="1">
      <c r="A164" s="583"/>
      <c r="B164" s="583">
        <v>1018</v>
      </c>
      <c r="C164" s="581">
        <v>17</v>
      </c>
      <c r="D164" s="582">
        <v>90009681</v>
      </c>
      <c r="E164" s="1138" t="s">
        <v>2024</v>
      </c>
      <c r="F164" s="1826"/>
      <c r="G164" s="1826"/>
      <c r="H164" s="2096"/>
      <c r="I164" s="2096"/>
      <c r="J164" s="2065"/>
      <c r="K164" s="599"/>
      <c r="L164" s="2096"/>
      <c r="M164" s="2096"/>
      <c r="N164" s="2096"/>
      <c r="O164" s="1097"/>
      <c r="P164" s="1097"/>
      <c r="Q164" s="599"/>
      <c r="R164" s="599"/>
      <c r="S164" s="599"/>
      <c r="T164" s="1096">
        <f t="shared" si="18"/>
        <v>0</v>
      </c>
      <c r="U164" s="599">
        <v>0</v>
      </c>
      <c r="V164" s="1407">
        <f t="shared" si="17"/>
        <v>0</v>
      </c>
      <c r="W164" s="599">
        <f t="shared" si="21"/>
        <v>0</v>
      </c>
      <c r="X164" s="620"/>
      <c r="Y164" s="621"/>
      <c r="Z164" s="1096">
        <f t="shared" si="22"/>
        <v>0</v>
      </c>
      <c r="AA164" s="882">
        <f t="shared" si="23"/>
        <v>0</v>
      </c>
    </row>
    <row r="165" spans="1:27" ht="27" hidden="1" customHeight="1">
      <c r="A165" s="583"/>
      <c r="B165" s="583">
        <v>406</v>
      </c>
      <c r="C165" s="581">
        <v>11</v>
      </c>
      <c r="D165" s="582" t="s">
        <v>1832</v>
      </c>
      <c r="E165" s="1138" t="s">
        <v>1823</v>
      </c>
      <c r="F165" s="1826"/>
      <c r="G165" s="1826"/>
      <c r="H165" s="599"/>
      <c r="I165" s="599"/>
      <c r="J165" s="2065"/>
      <c r="K165" s="599"/>
      <c r="L165" s="599"/>
      <c r="M165" s="2065"/>
      <c r="N165" s="599"/>
      <c r="O165" s="1097"/>
      <c r="P165" s="1097"/>
      <c r="Q165" s="599"/>
      <c r="R165" s="599"/>
      <c r="S165" s="599"/>
      <c r="T165" s="1096">
        <f t="shared" si="18"/>
        <v>0</v>
      </c>
      <c r="U165" s="599">
        <v>0</v>
      </c>
      <c r="V165" s="1407">
        <f t="shared" si="17"/>
        <v>0</v>
      </c>
      <c r="W165" s="599">
        <f t="shared" si="21"/>
        <v>0</v>
      </c>
      <c r="X165" s="620"/>
      <c r="Y165" s="621"/>
      <c r="Z165" s="1096">
        <f t="shared" si="22"/>
        <v>0</v>
      </c>
      <c r="AA165" s="882">
        <f t="shared" si="23"/>
        <v>0</v>
      </c>
    </row>
    <row r="166" spans="1:27" ht="27" hidden="1" customHeight="1">
      <c r="A166" s="583"/>
      <c r="B166" s="583">
        <v>406</v>
      </c>
      <c r="C166" s="581">
        <v>11</v>
      </c>
      <c r="D166" s="582" t="s">
        <v>378</v>
      </c>
      <c r="E166" s="1138" t="s">
        <v>958</v>
      </c>
      <c r="F166" s="1826"/>
      <c r="G166" s="1826"/>
      <c r="H166" s="599"/>
      <c r="I166" s="599"/>
      <c r="J166" s="2065"/>
      <c r="K166" s="599"/>
      <c r="L166" s="599"/>
      <c r="M166" s="2065"/>
      <c r="N166" s="599"/>
      <c r="O166" s="1097"/>
      <c r="P166" s="1097"/>
      <c r="Q166" s="599"/>
      <c r="R166" s="599"/>
      <c r="S166" s="599"/>
      <c r="T166" s="1096">
        <f t="shared" si="18"/>
        <v>0</v>
      </c>
      <c r="U166" s="599">
        <v>0</v>
      </c>
      <c r="V166" s="1407">
        <f t="shared" si="17"/>
        <v>0</v>
      </c>
      <c r="W166" s="599">
        <f t="shared" si="21"/>
        <v>0</v>
      </c>
      <c r="X166" s="620"/>
      <c r="Y166" s="621"/>
      <c r="Z166" s="1096">
        <f t="shared" si="22"/>
        <v>0</v>
      </c>
      <c r="AA166" s="882">
        <f t="shared" si="23"/>
        <v>0</v>
      </c>
    </row>
    <row r="167" spans="1:27" ht="27" hidden="1" customHeight="1">
      <c r="A167" s="583"/>
      <c r="B167" s="583">
        <v>406</v>
      </c>
      <c r="C167" s="581">
        <v>11</v>
      </c>
      <c r="D167" s="582" t="s">
        <v>361</v>
      </c>
      <c r="E167" s="1138" t="s">
        <v>253</v>
      </c>
      <c r="F167" s="1826"/>
      <c r="G167" s="1826"/>
      <c r="H167" s="599"/>
      <c r="I167" s="599"/>
      <c r="J167" s="2065"/>
      <c r="K167" s="599"/>
      <c r="L167" s="599"/>
      <c r="M167" s="2065"/>
      <c r="N167" s="599"/>
      <c r="O167" s="1097"/>
      <c r="P167" s="1097"/>
      <c r="Q167" s="599"/>
      <c r="R167" s="599"/>
      <c r="S167" s="599"/>
      <c r="T167" s="1096">
        <f t="shared" si="18"/>
        <v>0</v>
      </c>
      <c r="U167" s="599">
        <v>0</v>
      </c>
      <c r="V167" s="1407">
        <f t="shared" si="17"/>
        <v>0</v>
      </c>
      <c r="W167" s="599">
        <f t="shared" si="21"/>
        <v>0</v>
      </c>
      <c r="X167" s="620"/>
      <c r="Y167" s="621"/>
      <c r="Z167" s="1096">
        <f t="shared" si="22"/>
        <v>0</v>
      </c>
      <c r="AA167" s="882">
        <f t="shared" si="23"/>
        <v>0</v>
      </c>
    </row>
    <row r="168" spans="1:27" ht="27" hidden="1" customHeight="1">
      <c r="A168" s="583"/>
      <c r="B168" s="583">
        <v>406</v>
      </c>
      <c r="C168" s="581">
        <v>11</v>
      </c>
      <c r="D168" s="582" t="s">
        <v>733</v>
      </c>
      <c r="E168" s="1138" t="s">
        <v>963</v>
      </c>
      <c r="F168" s="1826"/>
      <c r="G168" s="1826"/>
      <c r="H168" s="599"/>
      <c r="I168" s="2096"/>
      <c r="J168" s="2065"/>
      <c r="K168" s="2096"/>
      <c r="L168" s="599"/>
      <c r="M168" s="2065"/>
      <c r="N168" s="599"/>
      <c r="O168" s="1097"/>
      <c r="P168" s="1097"/>
      <c r="Q168" s="599"/>
      <c r="R168" s="599"/>
      <c r="S168" s="599"/>
      <c r="T168" s="1096">
        <f t="shared" si="18"/>
        <v>0</v>
      </c>
      <c r="U168" s="599">
        <v>0</v>
      </c>
      <c r="V168" s="1407">
        <f t="shared" si="17"/>
        <v>0</v>
      </c>
      <c r="W168" s="599">
        <f t="shared" si="21"/>
        <v>0</v>
      </c>
      <c r="X168" s="620"/>
      <c r="Y168" s="621"/>
      <c r="Z168" s="1096">
        <f t="shared" si="22"/>
        <v>0</v>
      </c>
      <c r="AA168" s="882">
        <f t="shared" si="23"/>
        <v>0</v>
      </c>
    </row>
    <row r="169" spans="1:27" ht="27" hidden="1" customHeight="1">
      <c r="A169" s="583"/>
      <c r="B169" s="583">
        <v>406</v>
      </c>
      <c r="C169" s="581">
        <v>11</v>
      </c>
      <c r="D169" s="582" t="s">
        <v>256</v>
      </c>
      <c r="E169" s="1138" t="s">
        <v>258</v>
      </c>
      <c r="F169" s="1826"/>
      <c r="G169" s="1826"/>
      <c r="H169" s="599"/>
      <c r="I169" s="599"/>
      <c r="J169" s="2065"/>
      <c r="K169" s="599"/>
      <c r="L169" s="599"/>
      <c r="M169" s="2065"/>
      <c r="N169" s="599"/>
      <c r="O169" s="1097"/>
      <c r="P169" s="1097"/>
      <c r="Q169" s="599"/>
      <c r="R169" s="599"/>
      <c r="S169" s="599"/>
      <c r="T169" s="1096">
        <f t="shared" si="18"/>
        <v>0</v>
      </c>
      <c r="U169" s="599">
        <v>0</v>
      </c>
      <c r="V169" s="1407">
        <f t="shared" si="17"/>
        <v>0</v>
      </c>
      <c r="W169" s="599">
        <f t="shared" si="21"/>
        <v>0</v>
      </c>
      <c r="X169" s="620"/>
      <c r="Y169" s="621"/>
      <c r="Z169" s="1096">
        <f t="shared" si="22"/>
        <v>0</v>
      </c>
      <c r="AA169" s="882">
        <f t="shared" si="23"/>
        <v>0</v>
      </c>
    </row>
    <row r="170" spans="1:27" ht="27" hidden="1" customHeight="1">
      <c r="A170" s="583"/>
      <c r="B170" s="583">
        <v>406</v>
      </c>
      <c r="C170" s="581">
        <v>11</v>
      </c>
      <c r="D170" s="582" t="s">
        <v>579</v>
      </c>
      <c r="E170" s="1138" t="s">
        <v>580</v>
      </c>
      <c r="F170" s="1830"/>
      <c r="G170" s="1826"/>
      <c r="H170" s="2096"/>
      <c r="I170" s="599"/>
      <c r="J170" s="2065"/>
      <c r="K170" s="2096"/>
      <c r="L170" s="599"/>
      <c r="M170" s="2065"/>
      <c r="N170" s="599"/>
      <c r="O170" s="1097"/>
      <c r="P170" s="1097"/>
      <c r="Q170" s="599"/>
      <c r="R170" s="599"/>
      <c r="S170" s="599"/>
      <c r="T170" s="1096">
        <f t="shared" si="18"/>
        <v>0</v>
      </c>
      <c r="U170" s="599">
        <v>0</v>
      </c>
      <c r="V170" s="1407">
        <f t="shared" si="17"/>
        <v>0</v>
      </c>
      <c r="W170" s="599">
        <f t="shared" si="21"/>
        <v>0</v>
      </c>
      <c r="X170" s="620"/>
      <c r="Y170" s="621"/>
      <c r="Z170" s="1096">
        <f t="shared" si="22"/>
        <v>0</v>
      </c>
      <c r="AA170" s="882">
        <f t="shared" si="23"/>
        <v>0</v>
      </c>
    </row>
    <row r="171" spans="1:27" ht="27" hidden="1" customHeight="1">
      <c r="A171" s="583"/>
      <c r="B171" s="583">
        <v>406</v>
      </c>
      <c r="C171" s="581">
        <v>11</v>
      </c>
      <c r="D171" s="582" t="s">
        <v>882</v>
      </c>
      <c r="E171" s="1138" t="s">
        <v>883</v>
      </c>
      <c r="F171" s="1826"/>
      <c r="G171" s="1826"/>
      <c r="H171" s="599"/>
      <c r="I171" s="599"/>
      <c r="J171" s="2065"/>
      <c r="K171" s="599"/>
      <c r="L171" s="599"/>
      <c r="M171" s="2065"/>
      <c r="N171" s="599"/>
      <c r="O171" s="1097"/>
      <c r="P171" s="1097"/>
      <c r="Q171" s="599"/>
      <c r="R171" s="599"/>
      <c r="S171" s="599"/>
      <c r="T171" s="1096">
        <f t="shared" si="18"/>
        <v>0</v>
      </c>
      <c r="U171" s="599">
        <v>0</v>
      </c>
      <c r="V171" s="1407">
        <f t="shared" si="17"/>
        <v>0</v>
      </c>
      <c r="W171" s="599">
        <f t="shared" si="21"/>
        <v>0</v>
      </c>
      <c r="X171" s="620"/>
      <c r="Y171" s="621"/>
      <c r="Z171" s="1096">
        <f t="shared" si="22"/>
        <v>0</v>
      </c>
      <c r="AA171" s="882">
        <f t="shared" si="23"/>
        <v>0</v>
      </c>
    </row>
    <row r="172" spans="1:27" ht="27" hidden="1" customHeight="1">
      <c r="A172" s="583"/>
      <c r="B172" s="583">
        <v>1018</v>
      </c>
      <c r="C172" s="581">
        <v>17</v>
      </c>
      <c r="D172" s="582" t="s">
        <v>742</v>
      </c>
      <c r="E172" s="1138" t="s">
        <v>743</v>
      </c>
      <c r="F172" s="1826"/>
      <c r="G172" s="1826"/>
      <c r="H172" s="2096"/>
      <c r="I172" s="2096"/>
      <c r="J172" s="2066"/>
      <c r="K172" s="599"/>
      <c r="L172" s="599"/>
      <c r="M172" s="2065"/>
      <c r="N172" s="599"/>
      <c r="O172" s="1097"/>
      <c r="P172" s="1097"/>
      <c r="Q172" s="599"/>
      <c r="R172" s="599"/>
      <c r="S172" s="599"/>
      <c r="T172" s="1096">
        <f t="shared" si="18"/>
        <v>0</v>
      </c>
      <c r="U172" s="599">
        <v>0</v>
      </c>
      <c r="V172" s="1407">
        <f t="shared" si="17"/>
        <v>0</v>
      </c>
      <c r="W172" s="599">
        <f t="shared" si="21"/>
        <v>0</v>
      </c>
      <c r="X172" s="620"/>
      <c r="Y172" s="621"/>
      <c r="Z172" s="1096">
        <f t="shared" si="22"/>
        <v>0</v>
      </c>
      <c r="AA172" s="882">
        <f t="shared" si="23"/>
        <v>0</v>
      </c>
    </row>
    <row r="173" spans="1:27" ht="27" hidden="1" customHeight="1">
      <c r="A173" s="583"/>
      <c r="B173" s="583">
        <v>406</v>
      </c>
      <c r="C173" s="581">
        <v>11</v>
      </c>
      <c r="D173" s="582" t="s">
        <v>299</v>
      </c>
      <c r="E173" s="1138" t="s">
        <v>644</v>
      </c>
      <c r="F173" s="1826"/>
      <c r="G173" s="1826"/>
      <c r="H173" s="599"/>
      <c r="I173" s="599"/>
      <c r="J173" s="2065"/>
      <c r="K173" s="599"/>
      <c r="L173" s="599"/>
      <c r="M173" s="2065"/>
      <c r="N173" s="599"/>
      <c r="O173" s="1097"/>
      <c r="P173" s="1097"/>
      <c r="Q173" s="599"/>
      <c r="R173" s="599"/>
      <c r="S173" s="599"/>
      <c r="T173" s="1096">
        <f t="shared" si="18"/>
        <v>0</v>
      </c>
      <c r="U173" s="599">
        <v>0</v>
      </c>
      <c r="V173" s="1407">
        <f t="shared" si="17"/>
        <v>0</v>
      </c>
      <c r="W173" s="599">
        <f t="shared" si="21"/>
        <v>0</v>
      </c>
      <c r="X173" s="620"/>
      <c r="Y173" s="621"/>
      <c r="Z173" s="1096">
        <f t="shared" ref="Z173:Z205" si="24">T173+Y173-X173</f>
        <v>0</v>
      </c>
      <c r="AA173" s="882">
        <f t="shared" ref="AA173:AA205" si="25">ROUND((Z173/1000000),0)</f>
        <v>0</v>
      </c>
    </row>
    <row r="174" spans="1:27" ht="27" hidden="1" customHeight="1">
      <c r="A174" s="583"/>
      <c r="B174" s="583">
        <v>406</v>
      </c>
      <c r="C174" s="581">
        <v>11</v>
      </c>
      <c r="D174" s="582" t="s">
        <v>277</v>
      </c>
      <c r="E174" s="1138" t="s">
        <v>278</v>
      </c>
      <c r="F174" s="1829">
        <v>4912211</v>
      </c>
      <c r="G174" s="1826"/>
      <c r="H174" s="599"/>
      <c r="I174" s="2133"/>
      <c r="J174" s="2065"/>
      <c r="K174" s="2065"/>
      <c r="L174" s="599"/>
      <c r="M174" s="2065"/>
      <c r="N174" s="599"/>
      <c r="O174" s="1097"/>
      <c r="P174" s="1097"/>
      <c r="Q174" s="599"/>
      <c r="R174" s="599"/>
      <c r="S174" s="599"/>
      <c r="T174" s="1096">
        <f t="shared" si="18"/>
        <v>4912211</v>
      </c>
      <c r="U174" s="599">
        <v>4912211</v>
      </c>
      <c r="V174" s="1407">
        <f t="shared" si="17"/>
        <v>5</v>
      </c>
      <c r="W174" s="599">
        <f t="shared" si="21"/>
        <v>5</v>
      </c>
      <c r="X174" s="620"/>
      <c r="Y174" s="621"/>
      <c r="Z174" s="1096">
        <f t="shared" si="24"/>
        <v>4912211</v>
      </c>
      <c r="AA174" s="882">
        <f t="shared" si="25"/>
        <v>5</v>
      </c>
    </row>
    <row r="175" spans="1:27" ht="27" hidden="1" customHeight="1">
      <c r="A175" s="583"/>
      <c r="B175" s="583">
        <v>406</v>
      </c>
      <c r="C175" s="581">
        <v>11</v>
      </c>
      <c r="D175" s="582" t="s">
        <v>839</v>
      </c>
      <c r="E175" s="1138" t="s">
        <v>838</v>
      </c>
      <c r="F175" s="1826"/>
      <c r="G175" s="1826"/>
      <c r="H175" s="599"/>
      <c r="I175" s="599"/>
      <c r="J175" s="2065"/>
      <c r="K175" s="599"/>
      <c r="L175" s="599"/>
      <c r="M175" s="2065"/>
      <c r="N175" s="599"/>
      <c r="O175" s="1097"/>
      <c r="P175" s="1097"/>
      <c r="Q175" s="599"/>
      <c r="R175" s="599"/>
      <c r="S175" s="599"/>
      <c r="T175" s="1096">
        <f t="shared" si="18"/>
        <v>0</v>
      </c>
      <c r="U175" s="599">
        <v>0</v>
      </c>
      <c r="V175" s="1407">
        <f t="shared" si="17"/>
        <v>0</v>
      </c>
      <c r="W175" s="599">
        <f t="shared" si="21"/>
        <v>0</v>
      </c>
      <c r="X175" s="620"/>
      <c r="Y175" s="621"/>
      <c r="Z175" s="1096">
        <f t="shared" si="24"/>
        <v>0</v>
      </c>
      <c r="AA175" s="882">
        <f t="shared" si="25"/>
        <v>0</v>
      </c>
    </row>
    <row r="176" spans="1:27" ht="27" hidden="1" customHeight="1">
      <c r="A176" s="583"/>
      <c r="B176" s="583">
        <v>406</v>
      </c>
      <c r="C176" s="581">
        <v>11</v>
      </c>
      <c r="D176" s="582" t="s">
        <v>1158</v>
      </c>
      <c r="E176" s="1138" t="s">
        <v>957</v>
      </c>
      <c r="F176" s="1829">
        <v>4116940000</v>
      </c>
      <c r="G176" s="1833">
        <v>-895300000</v>
      </c>
      <c r="H176" s="2096"/>
      <c r="I176" s="599"/>
      <c r="J176" s="2066"/>
      <c r="K176" s="2065"/>
      <c r="L176" s="599"/>
      <c r="M176" s="2065"/>
      <c r="N176" s="599"/>
      <c r="O176" s="1097"/>
      <c r="P176" s="1097"/>
      <c r="Q176" s="599"/>
      <c r="R176" s="599"/>
      <c r="S176" s="599"/>
      <c r="T176" s="1096">
        <f t="shared" si="18"/>
        <v>3221640000</v>
      </c>
      <c r="U176" s="599">
        <v>3221640000</v>
      </c>
      <c r="V176" s="1407">
        <f t="shared" si="17"/>
        <v>3222</v>
      </c>
      <c r="W176" s="599">
        <f t="shared" si="21"/>
        <v>3222</v>
      </c>
      <c r="X176" s="620"/>
      <c r="Y176" s="621"/>
      <c r="Z176" s="1096">
        <f t="shared" si="24"/>
        <v>3221640000</v>
      </c>
      <c r="AA176" s="882">
        <f t="shared" si="25"/>
        <v>3222</v>
      </c>
    </row>
    <row r="177" spans="1:27" ht="27" hidden="1" customHeight="1">
      <c r="A177" s="583"/>
      <c r="B177" s="583">
        <v>406</v>
      </c>
      <c r="C177" s="581">
        <v>11</v>
      </c>
      <c r="D177" s="582" t="s">
        <v>264</v>
      </c>
      <c r="E177" s="1138" t="s">
        <v>265</v>
      </c>
      <c r="F177" s="1826"/>
      <c r="G177" s="1826"/>
      <c r="H177" s="599"/>
      <c r="I177" s="599"/>
      <c r="J177" s="2065"/>
      <c r="K177" s="599"/>
      <c r="L177" s="599"/>
      <c r="M177" s="2065"/>
      <c r="N177" s="599"/>
      <c r="O177" s="1097"/>
      <c r="P177" s="1097"/>
      <c r="Q177" s="599"/>
      <c r="R177" s="599"/>
      <c r="S177" s="599"/>
      <c r="T177" s="1096">
        <f t="shared" si="18"/>
        <v>0</v>
      </c>
      <c r="U177" s="599">
        <v>0</v>
      </c>
      <c r="V177" s="1407">
        <f t="shared" si="17"/>
        <v>0</v>
      </c>
      <c r="W177" s="599">
        <f t="shared" si="21"/>
        <v>0</v>
      </c>
      <c r="X177" s="620"/>
      <c r="Y177" s="621"/>
      <c r="Z177" s="1096">
        <f t="shared" si="24"/>
        <v>0</v>
      </c>
      <c r="AA177" s="882">
        <f t="shared" si="25"/>
        <v>0</v>
      </c>
    </row>
    <row r="178" spans="1:27" ht="27" hidden="1" customHeight="1">
      <c r="A178" s="583"/>
      <c r="B178" s="583">
        <v>406</v>
      </c>
      <c r="C178" s="581">
        <v>11</v>
      </c>
      <c r="D178" s="582" t="s">
        <v>647</v>
      </c>
      <c r="E178" s="1138" t="s">
        <v>646</v>
      </c>
      <c r="F178" s="1826"/>
      <c r="G178" s="1826"/>
      <c r="H178" s="599"/>
      <c r="I178" s="599"/>
      <c r="J178" s="2065"/>
      <c r="K178" s="599"/>
      <c r="L178" s="599"/>
      <c r="M178" s="2065"/>
      <c r="N178" s="599"/>
      <c r="O178" s="1097"/>
      <c r="P178" s="1097"/>
      <c r="Q178" s="599"/>
      <c r="R178" s="599"/>
      <c r="S178" s="599"/>
      <c r="T178" s="1096">
        <f t="shared" si="18"/>
        <v>0</v>
      </c>
      <c r="U178" s="599">
        <v>0</v>
      </c>
      <c r="V178" s="1407">
        <f t="shared" si="17"/>
        <v>0</v>
      </c>
      <c r="W178" s="599">
        <f t="shared" si="21"/>
        <v>0</v>
      </c>
      <c r="X178" s="620"/>
      <c r="Y178" s="621"/>
      <c r="Z178" s="1096">
        <f t="shared" si="24"/>
        <v>0</v>
      </c>
      <c r="AA178" s="882">
        <f t="shared" si="25"/>
        <v>0</v>
      </c>
    </row>
    <row r="179" spans="1:27" ht="27" hidden="1" customHeight="1">
      <c r="A179" s="583"/>
      <c r="B179" s="583">
        <v>1018</v>
      </c>
      <c r="C179" s="581">
        <v>17</v>
      </c>
      <c r="D179" s="582" t="s">
        <v>1059</v>
      </c>
      <c r="E179" s="1138" t="s">
        <v>1058</v>
      </c>
      <c r="F179" s="1826">
        <v>-38854827</v>
      </c>
      <c r="G179" s="1826"/>
      <c r="H179" s="599"/>
      <c r="I179" s="599">
        <v>10674294</v>
      </c>
      <c r="J179" s="2065"/>
      <c r="K179" s="1918"/>
      <c r="L179" s="599"/>
      <c r="M179" s="2065"/>
      <c r="N179" s="1918"/>
      <c r="O179" s="1097"/>
      <c r="P179" s="1097"/>
      <c r="Q179" s="599"/>
      <c r="R179" s="599"/>
      <c r="S179" s="599"/>
      <c r="T179" s="1096">
        <f t="shared" si="18"/>
        <v>-28180533</v>
      </c>
      <c r="U179" s="599">
        <v>0</v>
      </c>
      <c r="V179" s="1407">
        <f t="shared" si="17"/>
        <v>-28</v>
      </c>
      <c r="W179" s="599">
        <f t="shared" si="21"/>
        <v>0</v>
      </c>
      <c r="X179" s="620"/>
      <c r="Y179" s="621"/>
      <c r="Z179" s="1096">
        <f t="shared" si="24"/>
        <v>-28180533</v>
      </c>
      <c r="AA179" s="882">
        <f t="shared" si="25"/>
        <v>-28</v>
      </c>
    </row>
    <row r="180" spans="1:27" ht="27" hidden="1" customHeight="1">
      <c r="A180" s="583"/>
      <c r="B180" s="583">
        <v>1033</v>
      </c>
      <c r="C180" s="581">
        <v>17</v>
      </c>
      <c r="D180" s="582" t="s">
        <v>697</v>
      </c>
      <c r="E180" s="1138" t="s">
        <v>696</v>
      </c>
      <c r="F180" s="1830">
        <v>-55740812026</v>
      </c>
      <c r="G180" s="1833">
        <v>-675153210053</v>
      </c>
      <c r="H180" s="1833">
        <v>-47596205787</v>
      </c>
      <c r="I180" s="599">
        <v>-75581031751</v>
      </c>
      <c r="J180" s="2066">
        <v>-2261601059</v>
      </c>
      <c r="K180" s="599"/>
      <c r="L180" s="599"/>
      <c r="M180" s="2065"/>
      <c r="N180" s="599"/>
      <c r="O180" s="1918"/>
      <c r="P180" s="1097"/>
      <c r="Q180" s="599"/>
      <c r="R180" s="599"/>
      <c r="S180" s="599"/>
      <c r="T180" s="1096">
        <f t="shared" si="18"/>
        <v>-856332860676</v>
      </c>
      <c r="U180" s="599">
        <v>-618489981107</v>
      </c>
      <c r="V180" s="1407">
        <f t="shared" si="17"/>
        <v>-856333</v>
      </c>
      <c r="W180" s="599">
        <f t="shared" si="21"/>
        <v>-618490</v>
      </c>
      <c r="X180" s="620"/>
      <c r="Y180" s="621"/>
      <c r="Z180" s="1096">
        <f t="shared" si="24"/>
        <v>-856332860676</v>
      </c>
      <c r="AA180" s="882">
        <f t="shared" si="25"/>
        <v>-856333</v>
      </c>
    </row>
    <row r="181" spans="1:27" ht="27" hidden="1" customHeight="1">
      <c r="A181" s="583"/>
      <c r="B181" s="583">
        <v>406</v>
      </c>
      <c r="C181" s="581">
        <v>11</v>
      </c>
      <c r="D181" s="582" t="s">
        <v>2132</v>
      </c>
      <c r="E181" s="1138" t="s">
        <v>2133</v>
      </c>
      <c r="F181" s="1829"/>
      <c r="G181" s="1826"/>
      <c r="H181" s="599"/>
      <c r="I181" s="599"/>
      <c r="J181" s="2065"/>
      <c r="K181" s="599"/>
      <c r="L181" s="599"/>
      <c r="M181" s="2065"/>
      <c r="N181" s="599"/>
      <c r="O181" s="1097"/>
      <c r="P181" s="1097"/>
      <c r="Q181" s="599"/>
      <c r="R181" s="599"/>
      <c r="S181" s="599"/>
      <c r="T181" s="1096">
        <f t="shared" si="18"/>
        <v>0</v>
      </c>
      <c r="U181" s="599">
        <v>0</v>
      </c>
      <c r="V181" s="1407">
        <f t="shared" si="17"/>
        <v>0</v>
      </c>
      <c r="W181" s="599">
        <f t="shared" si="21"/>
        <v>0</v>
      </c>
      <c r="X181" s="620"/>
      <c r="Y181" s="621"/>
      <c r="Z181" s="1096">
        <f t="shared" si="24"/>
        <v>0</v>
      </c>
      <c r="AA181" s="882">
        <f t="shared" si="25"/>
        <v>0</v>
      </c>
    </row>
    <row r="182" spans="1:27" ht="27" hidden="1" customHeight="1">
      <c r="A182" s="583"/>
      <c r="B182" s="583">
        <v>406</v>
      </c>
      <c r="C182" s="581">
        <v>11</v>
      </c>
      <c r="D182" s="582" t="s">
        <v>336</v>
      </c>
      <c r="E182" s="1138" t="s">
        <v>655</v>
      </c>
      <c r="F182" s="1826"/>
      <c r="G182" s="1826"/>
      <c r="H182" s="599"/>
      <c r="I182" s="599"/>
      <c r="J182" s="2080"/>
      <c r="K182" s="599"/>
      <c r="L182" s="599"/>
      <c r="M182" s="2065"/>
      <c r="N182" s="599"/>
      <c r="O182" s="1097"/>
      <c r="P182" s="1097"/>
      <c r="Q182" s="599"/>
      <c r="R182" s="599"/>
      <c r="S182" s="599"/>
      <c r="T182" s="1096">
        <f t="shared" si="18"/>
        <v>0</v>
      </c>
      <c r="U182" s="599">
        <v>0</v>
      </c>
      <c r="V182" s="1407">
        <f t="shared" si="17"/>
        <v>0</v>
      </c>
      <c r="W182" s="599">
        <f t="shared" si="21"/>
        <v>0</v>
      </c>
      <c r="X182" s="620"/>
      <c r="Y182" s="621"/>
      <c r="Z182" s="1096">
        <f t="shared" si="24"/>
        <v>0</v>
      </c>
      <c r="AA182" s="882">
        <f t="shared" si="25"/>
        <v>0</v>
      </c>
    </row>
    <row r="183" spans="1:27" ht="27" hidden="1" customHeight="1">
      <c r="A183" s="583"/>
      <c r="B183" s="583">
        <v>1017</v>
      </c>
      <c r="C183" s="581">
        <v>17</v>
      </c>
      <c r="D183" s="582" t="s">
        <v>192</v>
      </c>
      <c r="E183" s="1138" t="s">
        <v>25</v>
      </c>
      <c r="F183" s="1830">
        <v>-140380000</v>
      </c>
      <c r="G183" s="1826"/>
      <c r="H183" s="2096"/>
      <c r="I183" s="599"/>
      <c r="J183" s="2066"/>
      <c r="K183" s="2096"/>
      <c r="L183" s="599"/>
      <c r="M183" s="2065"/>
      <c r="N183" s="599"/>
      <c r="O183" s="1097"/>
      <c r="P183" s="1097"/>
      <c r="Q183" s="599"/>
      <c r="R183" s="599"/>
      <c r="S183" s="599"/>
      <c r="T183" s="1096">
        <f t="shared" si="18"/>
        <v>-140380000</v>
      </c>
      <c r="U183" s="599">
        <v>-3945220000</v>
      </c>
      <c r="V183" s="1407">
        <f t="shared" si="17"/>
        <v>-140</v>
      </c>
      <c r="W183" s="599">
        <f t="shared" si="21"/>
        <v>-3945</v>
      </c>
      <c r="X183" s="620"/>
      <c r="Y183" s="621"/>
      <c r="Z183" s="1096">
        <f t="shared" si="24"/>
        <v>-140380000</v>
      </c>
      <c r="AA183" s="882">
        <f t="shared" si="25"/>
        <v>-140</v>
      </c>
    </row>
    <row r="184" spans="1:27" ht="27" hidden="1" customHeight="1">
      <c r="A184" s="583"/>
      <c r="B184" s="583">
        <v>406</v>
      </c>
      <c r="C184" s="581">
        <v>11</v>
      </c>
      <c r="D184" s="582" t="s">
        <v>345</v>
      </c>
      <c r="E184" s="1138" t="s">
        <v>1336</v>
      </c>
      <c r="F184" s="1826"/>
      <c r="G184" s="1826"/>
      <c r="H184" s="599"/>
      <c r="I184" s="599"/>
      <c r="J184" s="2065"/>
      <c r="K184" s="599"/>
      <c r="L184" s="599"/>
      <c r="M184" s="2065"/>
      <c r="N184" s="599"/>
      <c r="O184" s="1097"/>
      <c r="P184" s="1097"/>
      <c r="Q184" s="599"/>
      <c r="R184" s="599"/>
      <c r="S184" s="599"/>
      <c r="T184" s="1096">
        <f t="shared" si="18"/>
        <v>0</v>
      </c>
      <c r="U184" s="599">
        <v>0</v>
      </c>
      <c r="V184" s="1407">
        <f t="shared" si="17"/>
        <v>0</v>
      </c>
      <c r="W184" s="599">
        <f t="shared" si="21"/>
        <v>0</v>
      </c>
      <c r="X184" s="620"/>
      <c r="Y184" s="621"/>
      <c r="Z184" s="1096">
        <f t="shared" si="24"/>
        <v>0</v>
      </c>
      <c r="AA184" s="882">
        <f t="shared" si="25"/>
        <v>0</v>
      </c>
    </row>
    <row r="185" spans="1:27" ht="27" hidden="1" customHeight="1">
      <c r="A185" s="583">
        <v>3214</v>
      </c>
      <c r="B185" s="583">
        <v>1015</v>
      </c>
      <c r="C185" s="581">
        <v>17</v>
      </c>
      <c r="D185" s="1825" t="s">
        <v>355</v>
      </c>
      <c r="E185" s="1138" t="s">
        <v>1462</v>
      </c>
      <c r="F185" s="1826"/>
      <c r="G185" s="1826"/>
      <c r="H185" s="599"/>
      <c r="I185" s="599"/>
      <c r="J185" s="2079"/>
      <c r="K185" s="599"/>
      <c r="L185" s="599"/>
      <c r="M185" s="2065"/>
      <c r="N185" s="599"/>
      <c r="O185" s="2079"/>
      <c r="P185" s="1097"/>
      <c r="Q185" s="599"/>
      <c r="R185" s="599"/>
      <c r="S185" s="599"/>
      <c r="T185" s="1096">
        <f t="shared" si="18"/>
        <v>0</v>
      </c>
      <c r="U185" s="599">
        <v>0</v>
      </c>
      <c r="V185" s="1407">
        <f t="shared" si="17"/>
        <v>0</v>
      </c>
      <c r="W185" s="599">
        <f t="shared" si="21"/>
        <v>0</v>
      </c>
      <c r="X185" s="620"/>
      <c r="Y185" s="621"/>
      <c r="Z185" s="1096">
        <f t="shared" si="24"/>
        <v>0</v>
      </c>
      <c r="AA185" s="882">
        <f t="shared" si="25"/>
        <v>0</v>
      </c>
    </row>
    <row r="186" spans="1:27" ht="27" hidden="1" customHeight="1">
      <c r="A186" s="583"/>
      <c r="B186" s="583">
        <v>1015</v>
      </c>
      <c r="C186" s="581">
        <v>17</v>
      </c>
      <c r="D186" s="582" t="s">
        <v>357</v>
      </c>
      <c r="E186" s="1138" t="s">
        <v>358</v>
      </c>
      <c r="F186" s="1830">
        <v>-8660808689</v>
      </c>
      <c r="G186" s="1826"/>
      <c r="H186" s="599"/>
      <c r="I186" s="599"/>
      <c r="J186" s="2066"/>
      <c r="K186" s="2096"/>
      <c r="L186" s="599"/>
      <c r="M186" s="2065"/>
      <c r="N186" s="599"/>
      <c r="O186" s="1097"/>
      <c r="P186" s="1097"/>
      <c r="Q186" s="599"/>
      <c r="R186" s="599"/>
      <c r="S186" s="599"/>
      <c r="T186" s="1096">
        <f t="shared" si="18"/>
        <v>-8660808689</v>
      </c>
      <c r="U186" s="599">
        <v>-8167512888</v>
      </c>
      <c r="V186" s="1407">
        <f t="shared" si="17"/>
        <v>-8661</v>
      </c>
      <c r="W186" s="599">
        <f t="shared" si="21"/>
        <v>-8168</v>
      </c>
      <c r="X186" s="620"/>
      <c r="Y186" s="621"/>
      <c r="Z186" s="1096">
        <f t="shared" si="24"/>
        <v>-8660808689</v>
      </c>
      <c r="AA186" s="882">
        <f t="shared" si="25"/>
        <v>-8661</v>
      </c>
    </row>
    <row r="187" spans="1:27" ht="27" hidden="1" customHeight="1">
      <c r="A187" s="583"/>
      <c r="B187" s="583">
        <v>406</v>
      </c>
      <c r="C187" s="581">
        <v>11</v>
      </c>
      <c r="D187" s="582" t="s">
        <v>347</v>
      </c>
      <c r="E187" s="1138" t="s">
        <v>1060</v>
      </c>
      <c r="F187" s="1826"/>
      <c r="G187" s="1826"/>
      <c r="H187" s="599"/>
      <c r="I187" s="599"/>
      <c r="J187" s="2065"/>
      <c r="K187" s="2096"/>
      <c r="L187" s="599"/>
      <c r="M187" s="2096"/>
      <c r="N187" s="2096"/>
      <c r="O187" s="1097"/>
      <c r="P187" s="1097"/>
      <c r="Q187" s="599"/>
      <c r="R187" s="599"/>
      <c r="S187" s="599"/>
      <c r="T187" s="1096">
        <f t="shared" si="18"/>
        <v>0</v>
      </c>
      <c r="U187" s="599">
        <v>0</v>
      </c>
      <c r="V187" s="1407">
        <f t="shared" si="17"/>
        <v>0</v>
      </c>
      <c r="W187" s="599">
        <f t="shared" si="21"/>
        <v>0</v>
      </c>
      <c r="X187" s="620"/>
      <c r="Y187" s="621"/>
      <c r="Z187" s="1096">
        <f t="shared" si="24"/>
        <v>0</v>
      </c>
      <c r="AA187" s="882">
        <f t="shared" si="25"/>
        <v>0</v>
      </c>
    </row>
    <row r="188" spans="1:27" ht="27" hidden="1" customHeight="1">
      <c r="A188" s="583"/>
      <c r="B188" s="583">
        <v>406</v>
      </c>
      <c r="C188" s="581">
        <v>11</v>
      </c>
      <c r="D188" s="582" t="s">
        <v>270</v>
      </c>
      <c r="E188" s="1138" t="s">
        <v>271</v>
      </c>
      <c r="F188" s="1826"/>
      <c r="G188" s="1826"/>
      <c r="H188" s="599"/>
      <c r="I188" s="599"/>
      <c r="J188" s="2065"/>
      <c r="K188" s="599"/>
      <c r="L188" s="599"/>
      <c r="M188" s="2065"/>
      <c r="N188" s="599"/>
      <c r="O188" s="1097"/>
      <c r="P188" s="1097"/>
      <c r="Q188" s="599"/>
      <c r="R188" s="599"/>
      <c r="S188" s="599"/>
      <c r="T188" s="1096">
        <f t="shared" si="18"/>
        <v>0</v>
      </c>
      <c r="U188" s="599">
        <v>0</v>
      </c>
      <c r="V188" s="1407">
        <f t="shared" si="17"/>
        <v>0</v>
      </c>
      <c r="W188" s="599">
        <f t="shared" si="21"/>
        <v>0</v>
      </c>
      <c r="X188" s="620"/>
      <c r="Y188" s="621"/>
      <c r="Z188" s="1096">
        <f t="shared" si="24"/>
        <v>0</v>
      </c>
      <c r="AA188" s="882">
        <f t="shared" si="25"/>
        <v>0</v>
      </c>
    </row>
    <row r="189" spans="1:27" ht="27" hidden="1" customHeight="1">
      <c r="A189" s="2062"/>
      <c r="B189" s="2062">
        <v>406</v>
      </c>
      <c r="C189" s="2063">
        <v>11</v>
      </c>
      <c r="D189" s="2073" t="s">
        <v>1061</v>
      </c>
      <c r="E189" s="2074" t="s">
        <v>1062</v>
      </c>
      <c r="F189" s="2075"/>
      <c r="G189" s="2075"/>
      <c r="H189" s="2096"/>
      <c r="I189" s="2065"/>
      <c r="J189" s="2065"/>
      <c r="K189" s="2065"/>
      <c r="L189" s="2065"/>
      <c r="M189" s="2065"/>
      <c r="N189" s="2065"/>
      <c r="O189" s="2066"/>
      <c r="P189" s="2066"/>
      <c r="Q189" s="2065"/>
      <c r="R189" s="2065"/>
      <c r="S189" s="2065"/>
      <c r="T189" s="2069">
        <f t="shared" si="18"/>
        <v>0</v>
      </c>
      <c r="U189" s="2065">
        <v>0</v>
      </c>
      <c r="V189" s="1407">
        <f t="shared" si="17"/>
        <v>0</v>
      </c>
      <c r="W189" s="599">
        <f t="shared" si="21"/>
        <v>0</v>
      </c>
      <c r="X189" s="2067"/>
      <c r="Y189" s="2068"/>
      <c r="Z189" s="2069">
        <f t="shared" si="24"/>
        <v>0</v>
      </c>
      <c r="AA189" s="2070">
        <f t="shared" si="25"/>
        <v>0</v>
      </c>
    </row>
    <row r="190" spans="1:27" ht="27" hidden="1" customHeight="1">
      <c r="A190" s="583"/>
      <c r="B190" s="583">
        <v>1015</v>
      </c>
      <c r="C190" s="581">
        <v>17</v>
      </c>
      <c r="D190" s="582" t="s">
        <v>359</v>
      </c>
      <c r="E190" s="1138" t="s">
        <v>896</v>
      </c>
      <c r="F190" s="1826"/>
      <c r="G190" s="1826"/>
      <c r="H190" s="2096"/>
      <c r="I190" s="599"/>
      <c r="J190" s="2066"/>
      <c r="K190" s="599"/>
      <c r="L190" s="599"/>
      <c r="M190" s="2065"/>
      <c r="N190" s="599"/>
      <c r="O190" s="1097"/>
      <c r="P190" s="1097"/>
      <c r="Q190" s="599"/>
      <c r="R190" s="599"/>
      <c r="S190" s="599"/>
      <c r="T190" s="1096">
        <f t="shared" si="18"/>
        <v>0</v>
      </c>
      <c r="U190" s="599">
        <v>0</v>
      </c>
      <c r="V190" s="1407">
        <f t="shared" si="17"/>
        <v>0</v>
      </c>
      <c r="W190" s="599">
        <f t="shared" si="21"/>
        <v>0</v>
      </c>
      <c r="X190" s="620"/>
      <c r="Y190" s="621"/>
      <c r="Z190" s="1096">
        <f t="shared" si="24"/>
        <v>0</v>
      </c>
      <c r="AA190" s="882">
        <f t="shared" si="25"/>
        <v>0</v>
      </c>
    </row>
    <row r="191" spans="1:27" ht="27" hidden="1" customHeight="1">
      <c r="A191" s="583"/>
      <c r="B191" s="583">
        <v>1015</v>
      </c>
      <c r="C191" s="581">
        <v>17</v>
      </c>
      <c r="D191" s="582" t="s">
        <v>598</v>
      </c>
      <c r="E191" s="1138" t="s">
        <v>850</v>
      </c>
      <c r="F191" s="599">
        <v>-97583</v>
      </c>
      <c r="G191" s="1826"/>
      <c r="H191" s="599"/>
      <c r="I191" s="599"/>
      <c r="J191" s="2066"/>
      <c r="K191" s="599"/>
      <c r="L191" s="599"/>
      <c r="M191" s="2065"/>
      <c r="N191" s="599"/>
      <c r="O191" s="1097"/>
      <c r="P191" s="1097"/>
      <c r="Q191" s="599"/>
      <c r="R191" s="599"/>
      <c r="S191" s="599"/>
      <c r="T191" s="1096">
        <f t="shared" si="18"/>
        <v>-97583</v>
      </c>
      <c r="U191" s="599">
        <v>-97583</v>
      </c>
      <c r="V191" s="1407">
        <f t="shared" si="17"/>
        <v>0</v>
      </c>
      <c r="W191" s="599">
        <f t="shared" si="21"/>
        <v>0</v>
      </c>
      <c r="X191" s="620"/>
      <c r="Y191" s="621"/>
      <c r="Z191" s="1096">
        <f t="shared" si="24"/>
        <v>-97583</v>
      </c>
      <c r="AA191" s="882">
        <f t="shared" si="25"/>
        <v>0</v>
      </c>
    </row>
    <row r="192" spans="1:27" ht="27" hidden="1" customHeight="1">
      <c r="A192" s="583"/>
      <c r="B192" s="583">
        <v>406</v>
      </c>
      <c r="C192" s="581">
        <v>11</v>
      </c>
      <c r="D192" s="582" t="s">
        <v>272</v>
      </c>
      <c r="E192" s="1138" t="s">
        <v>970</v>
      </c>
      <c r="F192" s="1826"/>
      <c r="G192" s="1826"/>
      <c r="H192" s="2096"/>
      <c r="I192" s="599"/>
      <c r="J192" s="2065"/>
      <c r="K192" s="599"/>
      <c r="L192" s="599"/>
      <c r="M192" s="2065"/>
      <c r="N192" s="599"/>
      <c r="O192" s="1097"/>
      <c r="P192" s="1097"/>
      <c r="Q192" s="599"/>
      <c r="R192" s="599"/>
      <c r="S192" s="599"/>
      <c r="T192" s="1096">
        <f t="shared" si="18"/>
        <v>0</v>
      </c>
      <c r="U192" s="599">
        <v>0</v>
      </c>
      <c r="V192" s="1407">
        <f t="shared" si="17"/>
        <v>0</v>
      </c>
      <c r="W192" s="599">
        <f t="shared" si="21"/>
        <v>0</v>
      </c>
      <c r="X192" s="620"/>
      <c r="Y192" s="621"/>
      <c r="Z192" s="1096">
        <f t="shared" si="24"/>
        <v>0</v>
      </c>
      <c r="AA192" s="882">
        <f t="shared" si="25"/>
        <v>0</v>
      </c>
    </row>
    <row r="193" spans="1:27" ht="27" hidden="1" customHeight="1">
      <c r="A193" s="583"/>
      <c r="B193" s="583">
        <v>406</v>
      </c>
      <c r="C193" s="581">
        <v>11</v>
      </c>
      <c r="D193" s="582" t="s">
        <v>235</v>
      </c>
      <c r="E193" s="1138" t="s">
        <v>1063</v>
      </c>
      <c r="F193" s="1826"/>
      <c r="G193" s="1826"/>
      <c r="H193" s="599"/>
      <c r="I193" s="599"/>
      <c r="J193" s="2096"/>
      <c r="K193" s="599"/>
      <c r="L193" s="599"/>
      <c r="M193" s="2065"/>
      <c r="N193" s="599"/>
      <c r="O193" s="1097"/>
      <c r="P193" s="1097"/>
      <c r="Q193" s="599"/>
      <c r="R193" s="599"/>
      <c r="S193" s="599"/>
      <c r="T193" s="1096">
        <f t="shared" si="18"/>
        <v>0</v>
      </c>
      <c r="U193" s="599">
        <v>0</v>
      </c>
      <c r="V193" s="1407">
        <f t="shared" si="17"/>
        <v>0</v>
      </c>
      <c r="W193" s="599">
        <f t="shared" si="21"/>
        <v>0</v>
      </c>
      <c r="X193" s="620"/>
      <c r="Y193" s="621"/>
      <c r="Z193" s="1096">
        <f t="shared" si="24"/>
        <v>0</v>
      </c>
      <c r="AA193" s="882">
        <f t="shared" si="25"/>
        <v>0</v>
      </c>
    </row>
    <row r="194" spans="1:27" ht="27" hidden="1" customHeight="1">
      <c r="A194" s="583"/>
      <c r="B194" s="583">
        <v>1015</v>
      </c>
      <c r="C194" s="581">
        <v>17</v>
      </c>
      <c r="D194" s="582" t="s">
        <v>1264</v>
      </c>
      <c r="E194" s="1138" t="s">
        <v>1259</v>
      </c>
      <c r="F194" s="1826"/>
      <c r="G194" s="1826"/>
      <c r="H194" s="599"/>
      <c r="I194" s="599"/>
      <c r="J194" s="2545"/>
      <c r="K194" s="2065"/>
      <c r="L194" s="2546"/>
      <c r="M194" s="1867"/>
      <c r="N194" s="599"/>
      <c r="O194" s="2079"/>
      <c r="P194" s="1097"/>
      <c r="Q194" s="599"/>
      <c r="R194" s="599"/>
      <c r="S194" s="599"/>
      <c r="T194" s="1096">
        <f t="shared" si="18"/>
        <v>0</v>
      </c>
      <c r="U194" s="599">
        <v>0</v>
      </c>
      <c r="V194" s="1407">
        <f t="shared" si="17"/>
        <v>0</v>
      </c>
      <c r="W194" s="599">
        <f t="shared" si="21"/>
        <v>0</v>
      </c>
      <c r="X194" s="620"/>
      <c r="Y194" s="621"/>
      <c r="Z194" s="1096">
        <f t="shared" si="24"/>
        <v>0</v>
      </c>
      <c r="AA194" s="882">
        <f t="shared" si="25"/>
        <v>0</v>
      </c>
    </row>
    <row r="195" spans="1:27" ht="27" hidden="1" customHeight="1">
      <c r="A195" s="583"/>
      <c r="B195" s="583">
        <v>406</v>
      </c>
      <c r="C195" s="581">
        <v>11</v>
      </c>
      <c r="D195" s="582" t="s">
        <v>1267</v>
      </c>
      <c r="E195" s="1138" t="s">
        <v>1065</v>
      </c>
      <c r="F195" s="1826"/>
      <c r="G195" s="1826"/>
      <c r="H195" s="599"/>
      <c r="I195" s="599"/>
      <c r="J195" s="1867"/>
      <c r="K195" s="2065"/>
      <c r="L195" s="2546"/>
      <c r="M195" s="1867"/>
      <c r="N195" s="599"/>
      <c r="O195" s="1097"/>
      <c r="P195" s="1097"/>
      <c r="Q195" s="599"/>
      <c r="R195" s="599"/>
      <c r="S195" s="599"/>
      <c r="T195" s="1096">
        <f t="shared" si="18"/>
        <v>0</v>
      </c>
      <c r="U195" s="599">
        <v>0</v>
      </c>
      <c r="V195" s="1407">
        <f t="shared" si="17"/>
        <v>0</v>
      </c>
      <c r="W195" s="599">
        <f t="shared" si="21"/>
        <v>0</v>
      </c>
      <c r="X195" s="620"/>
      <c r="Y195" s="621"/>
      <c r="Z195" s="1096">
        <f t="shared" si="24"/>
        <v>0</v>
      </c>
      <c r="AA195" s="882">
        <f t="shared" si="25"/>
        <v>0</v>
      </c>
    </row>
    <row r="196" spans="1:27" ht="27" hidden="1" customHeight="1">
      <c r="A196" s="583"/>
      <c r="B196" s="583">
        <v>1015</v>
      </c>
      <c r="C196" s="581">
        <v>17</v>
      </c>
      <c r="D196" s="582" t="s">
        <v>602</v>
      </c>
      <c r="E196" s="1138" t="s">
        <v>603</v>
      </c>
      <c r="F196" s="1829">
        <v>-516162057</v>
      </c>
      <c r="G196" s="1833">
        <v>-2816609</v>
      </c>
      <c r="H196" s="599"/>
      <c r="I196" s="599"/>
      <c r="J196" s="2545"/>
      <c r="K196" s="2080"/>
      <c r="L196" s="2546"/>
      <c r="M196" s="1867"/>
      <c r="N196" s="599"/>
      <c r="O196" s="1097"/>
      <c r="P196" s="1097"/>
      <c r="Q196" s="599"/>
      <c r="R196" s="599"/>
      <c r="S196" s="599"/>
      <c r="T196" s="1096">
        <f t="shared" si="18"/>
        <v>-518978666</v>
      </c>
      <c r="U196" s="599">
        <v>266138502</v>
      </c>
      <c r="V196" s="1407">
        <f t="shared" si="17"/>
        <v>-519</v>
      </c>
      <c r="W196" s="599">
        <f t="shared" si="21"/>
        <v>266</v>
      </c>
      <c r="X196" s="620"/>
      <c r="Y196" s="621"/>
      <c r="Z196" s="1096">
        <f t="shared" si="24"/>
        <v>-518978666</v>
      </c>
      <c r="AA196" s="882">
        <f t="shared" si="25"/>
        <v>-519</v>
      </c>
    </row>
    <row r="197" spans="1:27" ht="27" hidden="1" customHeight="1">
      <c r="A197" s="583"/>
      <c r="B197" s="583">
        <v>406</v>
      </c>
      <c r="C197" s="581">
        <v>11</v>
      </c>
      <c r="D197" s="582" t="s">
        <v>274</v>
      </c>
      <c r="E197" s="1138" t="s">
        <v>276</v>
      </c>
      <c r="F197" s="1826"/>
      <c r="G197" s="1826"/>
      <c r="H197" s="599"/>
      <c r="I197" s="599"/>
      <c r="J197" s="1867"/>
      <c r="K197" s="2065"/>
      <c r="L197" s="2546"/>
      <c r="M197" s="1867"/>
      <c r="N197" s="599"/>
      <c r="O197" s="1097"/>
      <c r="P197" s="1097"/>
      <c r="Q197" s="599"/>
      <c r="R197" s="599"/>
      <c r="S197" s="599"/>
      <c r="T197" s="1096">
        <f t="shared" si="18"/>
        <v>0</v>
      </c>
      <c r="U197" s="599">
        <v>0</v>
      </c>
      <c r="V197" s="1407">
        <f t="shared" si="17"/>
        <v>0</v>
      </c>
      <c r="W197" s="599">
        <f t="shared" si="21"/>
        <v>0</v>
      </c>
      <c r="X197" s="620"/>
      <c r="Y197" s="621"/>
      <c r="Z197" s="1096">
        <f t="shared" si="24"/>
        <v>0</v>
      </c>
      <c r="AA197" s="882">
        <f t="shared" si="25"/>
        <v>0</v>
      </c>
    </row>
    <row r="198" spans="1:27" ht="27" hidden="1" customHeight="1">
      <c r="A198" s="583"/>
      <c r="B198" s="583">
        <v>1014</v>
      </c>
      <c r="C198" s="581">
        <v>17</v>
      </c>
      <c r="D198" s="1825" t="s">
        <v>541</v>
      </c>
      <c r="E198" s="1138" t="s">
        <v>693</v>
      </c>
      <c r="F198" s="1826">
        <v>-374259799115</v>
      </c>
      <c r="G198" s="1833">
        <v>-94160558050</v>
      </c>
      <c r="H198" s="2131"/>
      <c r="I198" s="599"/>
      <c r="J198" s="2079"/>
      <c r="K198" s="2065"/>
      <c r="L198" s="2096"/>
      <c r="M198" s="2096"/>
      <c r="N198" s="599"/>
      <c r="O198" s="2079"/>
      <c r="P198" s="1097"/>
      <c r="Q198" s="599"/>
      <c r="R198" s="599"/>
      <c r="S198" s="599"/>
      <c r="T198" s="1096">
        <f t="shared" si="18"/>
        <v>-468420357165</v>
      </c>
      <c r="U198" s="599">
        <v>-94627986974</v>
      </c>
      <c r="V198" s="1407">
        <f t="shared" si="17"/>
        <v>-468420</v>
      </c>
      <c r="W198" s="599">
        <f t="shared" si="21"/>
        <v>-94628</v>
      </c>
      <c r="X198" s="620"/>
      <c r="Y198" s="621"/>
      <c r="Z198" s="1096">
        <f t="shared" si="24"/>
        <v>-468420357165</v>
      </c>
      <c r="AA198" s="882">
        <f t="shared" si="25"/>
        <v>-468420</v>
      </c>
    </row>
    <row r="199" spans="1:27" ht="27" hidden="1" customHeight="1">
      <c r="A199" s="583"/>
      <c r="B199" s="583">
        <v>406</v>
      </c>
      <c r="C199" s="581">
        <v>11</v>
      </c>
      <c r="D199" s="582" t="s">
        <v>1031</v>
      </c>
      <c r="E199" s="1138" t="s">
        <v>1032</v>
      </c>
      <c r="F199" s="1826"/>
      <c r="G199" s="1826"/>
      <c r="H199" s="599"/>
      <c r="I199" s="599"/>
      <c r="J199" s="1867"/>
      <c r="K199" s="2065"/>
      <c r="L199" s="2546"/>
      <c r="M199" s="1867"/>
      <c r="N199" s="599"/>
      <c r="O199" s="1097"/>
      <c r="P199" s="1097"/>
      <c r="Q199" s="599"/>
      <c r="R199" s="599"/>
      <c r="S199" s="599"/>
      <c r="T199" s="1096">
        <f t="shared" si="18"/>
        <v>0</v>
      </c>
      <c r="U199" s="599">
        <v>0</v>
      </c>
      <c r="V199" s="1407">
        <f t="shared" si="17"/>
        <v>0</v>
      </c>
      <c r="W199" s="599">
        <f t="shared" si="21"/>
        <v>0</v>
      </c>
      <c r="X199" s="620"/>
      <c r="Y199" s="621"/>
      <c r="Z199" s="1096">
        <f t="shared" si="24"/>
        <v>0</v>
      </c>
      <c r="AA199" s="882">
        <f t="shared" si="25"/>
        <v>0</v>
      </c>
    </row>
    <row r="200" spans="1:27" ht="27" hidden="1" customHeight="1">
      <c r="A200" s="583">
        <v>3214</v>
      </c>
      <c r="B200" s="583">
        <v>1014</v>
      </c>
      <c r="C200" s="581">
        <v>17</v>
      </c>
      <c r="D200" s="1825" t="s">
        <v>541</v>
      </c>
      <c r="E200" s="1138" t="s">
        <v>1668</v>
      </c>
      <c r="F200" s="1830"/>
      <c r="G200" s="1826"/>
      <c r="H200" s="2096"/>
      <c r="I200" s="599"/>
      <c r="J200" s="2545"/>
      <c r="K200" s="2065"/>
      <c r="L200" s="2547"/>
      <c r="M200" s="2312"/>
      <c r="N200" s="599"/>
      <c r="O200" s="1918"/>
      <c r="P200" s="1097"/>
      <c r="Q200" s="599"/>
      <c r="R200" s="599"/>
      <c r="S200" s="599"/>
      <c r="T200" s="1096">
        <f t="shared" si="18"/>
        <v>0</v>
      </c>
      <c r="U200" s="599">
        <v>0</v>
      </c>
      <c r="V200" s="1407">
        <f t="shared" ref="V200:W265" si="26">ROUND((T200/1000000),0)</f>
        <v>0</v>
      </c>
      <c r="W200" s="599">
        <f t="shared" si="21"/>
        <v>0</v>
      </c>
      <c r="X200" s="620"/>
      <c r="Y200" s="621"/>
      <c r="Z200" s="1096">
        <f t="shared" si="24"/>
        <v>0</v>
      </c>
      <c r="AA200" s="882">
        <f t="shared" si="25"/>
        <v>0</v>
      </c>
    </row>
    <row r="201" spans="1:27" ht="27" hidden="1" customHeight="1">
      <c r="A201" s="583"/>
      <c r="B201" s="583">
        <v>406</v>
      </c>
      <c r="C201" s="581">
        <v>11</v>
      </c>
      <c r="D201" s="582" t="s">
        <v>1005</v>
      </c>
      <c r="E201" s="1138" t="s">
        <v>841</v>
      </c>
      <c r="F201" s="1826"/>
      <c r="G201" s="1826"/>
      <c r="H201" s="599"/>
      <c r="I201" s="599"/>
      <c r="J201" s="1867"/>
      <c r="K201" s="2065"/>
      <c r="L201" s="2546"/>
      <c r="M201" s="1867"/>
      <c r="N201" s="599"/>
      <c r="O201" s="1097"/>
      <c r="P201" s="1097"/>
      <c r="Q201" s="599"/>
      <c r="R201" s="599"/>
      <c r="S201" s="599"/>
      <c r="T201" s="1096">
        <f t="shared" si="18"/>
        <v>0</v>
      </c>
      <c r="U201" s="599">
        <v>0</v>
      </c>
      <c r="V201" s="1407">
        <f t="shared" si="26"/>
        <v>0</v>
      </c>
      <c r="W201" s="599">
        <f t="shared" si="21"/>
        <v>0</v>
      </c>
      <c r="X201" s="620"/>
      <c r="Y201" s="621"/>
      <c r="Z201" s="1096">
        <f t="shared" si="24"/>
        <v>0</v>
      </c>
      <c r="AA201" s="882">
        <f t="shared" si="25"/>
        <v>0</v>
      </c>
    </row>
    <row r="202" spans="1:27" ht="27" hidden="1" customHeight="1">
      <c r="A202" s="583"/>
      <c r="B202" s="583">
        <v>406</v>
      </c>
      <c r="C202" s="581">
        <v>11</v>
      </c>
      <c r="D202" s="582" t="s">
        <v>1068</v>
      </c>
      <c r="E202" s="1138" t="s">
        <v>1069</v>
      </c>
      <c r="F202" s="1826"/>
      <c r="G202" s="1826"/>
      <c r="H202" s="599"/>
      <c r="I202" s="599"/>
      <c r="J202" s="2096"/>
      <c r="K202" s="2065"/>
      <c r="L202" s="2546"/>
      <c r="M202" s="1867"/>
      <c r="N202" s="599"/>
      <c r="O202" s="1097"/>
      <c r="P202" s="1097"/>
      <c r="Q202" s="599"/>
      <c r="R202" s="599"/>
      <c r="S202" s="599"/>
      <c r="T202" s="1096">
        <f t="shared" si="18"/>
        <v>0</v>
      </c>
      <c r="U202" s="599">
        <v>0</v>
      </c>
      <c r="V202" s="1407">
        <f t="shared" si="26"/>
        <v>0</v>
      </c>
      <c r="W202" s="599">
        <f t="shared" si="21"/>
        <v>0</v>
      </c>
      <c r="X202" s="620"/>
      <c r="Y202" s="621"/>
      <c r="Z202" s="1096">
        <f t="shared" si="24"/>
        <v>0</v>
      </c>
      <c r="AA202" s="882">
        <f t="shared" si="25"/>
        <v>0</v>
      </c>
    </row>
    <row r="203" spans="1:27" ht="27" hidden="1" customHeight="1">
      <c r="A203" s="583"/>
      <c r="B203" s="583">
        <v>406</v>
      </c>
      <c r="C203" s="581">
        <v>11</v>
      </c>
      <c r="D203" s="582" t="s">
        <v>1338</v>
      </c>
      <c r="E203" s="1138" t="s">
        <v>1339</v>
      </c>
      <c r="F203" s="1826"/>
      <c r="G203" s="1826"/>
      <c r="H203" s="599"/>
      <c r="I203" s="599"/>
      <c r="J203" s="1867"/>
      <c r="K203" s="2065"/>
      <c r="L203" s="2546"/>
      <c r="M203" s="1867"/>
      <c r="N203" s="599"/>
      <c r="O203" s="1097"/>
      <c r="P203" s="1097"/>
      <c r="Q203" s="599"/>
      <c r="R203" s="599"/>
      <c r="S203" s="599"/>
      <c r="T203" s="1096">
        <f t="shared" ref="T203:T268" si="27">SUM(F203:S203)</f>
        <v>0</v>
      </c>
      <c r="U203" s="599">
        <v>0</v>
      </c>
      <c r="V203" s="1407">
        <f t="shared" si="26"/>
        <v>0</v>
      </c>
      <c r="W203" s="599">
        <f t="shared" si="21"/>
        <v>0</v>
      </c>
      <c r="X203" s="620"/>
      <c r="Y203" s="621"/>
      <c r="Z203" s="1096">
        <f t="shared" si="24"/>
        <v>0</v>
      </c>
      <c r="AA203" s="882">
        <f t="shared" si="25"/>
        <v>0</v>
      </c>
    </row>
    <row r="204" spans="1:27" ht="27" customHeight="1">
      <c r="A204" s="583"/>
      <c r="B204" s="583">
        <v>1012</v>
      </c>
      <c r="C204" s="581">
        <v>17</v>
      </c>
      <c r="D204" s="582" t="s">
        <v>425</v>
      </c>
      <c r="E204" s="1138" t="s">
        <v>426</v>
      </c>
      <c r="F204" s="1826">
        <v>-107185550</v>
      </c>
      <c r="G204" s="1828">
        <v>29811545</v>
      </c>
      <c r="H204" s="2135"/>
      <c r="I204" s="2096"/>
      <c r="J204" s="1867"/>
      <c r="K204" s="2065"/>
      <c r="L204" s="2096"/>
      <c r="M204" s="2096"/>
      <c r="N204" s="599"/>
      <c r="O204" s="1097"/>
      <c r="P204" s="1097"/>
      <c r="Q204" s="599"/>
      <c r="R204" s="599"/>
      <c r="S204" s="599"/>
      <c r="T204" s="1981">
        <f t="shared" si="27"/>
        <v>-77374005</v>
      </c>
      <c r="U204" s="599">
        <v>-4248911</v>
      </c>
      <c r="V204" s="1407">
        <f t="shared" si="26"/>
        <v>-77</v>
      </c>
      <c r="W204" s="599">
        <f t="shared" si="21"/>
        <v>-4</v>
      </c>
      <c r="X204" s="620"/>
      <c r="Y204" s="621"/>
      <c r="Z204" s="1096">
        <f t="shared" si="24"/>
        <v>-77374005</v>
      </c>
      <c r="AA204" s="882">
        <f t="shared" si="25"/>
        <v>-77</v>
      </c>
    </row>
    <row r="205" spans="1:27" ht="27" hidden="1" customHeight="1">
      <c r="A205" s="2062"/>
      <c r="B205" s="2062">
        <v>1027</v>
      </c>
      <c r="C205" s="2063">
        <v>17</v>
      </c>
      <c r="D205" s="2073" t="s">
        <v>18</v>
      </c>
      <c r="E205" s="2074" t="s">
        <v>228</v>
      </c>
      <c r="F205" s="2075"/>
      <c r="G205" s="2077"/>
      <c r="H205" s="2135"/>
      <c r="I205" s="2096"/>
      <c r="J205" s="1867"/>
      <c r="K205" s="2065"/>
      <c r="L205" s="2096"/>
      <c r="M205" s="2096"/>
      <c r="N205" s="2065"/>
      <c r="O205" s="2066">
        <v>-2484585031896</v>
      </c>
      <c r="P205" s="2066"/>
      <c r="Q205" s="2065"/>
      <c r="R205" s="2065"/>
      <c r="S205" s="2065"/>
      <c r="T205" s="1096">
        <f t="shared" si="27"/>
        <v>-2484585031896</v>
      </c>
      <c r="U205" s="2065"/>
      <c r="V205" s="1407">
        <f t="shared" si="26"/>
        <v>-2484585</v>
      </c>
      <c r="W205" s="599">
        <f t="shared" si="26"/>
        <v>0</v>
      </c>
      <c r="X205" s="2067"/>
      <c r="Y205" s="2068"/>
      <c r="Z205" s="1096">
        <f t="shared" si="24"/>
        <v>-2484585031896</v>
      </c>
      <c r="AA205" s="882">
        <f t="shared" si="25"/>
        <v>-2484585</v>
      </c>
    </row>
    <row r="206" spans="1:27" ht="27" customHeight="1">
      <c r="A206" s="583"/>
      <c r="B206" s="583">
        <v>1012</v>
      </c>
      <c r="C206" s="581">
        <v>17</v>
      </c>
      <c r="D206" s="1825" t="s">
        <v>18</v>
      </c>
      <c r="E206" s="1138" t="s">
        <v>228</v>
      </c>
      <c r="F206" s="1830">
        <v>-1267168102664</v>
      </c>
      <c r="G206" s="1833">
        <v>-1201448259013</v>
      </c>
      <c r="H206" s="1833">
        <v>-86157655352</v>
      </c>
      <c r="I206" s="1918">
        <v>-311343267874</v>
      </c>
      <c r="J206" s="2312"/>
      <c r="K206" s="2080"/>
      <c r="L206" s="2547"/>
      <c r="M206" s="2312"/>
      <c r="N206" s="599"/>
      <c r="O206" s="1918">
        <v>2484585031896</v>
      </c>
      <c r="P206" s="1097"/>
      <c r="Q206" s="599"/>
      <c r="R206" s="599"/>
      <c r="S206" s="599"/>
      <c r="T206" s="1096">
        <f t="shared" si="27"/>
        <v>-381532253007</v>
      </c>
      <c r="U206" s="599">
        <v>-2040822721852</v>
      </c>
      <c r="V206" s="1407">
        <f t="shared" si="26"/>
        <v>-381532</v>
      </c>
      <c r="W206" s="599">
        <f t="shared" ref="W206:W270" si="28">ROUND((U206/1000000),0)</f>
        <v>-2040823</v>
      </c>
      <c r="X206" s="620"/>
      <c r="Y206" s="621"/>
      <c r="Z206" s="1096">
        <f t="shared" ref="Z206:Z230" si="29">T206+Y206-X206</f>
        <v>-381532253007</v>
      </c>
      <c r="AA206" s="882">
        <f t="shared" ref="AA206:AA230" si="30">ROUND((Z206/1000000),0)</f>
        <v>-381532</v>
      </c>
    </row>
    <row r="207" spans="1:27" ht="27" hidden="1" customHeight="1">
      <c r="A207" s="583"/>
      <c r="B207" s="583">
        <v>1011</v>
      </c>
      <c r="C207" s="581">
        <v>17</v>
      </c>
      <c r="D207" s="582" t="s">
        <v>540</v>
      </c>
      <c r="E207" s="1138" t="s">
        <v>229</v>
      </c>
      <c r="F207" s="1830">
        <v>-15124028372</v>
      </c>
      <c r="G207" s="1833">
        <v>12556350000</v>
      </c>
      <c r="H207" s="2065">
        <v>931550000</v>
      </c>
      <c r="I207" s="2065">
        <v>733750000</v>
      </c>
      <c r="J207" s="2066"/>
      <c r="K207" s="2065">
        <v>771500000</v>
      </c>
      <c r="L207" s="2096"/>
      <c r="M207" s="2096"/>
      <c r="N207" s="599"/>
      <c r="O207" s="2079"/>
      <c r="P207" s="1097"/>
      <c r="Q207" s="599"/>
      <c r="R207" s="599"/>
      <c r="S207" s="599"/>
      <c r="T207" s="1096">
        <f t="shared" si="27"/>
        <v>-130878372</v>
      </c>
      <c r="U207" s="599">
        <v>-264818448</v>
      </c>
      <c r="V207" s="1407">
        <f t="shared" si="26"/>
        <v>-131</v>
      </c>
      <c r="W207" s="599">
        <f t="shared" si="28"/>
        <v>-265</v>
      </c>
      <c r="X207" s="620"/>
      <c r="Y207" s="621"/>
      <c r="Z207" s="1096">
        <f t="shared" si="29"/>
        <v>-130878372</v>
      </c>
      <c r="AA207" s="882">
        <f t="shared" si="30"/>
        <v>-131</v>
      </c>
    </row>
    <row r="208" spans="1:27" ht="27" hidden="1" customHeight="1">
      <c r="A208" s="583"/>
      <c r="B208" s="583">
        <v>406</v>
      </c>
      <c r="C208" s="581">
        <v>11</v>
      </c>
      <c r="D208" s="582" t="s">
        <v>987</v>
      </c>
      <c r="E208" s="1138" t="s">
        <v>988</v>
      </c>
      <c r="F208" s="1826"/>
      <c r="G208" s="1826"/>
      <c r="H208" s="599"/>
      <c r="I208" s="599"/>
      <c r="J208" s="2065"/>
      <c r="K208" s="2065"/>
      <c r="L208" s="1867"/>
      <c r="M208" s="1867"/>
      <c r="N208" s="599"/>
      <c r="O208" s="1097"/>
      <c r="P208" s="1097"/>
      <c r="Q208" s="599"/>
      <c r="R208" s="599"/>
      <c r="S208" s="599"/>
      <c r="T208" s="1096">
        <f t="shared" si="27"/>
        <v>0</v>
      </c>
      <c r="U208" s="599">
        <v>0</v>
      </c>
      <c r="V208" s="1407">
        <f t="shared" si="26"/>
        <v>0</v>
      </c>
      <c r="W208" s="599">
        <f t="shared" si="28"/>
        <v>0</v>
      </c>
      <c r="X208" s="620"/>
      <c r="Y208" s="621"/>
      <c r="Z208" s="1096">
        <f t="shared" si="29"/>
        <v>0</v>
      </c>
      <c r="AA208" s="882">
        <f t="shared" si="30"/>
        <v>0</v>
      </c>
    </row>
    <row r="209" spans="1:27" ht="27" hidden="1" customHeight="1">
      <c r="A209" s="583"/>
      <c r="B209" s="583">
        <v>406</v>
      </c>
      <c r="C209" s="581">
        <v>11</v>
      </c>
      <c r="D209" s="582" t="s">
        <v>1742</v>
      </c>
      <c r="E209" s="1138" t="s">
        <v>1743</v>
      </c>
      <c r="F209" s="1830">
        <v>-19492525362</v>
      </c>
      <c r="G209" s="1826">
        <v>-12556350000</v>
      </c>
      <c r="H209" s="2525">
        <v>-931550000</v>
      </c>
      <c r="I209" s="2065">
        <v>33000258000</v>
      </c>
      <c r="J209" s="2066"/>
      <c r="K209" s="2065">
        <v>1050217000</v>
      </c>
      <c r="L209" s="2544"/>
      <c r="M209" s="2065"/>
      <c r="N209" s="1918"/>
      <c r="O209" s="1918"/>
      <c r="P209" s="1097"/>
      <c r="Q209" s="599"/>
      <c r="R209" s="599"/>
      <c r="S209" s="599"/>
      <c r="T209" s="1096">
        <f t="shared" si="27"/>
        <v>1070049638</v>
      </c>
      <c r="U209" s="599">
        <v>-10005363</v>
      </c>
      <c r="V209" s="1407">
        <f t="shared" si="26"/>
        <v>1070</v>
      </c>
      <c r="W209" s="599">
        <f t="shared" si="28"/>
        <v>-10</v>
      </c>
      <c r="X209" s="620"/>
      <c r="Y209" s="621"/>
      <c r="Z209" s="1096">
        <f t="shared" si="29"/>
        <v>1070049638</v>
      </c>
      <c r="AA209" s="882">
        <f t="shared" si="30"/>
        <v>1070</v>
      </c>
    </row>
    <row r="210" spans="1:27" ht="27" hidden="1" customHeight="1">
      <c r="A210" s="583"/>
      <c r="B210" s="583">
        <v>1018</v>
      </c>
      <c r="C210" s="581">
        <v>17</v>
      </c>
      <c r="D210" s="582" t="s">
        <v>241</v>
      </c>
      <c r="E210" s="1138" t="s">
        <v>755</v>
      </c>
      <c r="F210" s="1829">
        <v>-19459379</v>
      </c>
      <c r="G210" s="1826"/>
      <c r="H210" s="599"/>
      <c r="I210" s="599"/>
      <c r="J210" s="2065"/>
      <c r="K210" s="2065"/>
      <c r="L210" s="599"/>
      <c r="M210" s="2096"/>
      <c r="N210" s="2096"/>
      <c r="O210" s="2079"/>
      <c r="P210" s="1097"/>
      <c r="Q210" s="599"/>
      <c r="R210" s="599"/>
      <c r="S210" s="599"/>
      <c r="T210" s="1096">
        <f t="shared" si="27"/>
        <v>-19459379</v>
      </c>
      <c r="U210" s="599">
        <v>0</v>
      </c>
      <c r="V210" s="1407">
        <f t="shared" si="26"/>
        <v>-19</v>
      </c>
      <c r="W210" s="599">
        <f t="shared" si="28"/>
        <v>0</v>
      </c>
      <c r="X210" s="620"/>
      <c r="Y210" s="621"/>
      <c r="Z210" s="1096">
        <f t="shared" si="29"/>
        <v>-19459379</v>
      </c>
      <c r="AA210" s="882">
        <f t="shared" si="30"/>
        <v>-19</v>
      </c>
    </row>
    <row r="211" spans="1:27" ht="27" hidden="1" customHeight="1">
      <c r="A211" s="583"/>
      <c r="B211" s="583">
        <v>1011</v>
      </c>
      <c r="C211" s="581">
        <v>17</v>
      </c>
      <c r="D211" s="582" t="s">
        <v>588</v>
      </c>
      <c r="E211" s="1138" t="s">
        <v>468</v>
      </c>
      <c r="F211" s="1830">
        <v>-10415043025</v>
      </c>
      <c r="G211" s="1826"/>
      <c r="H211" s="599">
        <v>-14662389893</v>
      </c>
      <c r="I211" s="599"/>
      <c r="J211" s="2066"/>
      <c r="K211" s="599"/>
      <c r="L211" s="599"/>
      <c r="M211" s="2065"/>
      <c r="N211" s="599"/>
      <c r="O211" s="1097"/>
      <c r="P211" s="1097"/>
      <c r="Q211" s="599"/>
      <c r="R211" s="599"/>
      <c r="S211" s="599"/>
      <c r="T211" s="1096">
        <f t="shared" si="27"/>
        <v>-25077432918</v>
      </c>
      <c r="U211" s="599">
        <v>-25574347512</v>
      </c>
      <c r="V211" s="1407">
        <f t="shared" si="26"/>
        <v>-25077</v>
      </c>
      <c r="W211" s="599">
        <f t="shared" si="28"/>
        <v>-25574</v>
      </c>
      <c r="X211" s="620"/>
      <c r="Y211" s="621"/>
      <c r="Z211" s="1096">
        <f t="shared" si="29"/>
        <v>-25077432918</v>
      </c>
      <c r="AA211" s="882">
        <f t="shared" si="30"/>
        <v>-25077</v>
      </c>
    </row>
    <row r="212" spans="1:27" ht="27" hidden="1" customHeight="1">
      <c r="A212" s="583"/>
      <c r="B212" s="583">
        <v>406</v>
      </c>
      <c r="C212" s="581">
        <v>11</v>
      </c>
      <c r="D212" s="582" t="s">
        <v>491</v>
      </c>
      <c r="E212" s="1138" t="s">
        <v>659</v>
      </c>
      <c r="F212" s="1826"/>
      <c r="G212" s="1826"/>
      <c r="H212" s="599"/>
      <c r="I212" s="599"/>
      <c r="J212" s="2065"/>
      <c r="K212" s="599"/>
      <c r="L212" s="599"/>
      <c r="M212" s="2065"/>
      <c r="N212" s="599"/>
      <c r="O212" s="1097"/>
      <c r="P212" s="1097"/>
      <c r="Q212" s="599"/>
      <c r="R212" s="599"/>
      <c r="S212" s="599"/>
      <c r="T212" s="1096">
        <f t="shared" si="27"/>
        <v>0</v>
      </c>
      <c r="U212" s="599">
        <v>0</v>
      </c>
      <c r="V212" s="1407">
        <f t="shared" si="26"/>
        <v>0</v>
      </c>
      <c r="W212" s="599">
        <f t="shared" si="28"/>
        <v>0</v>
      </c>
      <c r="X212" s="620"/>
      <c r="Y212" s="621"/>
      <c r="Z212" s="1096">
        <f t="shared" si="29"/>
        <v>0</v>
      </c>
      <c r="AA212" s="882">
        <f t="shared" si="30"/>
        <v>0</v>
      </c>
    </row>
    <row r="213" spans="1:27" ht="27" hidden="1" customHeight="1">
      <c r="A213" s="583"/>
      <c r="B213" s="583">
        <v>428</v>
      </c>
      <c r="C213" s="581">
        <v>11</v>
      </c>
      <c r="D213" s="582" t="s">
        <v>1033</v>
      </c>
      <c r="E213" s="1138" t="s">
        <v>2592</v>
      </c>
      <c r="F213" s="1826">
        <v>258984000</v>
      </c>
      <c r="G213" s="1826"/>
      <c r="H213" s="599"/>
      <c r="I213" s="599"/>
      <c r="J213" s="2065"/>
      <c r="K213" s="599"/>
      <c r="L213" s="599"/>
      <c r="M213" s="2065"/>
      <c r="N213" s="599"/>
      <c r="O213" s="1097"/>
      <c r="P213" s="1097"/>
      <c r="Q213" s="599"/>
      <c r="R213" s="599"/>
      <c r="S213" s="599"/>
      <c r="T213" s="1096">
        <f t="shared" si="27"/>
        <v>258984000</v>
      </c>
      <c r="U213" s="599">
        <v>0</v>
      </c>
      <c r="V213" s="1407">
        <f t="shared" si="26"/>
        <v>259</v>
      </c>
      <c r="W213" s="599">
        <f t="shared" si="28"/>
        <v>0</v>
      </c>
      <c r="X213" s="620"/>
      <c r="Y213" s="621"/>
      <c r="Z213" s="1096">
        <f t="shared" si="29"/>
        <v>258984000</v>
      </c>
      <c r="AA213" s="882">
        <f t="shared" si="30"/>
        <v>259</v>
      </c>
    </row>
    <row r="214" spans="1:27" ht="27" hidden="1" customHeight="1">
      <c r="A214" s="583"/>
      <c r="B214" s="583">
        <v>406</v>
      </c>
      <c r="C214" s="581">
        <v>11</v>
      </c>
      <c r="D214" s="582" t="s">
        <v>843</v>
      </c>
      <c r="E214" s="1138" t="s">
        <v>889</v>
      </c>
      <c r="F214" s="1826"/>
      <c r="G214" s="1826"/>
      <c r="H214" s="599"/>
      <c r="I214" s="599"/>
      <c r="J214" s="2065"/>
      <c r="K214" s="599"/>
      <c r="L214" s="599"/>
      <c r="M214" s="2065"/>
      <c r="N214" s="599"/>
      <c r="O214" s="1097"/>
      <c r="P214" s="1097"/>
      <c r="Q214" s="599"/>
      <c r="R214" s="599"/>
      <c r="S214" s="599"/>
      <c r="T214" s="1096">
        <f t="shared" si="27"/>
        <v>0</v>
      </c>
      <c r="U214" s="599">
        <v>0</v>
      </c>
      <c r="V214" s="1407">
        <f t="shared" si="26"/>
        <v>0</v>
      </c>
      <c r="W214" s="599">
        <f t="shared" si="28"/>
        <v>0</v>
      </c>
      <c r="X214" s="620"/>
      <c r="Y214" s="621"/>
      <c r="Z214" s="1096">
        <f t="shared" si="29"/>
        <v>0</v>
      </c>
      <c r="AA214" s="882">
        <f t="shared" si="30"/>
        <v>0</v>
      </c>
    </row>
    <row r="215" spans="1:27" ht="27" hidden="1" customHeight="1">
      <c r="A215" s="583"/>
      <c r="B215" s="583">
        <v>406</v>
      </c>
      <c r="C215" s="581">
        <v>11</v>
      </c>
      <c r="D215" s="582" t="s">
        <v>1078</v>
      </c>
      <c r="E215" s="1138" t="s">
        <v>1079</v>
      </c>
      <c r="F215" s="1826"/>
      <c r="G215" s="1826"/>
      <c r="H215" s="599"/>
      <c r="I215" s="599"/>
      <c r="J215" s="2065"/>
      <c r="K215" s="599"/>
      <c r="L215" s="599"/>
      <c r="M215" s="2065"/>
      <c r="N215" s="599"/>
      <c r="O215" s="1097"/>
      <c r="P215" s="1097"/>
      <c r="Q215" s="599"/>
      <c r="R215" s="599"/>
      <c r="S215" s="599"/>
      <c r="T215" s="1096">
        <f t="shared" si="27"/>
        <v>0</v>
      </c>
      <c r="U215" s="599">
        <v>0</v>
      </c>
      <c r="V215" s="1407">
        <f t="shared" si="26"/>
        <v>0</v>
      </c>
      <c r="W215" s="599">
        <f t="shared" si="28"/>
        <v>0</v>
      </c>
      <c r="X215" s="620"/>
      <c r="Y215" s="621"/>
      <c r="Z215" s="1096">
        <f t="shared" si="29"/>
        <v>0</v>
      </c>
      <c r="AA215" s="882">
        <f t="shared" si="30"/>
        <v>0</v>
      </c>
    </row>
    <row r="216" spans="1:27" ht="27" hidden="1" customHeight="1">
      <c r="A216" s="583"/>
      <c r="B216" s="583">
        <v>406</v>
      </c>
      <c r="C216" s="581">
        <v>11</v>
      </c>
      <c r="D216" s="582" t="s">
        <v>1080</v>
      </c>
      <c r="E216" s="1138" t="s">
        <v>1081</v>
      </c>
      <c r="F216" s="1826">
        <v>274615124</v>
      </c>
      <c r="G216" s="1826"/>
      <c r="H216" s="599"/>
      <c r="I216" s="599"/>
      <c r="J216" s="2065"/>
      <c r="K216" s="599"/>
      <c r="L216" s="599"/>
      <c r="M216" s="2065"/>
      <c r="N216" s="599"/>
      <c r="O216" s="1097"/>
      <c r="P216" s="1097"/>
      <c r="Q216" s="599"/>
      <c r="R216" s="599"/>
      <c r="S216" s="599"/>
      <c r="T216" s="1096">
        <f t="shared" si="27"/>
        <v>274615124</v>
      </c>
      <c r="U216" s="599">
        <v>0</v>
      </c>
      <c r="V216" s="1407">
        <f t="shared" si="26"/>
        <v>275</v>
      </c>
      <c r="W216" s="599">
        <f t="shared" si="28"/>
        <v>0</v>
      </c>
      <c r="X216" s="620"/>
      <c r="Y216" s="621"/>
      <c r="Z216" s="1096">
        <f t="shared" si="29"/>
        <v>274615124</v>
      </c>
      <c r="AA216" s="882">
        <f t="shared" si="30"/>
        <v>275</v>
      </c>
    </row>
    <row r="217" spans="1:27" ht="27" hidden="1" customHeight="1">
      <c r="A217" s="583"/>
      <c r="B217" s="583">
        <v>1010</v>
      </c>
      <c r="C217" s="581">
        <v>17</v>
      </c>
      <c r="D217" s="582" t="s">
        <v>186</v>
      </c>
      <c r="E217" s="1138" t="s">
        <v>187</v>
      </c>
      <c r="F217" s="1826"/>
      <c r="G217" s="1833">
        <v>-34105942</v>
      </c>
      <c r="H217" s="599">
        <v>34105942</v>
      </c>
      <c r="I217" s="599"/>
      <c r="J217" s="2066"/>
      <c r="K217" s="599"/>
      <c r="L217" s="599"/>
      <c r="M217" s="2065"/>
      <c r="N217" s="599"/>
      <c r="O217" s="1097"/>
      <c r="P217" s="1097"/>
      <c r="Q217" s="599"/>
      <c r="R217" s="599"/>
      <c r="S217" s="599"/>
      <c r="T217" s="1096">
        <f t="shared" si="27"/>
        <v>0</v>
      </c>
      <c r="U217" s="599">
        <v>0</v>
      </c>
      <c r="V217" s="1407">
        <f t="shared" si="26"/>
        <v>0</v>
      </c>
      <c r="W217" s="599">
        <f t="shared" si="28"/>
        <v>0</v>
      </c>
      <c r="X217" s="620"/>
      <c r="Y217" s="621"/>
      <c r="Z217" s="1096">
        <f t="shared" si="29"/>
        <v>0</v>
      </c>
      <c r="AA217" s="882">
        <f t="shared" si="30"/>
        <v>0</v>
      </c>
    </row>
    <row r="218" spans="1:27" ht="27" hidden="1" customHeight="1">
      <c r="A218" s="583"/>
      <c r="B218" s="583">
        <v>1010</v>
      </c>
      <c r="C218" s="581">
        <v>17</v>
      </c>
      <c r="D218" s="582" t="s">
        <v>188</v>
      </c>
      <c r="E218" s="1138" t="s">
        <v>749</v>
      </c>
      <c r="F218" s="1830">
        <v>-587927036890</v>
      </c>
      <c r="G218" s="1833">
        <v>-26656504400</v>
      </c>
      <c r="H218" s="1833">
        <v>-2212817228</v>
      </c>
      <c r="I218" s="599">
        <v>-149569254</v>
      </c>
      <c r="J218" s="2066">
        <v>-47247891</v>
      </c>
      <c r="K218" s="599"/>
      <c r="L218" s="599"/>
      <c r="M218" s="2065"/>
      <c r="N218" s="599"/>
      <c r="O218" s="1097"/>
      <c r="P218" s="1097"/>
      <c r="Q218" s="599"/>
      <c r="R218" s="599"/>
      <c r="S218" s="599"/>
      <c r="T218" s="1096">
        <f t="shared" si="27"/>
        <v>-616993175663</v>
      </c>
      <c r="U218" s="599">
        <v>-438358365410</v>
      </c>
      <c r="V218" s="1407">
        <f t="shared" si="26"/>
        <v>-616993</v>
      </c>
      <c r="W218" s="599">
        <f t="shared" si="28"/>
        <v>-438358</v>
      </c>
      <c r="X218" s="620"/>
      <c r="Y218" s="621"/>
      <c r="Z218" s="1096">
        <f t="shared" si="29"/>
        <v>-616993175663</v>
      </c>
      <c r="AA218" s="882">
        <f t="shared" si="30"/>
        <v>-616993</v>
      </c>
    </row>
    <row r="219" spans="1:27" ht="27" hidden="1" customHeight="1">
      <c r="A219" s="583"/>
      <c r="B219" s="583">
        <v>1009</v>
      </c>
      <c r="C219" s="581">
        <v>17</v>
      </c>
      <c r="D219" s="582" t="s">
        <v>1202</v>
      </c>
      <c r="E219" s="1138" t="s">
        <v>1082</v>
      </c>
      <c r="F219" s="1829">
        <v>1429507</v>
      </c>
      <c r="G219" s="1826">
        <v>-76456272</v>
      </c>
      <c r="H219" s="599">
        <v>174111450</v>
      </c>
      <c r="I219" s="599">
        <v>-58124445</v>
      </c>
      <c r="J219" s="2065">
        <v>-8795364</v>
      </c>
      <c r="K219" s="599">
        <v>-122000000</v>
      </c>
      <c r="L219" s="599"/>
      <c r="M219" s="2065"/>
      <c r="N219" s="599"/>
      <c r="O219" s="1097"/>
      <c r="P219" s="1097"/>
      <c r="Q219" s="599"/>
      <c r="R219" s="599"/>
      <c r="S219" s="599"/>
      <c r="T219" s="1981">
        <f t="shared" si="27"/>
        <v>-89835124</v>
      </c>
      <c r="U219" s="599">
        <v>-23605077</v>
      </c>
      <c r="V219" s="1407">
        <f t="shared" si="26"/>
        <v>-90</v>
      </c>
      <c r="W219" s="599">
        <f t="shared" si="28"/>
        <v>-24</v>
      </c>
      <c r="X219" s="620"/>
      <c r="Y219" s="621"/>
      <c r="Z219" s="1096">
        <f t="shared" si="29"/>
        <v>-89835124</v>
      </c>
      <c r="AA219" s="882">
        <f t="shared" si="30"/>
        <v>-90</v>
      </c>
    </row>
    <row r="220" spans="1:27" ht="27" hidden="1" customHeight="1">
      <c r="A220" s="583"/>
      <c r="B220" s="583">
        <v>406</v>
      </c>
      <c r="C220" s="581">
        <v>11</v>
      </c>
      <c r="D220" s="582">
        <v>9298971</v>
      </c>
      <c r="E220" s="1138" t="s">
        <v>1945</v>
      </c>
      <c r="F220" s="1826"/>
      <c r="G220" s="1826"/>
      <c r="H220" s="599"/>
      <c r="I220" s="599"/>
      <c r="J220" s="2065"/>
      <c r="K220" s="599"/>
      <c r="L220" s="599"/>
      <c r="M220" s="2065"/>
      <c r="N220" s="599"/>
      <c r="O220" s="1097"/>
      <c r="P220" s="1097"/>
      <c r="Q220" s="599"/>
      <c r="R220" s="599"/>
      <c r="S220" s="599"/>
      <c r="T220" s="1096">
        <f t="shared" si="27"/>
        <v>0</v>
      </c>
      <c r="U220" s="599">
        <v>0</v>
      </c>
      <c r="V220" s="1407">
        <f t="shared" si="26"/>
        <v>0</v>
      </c>
      <c r="W220" s="599">
        <f t="shared" si="28"/>
        <v>0</v>
      </c>
      <c r="X220" s="620"/>
      <c r="Y220" s="621"/>
      <c r="Z220" s="1096">
        <f t="shared" si="29"/>
        <v>0</v>
      </c>
      <c r="AA220" s="882">
        <f t="shared" si="30"/>
        <v>0</v>
      </c>
    </row>
    <row r="221" spans="1:27" ht="27" hidden="1" customHeight="1">
      <c r="A221" s="583"/>
      <c r="B221" s="583">
        <v>1009</v>
      </c>
      <c r="C221" s="581">
        <v>17</v>
      </c>
      <c r="D221" s="582" t="s">
        <v>607</v>
      </c>
      <c r="E221" s="1138" t="s">
        <v>606</v>
      </c>
      <c r="F221" s="1826"/>
      <c r="G221" s="1826"/>
      <c r="H221" s="599"/>
      <c r="I221" s="599"/>
      <c r="J221" s="2065"/>
      <c r="K221" s="599"/>
      <c r="L221" s="599"/>
      <c r="M221" s="2065"/>
      <c r="N221" s="599"/>
      <c r="O221" s="1097"/>
      <c r="P221" s="1097"/>
      <c r="Q221" s="599"/>
      <c r="R221" s="599"/>
      <c r="S221" s="599"/>
      <c r="T221" s="1096">
        <f t="shared" si="27"/>
        <v>0</v>
      </c>
      <c r="U221" s="599">
        <v>0</v>
      </c>
      <c r="V221" s="1407">
        <f t="shared" si="26"/>
        <v>0</v>
      </c>
      <c r="W221" s="599">
        <f t="shared" si="28"/>
        <v>0</v>
      </c>
      <c r="X221" s="620"/>
      <c r="Y221" s="621"/>
      <c r="Z221" s="1096">
        <f t="shared" si="29"/>
        <v>0</v>
      </c>
      <c r="AA221" s="882">
        <f t="shared" si="30"/>
        <v>0</v>
      </c>
    </row>
    <row r="222" spans="1:27" ht="27" hidden="1" customHeight="1">
      <c r="A222" s="583"/>
      <c r="B222" s="583">
        <v>406</v>
      </c>
      <c r="C222" s="581">
        <v>11</v>
      </c>
      <c r="D222" s="582" t="s">
        <v>1107</v>
      </c>
      <c r="E222" s="1138" t="s">
        <v>1342</v>
      </c>
      <c r="F222" s="1826"/>
      <c r="G222" s="1826"/>
      <c r="H222" s="599"/>
      <c r="I222" s="599"/>
      <c r="J222" s="2065"/>
      <c r="K222" s="599"/>
      <c r="L222" s="599"/>
      <c r="M222" s="2065"/>
      <c r="N222" s="599"/>
      <c r="O222" s="1097"/>
      <c r="P222" s="1097"/>
      <c r="Q222" s="599"/>
      <c r="R222" s="599"/>
      <c r="S222" s="599"/>
      <c r="T222" s="1096">
        <f t="shared" si="27"/>
        <v>0</v>
      </c>
      <c r="U222" s="599">
        <v>0</v>
      </c>
      <c r="V222" s="1407">
        <f t="shared" si="26"/>
        <v>0</v>
      </c>
      <c r="W222" s="599">
        <f t="shared" si="28"/>
        <v>0</v>
      </c>
      <c r="X222" s="620"/>
      <c r="Y222" s="621"/>
      <c r="Z222" s="1096">
        <f t="shared" si="29"/>
        <v>0</v>
      </c>
      <c r="AA222" s="882">
        <f t="shared" si="30"/>
        <v>0</v>
      </c>
    </row>
    <row r="223" spans="1:27" ht="27" hidden="1" customHeight="1">
      <c r="A223" s="583"/>
      <c r="B223" s="583">
        <v>406</v>
      </c>
      <c r="C223" s="581">
        <v>11</v>
      </c>
      <c r="D223" s="582" t="s">
        <v>1211</v>
      </c>
      <c r="E223" s="1138" t="s">
        <v>1165</v>
      </c>
      <c r="F223" s="1826"/>
      <c r="G223" s="1826"/>
      <c r="H223" s="1833"/>
      <c r="I223" s="599"/>
      <c r="J223" s="2065"/>
      <c r="K223" s="599"/>
      <c r="L223" s="599"/>
      <c r="M223" s="2065"/>
      <c r="N223" s="599"/>
      <c r="O223" s="1097"/>
      <c r="P223" s="1097"/>
      <c r="Q223" s="599"/>
      <c r="R223" s="599"/>
      <c r="S223" s="599"/>
      <c r="T223" s="1096">
        <f t="shared" si="27"/>
        <v>0</v>
      </c>
      <c r="U223" s="599">
        <v>0</v>
      </c>
      <c r="V223" s="1407">
        <f t="shared" si="26"/>
        <v>0</v>
      </c>
      <c r="W223" s="599">
        <f t="shared" si="28"/>
        <v>0</v>
      </c>
      <c r="X223" s="620"/>
      <c r="Y223" s="621"/>
      <c r="Z223" s="1096">
        <f t="shared" si="29"/>
        <v>0</v>
      </c>
      <c r="AA223" s="882">
        <f t="shared" si="30"/>
        <v>0</v>
      </c>
    </row>
    <row r="224" spans="1:27" ht="27" hidden="1" customHeight="1">
      <c r="A224" s="583"/>
      <c r="B224" s="583">
        <v>1009</v>
      </c>
      <c r="C224" s="581">
        <v>17</v>
      </c>
      <c r="D224" s="582" t="s">
        <v>873</v>
      </c>
      <c r="E224" s="1138" t="s">
        <v>827</v>
      </c>
      <c r="F224" s="1826"/>
      <c r="G224" s="1826"/>
      <c r="H224" s="599"/>
      <c r="I224" s="599"/>
      <c r="J224" s="2065"/>
      <c r="K224" s="599"/>
      <c r="L224" s="599"/>
      <c r="M224" s="2065"/>
      <c r="N224" s="599"/>
      <c r="O224" s="1097"/>
      <c r="P224" s="1097"/>
      <c r="Q224" s="599"/>
      <c r="R224" s="599"/>
      <c r="S224" s="599"/>
      <c r="T224" s="1096">
        <f t="shared" si="27"/>
        <v>0</v>
      </c>
      <c r="U224" s="599">
        <v>0</v>
      </c>
      <c r="V224" s="1407">
        <f t="shared" si="26"/>
        <v>0</v>
      </c>
      <c r="W224" s="599">
        <f t="shared" si="28"/>
        <v>0</v>
      </c>
      <c r="X224" s="620"/>
      <c r="Y224" s="621"/>
      <c r="Z224" s="1096">
        <f t="shared" si="29"/>
        <v>0</v>
      </c>
      <c r="AA224" s="882">
        <f t="shared" si="30"/>
        <v>0</v>
      </c>
    </row>
    <row r="225" spans="1:27" ht="27" hidden="1" customHeight="1">
      <c r="A225" s="583"/>
      <c r="B225" s="583">
        <v>406</v>
      </c>
      <c r="C225" s="581">
        <v>11</v>
      </c>
      <c r="D225" s="582" t="s">
        <v>1258</v>
      </c>
      <c r="E225" s="1138" t="s">
        <v>1259</v>
      </c>
      <c r="F225" s="1826"/>
      <c r="G225" s="1826"/>
      <c r="H225" s="599"/>
      <c r="I225" s="599"/>
      <c r="J225" s="2066"/>
      <c r="K225" s="599"/>
      <c r="L225" s="599"/>
      <c r="M225" s="2065"/>
      <c r="N225" s="599"/>
      <c r="O225" s="1097"/>
      <c r="P225" s="1097"/>
      <c r="Q225" s="599"/>
      <c r="R225" s="599"/>
      <c r="S225" s="599"/>
      <c r="T225" s="1096">
        <f t="shared" si="27"/>
        <v>0</v>
      </c>
      <c r="U225" s="599">
        <v>0</v>
      </c>
      <c r="V225" s="1407">
        <f t="shared" si="26"/>
        <v>0</v>
      </c>
      <c r="W225" s="599">
        <f t="shared" si="28"/>
        <v>0</v>
      </c>
      <c r="X225" s="620"/>
      <c r="Y225" s="621"/>
      <c r="Z225" s="1096">
        <f t="shared" si="29"/>
        <v>0</v>
      </c>
      <c r="AA225" s="882">
        <f t="shared" si="30"/>
        <v>0</v>
      </c>
    </row>
    <row r="226" spans="1:27" ht="27" hidden="1" customHeight="1">
      <c r="A226" s="583"/>
      <c r="B226" s="583">
        <v>406</v>
      </c>
      <c r="C226" s="581">
        <v>11</v>
      </c>
      <c r="D226" s="582" t="s">
        <v>668</v>
      </c>
      <c r="E226" s="1138" t="s">
        <v>669</v>
      </c>
      <c r="F226" s="1826"/>
      <c r="G226" s="1826"/>
      <c r="H226" s="599"/>
      <c r="I226" s="599"/>
      <c r="J226" s="2066"/>
      <c r="K226" s="599"/>
      <c r="L226" s="599"/>
      <c r="M226" s="2065"/>
      <c r="N226" s="599"/>
      <c r="O226" s="1097"/>
      <c r="P226" s="1097"/>
      <c r="Q226" s="599"/>
      <c r="R226" s="599"/>
      <c r="S226" s="599"/>
      <c r="T226" s="1096">
        <f t="shared" si="27"/>
        <v>0</v>
      </c>
      <c r="U226" s="599">
        <v>0</v>
      </c>
      <c r="V226" s="1407">
        <f t="shared" si="26"/>
        <v>0</v>
      </c>
      <c r="W226" s="599">
        <f t="shared" si="28"/>
        <v>0</v>
      </c>
      <c r="X226" s="620"/>
      <c r="Y226" s="621"/>
      <c r="Z226" s="1096">
        <f t="shared" si="29"/>
        <v>0</v>
      </c>
      <c r="AA226" s="882">
        <f t="shared" si="30"/>
        <v>0</v>
      </c>
    </row>
    <row r="227" spans="1:27" ht="27" hidden="1" customHeight="1">
      <c r="A227" s="583"/>
      <c r="B227" s="583">
        <v>406</v>
      </c>
      <c r="C227" s="581">
        <v>11</v>
      </c>
      <c r="D227" s="582" t="s">
        <v>19</v>
      </c>
      <c r="E227" s="1138" t="s">
        <v>680</v>
      </c>
      <c r="F227" s="1826"/>
      <c r="G227" s="1826"/>
      <c r="H227" s="599"/>
      <c r="I227" s="599"/>
      <c r="J227" s="2066"/>
      <c r="K227" s="599"/>
      <c r="L227" s="599"/>
      <c r="M227" s="2065"/>
      <c r="N227" s="599"/>
      <c r="O227" s="1097"/>
      <c r="P227" s="1097"/>
      <c r="Q227" s="599"/>
      <c r="R227" s="599"/>
      <c r="S227" s="599"/>
      <c r="T227" s="1096">
        <f t="shared" si="27"/>
        <v>0</v>
      </c>
      <c r="U227" s="599">
        <v>0</v>
      </c>
      <c r="V227" s="1407">
        <f t="shared" si="26"/>
        <v>0</v>
      </c>
      <c r="W227" s="599">
        <f t="shared" si="28"/>
        <v>0</v>
      </c>
      <c r="X227" s="620"/>
      <c r="Y227" s="621"/>
      <c r="Z227" s="1096">
        <f t="shared" si="29"/>
        <v>0</v>
      </c>
      <c r="AA227" s="882">
        <f t="shared" si="30"/>
        <v>0</v>
      </c>
    </row>
    <row r="228" spans="1:27" ht="27" hidden="1" customHeight="1">
      <c r="A228" s="583"/>
      <c r="B228" s="583">
        <v>406</v>
      </c>
      <c r="C228" s="581">
        <v>11</v>
      </c>
      <c r="D228" s="582" t="s">
        <v>476</v>
      </c>
      <c r="E228" s="1138" t="s">
        <v>1174</v>
      </c>
      <c r="F228" s="1830"/>
      <c r="G228" s="1826"/>
      <c r="H228" s="599"/>
      <c r="I228" s="599"/>
      <c r="J228" s="2065"/>
      <c r="K228" s="599"/>
      <c r="L228" s="599"/>
      <c r="M228" s="2065"/>
      <c r="N228" s="599"/>
      <c r="O228" s="1097"/>
      <c r="P228" s="1097"/>
      <c r="Q228" s="599"/>
      <c r="R228" s="599"/>
      <c r="S228" s="599"/>
      <c r="T228" s="1981">
        <f t="shared" si="27"/>
        <v>0</v>
      </c>
      <c r="U228" s="599">
        <v>-4480000</v>
      </c>
      <c r="V228" s="1407">
        <f t="shared" si="26"/>
        <v>0</v>
      </c>
      <c r="W228" s="599">
        <f t="shared" si="28"/>
        <v>-4</v>
      </c>
      <c r="X228" s="620"/>
      <c r="Y228" s="621"/>
      <c r="Z228" s="1096">
        <f t="shared" si="29"/>
        <v>0</v>
      </c>
      <c r="AA228" s="882">
        <f t="shared" si="30"/>
        <v>0</v>
      </c>
    </row>
    <row r="229" spans="1:27" ht="27" hidden="1" customHeight="1">
      <c r="A229" s="583"/>
      <c r="B229" s="583">
        <v>405</v>
      </c>
      <c r="C229" s="581">
        <v>11</v>
      </c>
      <c r="D229" s="582" t="s">
        <v>201</v>
      </c>
      <c r="E229" s="1138" t="s">
        <v>1426</v>
      </c>
      <c r="F229" s="1829">
        <v>158124143346</v>
      </c>
      <c r="G229" s="2075"/>
      <c r="H229" s="2065"/>
      <c r="I229" s="2065"/>
      <c r="J229" s="2066"/>
      <c r="K229" s="2065"/>
      <c r="L229" s="2065"/>
      <c r="M229" s="2065"/>
      <c r="N229" s="2065"/>
      <c r="O229" s="2066"/>
      <c r="P229" s="2066"/>
      <c r="Q229" s="2065"/>
      <c r="R229" s="2065"/>
      <c r="S229" s="2065"/>
      <c r="T229" s="1096">
        <f t="shared" si="27"/>
        <v>158124143346</v>
      </c>
      <c r="U229" s="599">
        <v>147791143346</v>
      </c>
      <c r="V229" s="1407">
        <f t="shared" si="26"/>
        <v>158124</v>
      </c>
      <c r="W229" s="599">
        <f t="shared" si="28"/>
        <v>147791</v>
      </c>
      <c r="X229" s="620"/>
      <c r="Y229" s="621"/>
      <c r="Z229" s="1096">
        <f t="shared" si="29"/>
        <v>158124143346</v>
      </c>
      <c r="AA229" s="882">
        <f t="shared" si="30"/>
        <v>158124</v>
      </c>
    </row>
    <row r="230" spans="1:27" ht="27" hidden="1" customHeight="1">
      <c r="A230" s="583"/>
      <c r="B230" s="583">
        <v>404</v>
      </c>
      <c r="C230" s="581">
        <v>11</v>
      </c>
      <c r="D230" s="582" t="s">
        <v>51</v>
      </c>
      <c r="E230" s="1138" t="s">
        <v>155</v>
      </c>
      <c r="F230" s="1829">
        <v>182311134461</v>
      </c>
      <c r="G230" s="2077">
        <v>-704612231</v>
      </c>
      <c r="H230" s="2094">
        <v>4709568305</v>
      </c>
      <c r="I230" s="2080">
        <v>21366074791</v>
      </c>
      <c r="J230" s="2080">
        <v>-29262360</v>
      </c>
      <c r="K230" s="2080">
        <v>-1816006320</v>
      </c>
      <c r="L230" s="2080"/>
      <c r="M230" s="2080"/>
      <c r="N230" s="2080"/>
      <c r="O230" s="2066"/>
      <c r="P230" s="2066"/>
      <c r="Q230" s="2065"/>
      <c r="R230" s="2065"/>
      <c r="S230" s="2065"/>
      <c r="T230" s="1096">
        <f t="shared" si="27"/>
        <v>205836896646</v>
      </c>
      <c r="U230" s="599">
        <v>129839225213</v>
      </c>
      <c r="V230" s="1407">
        <f t="shared" si="26"/>
        <v>205837</v>
      </c>
      <c r="W230" s="599">
        <f t="shared" si="28"/>
        <v>129839</v>
      </c>
      <c r="X230" s="620"/>
      <c r="Y230" s="621"/>
      <c r="Z230" s="1096">
        <f t="shared" si="29"/>
        <v>205836896646</v>
      </c>
      <c r="AA230" s="882">
        <f t="shared" si="30"/>
        <v>205837</v>
      </c>
    </row>
    <row r="231" spans="1:27" ht="27" hidden="1" customHeight="1">
      <c r="A231" s="583"/>
      <c r="B231" s="583">
        <v>1009</v>
      </c>
      <c r="C231" s="581">
        <v>17</v>
      </c>
      <c r="D231" s="582">
        <v>6503855</v>
      </c>
      <c r="E231" s="1138" t="s">
        <v>221</v>
      </c>
      <c r="F231" s="1826"/>
      <c r="G231" s="2075"/>
      <c r="H231" s="2065"/>
      <c r="I231" s="2065"/>
      <c r="J231" s="2065"/>
      <c r="K231" s="2065"/>
      <c r="L231" s="2065"/>
      <c r="M231" s="2065"/>
      <c r="N231" s="2065"/>
      <c r="O231" s="2066"/>
      <c r="P231" s="2066"/>
      <c r="Q231" s="2065"/>
      <c r="R231" s="2065"/>
      <c r="S231" s="2065"/>
      <c r="T231" s="1096">
        <f t="shared" si="27"/>
        <v>0</v>
      </c>
      <c r="U231" s="599">
        <v>0</v>
      </c>
      <c r="V231" s="1407">
        <f t="shared" si="26"/>
        <v>0</v>
      </c>
      <c r="W231" s="599">
        <f t="shared" si="28"/>
        <v>0</v>
      </c>
      <c r="X231" s="620"/>
      <c r="Y231" s="621"/>
      <c r="Z231" s="1096"/>
      <c r="AA231" s="882"/>
    </row>
    <row r="232" spans="1:27" ht="27" hidden="1" customHeight="1">
      <c r="A232" s="583"/>
      <c r="B232" s="583">
        <v>1009</v>
      </c>
      <c r="C232" s="581">
        <v>17</v>
      </c>
      <c r="D232" s="582" t="s">
        <v>427</v>
      </c>
      <c r="E232" s="1138" t="s">
        <v>775</v>
      </c>
      <c r="F232" s="1830">
        <v>-11116200338</v>
      </c>
      <c r="G232" s="2075"/>
      <c r="H232" s="2065"/>
      <c r="I232" s="2065"/>
      <c r="J232" s="2065"/>
      <c r="K232" s="2080"/>
      <c r="L232" s="2065"/>
      <c r="M232" s="2065"/>
      <c r="N232" s="2065"/>
      <c r="O232" s="2066"/>
      <c r="P232" s="2066"/>
      <c r="Q232" s="2065"/>
      <c r="R232" s="2065"/>
      <c r="S232" s="2065"/>
      <c r="T232" s="1981">
        <f t="shared" si="27"/>
        <v>-11116200338</v>
      </c>
      <c r="U232" s="599">
        <v>-15368829295</v>
      </c>
      <c r="V232" s="1407">
        <f t="shared" si="26"/>
        <v>-11116</v>
      </c>
      <c r="W232" s="599">
        <f t="shared" si="28"/>
        <v>-15369</v>
      </c>
      <c r="X232" s="620"/>
      <c r="Y232" s="621"/>
      <c r="Z232" s="1096">
        <f t="shared" ref="Z232:Z264" si="31">T232+Y232-X232</f>
        <v>-11116200338</v>
      </c>
      <c r="AA232" s="882">
        <f t="shared" ref="AA232:AA264" si="32">ROUND((Z232/1000000),0)</f>
        <v>-11116</v>
      </c>
    </row>
    <row r="233" spans="1:27" ht="27" hidden="1" customHeight="1">
      <c r="A233" s="583"/>
      <c r="B233" s="583">
        <v>403</v>
      </c>
      <c r="C233" s="581">
        <v>11</v>
      </c>
      <c r="D233" s="582" t="s">
        <v>53</v>
      </c>
      <c r="E233" s="1138" t="s">
        <v>757</v>
      </c>
      <c r="F233" s="1826"/>
      <c r="G233" s="2075"/>
      <c r="H233" s="2065"/>
      <c r="I233" s="2065"/>
      <c r="J233" s="2065"/>
      <c r="K233" s="2065"/>
      <c r="L233" s="2065"/>
      <c r="M233" s="2065"/>
      <c r="N233" s="2065"/>
      <c r="O233" s="2066"/>
      <c r="P233" s="2066"/>
      <c r="Q233" s="2065"/>
      <c r="R233" s="2065"/>
      <c r="S233" s="2065"/>
      <c r="T233" s="1096">
        <f t="shared" si="27"/>
        <v>0</v>
      </c>
      <c r="U233" s="599">
        <v>0</v>
      </c>
      <c r="V233" s="1407">
        <f t="shared" si="26"/>
        <v>0</v>
      </c>
      <c r="W233" s="599">
        <f t="shared" si="28"/>
        <v>0</v>
      </c>
      <c r="X233" s="620"/>
      <c r="Y233" s="621"/>
      <c r="Z233" s="1096">
        <f t="shared" si="31"/>
        <v>0</v>
      </c>
      <c r="AA233" s="882">
        <f t="shared" si="32"/>
        <v>0</v>
      </c>
    </row>
    <row r="234" spans="1:27" ht="27" hidden="1" customHeight="1">
      <c r="A234" s="583"/>
      <c r="B234" s="583">
        <v>402</v>
      </c>
      <c r="C234" s="581">
        <v>11</v>
      </c>
      <c r="D234" s="582" t="s">
        <v>48</v>
      </c>
      <c r="E234" s="1138" t="s">
        <v>49</v>
      </c>
      <c r="F234" s="1829"/>
      <c r="G234" s="2075"/>
      <c r="H234" s="2065"/>
      <c r="I234" s="2065"/>
      <c r="J234" s="2065"/>
      <c r="K234" s="2065"/>
      <c r="L234" s="2065"/>
      <c r="M234" s="2065"/>
      <c r="N234" s="2065"/>
      <c r="O234" s="2066"/>
      <c r="P234" s="2066"/>
      <c r="Q234" s="2065"/>
      <c r="R234" s="2065"/>
      <c r="S234" s="2065"/>
      <c r="T234" s="1096">
        <f t="shared" si="27"/>
        <v>0</v>
      </c>
      <c r="U234" s="599">
        <v>0</v>
      </c>
      <c r="V234" s="1407">
        <f t="shared" si="26"/>
        <v>0</v>
      </c>
      <c r="W234" s="599">
        <f t="shared" si="28"/>
        <v>0</v>
      </c>
      <c r="X234" s="620"/>
      <c r="Y234" s="621"/>
      <c r="Z234" s="1096">
        <f t="shared" si="31"/>
        <v>0</v>
      </c>
      <c r="AA234" s="882">
        <f t="shared" si="32"/>
        <v>0</v>
      </c>
    </row>
    <row r="235" spans="1:27" ht="27" hidden="1" customHeight="1">
      <c r="A235" s="583"/>
      <c r="B235" s="583">
        <v>1009</v>
      </c>
      <c r="C235" s="581">
        <v>17</v>
      </c>
      <c r="D235" s="582" t="s">
        <v>829</v>
      </c>
      <c r="E235" s="1138" t="s">
        <v>830</v>
      </c>
      <c r="F235" s="1826"/>
      <c r="G235" s="2075"/>
      <c r="H235" s="2065"/>
      <c r="I235" s="2065"/>
      <c r="J235" s="2065"/>
      <c r="K235" s="2065"/>
      <c r="L235" s="2065"/>
      <c r="M235" s="2065"/>
      <c r="N235" s="2065"/>
      <c r="O235" s="2066"/>
      <c r="P235" s="2066"/>
      <c r="Q235" s="2065"/>
      <c r="R235" s="2065"/>
      <c r="S235" s="2065"/>
      <c r="T235" s="1096">
        <f t="shared" si="27"/>
        <v>0</v>
      </c>
      <c r="U235" s="599">
        <v>0</v>
      </c>
      <c r="V235" s="1407">
        <f t="shared" si="26"/>
        <v>0</v>
      </c>
      <c r="W235" s="599">
        <f t="shared" si="28"/>
        <v>0</v>
      </c>
      <c r="X235" s="620"/>
      <c r="Y235" s="621"/>
      <c r="Z235" s="1096">
        <f t="shared" si="31"/>
        <v>0</v>
      </c>
      <c r="AA235" s="882">
        <f t="shared" si="32"/>
        <v>0</v>
      </c>
    </row>
    <row r="236" spans="1:27" ht="27" hidden="1" customHeight="1">
      <c r="A236" s="583"/>
      <c r="B236" s="583">
        <v>1009</v>
      </c>
      <c r="C236" s="581">
        <v>17</v>
      </c>
      <c r="D236" s="582" t="s">
        <v>1440</v>
      </c>
      <c r="E236" s="1138" t="s">
        <v>1266</v>
      </c>
      <c r="F236" s="1830"/>
      <c r="G236" s="1826"/>
      <c r="H236" s="599"/>
      <c r="I236" s="599"/>
      <c r="J236" s="2065"/>
      <c r="K236" s="599"/>
      <c r="L236" s="599"/>
      <c r="M236" s="2065"/>
      <c r="N236" s="599"/>
      <c r="O236" s="1097"/>
      <c r="P236" s="1097"/>
      <c r="Q236" s="599"/>
      <c r="R236" s="599"/>
      <c r="S236" s="599"/>
      <c r="T236" s="1981">
        <f t="shared" si="27"/>
        <v>0</v>
      </c>
      <c r="U236" s="599">
        <v>0</v>
      </c>
      <c r="V236" s="1407">
        <f t="shared" si="26"/>
        <v>0</v>
      </c>
      <c r="W236" s="599">
        <f t="shared" si="28"/>
        <v>0</v>
      </c>
      <c r="X236" s="620"/>
      <c r="Y236" s="621"/>
      <c r="Z236" s="1096">
        <f t="shared" si="31"/>
        <v>0</v>
      </c>
      <c r="AA236" s="882">
        <f t="shared" si="32"/>
        <v>0</v>
      </c>
    </row>
    <row r="237" spans="1:27" ht="27" hidden="1" customHeight="1">
      <c r="A237" s="2062"/>
      <c r="B237" s="2062">
        <v>1009</v>
      </c>
      <c r="C237" s="2063">
        <v>17</v>
      </c>
      <c r="D237" s="2073" t="s">
        <v>1167</v>
      </c>
      <c r="E237" s="2074" t="s">
        <v>1168</v>
      </c>
      <c r="F237" s="2076"/>
      <c r="G237" s="2075"/>
      <c r="H237" s="2065"/>
      <c r="I237" s="2065"/>
      <c r="J237" s="2065"/>
      <c r="K237" s="2065"/>
      <c r="L237" s="2065"/>
      <c r="M237" s="2065"/>
      <c r="N237" s="2065"/>
      <c r="O237" s="2066"/>
      <c r="P237" s="2066"/>
      <c r="Q237" s="2065"/>
      <c r="R237" s="2065"/>
      <c r="S237" s="2065"/>
      <c r="T237" s="2313">
        <f t="shared" si="27"/>
        <v>0</v>
      </c>
      <c r="U237" s="2065">
        <v>0</v>
      </c>
      <c r="V237" s="1407">
        <f t="shared" si="26"/>
        <v>0</v>
      </c>
      <c r="W237" s="599">
        <f t="shared" si="28"/>
        <v>0</v>
      </c>
      <c r="X237" s="2067"/>
      <c r="Y237" s="2068"/>
      <c r="Z237" s="2069">
        <f t="shared" si="31"/>
        <v>0</v>
      </c>
      <c r="AA237" s="2070">
        <f t="shared" si="32"/>
        <v>0</v>
      </c>
    </row>
    <row r="238" spans="1:27" ht="27" hidden="1" customHeight="1">
      <c r="A238" s="583"/>
      <c r="B238" s="583">
        <v>1009</v>
      </c>
      <c r="C238" s="581">
        <v>17</v>
      </c>
      <c r="D238" s="582" t="s">
        <v>1227</v>
      </c>
      <c r="E238" s="1138" t="s">
        <v>1228</v>
      </c>
      <c r="F238" s="1830">
        <v>-1012899567</v>
      </c>
      <c r="G238" s="2077">
        <v>5000000</v>
      </c>
      <c r="H238" s="2077"/>
      <c r="I238" s="2065">
        <v>1077899567</v>
      </c>
      <c r="J238" s="2065"/>
      <c r="K238" s="2065">
        <v>-70000000</v>
      </c>
      <c r="L238" s="2065"/>
      <c r="M238" s="2065"/>
      <c r="N238" s="2065"/>
      <c r="O238" s="2066"/>
      <c r="P238" s="2066"/>
      <c r="Q238" s="2065"/>
      <c r="R238" s="2065"/>
      <c r="S238" s="2065"/>
      <c r="T238" s="1981">
        <f t="shared" si="27"/>
        <v>0</v>
      </c>
      <c r="U238" s="599">
        <v>-488580068</v>
      </c>
      <c r="V238" s="1407">
        <f t="shared" si="26"/>
        <v>0</v>
      </c>
      <c r="W238" s="599">
        <f t="shared" si="28"/>
        <v>-489</v>
      </c>
      <c r="X238" s="620"/>
      <c r="Y238" s="621"/>
      <c r="Z238" s="1096">
        <f t="shared" si="31"/>
        <v>0</v>
      </c>
      <c r="AA238" s="882">
        <f t="shared" si="32"/>
        <v>0</v>
      </c>
    </row>
    <row r="239" spans="1:27" ht="27" hidden="1" customHeight="1">
      <c r="A239" s="583"/>
      <c r="B239" s="583">
        <v>401</v>
      </c>
      <c r="C239" s="581">
        <v>11</v>
      </c>
      <c r="D239" s="582" t="s">
        <v>825</v>
      </c>
      <c r="E239" s="1138" t="s">
        <v>826</v>
      </c>
      <c r="F239" s="1826"/>
      <c r="G239" s="2075"/>
      <c r="H239" s="2065"/>
      <c r="I239" s="2065"/>
      <c r="J239" s="2065"/>
      <c r="K239" s="2065"/>
      <c r="L239" s="2065"/>
      <c r="M239" s="2065"/>
      <c r="N239" s="2065"/>
      <c r="O239" s="2066"/>
      <c r="P239" s="2066"/>
      <c r="Q239" s="2065"/>
      <c r="R239" s="2065"/>
      <c r="S239" s="2065"/>
      <c r="T239" s="1096">
        <f t="shared" si="27"/>
        <v>0</v>
      </c>
      <c r="U239" s="599">
        <v>0</v>
      </c>
      <c r="V239" s="1407">
        <f t="shared" si="26"/>
        <v>0</v>
      </c>
      <c r="W239" s="599">
        <f t="shared" si="28"/>
        <v>0</v>
      </c>
      <c r="X239" s="620"/>
      <c r="Y239" s="621"/>
      <c r="Z239" s="1096">
        <f t="shared" si="31"/>
        <v>0</v>
      </c>
      <c r="AA239" s="882">
        <f t="shared" si="32"/>
        <v>0</v>
      </c>
    </row>
    <row r="240" spans="1:27" ht="27" hidden="1" customHeight="1">
      <c r="A240" s="583"/>
      <c r="B240" s="583">
        <v>1009</v>
      </c>
      <c r="C240" s="581">
        <v>17</v>
      </c>
      <c r="D240" s="582" t="s">
        <v>430</v>
      </c>
      <c r="E240" s="1138" t="s">
        <v>431</v>
      </c>
      <c r="F240" s="1830">
        <v>-23636364</v>
      </c>
      <c r="G240" s="2075">
        <v>11818182</v>
      </c>
      <c r="H240" s="2065"/>
      <c r="I240" s="2065"/>
      <c r="J240" s="2065"/>
      <c r="K240" s="2065">
        <v>11818182</v>
      </c>
      <c r="L240" s="2065"/>
      <c r="M240" s="2065"/>
      <c r="N240" s="2065"/>
      <c r="O240" s="2066"/>
      <c r="P240" s="2066"/>
      <c r="Q240" s="2065"/>
      <c r="R240" s="2065"/>
      <c r="S240" s="2065"/>
      <c r="T240" s="1981">
        <f t="shared" si="27"/>
        <v>0</v>
      </c>
      <c r="U240" s="599">
        <v>-38181822</v>
      </c>
      <c r="V240" s="1407">
        <f t="shared" si="26"/>
        <v>0</v>
      </c>
      <c r="W240" s="599">
        <f t="shared" si="28"/>
        <v>-38</v>
      </c>
      <c r="X240" s="620"/>
      <c r="Y240" s="621"/>
      <c r="Z240" s="1096">
        <f t="shared" si="31"/>
        <v>0</v>
      </c>
      <c r="AA240" s="882">
        <f t="shared" si="32"/>
        <v>0</v>
      </c>
    </row>
    <row r="241" spans="1:27" ht="27" hidden="1" customHeight="1">
      <c r="A241" s="583"/>
      <c r="B241" s="583">
        <v>1009</v>
      </c>
      <c r="C241" s="581">
        <v>17</v>
      </c>
      <c r="D241" s="582" t="s">
        <v>2124</v>
      </c>
      <c r="E241" s="1138" t="s">
        <v>2125</v>
      </c>
      <c r="F241" s="1826">
        <v>3327856432</v>
      </c>
      <c r="G241" s="2075">
        <v>-1981276273</v>
      </c>
      <c r="H241" s="2065">
        <v>-197491959</v>
      </c>
      <c r="I241" s="2065">
        <v>125243500</v>
      </c>
      <c r="J241" s="2065"/>
      <c r="K241" s="2065">
        <v>-1274331700</v>
      </c>
      <c r="L241" s="2065"/>
      <c r="M241" s="2065"/>
      <c r="N241" s="2065"/>
      <c r="O241" s="2066"/>
      <c r="P241" s="2066"/>
      <c r="Q241" s="2065"/>
      <c r="R241" s="2065"/>
      <c r="S241" s="2065"/>
      <c r="T241" s="1096">
        <f t="shared" si="27"/>
        <v>0</v>
      </c>
      <c r="U241" s="599">
        <v>-254687900</v>
      </c>
      <c r="V241" s="1407">
        <f t="shared" si="26"/>
        <v>0</v>
      </c>
      <c r="W241" s="599">
        <f t="shared" si="28"/>
        <v>-255</v>
      </c>
      <c r="X241" s="620"/>
      <c r="Y241" s="621"/>
      <c r="Z241" s="1096">
        <f t="shared" si="31"/>
        <v>0</v>
      </c>
      <c r="AA241" s="882">
        <f t="shared" si="32"/>
        <v>0</v>
      </c>
    </row>
    <row r="242" spans="1:27" ht="27" hidden="1" customHeight="1">
      <c r="A242" s="583"/>
      <c r="B242" s="583">
        <v>1009</v>
      </c>
      <c r="C242" s="581">
        <v>17</v>
      </c>
      <c r="D242" s="582" t="s">
        <v>472</v>
      </c>
      <c r="E242" s="1138" t="s">
        <v>473</v>
      </c>
      <c r="F242" s="1830">
        <v>-329397040089</v>
      </c>
      <c r="G242" s="2075">
        <v>-238407205</v>
      </c>
      <c r="H242" s="2065">
        <v>-1</v>
      </c>
      <c r="I242" s="2065">
        <v>-213982548</v>
      </c>
      <c r="J242" s="2065"/>
      <c r="K242" s="2065"/>
      <c r="L242" s="2065"/>
      <c r="M242" s="2065"/>
      <c r="N242" s="2065"/>
      <c r="O242" s="2066"/>
      <c r="P242" s="2066"/>
      <c r="Q242" s="2065"/>
      <c r="R242" s="2065"/>
      <c r="S242" s="2065"/>
      <c r="T242" s="1981">
        <f t="shared" si="27"/>
        <v>-329849429843</v>
      </c>
      <c r="U242" s="599">
        <v>-36302954593</v>
      </c>
      <c r="V242" s="1407">
        <f t="shared" si="26"/>
        <v>-329849</v>
      </c>
      <c r="W242" s="599">
        <f t="shared" si="28"/>
        <v>-36303</v>
      </c>
      <c r="X242" s="620"/>
      <c r="Y242" s="621"/>
      <c r="Z242" s="1096">
        <f t="shared" si="31"/>
        <v>-329849429843</v>
      </c>
      <c r="AA242" s="882">
        <f t="shared" si="32"/>
        <v>-329849</v>
      </c>
    </row>
    <row r="243" spans="1:27" ht="27" hidden="1" customHeight="1">
      <c r="A243" s="583"/>
      <c r="B243" s="583">
        <v>1009</v>
      </c>
      <c r="C243" s="581">
        <v>17</v>
      </c>
      <c r="D243" s="582" t="s">
        <v>698</v>
      </c>
      <c r="E243" s="1138" t="s">
        <v>927</v>
      </c>
      <c r="F243" s="1826"/>
      <c r="G243" s="2075"/>
      <c r="H243" s="2065"/>
      <c r="I243" s="2065"/>
      <c r="J243" s="2065"/>
      <c r="K243" s="2065"/>
      <c r="L243" s="2065"/>
      <c r="M243" s="2065"/>
      <c r="N243" s="2065"/>
      <c r="O243" s="2066"/>
      <c r="P243" s="2066"/>
      <c r="Q243" s="2065"/>
      <c r="R243" s="2065"/>
      <c r="S243" s="2065"/>
      <c r="T243" s="1096">
        <f t="shared" si="27"/>
        <v>0</v>
      </c>
      <c r="U243" s="599">
        <v>0</v>
      </c>
      <c r="V243" s="1407">
        <f t="shared" si="26"/>
        <v>0</v>
      </c>
      <c r="W243" s="599">
        <f t="shared" si="28"/>
        <v>0</v>
      </c>
      <c r="X243" s="620"/>
      <c r="Y243" s="621"/>
      <c r="Z243" s="1096">
        <f t="shared" si="31"/>
        <v>0</v>
      </c>
      <c r="AA243" s="882">
        <f t="shared" si="32"/>
        <v>0</v>
      </c>
    </row>
    <row r="244" spans="1:27" ht="27" hidden="1" customHeight="1">
      <c r="A244" s="583"/>
      <c r="B244" s="583">
        <v>1009</v>
      </c>
      <c r="C244" s="581">
        <v>17</v>
      </c>
      <c r="D244" s="582" t="s">
        <v>831</v>
      </c>
      <c r="E244" s="1138" t="s">
        <v>552</v>
      </c>
      <c r="F244" s="1826"/>
      <c r="G244" s="2075"/>
      <c r="H244" s="2065"/>
      <c r="I244" s="2065"/>
      <c r="J244" s="2065"/>
      <c r="K244" s="2065"/>
      <c r="L244" s="2065"/>
      <c r="M244" s="2065"/>
      <c r="N244" s="2065"/>
      <c r="O244" s="2066"/>
      <c r="P244" s="2066"/>
      <c r="Q244" s="2065"/>
      <c r="R244" s="2065"/>
      <c r="S244" s="2065"/>
      <c r="T244" s="1096">
        <f t="shared" si="27"/>
        <v>0</v>
      </c>
      <c r="U244" s="599">
        <v>0</v>
      </c>
      <c r="V244" s="1407">
        <f t="shared" si="26"/>
        <v>0</v>
      </c>
      <c r="W244" s="599">
        <f t="shared" si="28"/>
        <v>0</v>
      </c>
      <c r="X244" s="620"/>
      <c r="Y244" s="621"/>
      <c r="Z244" s="1096">
        <f t="shared" si="31"/>
        <v>0</v>
      </c>
      <c r="AA244" s="882">
        <f t="shared" si="32"/>
        <v>0</v>
      </c>
    </row>
    <row r="245" spans="1:27" ht="27" hidden="1" customHeight="1">
      <c r="A245" s="583"/>
      <c r="B245" s="583">
        <v>401</v>
      </c>
      <c r="C245" s="581">
        <v>11</v>
      </c>
      <c r="D245" s="582" t="s">
        <v>432</v>
      </c>
      <c r="E245" s="1138" t="s">
        <v>433</v>
      </c>
      <c r="F245" s="1829">
        <v>2506318305</v>
      </c>
      <c r="G245" s="2075">
        <v>-88000000</v>
      </c>
      <c r="H245" s="2077"/>
      <c r="I245" s="2065">
        <v>92030001</v>
      </c>
      <c r="J245" s="2065"/>
      <c r="K245" s="2065">
        <v>269651694</v>
      </c>
      <c r="L245" s="2065"/>
      <c r="M245" s="2065"/>
      <c r="N245" s="2065"/>
      <c r="O245" s="2066"/>
      <c r="P245" s="2066"/>
      <c r="Q245" s="2065"/>
      <c r="R245" s="2065"/>
      <c r="S245" s="2065"/>
      <c r="T245" s="1981">
        <f t="shared" si="27"/>
        <v>2780000000</v>
      </c>
      <c r="U245" s="599">
        <v>60170648</v>
      </c>
      <c r="V245" s="1407">
        <f t="shared" si="26"/>
        <v>2780</v>
      </c>
      <c r="W245" s="599">
        <f t="shared" si="28"/>
        <v>60</v>
      </c>
      <c r="X245" s="620"/>
      <c r="Y245" s="621"/>
      <c r="Z245" s="1096">
        <f t="shared" si="31"/>
        <v>2780000000</v>
      </c>
      <c r="AA245" s="882">
        <f t="shared" si="32"/>
        <v>2780</v>
      </c>
    </row>
    <row r="246" spans="1:27" ht="27" hidden="1" customHeight="1">
      <c r="A246" s="583"/>
      <c r="B246" s="583">
        <v>406</v>
      </c>
      <c r="C246" s="581">
        <v>11</v>
      </c>
      <c r="D246" s="582" t="s">
        <v>1170</v>
      </c>
      <c r="E246" s="1138" t="s">
        <v>1171</v>
      </c>
      <c r="F246" s="1826">
        <v>156000000</v>
      </c>
      <c r="G246" s="2075"/>
      <c r="H246" s="2065"/>
      <c r="I246" s="2065"/>
      <c r="J246" s="2065"/>
      <c r="K246" s="2065"/>
      <c r="L246" s="2065"/>
      <c r="M246" s="2065"/>
      <c r="N246" s="2065"/>
      <c r="O246" s="2066"/>
      <c r="P246" s="2066"/>
      <c r="Q246" s="2065"/>
      <c r="R246" s="2065"/>
      <c r="S246" s="2065"/>
      <c r="T246" s="1096">
        <f t="shared" si="27"/>
        <v>156000000</v>
      </c>
      <c r="U246" s="599">
        <v>0</v>
      </c>
      <c r="V246" s="1407">
        <f t="shared" si="26"/>
        <v>156</v>
      </c>
      <c r="W246" s="599">
        <f t="shared" si="28"/>
        <v>0</v>
      </c>
      <c r="X246" s="620"/>
      <c r="Y246" s="621"/>
      <c r="Z246" s="1096">
        <f t="shared" si="31"/>
        <v>156000000</v>
      </c>
      <c r="AA246" s="882">
        <f t="shared" si="32"/>
        <v>156</v>
      </c>
    </row>
    <row r="247" spans="1:27" ht="27" hidden="1" customHeight="1">
      <c r="A247" s="583"/>
      <c r="B247" s="583">
        <v>401</v>
      </c>
      <c r="C247" s="581">
        <v>11</v>
      </c>
      <c r="D247" s="582" t="s">
        <v>925</v>
      </c>
      <c r="E247" s="1138" t="s">
        <v>926</v>
      </c>
      <c r="F247" s="1826"/>
      <c r="G247" s="2075"/>
      <c r="H247" s="2065"/>
      <c r="I247" s="2065"/>
      <c r="J247" s="2065"/>
      <c r="K247" s="2065"/>
      <c r="L247" s="2065"/>
      <c r="M247" s="2065"/>
      <c r="N247" s="2065"/>
      <c r="O247" s="2066"/>
      <c r="P247" s="2066"/>
      <c r="Q247" s="2065"/>
      <c r="R247" s="2065"/>
      <c r="S247" s="2065"/>
      <c r="T247" s="1096">
        <f t="shared" si="27"/>
        <v>0</v>
      </c>
      <c r="U247" s="599">
        <v>0</v>
      </c>
      <c r="V247" s="1407">
        <f t="shared" si="26"/>
        <v>0</v>
      </c>
      <c r="W247" s="599">
        <f t="shared" si="28"/>
        <v>0</v>
      </c>
      <c r="X247" s="620"/>
      <c r="Y247" s="621"/>
      <c r="Z247" s="1096">
        <f t="shared" si="31"/>
        <v>0</v>
      </c>
      <c r="AA247" s="882">
        <f t="shared" si="32"/>
        <v>0</v>
      </c>
    </row>
    <row r="248" spans="1:27" ht="27" hidden="1" customHeight="1">
      <c r="A248" s="583"/>
      <c r="B248" s="583">
        <v>1009</v>
      </c>
      <c r="C248" s="581">
        <v>17</v>
      </c>
      <c r="D248" s="582" t="s">
        <v>1229</v>
      </c>
      <c r="E248" s="1138" t="s">
        <v>1084</v>
      </c>
      <c r="F248" s="1826"/>
      <c r="G248" s="2075"/>
      <c r="H248" s="2065"/>
      <c r="I248" s="2065"/>
      <c r="J248" s="2065"/>
      <c r="K248" s="2065"/>
      <c r="L248" s="2065"/>
      <c r="M248" s="2065"/>
      <c r="N248" s="2065"/>
      <c r="O248" s="2066"/>
      <c r="P248" s="2066"/>
      <c r="Q248" s="2065"/>
      <c r="R248" s="2065"/>
      <c r="S248" s="2065"/>
      <c r="T248" s="1096">
        <f t="shared" si="27"/>
        <v>0</v>
      </c>
      <c r="U248" s="599">
        <v>0</v>
      </c>
      <c r="V248" s="1407">
        <f t="shared" si="26"/>
        <v>0</v>
      </c>
      <c r="W248" s="599">
        <f t="shared" si="28"/>
        <v>0</v>
      </c>
      <c r="X248" s="620"/>
      <c r="Y248" s="621"/>
      <c r="Z248" s="1096">
        <f t="shared" si="31"/>
        <v>0</v>
      </c>
      <c r="AA248" s="882">
        <f t="shared" si="32"/>
        <v>0</v>
      </c>
    </row>
    <row r="249" spans="1:27" ht="27" hidden="1" customHeight="1">
      <c r="A249" s="583"/>
      <c r="B249" s="583">
        <v>1009</v>
      </c>
      <c r="C249" s="581">
        <v>17</v>
      </c>
      <c r="D249" s="582" t="s">
        <v>136</v>
      </c>
      <c r="E249" s="1138" t="s">
        <v>700</v>
      </c>
      <c r="F249" s="1830">
        <v>-1895234837</v>
      </c>
      <c r="G249" s="2075">
        <v>561678017</v>
      </c>
      <c r="H249" s="2065"/>
      <c r="I249" s="2065"/>
      <c r="J249" s="2065"/>
      <c r="K249" s="2065">
        <v>1333556820</v>
      </c>
      <c r="L249" s="2065"/>
      <c r="M249" s="2065"/>
      <c r="N249" s="2065"/>
      <c r="O249" s="2066"/>
      <c r="P249" s="2066"/>
      <c r="Q249" s="2065"/>
      <c r="R249" s="2065"/>
      <c r="S249" s="2065"/>
      <c r="T249" s="1981">
        <f t="shared" si="27"/>
        <v>0</v>
      </c>
      <c r="U249" s="599">
        <v>-207851355</v>
      </c>
      <c r="V249" s="1407">
        <f t="shared" si="26"/>
        <v>0</v>
      </c>
      <c r="W249" s="599">
        <f t="shared" si="28"/>
        <v>-208</v>
      </c>
      <c r="X249" s="620"/>
      <c r="Y249" s="621"/>
      <c r="Z249" s="1096">
        <f t="shared" si="31"/>
        <v>0</v>
      </c>
      <c r="AA249" s="882">
        <f t="shared" si="32"/>
        <v>0</v>
      </c>
    </row>
    <row r="250" spans="1:27" ht="27" hidden="1" customHeight="1">
      <c r="A250" s="583"/>
      <c r="B250" s="583">
        <v>406</v>
      </c>
      <c r="C250" s="581">
        <v>11</v>
      </c>
      <c r="D250" s="582" t="s">
        <v>928</v>
      </c>
      <c r="E250" s="1138" t="s">
        <v>929</v>
      </c>
      <c r="F250" s="1829">
        <v>2411792115793</v>
      </c>
      <c r="G250" s="2077">
        <v>-727465826216</v>
      </c>
      <c r="H250" s="2077">
        <v>-188719260</v>
      </c>
      <c r="I250" s="2065">
        <v>1984064959</v>
      </c>
      <c r="J250" s="2077"/>
      <c r="K250" s="2065"/>
      <c r="L250" s="2080"/>
      <c r="M250" s="2080"/>
      <c r="N250" s="2065"/>
      <c r="O250" s="2066"/>
      <c r="P250" s="2066"/>
      <c r="Q250" s="2065"/>
      <c r="R250" s="2065"/>
      <c r="S250" s="2065"/>
      <c r="T250" s="1981">
        <f t="shared" si="27"/>
        <v>1686121635276</v>
      </c>
      <c r="U250" s="599">
        <v>0</v>
      </c>
      <c r="V250" s="1407">
        <f t="shared" si="26"/>
        <v>1686122</v>
      </c>
      <c r="W250" s="599">
        <f t="shared" si="28"/>
        <v>0</v>
      </c>
      <c r="X250" s="620"/>
      <c r="Y250" s="621"/>
      <c r="Z250" s="1096">
        <f t="shared" si="31"/>
        <v>1686121635276</v>
      </c>
      <c r="AA250" s="882">
        <f t="shared" si="32"/>
        <v>1686122</v>
      </c>
    </row>
    <row r="251" spans="1:27" ht="27" hidden="1" customHeight="1">
      <c r="A251" s="583"/>
      <c r="B251" s="583">
        <v>1009</v>
      </c>
      <c r="C251" s="581">
        <v>17</v>
      </c>
      <c r="D251" s="582" t="s">
        <v>83</v>
      </c>
      <c r="E251" s="1138" t="s">
        <v>931</v>
      </c>
      <c r="F251" s="1826"/>
      <c r="G251" s="2075"/>
      <c r="H251" s="2065"/>
      <c r="I251" s="2065"/>
      <c r="J251" s="2065"/>
      <c r="K251" s="2065"/>
      <c r="L251" s="2065"/>
      <c r="M251" s="2065"/>
      <c r="N251" s="2065"/>
      <c r="O251" s="2066"/>
      <c r="P251" s="2066"/>
      <c r="Q251" s="2065"/>
      <c r="R251" s="2065"/>
      <c r="S251" s="2065"/>
      <c r="T251" s="1096">
        <f t="shared" si="27"/>
        <v>0</v>
      </c>
      <c r="U251" s="599">
        <v>0</v>
      </c>
      <c r="V251" s="1407">
        <f t="shared" si="26"/>
        <v>0</v>
      </c>
      <c r="W251" s="599">
        <f t="shared" si="28"/>
        <v>0</v>
      </c>
      <c r="X251" s="620"/>
      <c r="Y251" s="621"/>
      <c r="Z251" s="1096">
        <f t="shared" si="31"/>
        <v>0</v>
      </c>
      <c r="AA251" s="882">
        <f t="shared" si="32"/>
        <v>0</v>
      </c>
    </row>
    <row r="252" spans="1:27" ht="27" hidden="1" customHeight="1">
      <c r="A252" s="583"/>
      <c r="B252" s="583">
        <v>401</v>
      </c>
      <c r="C252" s="581">
        <v>11</v>
      </c>
      <c r="D252" s="582">
        <v>6505126</v>
      </c>
      <c r="E252" s="1138" t="s">
        <v>2025</v>
      </c>
      <c r="F252" s="1830"/>
      <c r="G252" s="2075"/>
      <c r="H252" s="2077"/>
      <c r="I252" s="2080"/>
      <c r="J252" s="2065"/>
      <c r="K252" s="2065"/>
      <c r="L252" s="2065"/>
      <c r="M252" s="2065"/>
      <c r="N252" s="2065"/>
      <c r="O252" s="2066"/>
      <c r="P252" s="2066"/>
      <c r="Q252" s="2065"/>
      <c r="R252" s="2065"/>
      <c r="S252" s="2065"/>
      <c r="T252" s="1096">
        <f t="shared" si="27"/>
        <v>0</v>
      </c>
      <c r="U252" s="599">
        <v>0</v>
      </c>
      <c r="V252" s="1407">
        <f t="shared" si="26"/>
        <v>0</v>
      </c>
      <c r="W252" s="599">
        <f t="shared" si="28"/>
        <v>0</v>
      </c>
      <c r="X252" s="620"/>
      <c r="Y252" s="621"/>
      <c r="Z252" s="1096">
        <f t="shared" si="31"/>
        <v>0</v>
      </c>
      <c r="AA252" s="882">
        <f t="shared" si="32"/>
        <v>0</v>
      </c>
    </row>
    <row r="253" spans="1:27" ht="27" hidden="1" customHeight="1">
      <c r="A253" s="583"/>
      <c r="B253" s="583">
        <v>406</v>
      </c>
      <c r="C253" s="581">
        <v>11</v>
      </c>
      <c r="D253" s="582" t="s">
        <v>212</v>
      </c>
      <c r="E253" s="1138" t="s">
        <v>930</v>
      </c>
      <c r="F253" s="1830">
        <v>-2482433869589</v>
      </c>
      <c r="G253" s="2077">
        <v>742841474649</v>
      </c>
      <c r="H253" s="2077">
        <v>200537940544</v>
      </c>
      <c r="I253" s="2065">
        <v>-2313665001</v>
      </c>
      <c r="J253" s="2065"/>
      <c r="K253" s="2065"/>
      <c r="L253" s="2080"/>
      <c r="M253" s="2080"/>
      <c r="N253" s="2065"/>
      <c r="O253" s="2066"/>
      <c r="P253" s="2066"/>
      <c r="Q253" s="2065"/>
      <c r="R253" s="2065"/>
      <c r="S253" s="2065"/>
      <c r="T253" s="1981">
        <f t="shared" si="27"/>
        <v>-1541368119397</v>
      </c>
      <c r="U253" s="599">
        <v>0</v>
      </c>
      <c r="V253" s="1407">
        <f t="shared" si="26"/>
        <v>-1541368</v>
      </c>
      <c r="W253" s="599">
        <f t="shared" si="28"/>
        <v>0</v>
      </c>
      <c r="X253" s="620"/>
      <c r="Y253" s="621"/>
      <c r="Z253" s="1096">
        <f t="shared" si="31"/>
        <v>-1541368119397</v>
      </c>
      <c r="AA253" s="882">
        <f t="shared" si="32"/>
        <v>-1541368</v>
      </c>
    </row>
    <row r="254" spans="1:27" ht="27" hidden="1" customHeight="1">
      <c r="A254" s="583"/>
      <c r="B254" s="583">
        <v>401</v>
      </c>
      <c r="C254" s="581">
        <v>11</v>
      </c>
      <c r="D254" s="582" t="s">
        <v>436</v>
      </c>
      <c r="E254" s="1138" t="s">
        <v>437</v>
      </c>
      <c r="F254" s="1826"/>
      <c r="G254" s="2075"/>
      <c r="H254" s="2065"/>
      <c r="I254" s="2065"/>
      <c r="J254" s="2065"/>
      <c r="K254" s="2065"/>
      <c r="L254" s="2065"/>
      <c r="M254" s="2065"/>
      <c r="N254" s="2065"/>
      <c r="O254" s="2066"/>
      <c r="P254" s="2066"/>
      <c r="Q254" s="2065"/>
      <c r="R254" s="2065"/>
      <c r="S254" s="2065"/>
      <c r="T254" s="1096">
        <f t="shared" si="27"/>
        <v>0</v>
      </c>
      <c r="U254" s="599">
        <v>0</v>
      </c>
      <c r="V254" s="1407">
        <f t="shared" si="26"/>
        <v>0</v>
      </c>
      <c r="W254" s="599">
        <f t="shared" si="28"/>
        <v>0</v>
      </c>
      <c r="X254" s="620"/>
      <c r="Y254" s="621"/>
      <c r="Z254" s="1096">
        <f t="shared" si="31"/>
        <v>0</v>
      </c>
      <c r="AA254" s="882">
        <f t="shared" si="32"/>
        <v>0</v>
      </c>
    </row>
    <row r="255" spans="1:27" ht="27" hidden="1" customHeight="1">
      <c r="A255" s="2062"/>
      <c r="B255" s="2062">
        <v>1009</v>
      </c>
      <c r="C255" s="2063">
        <v>17</v>
      </c>
      <c r="D255" s="2073" t="s">
        <v>1427</v>
      </c>
      <c r="E255" s="2074" t="s">
        <v>2391</v>
      </c>
      <c r="F255" s="2075">
        <v>-16899474</v>
      </c>
      <c r="G255" s="2075"/>
      <c r="H255" s="2065">
        <v>16899474</v>
      </c>
      <c r="I255" s="2065"/>
      <c r="J255" s="2065"/>
      <c r="K255" s="2065"/>
      <c r="L255" s="2065"/>
      <c r="M255" s="2065"/>
      <c r="N255" s="2065"/>
      <c r="O255" s="2066"/>
      <c r="P255" s="2066"/>
      <c r="Q255" s="2065"/>
      <c r="R255" s="2065"/>
      <c r="S255" s="2065"/>
      <c r="T255" s="1096">
        <f t="shared" si="27"/>
        <v>0</v>
      </c>
      <c r="U255" s="2065"/>
      <c r="V255" s="1407">
        <f t="shared" si="26"/>
        <v>0</v>
      </c>
      <c r="W255" s="2065"/>
      <c r="X255" s="2067"/>
      <c r="Y255" s="2068"/>
      <c r="Z255" s="1096">
        <f t="shared" si="31"/>
        <v>0</v>
      </c>
      <c r="AA255" s="882">
        <f t="shared" si="32"/>
        <v>0</v>
      </c>
    </row>
    <row r="256" spans="1:27" ht="27" hidden="1" customHeight="1">
      <c r="A256" s="583"/>
      <c r="B256" s="583">
        <v>1009</v>
      </c>
      <c r="C256" s="581">
        <v>17</v>
      </c>
      <c r="D256" s="582" t="s">
        <v>933</v>
      </c>
      <c r="E256" s="1138" t="s">
        <v>936</v>
      </c>
      <c r="F256" s="1826"/>
      <c r="G256" s="2075"/>
      <c r="H256" s="2065"/>
      <c r="I256" s="2065"/>
      <c r="J256" s="2065"/>
      <c r="K256" s="2065"/>
      <c r="L256" s="2065"/>
      <c r="M256" s="2065"/>
      <c r="N256" s="2065"/>
      <c r="O256" s="2066"/>
      <c r="P256" s="2066"/>
      <c r="Q256" s="2065"/>
      <c r="R256" s="2065"/>
      <c r="S256" s="2065"/>
      <c r="T256" s="1096">
        <f t="shared" si="27"/>
        <v>0</v>
      </c>
      <c r="U256" s="599">
        <v>0</v>
      </c>
      <c r="V256" s="1407">
        <f t="shared" si="26"/>
        <v>0</v>
      </c>
      <c r="W256" s="599">
        <f t="shared" si="28"/>
        <v>0</v>
      </c>
      <c r="X256" s="620"/>
      <c r="Y256" s="621"/>
      <c r="Z256" s="1096">
        <f t="shared" si="31"/>
        <v>0</v>
      </c>
      <c r="AA256" s="882">
        <f t="shared" si="32"/>
        <v>0</v>
      </c>
    </row>
    <row r="257" spans="1:27" ht="27" hidden="1" customHeight="1">
      <c r="A257" s="583"/>
      <c r="B257" s="583">
        <v>1009</v>
      </c>
      <c r="C257" s="581">
        <v>17</v>
      </c>
      <c r="D257" s="582" t="s">
        <v>1572</v>
      </c>
      <c r="E257" s="1138" t="s">
        <v>1573</v>
      </c>
      <c r="F257" s="1830">
        <v>-1200000</v>
      </c>
      <c r="G257" s="2075">
        <v>1200000</v>
      </c>
      <c r="H257" s="2077"/>
      <c r="I257" s="2065"/>
      <c r="J257" s="2065"/>
      <c r="K257" s="2065"/>
      <c r="L257" s="2065"/>
      <c r="M257" s="2065"/>
      <c r="N257" s="2065"/>
      <c r="O257" s="2066"/>
      <c r="P257" s="2066"/>
      <c r="Q257" s="2065"/>
      <c r="R257" s="2065"/>
      <c r="S257" s="2065"/>
      <c r="T257" s="1096">
        <f t="shared" si="27"/>
        <v>0</v>
      </c>
      <c r="U257" s="599">
        <v>0</v>
      </c>
      <c r="V257" s="1407">
        <f t="shared" si="26"/>
        <v>0</v>
      </c>
      <c r="W257" s="599">
        <f t="shared" si="28"/>
        <v>0</v>
      </c>
      <c r="X257" s="620"/>
      <c r="Y257" s="621"/>
      <c r="Z257" s="1096">
        <f t="shared" si="31"/>
        <v>0</v>
      </c>
      <c r="AA257" s="882">
        <f t="shared" si="32"/>
        <v>0</v>
      </c>
    </row>
    <row r="258" spans="1:27" ht="27" hidden="1" customHeight="1">
      <c r="A258" s="583"/>
      <c r="B258" s="583">
        <v>440</v>
      </c>
      <c r="C258" s="581">
        <v>11</v>
      </c>
      <c r="D258" s="582" t="s">
        <v>438</v>
      </c>
      <c r="E258" s="1138" t="s">
        <v>176</v>
      </c>
      <c r="F258" s="1830">
        <v>76242341428</v>
      </c>
      <c r="G258" s="2075"/>
      <c r="H258" s="2065"/>
      <c r="I258" s="2065">
        <v>-68149460</v>
      </c>
      <c r="J258" s="2065"/>
      <c r="K258" s="2065"/>
      <c r="L258" s="2065"/>
      <c r="M258" s="2065"/>
      <c r="N258" s="2065"/>
      <c r="O258" s="2066"/>
      <c r="P258" s="2066"/>
      <c r="Q258" s="2065"/>
      <c r="R258" s="2065"/>
      <c r="S258" s="2065"/>
      <c r="T258" s="1981">
        <f t="shared" si="27"/>
        <v>76174191968</v>
      </c>
      <c r="U258" s="599">
        <v>23052122792</v>
      </c>
      <c r="V258" s="1407">
        <f t="shared" si="26"/>
        <v>76174</v>
      </c>
      <c r="W258" s="599">
        <f t="shared" si="28"/>
        <v>23052</v>
      </c>
      <c r="X258" s="620"/>
      <c r="Y258" s="621"/>
      <c r="Z258" s="1096">
        <f t="shared" si="31"/>
        <v>76174191968</v>
      </c>
      <c r="AA258" s="882">
        <f t="shared" si="32"/>
        <v>76174</v>
      </c>
    </row>
    <row r="259" spans="1:27" ht="27" hidden="1" customHeight="1">
      <c r="A259" s="583"/>
      <c r="B259" s="583">
        <v>1009</v>
      </c>
      <c r="C259" s="581">
        <v>17</v>
      </c>
      <c r="D259" s="582" t="s">
        <v>1574</v>
      </c>
      <c r="E259" s="1138" t="s">
        <v>1575</v>
      </c>
      <c r="F259" s="1830">
        <v>-1800000</v>
      </c>
      <c r="G259" s="2075">
        <v>1800000</v>
      </c>
      <c r="H259" s="2077"/>
      <c r="I259" s="2065"/>
      <c r="J259" s="2065"/>
      <c r="K259" s="2065"/>
      <c r="L259" s="2065"/>
      <c r="M259" s="2065"/>
      <c r="N259" s="2065"/>
      <c r="O259" s="2066"/>
      <c r="P259" s="2066"/>
      <c r="Q259" s="2065"/>
      <c r="R259" s="2065"/>
      <c r="S259" s="2065"/>
      <c r="T259" s="1096">
        <f t="shared" si="27"/>
        <v>0</v>
      </c>
      <c r="U259" s="599">
        <v>0</v>
      </c>
      <c r="V259" s="1407">
        <f t="shared" si="26"/>
        <v>0</v>
      </c>
      <c r="W259" s="599">
        <f t="shared" si="28"/>
        <v>0</v>
      </c>
      <c r="X259" s="620"/>
      <c r="Y259" s="621"/>
      <c r="Z259" s="1096">
        <f t="shared" si="31"/>
        <v>0</v>
      </c>
      <c r="AA259" s="882">
        <f t="shared" si="32"/>
        <v>0</v>
      </c>
    </row>
    <row r="260" spans="1:27" ht="27" hidden="1" customHeight="1">
      <c r="A260" s="583"/>
      <c r="B260" s="583">
        <v>401</v>
      </c>
      <c r="C260" s="581">
        <v>11</v>
      </c>
      <c r="D260" s="582" t="s">
        <v>1169</v>
      </c>
      <c r="E260" s="1138" t="s">
        <v>1102</v>
      </c>
      <c r="F260" s="1826"/>
      <c r="G260" s="2075"/>
      <c r="H260" s="2065"/>
      <c r="I260" s="2065"/>
      <c r="J260" s="2065"/>
      <c r="K260" s="2065"/>
      <c r="L260" s="2065"/>
      <c r="M260" s="2065"/>
      <c r="N260" s="2065"/>
      <c r="O260" s="2066"/>
      <c r="P260" s="2066"/>
      <c r="Q260" s="2065"/>
      <c r="R260" s="2065"/>
      <c r="S260" s="2065"/>
      <c r="T260" s="1096">
        <f t="shared" si="27"/>
        <v>0</v>
      </c>
      <c r="U260" s="599">
        <v>0</v>
      </c>
      <c r="V260" s="1407">
        <f t="shared" si="26"/>
        <v>0</v>
      </c>
      <c r="W260" s="599">
        <f t="shared" si="28"/>
        <v>0</v>
      </c>
      <c r="X260" s="620"/>
      <c r="Y260" s="621"/>
      <c r="Z260" s="1096">
        <f t="shared" si="31"/>
        <v>0</v>
      </c>
      <c r="AA260" s="882">
        <f t="shared" si="32"/>
        <v>0</v>
      </c>
    </row>
    <row r="261" spans="1:27" ht="27" hidden="1" customHeight="1">
      <c r="A261" s="583"/>
      <c r="B261" s="583">
        <v>401</v>
      </c>
      <c r="C261" s="581">
        <v>11</v>
      </c>
      <c r="D261" s="582" t="s">
        <v>128</v>
      </c>
      <c r="E261" s="1138" t="s">
        <v>1083</v>
      </c>
      <c r="F261" s="1829"/>
      <c r="G261" s="2075"/>
      <c r="H261" s="2065"/>
      <c r="I261" s="2065"/>
      <c r="J261" s="2065"/>
      <c r="K261" s="2065"/>
      <c r="L261" s="2065"/>
      <c r="M261" s="2065"/>
      <c r="N261" s="2065"/>
      <c r="O261" s="2066"/>
      <c r="P261" s="2066"/>
      <c r="Q261" s="2065"/>
      <c r="R261" s="2065"/>
      <c r="S261" s="2065"/>
      <c r="T261" s="1981">
        <f t="shared" si="27"/>
        <v>0</v>
      </c>
      <c r="U261" s="599">
        <v>0</v>
      </c>
      <c r="V261" s="1407">
        <f t="shared" si="26"/>
        <v>0</v>
      </c>
      <c r="W261" s="599">
        <f t="shared" si="28"/>
        <v>0</v>
      </c>
      <c r="X261" s="620"/>
      <c r="Y261" s="621"/>
      <c r="Z261" s="1096">
        <f t="shared" si="31"/>
        <v>0</v>
      </c>
      <c r="AA261" s="882">
        <f t="shared" si="32"/>
        <v>0</v>
      </c>
    </row>
    <row r="262" spans="1:27" ht="27" hidden="1" customHeight="1">
      <c r="A262" s="583"/>
      <c r="B262" s="583">
        <v>401</v>
      </c>
      <c r="C262" s="581">
        <v>11</v>
      </c>
      <c r="D262" s="582" t="s">
        <v>1085</v>
      </c>
      <c r="E262" s="1138" t="s">
        <v>1086</v>
      </c>
      <c r="F262" s="1826"/>
      <c r="G262" s="2075"/>
      <c r="H262" s="2065"/>
      <c r="I262" s="2065"/>
      <c r="J262" s="2065"/>
      <c r="K262" s="2065"/>
      <c r="L262" s="2065"/>
      <c r="M262" s="2065"/>
      <c r="N262" s="2065"/>
      <c r="O262" s="2066"/>
      <c r="P262" s="2066"/>
      <c r="Q262" s="2065"/>
      <c r="R262" s="2065"/>
      <c r="S262" s="2065"/>
      <c r="T262" s="1096">
        <f t="shared" si="27"/>
        <v>0</v>
      </c>
      <c r="U262" s="599">
        <v>0</v>
      </c>
      <c r="V262" s="1407">
        <f t="shared" si="26"/>
        <v>0</v>
      </c>
      <c r="W262" s="599">
        <f t="shared" si="28"/>
        <v>0</v>
      </c>
      <c r="X262" s="620"/>
      <c r="Y262" s="621"/>
      <c r="Z262" s="1096">
        <f t="shared" si="31"/>
        <v>0</v>
      </c>
      <c r="AA262" s="882">
        <f t="shared" si="32"/>
        <v>0</v>
      </c>
    </row>
    <row r="263" spans="1:27" ht="27" hidden="1" customHeight="1">
      <c r="A263" s="583"/>
      <c r="B263" s="583">
        <v>1009</v>
      </c>
      <c r="C263" s="581">
        <v>17</v>
      </c>
      <c r="D263" s="582" t="s">
        <v>1230</v>
      </c>
      <c r="E263" s="1138" t="s">
        <v>1231</v>
      </c>
      <c r="F263" s="1826"/>
      <c r="G263" s="2075"/>
      <c r="H263" s="2065"/>
      <c r="I263" s="2065"/>
      <c r="J263" s="2065"/>
      <c r="K263" s="2065"/>
      <c r="L263" s="2065"/>
      <c r="M263" s="2065"/>
      <c r="N263" s="2065"/>
      <c r="O263" s="2066"/>
      <c r="P263" s="2066"/>
      <c r="Q263" s="2065"/>
      <c r="R263" s="2065"/>
      <c r="S263" s="2065"/>
      <c r="T263" s="1096">
        <f t="shared" si="27"/>
        <v>0</v>
      </c>
      <c r="U263" s="599">
        <v>0</v>
      </c>
      <c r="V263" s="1407">
        <f t="shared" si="26"/>
        <v>0</v>
      </c>
      <c r="W263" s="599">
        <f t="shared" si="28"/>
        <v>0</v>
      </c>
      <c r="X263" s="620"/>
      <c r="Y263" s="621"/>
      <c r="Z263" s="1096">
        <f t="shared" si="31"/>
        <v>0</v>
      </c>
      <c r="AA263" s="882">
        <f t="shared" si="32"/>
        <v>0</v>
      </c>
    </row>
    <row r="264" spans="1:27" ht="27" hidden="1" customHeight="1">
      <c r="A264" s="583"/>
      <c r="B264" s="583">
        <v>1009</v>
      </c>
      <c r="C264" s="581">
        <v>17</v>
      </c>
      <c r="D264" s="582" t="s">
        <v>84</v>
      </c>
      <c r="E264" s="1138" t="s">
        <v>699</v>
      </c>
      <c r="F264" s="1830">
        <v>-3250339300</v>
      </c>
      <c r="G264" s="2075">
        <v>342969262</v>
      </c>
      <c r="H264" s="2077">
        <v>3266170</v>
      </c>
      <c r="I264" s="2065">
        <v>-1541932951</v>
      </c>
      <c r="J264" s="2080">
        <v>2904103868</v>
      </c>
      <c r="K264" s="2065">
        <v>70000000</v>
      </c>
      <c r="L264" s="2065"/>
      <c r="M264" s="2065"/>
      <c r="N264" s="2065"/>
      <c r="O264" s="2066"/>
      <c r="P264" s="2066"/>
      <c r="Q264" s="2065"/>
      <c r="R264" s="2065"/>
      <c r="S264" s="2065"/>
      <c r="T264" s="1981">
        <f t="shared" si="27"/>
        <v>-1471932951</v>
      </c>
      <c r="U264" s="599">
        <v>0</v>
      </c>
      <c r="V264" s="1407">
        <f t="shared" si="26"/>
        <v>-1472</v>
      </c>
      <c r="W264" s="599">
        <f t="shared" si="28"/>
        <v>0</v>
      </c>
      <c r="X264" s="620"/>
      <c r="Y264" s="621"/>
      <c r="Z264" s="1096">
        <f t="shared" si="31"/>
        <v>-1471932951</v>
      </c>
      <c r="AA264" s="882">
        <f t="shared" si="32"/>
        <v>-1472</v>
      </c>
    </row>
    <row r="265" spans="1:27" ht="27" hidden="1" customHeight="1">
      <c r="A265" s="583"/>
      <c r="B265" s="583">
        <v>1009</v>
      </c>
      <c r="C265" s="581">
        <v>17</v>
      </c>
      <c r="D265" s="582" t="s">
        <v>86</v>
      </c>
      <c r="E265" s="1138" t="s">
        <v>876</v>
      </c>
      <c r="F265" s="1830">
        <v>-417430740</v>
      </c>
      <c r="G265" s="2075">
        <v>43831565</v>
      </c>
      <c r="H265" s="2065"/>
      <c r="I265" s="2065"/>
      <c r="J265" s="2065">
        <v>373599175</v>
      </c>
      <c r="K265" s="2065"/>
      <c r="L265" s="2065"/>
      <c r="M265" s="2065"/>
      <c r="N265" s="2065"/>
      <c r="O265" s="2066"/>
      <c r="P265" s="2066"/>
      <c r="Q265" s="2065"/>
      <c r="R265" s="2065"/>
      <c r="S265" s="2065"/>
      <c r="T265" s="1981">
        <f t="shared" si="27"/>
        <v>0</v>
      </c>
      <c r="U265" s="599">
        <v>-248616536</v>
      </c>
      <c r="V265" s="1407">
        <f t="shared" si="26"/>
        <v>0</v>
      </c>
      <c r="W265" s="599">
        <f t="shared" si="28"/>
        <v>-249</v>
      </c>
      <c r="X265" s="620"/>
      <c r="Y265" s="621"/>
      <c r="Z265" s="1096">
        <f t="shared" ref="Z265:Z296" si="33">T265+Y265-X265</f>
        <v>0</v>
      </c>
      <c r="AA265" s="882">
        <f t="shared" ref="AA265:AA296" si="34">ROUND((Z265/1000000),0)</f>
        <v>0</v>
      </c>
    </row>
    <row r="266" spans="1:27" ht="27" hidden="1" customHeight="1">
      <c r="A266" s="583"/>
      <c r="B266" s="583">
        <v>1018</v>
      </c>
      <c r="C266" s="581">
        <v>17</v>
      </c>
      <c r="D266" s="582" t="s">
        <v>874</v>
      </c>
      <c r="E266" s="1138" t="s">
        <v>875</v>
      </c>
      <c r="F266" s="1829">
        <v>71943684</v>
      </c>
      <c r="G266" s="2075">
        <v>-85680580</v>
      </c>
      <c r="H266" s="2065"/>
      <c r="I266" s="2065"/>
      <c r="J266" s="2065">
        <v>7936896</v>
      </c>
      <c r="K266" s="2065"/>
      <c r="L266" s="2065"/>
      <c r="M266" s="2065"/>
      <c r="N266" s="2065"/>
      <c r="O266" s="2066"/>
      <c r="P266" s="2066"/>
      <c r="Q266" s="2065"/>
      <c r="R266" s="2065"/>
      <c r="S266" s="2065"/>
      <c r="T266" s="1981">
        <f t="shared" si="27"/>
        <v>-5800000</v>
      </c>
      <c r="U266" s="599">
        <v>-396968</v>
      </c>
      <c r="V266" s="1407">
        <f t="shared" ref="V266:V308" si="35">ROUND((T266/1000000),0)</f>
        <v>-6</v>
      </c>
      <c r="W266" s="599">
        <f t="shared" si="28"/>
        <v>0</v>
      </c>
      <c r="X266" s="620"/>
      <c r="Y266" s="621"/>
      <c r="Z266" s="1096">
        <f t="shared" si="33"/>
        <v>-5800000</v>
      </c>
      <c r="AA266" s="882">
        <f t="shared" si="34"/>
        <v>-6</v>
      </c>
    </row>
    <row r="267" spans="1:27" ht="27" hidden="1" customHeight="1">
      <c r="A267" s="583"/>
      <c r="B267" s="583">
        <v>401</v>
      </c>
      <c r="C267" s="581">
        <v>11</v>
      </c>
      <c r="D267" s="582" t="s">
        <v>1172</v>
      </c>
      <c r="E267" s="1138" t="s">
        <v>1173</v>
      </c>
      <c r="F267" s="1829">
        <v>454343852</v>
      </c>
      <c r="G267" s="2077">
        <v>-128584510</v>
      </c>
      <c r="H267" s="2077">
        <v>-46000000</v>
      </c>
      <c r="I267" s="2065"/>
      <c r="J267" s="2065"/>
      <c r="K267" s="2065"/>
      <c r="L267" s="2065"/>
      <c r="M267" s="2065"/>
      <c r="N267" s="2065"/>
      <c r="O267" s="2066"/>
      <c r="P267" s="2066"/>
      <c r="Q267" s="2065"/>
      <c r="R267" s="2065"/>
      <c r="S267" s="2065"/>
      <c r="T267" s="1981">
        <f t="shared" si="27"/>
        <v>279759342</v>
      </c>
      <c r="U267" s="599">
        <v>0</v>
      </c>
      <c r="V267" s="1407">
        <f t="shared" si="35"/>
        <v>280</v>
      </c>
      <c r="W267" s="599">
        <f t="shared" si="28"/>
        <v>0</v>
      </c>
      <c r="X267" s="620"/>
      <c r="Y267" s="621"/>
      <c r="Z267" s="1096">
        <f t="shared" si="33"/>
        <v>279759342</v>
      </c>
      <c r="AA267" s="882">
        <f t="shared" si="34"/>
        <v>280</v>
      </c>
    </row>
    <row r="268" spans="1:27" ht="27" hidden="1" customHeight="1">
      <c r="A268" s="583"/>
      <c r="B268" s="583">
        <v>401</v>
      </c>
      <c r="C268" s="581">
        <v>11</v>
      </c>
      <c r="D268" s="582" t="s">
        <v>1087</v>
      </c>
      <c r="E268" s="1138" t="s">
        <v>1088</v>
      </c>
      <c r="F268" s="1826"/>
      <c r="G268" s="2075"/>
      <c r="H268" s="2065"/>
      <c r="I268" s="2065"/>
      <c r="J268" s="2065"/>
      <c r="K268" s="2065"/>
      <c r="L268" s="2065"/>
      <c r="M268" s="2065"/>
      <c r="N268" s="2065"/>
      <c r="O268" s="2066"/>
      <c r="P268" s="2066"/>
      <c r="Q268" s="2065"/>
      <c r="R268" s="2065"/>
      <c r="S268" s="2065"/>
      <c r="T268" s="1096">
        <f t="shared" si="27"/>
        <v>0</v>
      </c>
      <c r="U268" s="599">
        <v>0</v>
      </c>
      <c r="V268" s="1407">
        <f t="shared" si="35"/>
        <v>0</v>
      </c>
      <c r="W268" s="599">
        <f t="shared" si="28"/>
        <v>0</v>
      </c>
      <c r="X268" s="620"/>
      <c r="Y268" s="621"/>
      <c r="Z268" s="1096">
        <f t="shared" si="33"/>
        <v>0</v>
      </c>
      <c r="AA268" s="882">
        <f t="shared" si="34"/>
        <v>0</v>
      </c>
    </row>
    <row r="269" spans="1:27" ht="27" hidden="1" customHeight="1">
      <c r="A269" s="583"/>
      <c r="B269" s="583">
        <v>1009</v>
      </c>
      <c r="C269" s="581">
        <v>17</v>
      </c>
      <c r="D269" s="582" t="s">
        <v>89</v>
      </c>
      <c r="E269" s="1138" t="s">
        <v>937</v>
      </c>
      <c r="F269" s="1830">
        <v>-24180000</v>
      </c>
      <c r="G269" s="2075"/>
      <c r="H269" s="2065"/>
      <c r="I269" s="2065"/>
      <c r="J269" s="2065">
        <v>24180000</v>
      </c>
      <c r="K269" s="2065"/>
      <c r="L269" s="2065"/>
      <c r="M269" s="2065"/>
      <c r="N269" s="2065"/>
      <c r="O269" s="2066"/>
      <c r="P269" s="2066"/>
      <c r="Q269" s="2065"/>
      <c r="R269" s="2065"/>
      <c r="S269" s="2065"/>
      <c r="T269" s="1981">
        <f t="shared" ref="T269:T332" si="36">SUM(F269:S269)</f>
        <v>0</v>
      </c>
      <c r="U269" s="599">
        <v>0</v>
      </c>
      <c r="V269" s="1407">
        <f t="shared" si="35"/>
        <v>0</v>
      </c>
      <c r="W269" s="599">
        <f t="shared" si="28"/>
        <v>0</v>
      </c>
      <c r="X269" s="620"/>
      <c r="Y269" s="621"/>
      <c r="Z269" s="1096">
        <f t="shared" si="33"/>
        <v>0</v>
      </c>
      <c r="AA269" s="882">
        <f t="shared" si="34"/>
        <v>0</v>
      </c>
    </row>
    <row r="270" spans="1:27" ht="27" hidden="1" customHeight="1">
      <c r="A270" s="583"/>
      <c r="B270" s="583">
        <v>401</v>
      </c>
      <c r="C270" s="581">
        <v>11</v>
      </c>
      <c r="D270" s="582" t="s">
        <v>1232</v>
      </c>
      <c r="E270" s="1138" t="s">
        <v>1233</v>
      </c>
      <c r="F270" s="1829"/>
      <c r="G270" s="2075"/>
      <c r="H270" s="2065"/>
      <c r="I270" s="2065"/>
      <c r="J270" s="2065"/>
      <c r="K270" s="2065"/>
      <c r="L270" s="2065"/>
      <c r="M270" s="2065"/>
      <c r="N270" s="2065"/>
      <c r="O270" s="2066"/>
      <c r="P270" s="2066"/>
      <c r="Q270" s="2065"/>
      <c r="R270" s="2065"/>
      <c r="S270" s="2065"/>
      <c r="T270" s="1981">
        <f t="shared" si="36"/>
        <v>0</v>
      </c>
      <c r="U270" s="599">
        <v>0</v>
      </c>
      <c r="V270" s="1407">
        <f t="shared" si="35"/>
        <v>0</v>
      </c>
      <c r="W270" s="599">
        <f t="shared" si="28"/>
        <v>0</v>
      </c>
      <c r="X270" s="620"/>
      <c r="Y270" s="621"/>
      <c r="Z270" s="1096">
        <f t="shared" si="33"/>
        <v>0</v>
      </c>
      <c r="AA270" s="882">
        <f t="shared" si="34"/>
        <v>0</v>
      </c>
    </row>
    <row r="271" spans="1:27" ht="27" hidden="1" customHeight="1">
      <c r="A271" s="583"/>
      <c r="B271" s="583">
        <v>1009</v>
      </c>
      <c r="C271" s="581">
        <v>17</v>
      </c>
      <c r="D271" s="582" t="s">
        <v>1576</v>
      </c>
      <c r="E271" s="1138" t="s">
        <v>1577</v>
      </c>
      <c r="F271" s="1830">
        <v>-22464000</v>
      </c>
      <c r="G271" s="2075">
        <v>20592000</v>
      </c>
      <c r="H271" s="2065"/>
      <c r="I271" s="2065"/>
      <c r="J271" s="2065">
        <v>1872000</v>
      </c>
      <c r="K271" s="2065"/>
      <c r="L271" s="2065"/>
      <c r="M271" s="2065"/>
      <c r="N271" s="2065"/>
      <c r="O271" s="2066"/>
      <c r="P271" s="2066"/>
      <c r="Q271" s="2065"/>
      <c r="R271" s="2065"/>
      <c r="S271" s="2065"/>
      <c r="T271" s="1981">
        <f t="shared" si="36"/>
        <v>0</v>
      </c>
      <c r="U271" s="599">
        <v>0</v>
      </c>
      <c r="V271" s="1407">
        <f t="shared" si="35"/>
        <v>0</v>
      </c>
      <c r="W271" s="599">
        <f t="shared" ref="W271:W334" si="37">ROUND((U271/1000000),0)</f>
        <v>0</v>
      </c>
      <c r="X271" s="620"/>
      <c r="Y271" s="621"/>
      <c r="Z271" s="1096">
        <f t="shared" si="33"/>
        <v>0</v>
      </c>
      <c r="AA271" s="882">
        <f t="shared" si="34"/>
        <v>0</v>
      </c>
    </row>
    <row r="272" spans="1:27" ht="27" hidden="1" customHeight="1">
      <c r="A272" s="583"/>
      <c r="B272" s="583">
        <v>401</v>
      </c>
      <c r="C272" s="581">
        <v>11</v>
      </c>
      <c r="D272" s="582" t="s">
        <v>1089</v>
      </c>
      <c r="E272" s="1138" t="s">
        <v>957</v>
      </c>
      <c r="F272" s="1829">
        <v>113662943901</v>
      </c>
      <c r="G272" s="1828">
        <v>-113934016684</v>
      </c>
      <c r="H272" s="599">
        <v>-637419588</v>
      </c>
      <c r="I272" s="599">
        <v>2250572011</v>
      </c>
      <c r="J272" s="2065"/>
      <c r="K272" s="599"/>
      <c r="L272" s="599"/>
      <c r="M272" s="2065"/>
      <c r="N272" s="599"/>
      <c r="O272" s="1097"/>
      <c r="P272" s="1097"/>
      <c r="Q272" s="599"/>
      <c r="R272" s="599"/>
      <c r="S272" s="599"/>
      <c r="T272" s="1981">
        <f t="shared" si="36"/>
        <v>1342079640</v>
      </c>
      <c r="U272" s="599">
        <v>1300140837</v>
      </c>
      <c r="V272" s="1407">
        <f t="shared" si="35"/>
        <v>1342</v>
      </c>
      <c r="W272" s="599">
        <f t="shared" si="37"/>
        <v>1300</v>
      </c>
      <c r="X272" s="620"/>
      <c r="Y272" s="621"/>
      <c r="Z272" s="1096">
        <f t="shared" si="33"/>
        <v>1342079640</v>
      </c>
      <c r="AA272" s="882">
        <f t="shared" si="34"/>
        <v>1342</v>
      </c>
    </row>
    <row r="273" spans="1:27" ht="27" hidden="1" customHeight="1">
      <c r="A273" s="583"/>
      <c r="B273" s="583">
        <v>401</v>
      </c>
      <c r="C273" s="581">
        <v>11</v>
      </c>
      <c r="D273" s="582" t="s">
        <v>2126</v>
      </c>
      <c r="E273" s="1138" t="s">
        <v>2127</v>
      </c>
      <c r="F273" s="1829"/>
      <c r="G273" s="2077"/>
      <c r="H273" s="2077"/>
      <c r="I273" s="2065"/>
      <c r="J273" s="2065"/>
      <c r="K273" s="2065"/>
      <c r="L273" s="2065"/>
      <c r="M273" s="2065"/>
      <c r="N273" s="2065"/>
      <c r="O273" s="2066"/>
      <c r="P273" s="2066"/>
      <c r="Q273" s="2065"/>
      <c r="R273" s="2065"/>
      <c r="S273" s="2065"/>
      <c r="T273" s="1981">
        <f t="shared" si="36"/>
        <v>0</v>
      </c>
      <c r="U273" s="599">
        <v>0</v>
      </c>
      <c r="V273" s="1407">
        <f t="shared" si="35"/>
        <v>0</v>
      </c>
      <c r="W273" s="599">
        <f t="shared" si="37"/>
        <v>0</v>
      </c>
      <c r="X273" s="620"/>
      <c r="Y273" s="621"/>
      <c r="Z273" s="1096">
        <f t="shared" si="33"/>
        <v>0</v>
      </c>
      <c r="AA273" s="882">
        <f t="shared" si="34"/>
        <v>0</v>
      </c>
    </row>
    <row r="274" spans="1:27" ht="27" hidden="1" customHeight="1">
      <c r="A274" s="583"/>
      <c r="B274" s="583">
        <v>406</v>
      </c>
      <c r="C274" s="581">
        <v>11</v>
      </c>
      <c r="D274" s="582" t="s">
        <v>1332</v>
      </c>
      <c r="E274" s="1138" t="s">
        <v>1331</v>
      </c>
      <c r="F274" s="1830">
        <v>258492296</v>
      </c>
      <c r="G274" s="1828"/>
      <c r="H274" s="2128">
        <v>-253494996</v>
      </c>
      <c r="I274" s="599"/>
      <c r="J274" s="2065"/>
      <c r="K274" s="599"/>
      <c r="L274" s="599"/>
      <c r="M274" s="2065"/>
      <c r="N274" s="599"/>
      <c r="O274" s="1097"/>
      <c r="P274" s="1097"/>
      <c r="Q274" s="599"/>
      <c r="R274" s="599"/>
      <c r="S274" s="599"/>
      <c r="T274" s="1981">
        <f t="shared" si="36"/>
        <v>4997300</v>
      </c>
      <c r="U274" s="599">
        <v>207492296</v>
      </c>
      <c r="V274" s="1407">
        <f t="shared" si="35"/>
        <v>5</v>
      </c>
      <c r="W274" s="599">
        <f t="shared" si="37"/>
        <v>207</v>
      </c>
      <c r="X274" s="620"/>
      <c r="Y274" s="621"/>
      <c r="Z274" s="1096">
        <f t="shared" si="33"/>
        <v>4997300</v>
      </c>
      <c r="AA274" s="882">
        <f t="shared" si="34"/>
        <v>5</v>
      </c>
    </row>
    <row r="275" spans="1:27" ht="27" hidden="1" customHeight="1">
      <c r="A275" s="583"/>
      <c r="B275" s="583">
        <v>1009</v>
      </c>
      <c r="C275" s="581">
        <v>17</v>
      </c>
      <c r="D275" s="582" t="s">
        <v>562</v>
      </c>
      <c r="E275" s="1138" t="s">
        <v>705</v>
      </c>
      <c r="F275" s="1829"/>
      <c r="G275" s="1826"/>
      <c r="H275" s="599"/>
      <c r="I275" s="599"/>
      <c r="J275" s="2065"/>
      <c r="K275" s="599"/>
      <c r="L275" s="599"/>
      <c r="M275" s="2065"/>
      <c r="N275" s="599"/>
      <c r="O275" s="1097"/>
      <c r="P275" s="1097"/>
      <c r="Q275" s="599"/>
      <c r="R275" s="599"/>
      <c r="S275" s="599"/>
      <c r="T275" s="1981">
        <f t="shared" si="36"/>
        <v>0</v>
      </c>
      <c r="U275" s="599">
        <v>0</v>
      </c>
      <c r="V275" s="1407">
        <f t="shared" si="35"/>
        <v>0</v>
      </c>
      <c r="W275" s="599">
        <f t="shared" si="37"/>
        <v>0</v>
      </c>
      <c r="X275" s="620"/>
      <c r="Y275" s="621"/>
      <c r="Z275" s="1096">
        <f t="shared" si="33"/>
        <v>0</v>
      </c>
      <c r="AA275" s="882">
        <f t="shared" si="34"/>
        <v>0</v>
      </c>
    </row>
    <row r="276" spans="1:27" ht="27" hidden="1" customHeight="1">
      <c r="A276" s="583"/>
      <c r="B276" s="583">
        <v>1009</v>
      </c>
      <c r="C276" s="581">
        <v>17</v>
      </c>
      <c r="D276" s="582" t="s">
        <v>481</v>
      </c>
      <c r="E276" s="1138" t="s">
        <v>1333</v>
      </c>
      <c r="F276" s="1829"/>
      <c r="G276" s="1828"/>
      <c r="H276" s="2096"/>
      <c r="I276" s="599"/>
      <c r="J276" s="2065"/>
      <c r="K276" s="599"/>
      <c r="L276" s="2096"/>
      <c r="M276" s="2096"/>
      <c r="N276" s="599"/>
      <c r="O276" s="1097"/>
      <c r="P276" s="1097"/>
      <c r="Q276" s="599"/>
      <c r="R276" s="599"/>
      <c r="S276" s="599"/>
      <c r="T276" s="1096">
        <f t="shared" si="36"/>
        <v>0</v>
      </c>
      <c r="U276" s="599">
        <v>0</v>
      </c>
      <c r="V276" s="1407">
        <f t="shared" si="35"/>
        <v>0</v>
      </c>
      <c r="W276" s="599">
        <f t="shared" si="37"/>
        <v>0</v>
      </c>
      <c r="X276" s="620"/>
      <c r="Y276" s="621"/>
      <c r="Z276" s="1096">
        <f t="shared" si="33"/>
        <v>0</v>
      </c>
      <c r="AA276" s="882">
        <f t="shared" si="34"/>
        <v>0</v>
      </c>
    </row>
    <row r="277" spans="1:27" ht="27" hidden="1" customHeight="1">
      <c r="A277" s="583"/>
      <c r="B277" s="583">
        <v>1009</v>
      </c>
      <c r="C277" s="581">
        <v>17</v>
      </c>
      <c r="D277" s="582" t="s">
        <v>3</v>
      </c>
      <c r="E277" s="1138" t="s">
        <v>938</v>
      </c>
      <c r="F277" s="1826"/>
      <c r="G277" s="1826"/>
      <c r="H277" s="599"/>
      <c r="I277" s="599"/>
      <c r="J277" s="2065"/>
      <c r="K277" s="599"/>
      <c r="L277" s="599"/>
      <c r="M277" s="2065"/>
      <c r="N277" s="599"/>
      <c r="O277" s="1097"/>
      <c r="P277" s="1097"/>
      <c r="Q277" s="599"/>
      <c r="R277" s="599"/>
      <c r="S277" s="599"/>
      <c r="T277" s="1096">
        <f t="shared" si="36"/>
        <v>0</v>
      </c>
      <c r="U277" s="599">
        <v>0</v>
      </c>
      <c r="V277" s="1407">
        <f t="shared" si="35"/>
        <v>0</v>
      </c>
      <c r="W277" s="599">
        <f t="shared" si="37"/>
        <v>0</v>
      </c>
      <c r="X277" s="620"/>
      <c r="Y277" s="621"/>
      <c r="Z277" s="1096">
        <f t="shared" si="33"/>
        <v>0</v>
      </c>
      <c r="AA277" s="882">
        <f t="shared" si="34"/>
        <v>0</v>
      </c>
    </row>
    <row r="278" spans="1:27" ht="27" hidden="1" customHeight="1">
      <c r="A278" s="583"/>
      <c r="B278" s="583">
        <v>1009</v>
      </c>
      <c r="C278" s="581">
        <v>17</v>
      </c>
      <c r="D278" s="582" t="s">
        <v>4</v>
      </c>
      <c r="E278" s="1138" t="s">
        <v>440</v>
      </c>
      <c r="F278" s="1830">
        <v>-1050398953305</v>
      </c>
      <c r="G278" s="1826"/>
      <c r="H278" s="599"/>
      <c r="I278" s="599"/>
      <c r="J278" s="2065"/>
      <c r="K278" s="1918"/>
      <c r="L278" s="2065"/>
      <c r="M278" s="2096"/>
      <c r="N278" s="599"/>
      <c r="O278" s="1097"/>
      <c r="P278" s="1097"/>
      <c r="Q278" s="599"/>
      <c r="R278" s="599"/>
      <c r="S278" s="599"/>
      <c r="T278" s="1096">
        <f t="shared" si="36"/>
        <v>-1050398953305</v>
      </c>
      <c r="U278" s="599">
        <v>-862734747750</v>
      </c>
      <c r="V278" s="1407">
        <f t="shared" si="35"/>
        <v>-1050399</v>
      </c>
      <c r="W278" s="599">
        <f t="shared" si="37"/>
        <v>-862735</v>
      </c>
      <c r="X278" s="620"/>
      <c r="Y278" s="621"/>
      <c r="Z278" s="1096">
        <f t="shared" si="33"/>
        <v>-1050398953305</v>
      </c>
      <c r="AA278" s="882">
        <f t="shared" si="34"/>
        <v>-1050399</v>
      </c>
    </row>
    <row r="279" spans="1:27" ht="27" hidden="1" customHeight="1">
      <c r="A279" s="583"/>
      <c r="B279" s="583">
        <v>1009</v>
      </c>
      <c r="C279" s="581">
        <v>17</v>
      </c>
      <c r="D279" s="582" t="s">
        <v>5</v>
      </c>
      <c r="E279" s="1138" t="s">
        <v>828</v>
      </c>
      <c r="F279" s="1830"/>
      <c r="G279" s="1828"/>
      <c r="H279" s="599"/>
      <c r="I279" s="599"/>
      <c r="J279" s="2065"/>
      <c r="K279" s="599"/>
      <c r="L279" s="2065"/>
      <c r="M279" s="2096"/>
      <c r="N279" s="599"/>
      <c r="O279" s="1097"/>
      <c r="P279" s="1097"/>
      <c r="Q279" s="599"/>
      <c r="R279" s="599"/>
      <c r="S279" s="599"/>
      <c r="T279" s="1981">
        <f t="shared" si="36"/>
        <v>0</v>
      </c>
      <c r="U279" s="599">
        <v>-80033813</v>
      </c>
      <c r="V279" s="1407">
        <f t="shared" si="35"/>
        <v>0</v>
      </c>
      <c r="W279" s="599">
        <f t="shared" si="37"/>
        <v>-80</v>
      </c>
      <c r="X279" s="620"/>
      <c r="Y279" s="621"/>
      <c r="Z279" s="1096">
        <f t="shared" si="33"/>
        <v>0</v>
      </c>
      <c r="AA279" s="882">
        <f t="shared" si="34"/>
        <v>0</v>
      </c>
    </row>
    <row r="280" spans="1:27" ht="27" hidden="1" customHeight="1">
      <c r="A280" s="583"/>
      <c r="B280" s="583">
        <v>1009</v>
      </c>
      <c r="C280" s="581">
        <v>17</v>
      </c>
      <c r="D280" s="582" t="s">
        <v>878</v>
      </c>
      <c r="E280" s="1138" t="s">
        <v>879</v>
      </c>
      <c r="F280" s="1830">
        <v>-2252288</v>
      </c>
      <c r="G280" s="1826"/>
      <c r="H280" s="599"/>
      <c r="I280" s="599"/>
      <c r="J280" s="2065"/>
      <c r="K280" s="599"/>
      <c r="L280" s="599"/>
      <c r="M280" s="2065"/>
      <c r="N280" s="599"/>
      <c r="O280" s="1097"/>
      <c r="P280" s="1097"/>
      <c r="Q280" s="599"/>
      <c r="R280" s="599"/>
      <c r="S280" s="599"/>
      <c r="T280" s="1096">
        <f t="shared" si="36"/>
        <v>-2252288</v>
      </c>
      <c r="U280" s="599">
        <v>0</v>
      </c>
      <c r="V280" s="1407">
        <f t="shared" si="35"/>
        <v>-2</v>
      </c>
      <c r="W280" s="599">
        <f t="shared" si="37"/>
        <v>0</v>
      </c>
      <c r="X280" s="620"/>
      <c r="Y280" s="621"/>
      <c r="Z280" s="1096">
        <f t="shared" si="33"/>
        <v>-2252288</v>
      </c>
      <c r="AA280" s="882">
        <f t="shared" si="34"/>
        <v>-2</v>
      </c>
    </row>
    <row r="281" spans="1:27" ht="27" hidden="1" customHeight="1">
      <c r="A281" s="583"/>
      <c r="B281" s="583">
        <v>1009</v>
      </c>
      <c r="C281" s="581">
        <v>17</v>
      </c>
      <c r="D281" s="582" t="s">
        <v>1236</v>
      </c>
      <c r="E281" s="1138" t="s">
        <v>1237</v>
      </c>
      <c r="F281" s="1829">
        <v>-3167737020</v>
      </c>
      <c r="G281" s="1826">
        <v>2628547740</v>
      </c>
      <c r="H281" s="599"/>
      <c r="I281" s="599"/>
      <c r="J281" s="2065"/>
      <c r="K281" s="599"/>
      <c r="L281" s="599"/>
      <c r="M281" s="2065"/>
      <c r="N281" s="599"/>
      <c r="O281" s="1097"/>
      <c r="P281" s="1097"/>
      <c r="Q281" s="599"/>
      <c r="R281" s="599"/>
      <c r="S281" s="599"/>
      <c r="T281" s="1096">
        <f t="shared" si="36"/>
        <v>-539189280</v>
      </c>
      <c r="U281" s="599">
        <v>-155808970</v>
      </c>
      <c r="V281" s="1407">
        <f t="shared" si="35"/>
        <v>-539</v>
      </c>
      <c r="W281" s="599">
        <f t="shared" si="37"/>
        <v>-156</v>
      </c>
      <c r="X281" s="620"/>
      <c r="Y281" s="621"/>
      <c r="Z281" s="1096">
        <f t="shared" si="33"/>
        <v>-539189280</v>
      </c>
      <c r="AA281" s="882">
        <f t="shared" si="34"/>
        <v>-539</v>
      </c>
    </row>
    <row r="282" spans="1:27" ht="27" hidden="1" customHeight="1">
      <c r="A282" s="583"/>
      <c r="B282" s="583">
        <v>1009</v>
      </c>
      <c r="C282" s="581">
        <v>17</v>
      </c>
      <c r="D282" s="582" t="s">
        <v>833</v>
      </c>
      <c r="E282" s="1138" t="s">
        <v>834</v>
      </c>
      <c r="F282" s="1826"/>
      <c r="G282" s="1826"/>
      <c r="H282" s="599"/>
      <c r="I282" s="599"/>
      <c r="J282" s="2065"/>
      <c r="K282" s="599"/>
      <c r="L282" s="2096"/>
      <c r="M282" s="2096"/>
      <c r="N282" s="599"/>
      <c r="O282" s="1097"/>
      <c r="P282" s="1097"/>
      <c r="Q282" s="599"/>
      <c r="R282" s="599"/>
      <c r="S282" s="599"/>
      <c r="T282" s="1096">
        <f t="shared" si="36"/>
        <v>0</v>
      </c>
      <c r="U282" s="599">
        <v>0</v>
      </c>
      <c r="V282" s="1407">
        <f t="shared" si="35"/>
        <v>0</v>
      </c>
      <c r="W282" s="599">
        <f t="shared" si="37"/>
        <v>0</v>
      </c>
      <c r="X282" s="620"/>
      <c r="Y282" s="621"/>
      <c r="Z282" s="1096">
        <f t="shared" si="33"/>
        <v>0</v>
      </c>
      <c r="AA282" s="882">
        <f t="shared" si="34"/>
        <v>0</v>
      </c>
    </row>
    <row r="283" spans="1:27" ht="27" hidden="1" customHeight="1">
      <c r="A283" s="583"/>
      <c r="B283" s="583">
        <v>1009</v>
      </c>
      <c r="C283" s="581">
        <v>17</v>
      </c>
      <c r="D283" s="582" t="s">
        <v>8</v>
      </c>
      <c r="E283" s="1138" t="s">
        <v>203</v>
      </c>
      <c r="F283" s="1830">
        <v>-11807848646</v>
      </c>
      <c r="G283" s="1828">
        <v>89093584</v>
      </c>
      <c r="H283" s="2128">
        <v>309179427</v>
      </c>
      <c r="I283" s="599"/>
      <c r="J283" s="2065"/>
      <c r="K283" s="599"/>
      <c r="L283" s="2133"/>
      <c r="M283" s="2133"/>
      <c r="N283" s="599"/>
      <c r="O283" s="1097"/>
      <c r="P283" s="1097"/>
      <c r="Q283" s="599"/>
      <c r="R283" s="599"/>
      <c r="S283" s="599"/>
      <c r="T283" s="1981">
        <f t="shared" si="36"/>
        <v>-11409575635</v>
      </c>
      <c r="U283" s="599">
        <v>-9161784939</v>
      </c>
      <c r="V283" s="1407">
        <f t="shared" si="35"/>
        <v>-11410</v>
      </c>
      <c r="W283" s="599">
        <f t="shared" si="37"/>
        <v>-9162</v>
      </c>
      <c r="X283" s="620"/>
      <c r="Y283" s="621"/>
      <c r="Z283" s="1096">
        <f t="shared" si="33"/>
        <v>-11409575635</v>
      </c>
      <c r="AA283" s="882">
        <f t="shared" si="34"/>
        <v>-11410</v>
      </c>
    </row>
    <row r="284" spans="1:27" ht="27" hidden="1" customHeight="1">
      <c r="A284" s="583"/>
      <c r="B284" s="583">
        <v>1009</v>
      </c>
      <c r="C284" s="581">
        <v>17</v>
      </c>
      <c r="D284" s="582" t="s">
        <v>11</v>
      </c>
      <c r="E284" s="1138" t="s">
        <v>551</v>
      </c>
      <c r="F284" s="1830">
        <v>-134509753</v>
      </c>
      <c r="G284" s="1828">
        <v>-29811545</v>
      </c>
      <c r="H284" s="1830">
        <v>71485273</v>
      </c>
      <c r="I284" s="599"/>
      <c r="J284" s="2065"/>
      <c r="K284" s="599"/>
      <c r="L284" s="599"/>
      <c r="M284" s="2065"/>
      <c r="N284" s="599"/>
      <c r="O284" s="1097"/>
      <c r="P284" s="1097"/>
      <c r="Q284" s="599"/>
      <c r="R284" s="599"/>
      <c r="S284" s="599"/>
      <c r="T284" s="1981">
        <f t="shared" si="36"/>
        <v>-92836025</v>
      </c>
      <c r="U284" s="599">
        <v>-15769509</v>
      </c>
      <c r="V284" s="1407">
        <f t="shared" si="35"/>
        <v>-93</v>
      </c>
      <c r="W284" s="599">
        <f t="shared" si="37"/>
        <v>-16</v>
      </c>
      <c r="X284" s="620"/>
      <c r="Y284" s="621"/>
      <c r="Z284" s="1096">
        <f t="shared" si="33"/>
        <v>-92836025</v>
      </c>
      <c r="AA284" s="882">
        <f t="shared" si="34"/>
        <v>-93</v>
      </c>
    </row>
    <row r="285" spans="1:27" ht="27" hidden="1" customHeight="1">
      <c r="A285" s="583"/>
      <c r="B285" s="583">
        <v>401</v>
      </c>
      <c r="C285" s="581">
        <v>11</v>
      </c>
      <c r="D285" s="582" t="s">
        <v>1578</v>
      </c>
      <c r="E285" s="1138" t="s">
        <v>957</v>
      </c>
      <c r="F285" s="1830"/>
      <c r="G285" s="1826"/>
      <c r="H285" s="599"/>
      <c r="I285" s="599"/>
      <c r="J285" s="2065"/>
      <c r="K285" s="599"/>
      <c r="L285" s="599"/>
      <c r="M285" s="2065"/>
      <c r="N285" s="599"/>
      <c r="O285" s="1097"/>
      <c r="P285" s="1097"/>
      <c r="Q285" s="599"/>
      <c r="R285" s="599"/>
      <c r="S285" s="599"/>
      <c r="T285" s="1981">
        <f t="shared" si="36"/>
        <v>0</v>
      </c>
      <c r="U285" s="599">
        <v>0</v>
      </c>
      <c r="V285" s="1407">
        <f t="shared" si="35"/>
        <v>0</v>
      </c>
      <c r="W285" s="599">
        <f t="shared" si="37"/>
        <v>0</v>
      </c>
      <c r="X285" s="620"/>
      <c r="Y285" s="621"/>
      <c r="Z285" s="1096">
        <f t="shared" si="33"/>
        <v>0</v>
      </c>
      <c r="AA285" s="882">
        <f t="shared" si="34"/>
        <v>0</v>
      </c>
    </row>
    <row r="286" spans="1:27" ht="27" hidden="1" customHeight="1">
      <c r="A286" s="583"/>
      <c r="B286" s="583">
        <v>401</v>
      </c>
      <c r="C286" s="581">
        <v>11</v>
      </c>
      <c r="D286" s="582" t="s">
        <v>92</v>
      </c>
      <c r="E286" s="1138" t="s">
        <v>1821</v>
      </c>
      <c r="F286" s="1829"/>
      <c r="G286" s="1826"/>
      <c r="H286" s="599"/>
      <c r="I286" s="599"/>
      <c r="J286" s="2065"/>
      <c r="K286" s="599"/>
      <c r="L286" s="599"/>
      <c r="M286" s="2065"/>
      <c r="N286" s="599"/>
      <c r="O286" s="1097"/>
      <c r="P286" s="1097"/>
      <c r="Q286" s="599"/>
      <c r="R286" s="599"/>
      <c r="S286" s="599"/>
      <c r="T286" s="1981">
        <f t="shared" si="36"/>
        <v>0</v>
      </c>
      <c r="U286" s="599">
        <v>0</v>
      </c>
      <c r="V286" s="1407">
        <f t="shared" si="35"/>
        <v>0</v>
      </c>
      <c r="W286" s="599">
        <f t="shared" si="37"/>
        <v>0</v>
      </c>
      <c r="X286" s="620"/>
      <c r="Y286" s="621"/>
      <c r="Z286" s="1096">
        <f t="shared" si="33"/>
        <v>0</v>
      </c>
      <c r="AA286" s="882">
        <f t="shared" si="34"/>
        <v>0</v>
      </c>
    </row>
    <row r="287" spans="1:27" ht="27" hidden="1" customHeight="1">
      <c r="A287" s="583"/>
      <c r="B287" s="583">
        <v>1009</v>
      </c>
      <c r="C287" s="581">
        <v>17</v>
      </c>
      <c r="D287" s="582" t="s">
        <v>12</v>
      </c>
      <c r="E287" s="1138" t="s">
        <v>13</v>
      </c>
      <c r="F287" s="1830">
        <v>-1370032157</v>
      </c>
      <c r="G287" s="1826"/>
      <c r="H287" s="2310">
        <v>-71485273</v>
      </c>
      <c r="I287" s="599"/>
      <c r="J287" s="2065"/>
      <c r="K287" s="599"/>
      <c r="L287" s="599"/>
      <c r="M287" s="2065"/>
      <c r="N287" s="599"/>
      <c r="O287" s="1097"/>
      <c r="P287" s="1097"/>
      <c r="Q287" s="599"/>
      <c r="R287" s="599"/>
      <c r="S287" s="599"/>
      <c r="T287" s="1981">
        <f t="shared" si="36"/>
        <v>-1441517430</v>
      </c>
      <c r="U287" s="599">
        <v>-994414690</v>
      </c>
      <c r="V287" s="1407">
        <f t="shared" si="35"/>
        <v>-1442</v>
      </c>
      <c r="W287" s="599">
        <f t="shared" si="37"/>
        <v>-994</v>
      </c>
      <c r="X287" s="620"/>
      <c r="Y287" s="621"/>
      <c r="Z287" s="1096">
        <f t="shared" si="33"/>
        <v>-1441517430</v>
      </c>
      <c r="AA287" s="882">
        <f t="shared" si="34"/>
        <v>-1442</v>
      </c>
    </row>
    <row r="288" spans="1:27" ht="27" hidden="1" customHeight="1">
      <c r="A288" s="583"/>
      <c r="B288" s="583">
        <v>1009</v>
      </c>
      <c r="C288" s="581">
        <v>17</v>
      </c>
      <c r="D288" s="582" t="s">
        <v>1091</v>
      </c>
      <c r="E288" s="1138" t="s">
        <v>1092</v>
      </c>
      <c r="F288" s="1826"/>
      <c r="G288" s="1826"/>
      <c r="H288" s="1830"/>
      <c r="I288" s="599"/>
      <c r="J288" s="2065"/>
      <c r="K288" s="599"/>
      <c r="L288" s="599"/>
      <c r="M288" s="2065"/>
      <c r="N288" s="599"/>
      <c r="O288" s="1097"/>
      <c r="P288" s="1097"/>
      <c r="Q288" s="599"/>
      <c r="R288" s="599"/>
      <c r="S288" s="599"/>
      <c r="T288" s="1096">
        <f t="shared" si="36"/>
        <v>0</v>
      </c>
      <c r="U288" s="599">
        <v>0</v>
      </c>
      <c r="V288" s="1407">
        <f t="shared" si="35"/>
        <v>0</v>
      </c>
      <c r="W288" s="599">
        <f t="shared" si="37"/>
        <v>0</v>
      </c>
      <c r="X288" s="620"/>
      <c r="Y288" s="621"/>
      <c r="Z288" s="1096">
        <f t="shared" si="33"/>
        <v>0</v>
      </c>
      <c r="AA288" s="882">
        <f t="shared" si="34"/>
        <v>0</v>
      </c>
    </row>
    <row r="289" spans="1:27" ht="27" hidden="1" customHeight="1">
      <c r="A289" s="583"/>
      <c r="B289" s="583">
        <v>1009</v>
      </c>
      <c r="C289" s="581">
        <v>17</v>
      </c>
      <c r="D289" s="582" t="s">
        <v>15</v>
      </c>
      <c r="E289" s="1138" t="s">
        <v>552</v>
      </c>
      <c r="F289" s="1830"/>
      <c r="G289" s="1826"/>
      <c r="H289" s="1830"/>
      <c r="I289" s="599"/>
      <c r="J289" s="2065"/>
      <c r="K289" s="599"/>
      <c r="L289" s="599"/>
      <c r="M289" s="2065"/>
      <c r="N289" s="599"/>
      <c r="O289" s="1097"/>
      <c r="P289" s="1097"/>
      <c r="Q289" s="599"/>
      <c r="R289" s="599"/>
      <c r="S289" s="599"/>
      <c r="T289" s="1981">
        <f t="shared" si="36"/>
        <v>0</v>
      </c>
      <c r="U289" s="599">
        <v>-17229167</v>
      </c>
      <c r="V289" s="1407">
        <f t="shared" si="35"/>
        <v>0</v>
      </c>
      <c r="W289" s="599">
        <f t="shared" si="37"/>
        <v>-17</v>
      </c>
      <c r="X289" s="620"/>
      <c r="Y289" s="621"/>
      <c r="Z289" s="1096">
        <f t="shared" si="33"/>
        <v>0</v>
      </c>
      <c r="AA289" s="882">
        <f t="shared" si="34"/>
        <v>0</v>
      </c>
    </row>
    <row r="290" spans="1:27" ht="27" hidden="1" customHeight="1">
      <c r="A290" s="583"/>
      <c r="B290" s="583">
        <v>1009</v>
      </c>
      <c r="C290" s="581">
        <v>17</v>
      </c>
      <c r="D290" s="582" t="s">
        <v>744</v>
      </c>
      <c r="E290" s="1138" t="s">
        <v>1093</v>
      </c>
      <c r="F290" s="1830">
        <v>-991468407</v>
      </c>
      <c r="G290" s="1828">
        <v>448368067</v>
      </c>
      <c r="H290" s="1830">
        <v>543100340</v>
      </c>
      <c r="I290" s="599"/>
      <c r="J290" s="2065"/>
      <c r="K290" s="599"/>
      <c r="L290" s="599"/>
      <c r="M290" s="2065"/>
      <c r="N290" s="599"/>
      <c r="O290" s="1097"/>
      <c r="P290" s="1097"/>
      <c r="Q290" s="599"/>
      <c r="R290" s="599"/>
      <c r="S290" s="599"/>
      <c r="T290" s="1096">
        <f t="shared" si="36"/>
        <v>0</v>
      </c>
      <c r="U290" s="599">
        <v>0</v>
      </c>
      <c r="V290" s="1407">
        <f t="shared" si="35"/>
        <v>0</v>
      </c>
      <c r="W290" s="599">
        <f t="shared" si="37"/>
        <v>0</v>
      </c>
      <c r="X290" s="620"/>
      <c r="Y290" s="621"/>
      <c r="Z290" s="1096">
        <f t="shared" si="33"/>
        <v>0</v>
      </c>
      <c r="AA290" s="882">
        <f t="shared" si="34"/>
        <v>0</v>
      </c>
    </row>
    <row r="291" spans="1:27" ht="27" hidden="1" customHeight="1">
      <c r="A291" s="583"/>
      <c r="B291" s="583">
        <v>1009</v>
      </c>
      <c r="C291" s="581">
        <v>17</v>
      </c>
      <c r="D291" s="582" t="s">
        <v>941</v>
      </c>
      <c r="E291" s="1138" t="s">
        <v>942</v>
      </c>
      <c r="F291" s="1826"/>
      <c r="G291" s="1826"/>
      <c r="H291" s="1830"/>
      <c r="I291" s="599"/>
      <c r="J291" s="2065"/>
      <c r="K291" s="599"/>
      <c r="L291" s="599"/>
      <c r="M291" s="2065"/>
      <c r="N291" s="599"/>
      <c r="O291" s="1097"/>
      <c r="P291" s="1097"/>
      <c r="Q291" s="599"/>
      <c r="R291" s="599"/>
      <c r="S291" s="599"/>
      <c r="T291" s="1096">
        <f t="shared" si="36"/>
        <v>0</v>
      </c>
      <c r="U291" s="599">
        <v>0</v>
      </c>
      <c r="V291" s="1407">
        <f t="shared" si="35"/>
        <v>0</v>
      </c>
      <c r="W291" s="599">
        <f t="shared" si="37"/>
        <v>0</v>
      </c>
      <c r="X291" s="620"/>
      <c r="Y291" s="621"/>
      <c r="Z291" s="1096">
        <f t="shared" si="33"/>
        <v>0</v>
      </c>
      <c r="AA291" s="882">
        <f t="shared" si="34"/>
        <v>0</v>
      </c>
    </row>
    <row r="292" spans="1:27" ht="27" hidden="1" customHeight="1">
      <c r="A292" s="583"/>
      <c r="B292" s="583">
        <v>1009</v>
      </c>
      <c r="C292" s="581">
        <v>17</v>
      </c>
      <c r="D292" s="582" t="s">
        <v>40</v>
      </c>
      <c r="E292" s="1138" t="s">
        <v>41</v>
      </c>
      <c r="F292" s="1826"/>
      <c r="G292" s="1826"/>
      <c r="H292" s="1830"/>
      <c r="I292" s="599"/>
      <c r="J292" s="2065"/>
      <c r="K292" s="599"/>
      <c r="L292" s="599"/>
      <c r="M292" s="2065"/>
      <c r="N292" s="599"/>
      <c r="O292" s="1097"/>
      <c r="P292" s="1097"/>
      <c r="Q292" s="599"/>
      <c r="R292" s="599"/>
      <c r="S292" s="599"/>
      <c r="T292" s="1096">
        <f t="shared" si="36"/>
        <v>0</v>
      </c>
      <c r="U292" s="599">
        <v>0</v>
      </c>
      <c r="V292" s="1407">
        <f t="shared" si="35"/>
        <v>0</v>
      </c>
      <c r="W292" s="599">
        <f t="shared" si="37"/>
        <v>0</v>
      </c>
      <c r="X292" s="620"/>
      <c r="Y292" s="621"/>
      <c r="Z292" s="1096">
        <f t="shared" si="33"/>
        <v>0</v>
      </c>
      <c r="AA292" s="882">
        <f t="shared" si="34"/>
        <v>0</v>
      </c>
    </row>
    <row r="293" spans="1:27" ht="27" hidden="1" customHeight="1">
      <c r="A293" s="583"/>
      <c r="B293" s="583">
        <v>1009</v>
      </c>
      <c r="C293" s="581">
        <v>17</v>
      </c>
      <c r="D293" s="582" t="s">
        <v>1094</v>
      </c>
      <c r="E293" s="1138" t="s">
        <v>1095</v>
      </c>
      <c r="F293" s="1830">
        <v>-453441895</v>
      </c>
      <c r="G293" s="1828">
        <v>83747160</v>
      </c>
      <c r="H293" s="1830">
        <v>369694735</v>
      </c>
      <c r="I293" s="599"/>
      <c r="J293" s="2065"/>
      <c r="K293" s="599"/>
      <c r="L293" s="1918"/>
      <c r="M293" s="2080"/>
      <c r="N293" s="599"/>
      <c r="O293" s="1097"/>
      <c r="P293" s="1097"/>
      <c r="Q293" s="599"/>
      <c r="R293" s="599"/>
      <c r="S293" s="599"/>
      <c r="T293" s="1981">
        <f t="shared" si="36"/>
        <v>0</v>
      </c>
      <c r="U293" s="599">
        <v>0</v>
      </c>
      <c r="V293" s="1407">
        <f t="shared" si="35"/>
        <v>0</v>
      </c>
      <c r="W293" s="599">
        <f t="shared" si="37"/>
        <v>0</v>
      </c>
      <c r="X293" s="620"/>
      <c r="Y293" s="621"/>
      <c r="Z293" s="1096">
        <f t="shared" si="33"/>
        <v>0</v>
      </c>
      <c r="AA293" s="882">
        <f t="shared" si="34"/>
        <v>0</v>
      </c>
    </row>
    <row r="294" spans="1:27" ht="27" hidden="1" customHeight="1">
      <c r="A294" s="583"/>
      <c r="B294" s="583">
        <v>1009</v>
      </c>
      <c r="C294" s="581">
        <v>17</v>
      </c>
      <c r="D294" s="582" t="s">
        <v>1096</v>
      </c>
      <c r="E294" s="1138" t="s">
        <v>1097</v>
      </c>
      <c r="F294" s="1830"/>
      <c r="G294" s="1826"/>
      <c r="H294" s="1830"/>
      <c r="I294" s="2130"/>
      <c r="J294" s="2065"/>
      <c r="K294" s="599"/>
      <c r="L294" s="1918"/>
      <c r="M294" s="2080"/>
      <c r="N294" s="599"/>
      <c r="O294" s="1097"/>
      <c r="P294" s="1097"/>
      <c r="Q294" s="599"/>
      <c r="R294" s="599"/>
      <c r="S294" s="599"/>
      <c r="T294" s="1096">
        <f t="shared" si="36"/>
        <v>0</v>
      </c>
      <c r="U294" s="599">
        <v>0</v>
      </c>
      <c r="V294" s="1407">
        <f t="shared" si="35"/>
        <v>0</v>
      </c>
      <c r="W294" s="599">
        <f t="shared" si="37"/>
        <v>0</v>
      </c>
      <c r="X294" s="620"/>
      <c r="Y294" s="621"/>
      <c r="Z294" s="1096">
        <f t="shared" si="33"/>
        <v>0</v>
      </c>
      <c r="AA294" s="882">
        <f t="shared" si="34"/>
        <v>0</v>
      </c>
    </row>
    <row r="295" spans="1:27" ht="27" hidden="1" customHeight="1">
      <c r="A295" s="583"/>
      <c r="B295" s="583">
        <v>1009</v>
      </c>
      <c r="C295" s="581">
        <v>17</v>
      </c>
      <c r="D295" s="582" t="s">
        <v>854</v>
      </c>
      <c r="E295" s="1138" t="s">
        <v>1098</v>
      </c>
      <c r="F295" s="1830">
        <v>-56991892</v>
      </c>
      <c r="G295" s="1828">
        <v>55253600</v>
      </c>
      <c r="H295" s="1830">
        <v>1738292</v>
      </c>
      <c r="I295" s="599"/>
      <c r="J295" s="2065"/>
      <c r="K295" s="599"/>
      <c r="L295" s="1918"/>
      <c r="M295" s="2080"/>
      <c r="N295" s="599"/>
      <c r="O295" s="1097"/>
      <c r="P295" s="1097"/>
      <c r="Q295" s="599"/>
      <c r="R295" s="599"/>
      <c r="S295" s="599"/>
      <c r="T295" s="1096">
        <f t="shared" si="36"/>
        <v>0</v>
      </c>
      <c r="U295" s="599">
        <v>0</v>
      </c>
      <c r="V295" s="1407">
        <f t="shared" si="35"/>
        <v>0</v>
      </c>
      <c r="W295" s="599">
        <f t="shared" si="37"/>
        <v>0</v>
      </c>
      <c r="X295" s="620"/>
      <c r="Y295" s="621"/>
      <c r="Z295" s="1096">
        <f t="shared" si="33"/>
        <v>0</v>
      </c>
      <c r="AA295" s="882">
        <f t="shared" si="34"/>
        <v>0</v>
      </c>
    </row>
    <row r="296" spans="1:27" ht="27" hidden="1" customHeight="1">
      <c r="A296" s="583"/>
      <c r="B296" s="583">
        <v>1018</v>
      </c>
      <c r="C296" s="581">
        <v>17</v>
      </c>
      <c r="D296" s="582" t="s">
        <v>2123</v>
      </c>
      <c r="E296" s="1138" t="s">
        <v>2121</v>
      </c>
      <c r="F296" s="1826">
        <v>-120000</v>
      </c>
      <c r="G296" s="1826"/>
      <c r="H296" s="599"/>
      <c r="I296" s="599"/>
      <c r="J296" s="2065"/>
      <c r="K296" s="599"/>
      <c r="L296" s="599"/>
      <c r="M296" s="2065"/>
      <c r="N296" s="599"/>
      <c r="O296" s="1097"/>
      <c r="P296" s="1097"/>
      <c r="Q296" s="599"/>
      <c r="R296" s="599"/>
      <c r="S296" s="599"/>
      <c r="T296" s="1096">
        <f t="shared" si="36"/>
        <v>-120000</v>
      </c>
      <c r="U296" s="599">
        <v>0</v>
      </c>
      <c r="V296" s="1407">
        <f t="shared" si="35"/>
        <v>0</v>
      </c>
      <c r="W296" s="599">
        <f t="shared" si="37"/>
        <v>0</v>
      </c>
      <c r="X296" s="620"/>
      <c r="Y296" s="621"/>
      <c r="Z296" s="1096">
        <f t="shared" si="33"/>
        <v>-120000</v>
      </c>
      <c r="AA296" s="882">
        <f t="shared" si="34"/>
        <v>0</v>
      </c>
    </row>
    <row r="297" spans="1:27" ht="27" hidden="1" customHeight="1">
      <c r="A297" s="583"/>
      <c r="B297" s="583">
        <v>1009</v>
      </c>
      <c r="C297" s="581">
        <v>17</v>
      </c>
      <c r="D297" s="582" t="s">
        <v>1100</v>
      </c>
      <c r="E297" s="1138" t="s">
        <v>1084</v>
      </c>
      <c r="F297" s="1830"/>
      <c r="G297" s="1826"/>
      <c r="H297" s="599"/>
      <c r="I297" s="2130"/>
      <c r="J297" s="2065"/>
      <c r="K297" s="599"/>
      <c r="L297" s="599"/>
      <c r="M297" s="2065"/>
      <c r="N297" s="599"/>
      <c r="O297" s="1097"/>
      <c r="P297" s="1097"/>
      <c r="Q297" s="599"/>
      <c r="R297" s="599"/>
      <c r="S297" s="599"/>
      <c r="T297" s="1096">
        <f t="shared" si="36"/>
        <v>0</v>
      </c>
      <c r="U297" s="599">
        <v>0</v>
      </c>
      <c r="V297" s="1407">
        <f t="shared" si="35"/>
        <v>0</v>
      </c>
      <c r="W297" s="599">
        <f t="shared" si="37"/>
        <v>0</v>
      </c>
      <c r="X297" s="620"/>
      <c r="Y297" s="621"/>
      <c r="Z297" s="1096">
        <f t="shared" ref="Z297:Z328" si="38">T297+Y297-X297</f>
        <v>0</v>
      </c>
      <c r="AA297" s="882">
        <f t="shared" ref="AA297:AA328" si="39">ROUND((Z297/1000000),0)</f>
        <v>0</v>
      </c>
    </row>
    <row r="298" spans="1:27" ht="27" hidden="1" customHeight="1">
      <c r="A298" s="583"/>
      <c r="B298" s="583">
        <v>1009</v>
      </c>
      <c r="C298" s="581">
        <v>17</v>
      </c>
      <c r="D298" s="582" t="s">
        <v>1101</v>
      </c>
      <c r="E298" s="1138" t="s">
        <v>1103</v>
      </c>
      <c r="F298" s="1830">
        <v>-2325394521</v>
      </c>
      <c r="G298" s="1826">
        <v>1608394521</v>
      </c>
      <c r="H298" s="2128">
        <v>303000000</v>
      </c>
      <c r="I298" s="599">
        <v>414000000</v>
      </c>
      <c r="J298" s="2065"/>
      <c r="K298" s="599"/>
      <c r="L298" s="599"/>
      <c r="M298" s="2065"/>
      <c r="N298" s="599"/>
      <c r="O298" s="1097"/>
      <c r="P298" s="1097"/>
      <c r="Q298" s="599"/>
      <c r="R298" s="599"/>
      <c r="S298" s="599"/>
      <c r="T298" s="1096">
        <f t="shared" si="36"/>
        <v>0</v>
      </c>
      <c r="U298" s="599">
        <v>-15200000</v>
      </c>
      <c r="V298" s="1407">
        <f t="shared" si="35"/>
        <v>0</v>
      </c>
      <c r="W298" s="599">
        <f t="shared" si="37"/>
        <v>-15</v>
      </c>
      <c r="X298" s="620"/>
      <c r="Y298" s="621"/>
      <c r="Z298" s="1096">
        <f t="shared" si="38"/>
        <v>0</v>
      </c>
      <c r="AA298" s="882">
        <f t="shared" si="39"/>
        <v>0</v>
      </c>
    </row>
    <row r="299" spans="1:27" ht="27" hidden="1" customHeight="1">
      <c r="A299" s="583"/>
      <c r="B299" s="583">
        <v>1009</v>
      </c>
      <c r="C299" s="581">
        <v>17</v>
      </c>
      <c r="D299" s="582" t="s">
        <v>44</v>
      </c>
      <c r="E299" s="1138" t="s">
        <v>898</v>
      </c>
      <c r="F299" s="1826"/>
      <c r="G299" s="1826"/>
      <c r="H299" s="599"/>
      <c r="I299" s="2096"/>
      <c r="J299" s="2065"/>
      <c r="K299" s="599"/>
      <c r="L299" s="599"/>
      <c r="M299" s="2065"/>
      <c r="N299" s="599"/>
      <c r="O299" s="1097"/>
      <c r="P299" s="1097"/>
      <c r="Q299" s="599"/>
      <c r="R299" s="599"/>
      <c r="S299" s="599"/>
      <c r="T299" s="1096">
        <f t="shared" si="36"/>
        <v>0</v>
      </c>
      <c r="U299" s="599">
        <v>0</v>
      </c>
      <c r="V299" s="1407">
        <f t="shared" si="35"/>
        <v>0</v>
      </c>
      <c r="W299" s="599">
        <f t="shared" si="37"/>
        <v>0</v>
      </c>
      <c r="X299" s="620"/>
      <c r="Y299" s="621"/>
      <c r="Z299" s="1096">
        <f t="shared" si="38"/>
        <v>0</v>
      </c>
      <c r="AA299" s="882">
        <f t="shared" si="39"/>
        <v>0</v>
      </c>
    </row>
    <row r="300" spans="1:27" ht="27" hidden="1" customHeight="1">
      <c r="A300" s="583"/>
      <c r="B300" s="583">
        <v>1009</v>
      </c>
      <c r="C300" s="581">
        <v>17</v>
      </c>
      <c r="D300" s="582" t="s">
        <v>950</v>
      </c>
      <c r="E300" s="1138" t="s">
        <v>951</v>
      </c>
      <c r="F300" s="1830">
        <v>-15756114066902</v>
      </c>
      <c r="G300" s="1828">
        <v>11317762150434</v>
      </c>
      <c r="H300" s="2128">
        <v>3752023719575</v>
      </c>
      <c r="I300" s="2065">
        <v>686328196893</v>
      </c>
      <c r="J300" s="2080"/>
      <c r="K300" s="599"/>
      <c r="L300" s="1918"/>
      <c r="M300" s="2080"/>
      <c r="N300" s="599"/>
      <c r="O300" s="1097"/>
      <c r="P300" s="1097"/>
      <c r="Q300" s="599"/>
      <c r="R300" s="599"/>
      <c r="S300" s="599"/>
      <c r="T300" s="1096">
        <f t="shared" si="36"/>
        <v>0</v>
      </c>
      <c r="U300" s="599">
        <v>0</v>
      </c>
      <c r="V300" s="1407">
        <f t="shared" si="35"/>
        <v>0</v>
      </c>
      <c r="W300" s="599">
        <f t="shared" si="37"/>
        <v>0</v>
      </c>
      <c r="X300" s="620"/>
      <c r="Y300" s="621"/>
      <c r="Z300" s="1096">
        <f t="shared" si="38"/>
        <v>0</v>
      </c>
      <c r="AA300" s="882">
        <f t="shared" si="39"/>
        <v>0</v>
      </c>
    </row>
    <row r="301" spans="1:27" ht="27" hidden="1" customHeight="1">
      <c r="A301" s="583" t="s">
        <v>1767</v>
      </c>
      <c r="B301" s="583">
        <v>1009</v>
      </c>
      <c r="C301" s="581">
        <v>17</v>
      </c>
      <c r="D301" s="1825" t="s">
        <v>47</v>
      </c>
      <c r="E301" s="1138" t="s">
        <v>1493</v>
      </c>
      <c r="F301" s="1830">
        <v>-64524891407</v>
      </c>
      <c r="G301" s="1826"/>
      <c r="H301" s="599"/>
      <c r="I301" s="2065"/>
      <c r="J301" s="2065"/>
      <c r="K301" s="599"/>
      <c r="L301" s="1918"/>
      <c r="M301" s="2080"/>
      <c r="N301" s="599"/>
      <c r="O301" s="1097"/>
      <c r="P301" s="1097"/>
      <c r="Q301" s="599"/>
      <c r="R301" s="599"/>
      <c r="S301" s="599"/>
      <c r="T301" s="1981">
        <f t="shared" si="36"/>
        <v>-64524891407</v>
      </c>
      <c r="U301" s="599">
        <v>-16330636562</v>
      </c>
      <c r="V301" s="1407">
        <f t="shared" si="35"/>
        <v>-64525</v>
      </c>
      <c r="W301" s="599">
        <f t="shared" si="37"/>
        <v>-16331</v>
      </c>
      <c r="X301" s="620"/>
      <c r="Y301" s="621"/>
      <c r="Z301" s="1096">
        <f t="shared" si="38"/>
        <v>-64524891407</v>
      </c>
      <c r="AA301" s="882">
        <f t="shared" si="39"/>
        <v>-64525</v>
      </c>
    </row>
    <row r="302" spans="1:27" ht="27" hidden="1" customHeight="1">
      <c r="A302" s="583"/>
      <c r="B302" s="583">
        <v>401</v>
      </c>
      <c r="C302" s="581">
        <v>11</v>
      </c>
      <c r="D302" s="582" t="s">
        <v>564</v>
      </c>
      <c r="E302" s="1138" t="s">
        <v>704</v>
      </c>
      <c r="F302" s="1829">
        <v>58502000</v>
      </c>
      <c r="G302" s="1826"/>
      <c r="H302" s="599"/>
      <c r="I302" s="599"/>
      <c r="J302" s="2065"/>
      <c r="K302" s="599"/>
      <c r="L302" s="599"/>
      <c r="M302" s="2065"/>
      <c r="N302" s="599"/>
      <c r="O302" s="1097"/>
      <c r="P302" s="1097"/>
      <c r="Q302" s="599"/>
      <c r="R302" s="599"/>
      <c r="S302" s="599"/>
      <c r="T302" s="1981">
        <f t="shared" si="36"/>
        <v>58502000</v>
      </c>
      <c r="U302" s="599">
        <v>58502000</v>
      </c>
      <c r="V302" s="1407">
        <f t="shared" si="35"/>
        <v>59</v>
      </c>
      <c r="W302" s="599">
        <f t="shared" si="37"/>
        <v>59</v>
      </c>
      <c r="X302" s="620"/>
      <c r="Y302" s="621"/>
      <c r="Z302" s="1096">
        <f t="shared" si="38"/>
        <v>58502000</v>
      </c>
      <c r="AA302" s="882">
        <f t="shared" si="39"/>
        <v>59</v>
      </c>
    </row>
    <row r="303" spans="1:27" ht="27" hidden="1" customHeight="1">
      <c r="A303" s="583"/>
      <c r="B303" s="583">
        <v>1009</v>
      </c>
      <c r="C303" s="581">
        <v>17</v>
      </c>
      <c r="D303" s="1825" t="s">
        <v>47</v>
      </c>
      <c r="E303" s="1138" t="s">
        <v>555</v>
      </c>
      <c r="F303" s="1826"/>
      <c r="G303" s="1826"/>
      <c r="H303" s="599"/>
      <c r="I303" s="599"/>
      <c r="J303" s="2065"/>
      <c r="K303" s="599"/>
      <c r="L303" s="599"/>
      <c r="M303" s="2065"/>
      <c r="N303" s="599"/>
      <c r="O303" s="1097"/>
      <c r="P303" s="1097"/>
      <c r="Q303" s="599"/>
      <c r="R303" s="599"/>
      <c r="S303" s="599"/>
      <c r="T303" s="1096">
        <f t="shared" si="36"/>
        <v>0</v>
      </c>
      <c r="U303" s="599">
        <v>0</v>
      </c>
      <c r="V303" s="1407">
        <f t="shared" si="35"/>
        <v>0</v>
      </c>
      <c r="W303" s="599">
        <f t="shared" si="37"/>
        <v>0</v>
      </c>
      <c r="X303" s="620"/>
      <c r="Y303" s="621"/>
      <c r="Z303" s="1096">
        <f t="shared" si="38"/>
        <v>0</v>
      </c>
      <c r="AA303" s="882">
        <f t="shared" si="39"/>
        <v>0</v>
      </c>
    </row>
    <row r="304" spans="1:27" ht="27" hidden="1" customHeight="1">
      <c r="A304" s="583"/>
      <c r="B304" s="583">
        <v>1009</v>
      </c>
      <c r="C304" s="581">
        <v>17</v>
      </c>
      <c r="D304" s="582" t="s">
        <v>955</v>
      </c>
      <c r="E304" s="1138" t="s">
        <v>956</v>
      </c>
      <c r="F304" s="1830">
        <v>-11468031718</v>
      </c>
      <c r="G304" s="1828">
        <v>8568523973</v>
      </c>
      <c r="H304" s="2128">
        <v>2690814745</v>
      </c>
      <c r="I304" s="599">
        <v>208693000</v>
      </c>
      <c r="J304" s="2065"/>
      <c r="K304" s="599"/>
      <c r="L304" s="1918"/>
      <c r="M304" s="2080"/>
      <c r="N304" s="599"/>
      <c r="O304" s="1097"/>
      <c r="P304" s="1097"/>
      <c r="Q304" s="599"/>
      <c r="R304" s="599"/>
      <c r="S304" s="599"/>
      <c r="T304" s="1096">
        <f t="shared" si="36"/>
        <v>0</v>
      </c>
      <c r="U304" s="599">
        <v>0</v>
      </c>
      <c r="V304" s="1407">
        <f t="shared" si="35"/>
        <v>0</v>
      </c>
      <c r="W304" s="599">
        <f t="shared" si="37"/>
        <v>0</v>
      </c>
      <c r="X304" s="620"/>
      <c r="Y304" s="621"/>
      <c r="Z304" s="1096">
        <f t="shared" si="38"/>
        <v>0</v>
      </c>
      <c r="AA304" s="882">
        <f t="shared" si="39"/>
        <v>0</v>
      </c>
    </row>
    <row r="305" spans="1:27" ht="27" hidden="1" customHeight="1">
      <c r="A305" s="583"/>
      <c r="B305" s="583">
        <v>1009</v>
      </c>
      <c r="C305" s="581">
        <v>17</v>
      </c>
      <c r="D305" s="582" t="s">
        <v>1104</v>
      </c>
      <c r="E305" s="1138" t="s">
        <v>1105</v>
      </c>
      <c r="F305" s="1830">
        <v>-1235652</v>
      </c>
      <c r="G305" s="1828">
        <v>1235652</v>
      </c>
      <c r="H305" s="599"/>
      <c r="I305" s="599"/>
      <c r="J305" s="2065"/>
      <c r="K305" s="599"/>
      <c r="L305" s="599"/>
      <c r="M305" s="2065"/>
      <c r="N305" s="599"/>
      <c r="O305" s="1097"/>
      <c r="P305" s="1097"/>
      <c r="Q305" s="599"/>
      <c r="R305" s="599"/>
      <c r="S305" s="599"/>
      <c r="T305" s="1096">
        <f t="shared" si="36"/>
        <v>0</v>
      </c>
      <c r="U305" s="599">
        <v>0</v>
      </c>
      <c r="V305" s="1407">
        <f t="shared" si="35"/>
        <v>0</v>
      </c>
      <c r="W305" s="599">
        <f t="shared" si="37"/>
        <v>0</v>
      </c>
      <c r="X305" s="620"/>
      <c r="Y305" s="621"/>
      <c r="Z305" s="1096">
        <f t="shared" si="38"/>
        <v>0</v>
      </c>
      <c r="AA305" s="882">
        <f t="shared" si="39"/>
        <v>0</v>
      </c>
    </row>
    <row r="306" spans="1:27" ht="27" hidden="1" customHeight="1">
      <c r="A306" s="583"/>
      <c r="B306" s="583">
        <v>1009</v>
      </c>
      <c r="C306" s="581">
        <v>17</v>
      </c>
      <c r="D306" s="582" t="s">
        <v>56</v>
      </c>
      <c r="E306" s="1138" t="s">
        <v>597</v>
      </c>
      <c r="F306" s="1826"/>
      <c r="G306" s="1826"/>
      <c r="H306" s="599"/>
      <c r="I306" s="599"/>
      <c r="J306" s="2065"/>
      <c r="K306" s="599"/>
      <c r="L306" s="599"/>
      <c r="M306" s="2065"/>
      <c r="N306" s="599"/>
      <c r="O306" s="1097"/>
      <c r="P306" s="1097"/>
      <c r="Q306" s="599"/>
      <c r="R306" s="599"/>
      <c r="S306" s="599"/>
      <c r="T306" s="1096">
        <f t="shared" si="36"/>
        <v>0</v>
      </c>
      <c r="U306" s="599">
        <v>0</v>
      </c>
      <c r="V306" s="1407">
        <f t="shared" si="35"/>
        <v>0</v>
      </c>
      <c r="W306" s="599">
        <f t="shared" si="37"/>
        <v>0</v>
      </c>
      <c r="X306" s="620"/>
      <c r="Y306" s="621"/>
      <c r="Z306" s="1096">
        <f t="shared" si="38"/>
        <v>0</v>
      </c>
      <c r="AA306" s="882">
        <f t="shared" si="39"/>
        <v>0</v>
      </c>
    </row>
    <row r="307" spans="1:27" ht="27" hidden="1" customHeight="1">
      <c r="A307" s="583"/>
      <c r="B307" s="583">
        <v>1008</v>
      </c>
      <c r="C307" s="581">
        <v>17</v>
      </c>
      <c r="D307" s="582" t="s">
        <v>511</v>
      </c>
      <c r="E307" s="1138" t="s">
        <v>512</v>
      </c>
      <c r="F307" s="1826"/>
      <c r="G307" s="1826"/>
      <c r="H307" s="599"/>
      <c r="I307" s="599"/>
      <c r="J307" s="2066"/>
      <c r="K307" s="599"/>
      <c r="L307" s="599"/>
      <c r="M307" s="2065"/>
      <c r="N307" s="599"/>
      <c r="O307" s="1097"/>
      <c r="P307" s="1097"/>
      <c r="Q307" s="599"/>
      <c r="R307" s="599"/>
      <c r="S307" s="599"/>
      <c r="T307" s="1096">
        <f t="shared" si="36"/>
        <v>0</v>
      </c>
      <c r="U307" s="599">
        <v>0</v>
      </c>
      <c r="V307" s="1407">
        <f t="shared" si="35"/>
        <v>0</v>
      </c>
      <c r="W307" s="599">
        <f t="shared" si="37"/>
        <v>0</v>
      </c>
      <c r="X307" s="620"/>
      <c r="Y307" s="621"/>
      <c r="Z307" s="1096">
        <f t="shared" si="38"/>
        <v>0</v>
      </c>
      <c r="AA307" s="882">
        <f t="shared" si="39"/>
        <v>0</v>
      </c>
    </row>
    <row r="308" spans="1:27" ht="27" hidden="1" customHeight="1">
      <c r="A308" s="583"/>
      <c r="B308" s="583">
        <v>401</v>
      </c>
      <c r="C308" s="581">
        <v>11</v>
      </c>
      <c r="D308" s="582" t="s">
        <v>184</v>
      </c>
      <c r="E308" s="1138" t="s">
        <v>832</v>
      </c>
      <c r="F308" s="1826"/>
      <c r="G308" s="1826"/>
      <c r="H308" s="599"/>
      <c r="I308" s="599"/>
      <c r="J308" s="2065"/>
      <c r="K308" s="599"/>
      <c r="L308" s="599"/>
      <c r="M308" s="2065"/>
      <c r="N308" s="599"/>
      <c r="O308" s="1097"/>
      <c r="P308" s="1097"/>
      <c r="Q308" s="599"/>
      <c r="R308" s="599"/>
      <c r="S308" s="599"/>
      <c r="T308" s="1096">
        <f t="shared" si="36"/>
        <v>0</v>
      </c>
      <c r="U308" s="599">
        <v>0</v>
      </c>
      <c r="V308" s="1407">
        <f t="shared" si="35"/>
        <v>0</v>
      </c>
      <c r="W308" s="599">
        <f t="shared" si="37"/>
        <v>0</v>
      </c>
      <c r="X308" s="620"/>
      <c r="Y308" s="621"/>
      <c r="Z308" s="1096">
        <f t="shared" si="38"/>
        <v>0</v>
      </c>
      <c r="AA308" s="882">
        <f t="shared" si="39"/>
        <v>0</v>
      </c>
    </row>
    <row r="309" spans="1:27" ht="27" hidden="1" customHeight="1">
      <c r="A309" s="583"/>
      <c r="B309" s="583">
        <v>401</v>
      </c>
      <c r="C309" s="581">
        <v>11</v>
      </c>
      <c r="D309" s="582" t="s">
        <v>479</v>
      </c>
      <c r="E309" s="1138" t="s">
        <v>701</v>
      </c>
      <c r="F309" s="1829">
        <v>217500000</v>
      </c>
      <c r="G309" s="1826"/>
      <c r="H309" s="599"/>
      <c r="I309" s="599"/>
      <c r="J309" s="2065"/>
      <c r="K309" s="599"/>
      <c r="L309" s="599"/>
      <c r="M309" s="2065"/>
      <c r="N309" s="599"/>
      <c r="O309" s="1097"/>
      <c r="P309" s="1097"/>
      <c r="Q309" s="599"/>
      <c r="R309" s="599"/>
      <c r="S309" s="599"/>
      <c r="T309" s="1981">
        <f t="shared" si="36"/>
        <v>217500000</v>
      </c>
      <c r="U309" s="599">
        <v>307500000</v>
      </c>
      <c r="V309" s="1407">
        <f>ROUND((T309/1000000),0)</f>
        <v>218</v>
      </c>
      <c r="W309" s="599">
        <f t="shared" si="37"/>
        <v>308</v>
      </c>
      <c r="X309" s="620"/>
      <c r="Y309" s="621"/>
      <c r="Z309" s="1096">
        <f t="shared" si="38"/>
        <v>217500000</v>
      </c>
      <c r="AA309" s="882">
        <f t="shared" si="39"/>
        <v>218</v>
      </c>
    </row>
    <row r="310" spans="1:27" ht="27" hidden="1" customHeight="1">
      <c r="A310" s="583"/>
      <c r="B310" s="583">
        <v>1008</v>
      </c>
      <c r="C310" s="581">
        <v>17</v>
      </c>
      <c r="D310" s="582">
        <v>90006721</v>
      </c>
      <c r="E310" s="1138" t="s">
        <v>1826</v>
      </c>
      <c r="F310" s="1826"/>
      <c r="G310" s="1826"/>
      <c r="H310" s="599"/>
      <c r="I310" s="599"/>
      <c r="J310" s="2065"/>
      <c r="K310" s="599"/>
      <c r="L310" s="2096"/>
      <c r="M310" s="2096"/>
      <c r="N310" s="599"/>
      <c r="O310" s="2079"/>
      <c r="P310" s="1097"/>
      <c r="Q310" s="599"/>
      <c r="R310" s="599"/>
      <c r="S310" s="599"/>
      <c r="T310" s="1096">
        <f t="shared" si="36"/>
        <v>0</v>
      </c>
      <c r="U310" s="599">
        <v>0</v>
      </c>
      <c r="V310" s="1407">
        <f t="shared" ref="V310:V349" si="40">ROUND((T310/1000000),0)</f>
        <v>0</v>
      </c>
      <c r="W310" s="599">
        <f t="shared" si="37"/>
        <v>0</v>
      </c>
      <c r="X310" s="620"/>
      <c r="Y310" s="621"/>
      <c r="Z310" s="1096">
        <f t="shared" si="38"/>
        <v>0</v>
      </c>
      <c r="AA310" s="882">
        <f t="shared" si="39"/>
        <v>0</v>
      </c>
    </row>
    <row r="311" spans="1:27" ht="27" hidden="1" customHeight="1">
      <c r="A311" s="583"/>
      <c r="B311" s="583">
        <v>1008</v>
      </c>
      <c r="C311" s="581">
        <v>17</v>
      </c>
      <c r="D311" s="1825" t="s">
        <v>513</v>
      </c>
      <c r="E311" s="1138" t="s">
        <v>279</v>
      </c>
      <c r="F311" s="1830">
        <v>-279829413492</v>
      </c>
      <c r="G311" s="1833">
        <v>-4739847182</v>
      </c>
      <c r="H311" s="1833"/>
      <c r="I311" s="599">
        <v>-21436271</v>
      </c>
      <c r="J311" s="2066"/>
      <c r="K311" s="599"/>
      <c r="L311" s="599"/>
      <c r="M311" s="2065"/>
      <c r="N311" s="599"/>
      <c r="O311" s="1097"/>
      <c r="P311" s="1097"/>
      <c r="Q311" s="599"/>
      <c r="R311" s="599"/>
      <c r="S311" s="599"/>
      <c r="T311" s="1096">
        <f t="shared" si="36"/>
        <v>-284590696945</v>
      </c>
      <c r="U311" s="599">
        <v>-235111477379</v>
      </c>
      <c r="V311" s="1407">
        <f t="shared" si="40"/>
        <v>-284591</v>
      </c>
      <c r="W311" s="599">
        <f t="shared" si="37"/>
        <v>-235111</v>
      </c>
      <c r="X311" s="620"/>
      <c r="Y311" s="621"/>
      <c r="Z311" s="1096">
        <f t="shared" si="38"/>
        <v>-284590696945</v>
      </c>
      <c r="AA311" s="882">
        <f t="shared" si="39"/>
        <v>-284591</v>
      </c>
    </row>
    <row r="312" spans="1:27" ht="27" hidden="1" customHeight="1">
      <c r="A312" s="583">
        <v>3214</v>
      </c>
      <c r="B312" s="583">
        <v>1008</v>
      </c>
      <c r="C312" s="581">
        <v>17</v>
      </c>
      <c r="D312" s="1825" t="s">
        <v>513</v>
      </c>
      <c r="E312" s="1138" t="s">
        <v>1465</v>
      </c>
      <c r="F312" s="1826"/>
      <c r="G312" s="1826"/>
      <c r="H312" s="599"/>
      <c r="I312" s="599"/>
      <c r="J312" s="2066"/>
      <c r="K312" s="599">
        <v>-1939524140814</v>
      </c>
      <c r="L312" s="1918"/>
      <c r="M312" s="2080"/>
      <c r="N312" s="599"/>
      <c r="O312" s="1097"/>
      <c r="P312" s="1097"/>
      <c r="Q312" s="599"/>
      <c r="R312" s="599"/>
      <c r="S312" s="599"/>
      <c r="T312" s="1096">
        <f t="shared" si="36"/>
        <v>-1939524140814</v>
      </c>
      <c r="U312" s="599">
        <v>-610260382035</v>
      </c>
      <c r="V312" s="1407">
        <f t="shared" si="40"/>
        <v>-1939524</v>
      </c>
      <c r="W312" s="599">
        <f t="shared" si="37"/>
        <v>-610260</v>
      </c>
      <c r="X312" s="620"/>
      <c r="Y312" s="621"/>
      <c r="Z312" s="1096">
        <f t="shared" si="38"/>
        <v>-1939524140814</v>
      </c>
      <c r="AA312" s="882">
        <f t="shared" si="39"/>
        <v>-1939524</v>
      </c>
    </row>
    <row r="313" spans="1:27" ht="27" hidden="1" customHeight="1">
      <c r="A313" s="583"/>
      <c r="B313" s="583">
        <v>1019</v>
      </c>
      <c r="C313" s="581">
        <v>17</v>
      </c>
      <c r="D313" s="1825" t="s">
        <v>543</v>
      </c>
      <c r="E313" s="1138" t="s">
        <v>544</v>
      </c>
      <c r="F313" s="1830">
        <v>-561775974951</v>
      </c>
      <c r="G313" s="1833">
        <v>-9452071276</v>
      </c>
      <c r="H313" s="1833">
        <v>-1</v>
      </c>
      <c r="I313" s="2133">
        <v>-13421335036</v>
      </c>
      <c r="J313" s="2066"/>
      <c r="K313" s="2096"/>
      <c r="L313" s="599"/>
      <c r="M313" s="2065"/>
      <c r="N313" s="599"/>
      <c r="O313" s="1097"/>
      <c r="P313" s="1097"/>
      <c r="Q313" s="599"/>
      <c r="R313" s="599"/>
      <c r="S313" s="599"/>
      <c r="T313" s="1096">
        <f t="shared" si="36"/>
        <v>-584649381264</v>
      </c>
      <c r="U313" s="599">
        <v>-349529701880</v>
      </c>
      <c r="V313" s="1407">
        <f t="shared" si="40"/>
        <v>-584649</v>
      </c>
      <c r="W313" s="599">
        <f t="shared" si="37"/>
        <v>-349530</v>
      </c>
      <c r="X313" s="620"/>
      <c r="Y313" s="621"/>
      <c r="Z313" s="1096">
        <f t="shared" si="38"/>
        <v>-584649381264</v>
      </c>
      <c r="AA313" s="882">
        <f t="shared" si="39"/>
        <v>-584649</v>
      </c>
    </row>
    <row r="314" spans="1:27" ht="27" hidden="1" customHeight="1">
      <c r="A314" s="583">
        <v>3214</v>
      </c>
      <c r="B314" s="583">
        <v>1007</v>
      </c>
      <c r="C314" s="581">
        <v>17</v>
      </c>
      <c r="D314" s="1825" t="s">
        <v>543</v>
      </c>
      <c r="E314" s="1138" t="s">
        <v>1464</v>
      </c>
      <c r="F314" s="1826">
        <v>0</v>
      </c>
      <c r="G314" s="1826"/>
      <c r="H314" s="599"/>
      <c r="I314" s="599"/>
      <c r="J314" s="2066"/>
      <c r="K314" s="599">
        <f>-1838084671292-182326335865</f>
        <v>-2020411007157</v>
      </c>
      <c r="L314" s="1918"/>
      <c r="M314" s="2080"/>
      <c r="N314" s="599"/>
      <c r="O314" s="1918"/>
      <c r="P314" s="1097"/>
      <c r="Q314" s="599"/>
      <c r="R314" s="599"/>
      <c r="S314" s="599"/>
      <c r="T314" s="1096">
        <f t="shared" si="36"/>
        <v>-2020411007157</v>
      </c>
      <c r="U314" s="599">
        <v>-7046614882890</v>
      </c>
      <c r="V314" s="1407">
        <f t="shared" si="40"/>
        <v>-2020411</v>
      </c>
      <c r="W314" s="599">
        <f t="shared" si="37"/>
        <v>-7046615</v>
      </c>
      <c r="X314" s="620"/>
      <c r="Y314" s="621"/>
      <c r="Z314" s="1096">
        <f t="shared" si="38"/>
        <v>-2020411007157</v>
      </c>
      <c r="AA314" s="882">
        <f t="shared" si="39"/>
        <v>-2020411</v>
      </c>
    </row>
    <row r="315" spans="1:27" ht="27" hidden="1" customHeight="1">
      <c r="A315" s="583"/>
      <c r="B315" s="583">
        <v>1019</v>
      </c>
      <c r="C315" s="581">
        <v>17</v>
      </c>
      <c r="D315" s="582" t="s">
        <v>545</v>
      </c>
      <c r="E315" s="1138" t="s">
        <v>510</v>
      </c>
      <c r="F315" s="1830"/>
      <c r="G315" s="1833"/>
      <c r="H315" s="2129"/>
      <c r="I315" s="599"/>
      <c r="J315" s="2066"/>
      <c r="K315" s="599"/>
      <c r="L315" s="599"/>
      <c r="M315" s="2065"/>
      <c r="N315" s="599"/>
      <c r="O315" s="1097"/>
      <c r="P315" s="1097"/>
      <c r="Q315" s="599"/>
      <c r="R315" s="599"/>
      <c r="S315" s="599"/>
      <c r="T315" s="1096">
        <f t="shared" si="36"/>
        <v>0</v>
      </c>
      <c r="U315" s="599">
        <v>0</v>
      </c>
      <c r="V315" s="1407">
        <f t="shared" si="40"/>
        <v>0</v>
      </c>
      <c r="W315" s="599">
        <f t="shared" si="37"/>
        <v>0</v>
      </c>
      <c r="X315" s="620"/>
      <c r="Y315" s="621"/>
      <c r="Z315" s="1096">
        <f t="shared" si="38"/>
        <v>0</v>
      </c>
      <c r="AA315" s="882">
        <f t="shared" si="39"/>
        <v>0</v>
      </c>
    </row>
    <row r="316" spans="1:27" ht="27" hidden="1" customHeight="1">
      <c r="A316" s="583">
        <v>3214</v>
      </c>
      <c r="B316" s="583">
        <v>1007</v>
      </c>
      <c r="C316" s="581">
        <v>17</v>
      </c>
      <c r="D316" s="582" t="s">
        <v>1764</v>
      </c>
      <c r="E316" s="1138" t="s">
        <v>1765</v>
      </c>
      <c r="F316" s="1826"/>
      <c r="G316" s="1826"/>
      <c r="H316" s="599"/>
      <c r="I316" s="2096"/>
      <c r="J316" s="2066"/>
      <c r="K316" s="599">
        <f>-325137090494-184751126922</f>
        <v>-509888217416</v>
      </c>
      <c r="L316" s="1918"/>
      <c r="M316" s="2080"/>
      <c r="N316" s="599"/>
      <c r="O316" s="1097"/>
      <c r="P316" s="1097"/>
      <c r="Q316" s="599"/>
      <c r="R316" s="599"/>
      <c r="S316" s="599"/>
      <c r="T316" s="1096">
        <f t="shared" si="36"/>
        <v>-509888217416</v>
      </c>
      <c r="U316" s="599">
        <v>0</v>
      </c>
      <c r="V316" s="1407">
        <f t="shared" si="40"/>
        <v>-509888</v>
      </c>
      <c r="W316" s="599">
        <f t="shared" si="37"/>
        <v>0</v>
      </c>
      <c r="X316" s="620"/>
      <c r="Y316" s="621"/>
      <c r="Z316" s="1096">
        <f t="shared" si="38"/>
        <v>-509888217416</v>
      </c>
      <c r="AA316" s="882">
        <f t="shared" si="39"/>
        <v>-509888</v>
      </c>
    </row>
    <row r="317" spans="1:27" ht="27" hidden="1" customHeight="1">
      <c r="A317" s="583"/>
      <c r="B317" s="583">
        <v>501</v>
      </c>
      <c r="C317" s="581">
        <v>13</v>
      </c>
      <c r="D317" s="582" t="s">
        <v>449</v>
      </c>
      <c r="E317" s="1138" t="s">
        <v>1650</v>
      </c>
      <c r="F317" s="1826"/>
      <c r="G317" s="1826"/>
      <c r="H317" s="599"/>
      <c r="I317" s="599"/>
      <c r="J317" s="2065"/>
      <c r="K317" s="599"/>
      <c r="L317" s="599"/>
      <c r="M317" s="2065"/>
      <c r="N317" s="599"/>
      <c r="O317" s="1097"/>
      <c r="P317" s="1097"/>
      <c r="Q317" s="599"/>
      <c r="R317" s="599"/>
      <c r="S317" s="599"/>
      <c r="T317" s="1096">
        <f t="shared" si="36"/>
        <v>0</v>
      </c>
      <c r="U317" s="599">
        <v>0</v>
      </c>
      <c r="V317" s="1407">
        <f t="shared" si="40"/>
        <v>0</v>
      </c>
      <c r="W317" s="599">
        <f t="shared" si="37"/>
        <v>0</v>
      </c>
      <c r="X317" s="620"/>
      <c r="Y317" s="621"/>
      <c r="Z317" s="1096">
        <f t="shared" si="38"/>
        <v>0</v>
      </c>
      <c r="AA317" s="882">
        <f t="shared" si="39"/>
        <v>0</v>
      </c>
    </row>
    <row r="318" spans="1:27" ht="27" hidden="1" customHeight="1">
      <c r="A318" s="583"/>
      <c r="B318" s="583">
        <v>1019</v>
      </c>
      <c r="C318" s="581">
        <v>17</v>
      </c>
      <c r="D318" s="1825" t="s">
        <v>499</v>
      </c>
      <c r="E318" s="1138" t="s">
        <v>694</v>
      </c>
      <c r="F318" s="1830">
        <v>-14528583013</v>
      </c>
      <c r="G318" s="1826"/>
      <c r="H318" s="599"/>
      <c r="I318" s="599"/>
      <c r="J318" s="2066"/>
      <c r="K318" s="599"/>
      <c r="L318" s="599"/>
      <c r="M318" s="2065"/>
      <c r="N318" s="599"/>
      <c r="O318" s="1097"/>
      <c r="P318" s="1097"/>
      <c r="Q318" s="599"/>
      <c r="R318" s="599"/>
      <c r="S318" s="599"/>
      <c r="T318" s="1096">
        <f t="shared" si="36"/>
        <v>-14528583013</v>
      </c>
      <c r="U318" s="599">
        <v>-16755936642</v>
      </c>
      <c r="V318" s="1407">
        <f t="shared" si="40"/>
        <v>-14529</v>
      </c>
      <c r="W318" s="599">
        <f t="shared" si="37"/>
        <v>-16756</v>
      </c>
      <c r="X318" s="620"/>
      <c r="Y318" s="621"/>
      <c r="Z318" s="1096">
        <f t="shared" si="38"/>
        <v>-14528583013</v>
      </c>
      <c r="AA318" s="882">
        <f t="shared" si="39"/>
        <v>-14529</v>
      </c>
    </row>
    <row r="319" spans="1:27" ht="27" hidden="1" customHeight="1">
      <c r="A319" s="583"/>
      <c r="B319" s="583">
        <v>501</v>
      </c>
      <c r="C319" s="581">
        <v>13</v>
      </c>
      <c r="D319" s="582" t="s">
        <v>452</v>
      </c>
      <c r="E319" s="1138" t="s">
        <v>1651</v>
      </c>
      <c r="F319" s="1829"/>
      <c r="G319" s="1826"/>
      <c r="H319" s="599"/>
      <c r="I319" s="599"/>
      <c r="J319" s="2065"/>
      <c r="K319" s="599"/>
      <c r="L319" s="599"/>
      <c r="M319" s="2065"/>
      <c r="N319" s="599"/>
      <c r="O319" s="1097"/>
      <c r="P319" s="1097"/>
      <c r="Q319" s="599"/>
      <c r="R319" s="599"/>
      <c r="S319" s="599"/>
      <c r="T319" s="1096">
        <f t="shared" si="36"/>
        <v>0</v>
      </c>
      <c r="U319" s="599">
        <v>0</v>
      </c>
      <c r="V319" s="1407">
        <f t="shared" si="40"/>
        <v>0</v>
      </c>
      <c r="W319" s="599">
        <f t="shared" si="37"/>
        <v>0</v>
      </c>
      <c r="X319" s="620"/>
      <c r="Y319" s="621"/>
      <c r="Z319" s="1096">
        <f t="shared" si="38"/>
        <v>0</v>
      </c>
      <c r="AA319" s="882">
        <f t="shared" si="39"/>
        <v>0</v>
      </c>
    </row>
    <row r="320" spans="1:27" ht="27" hidden="1" customHeight="1">
      <c r="A320" s="583"/>
      <c r="B320" s="583">
        <v>908</v>
      </c>
      <c r="C320" s="581">
        <v>8</v>
      </c>
      <c r="D320" s="582" t="s">
        <v>454</v>
      </c>
      <c r="E320" s="1138" t="s">
        <v>1013</v>
      </c>
      <c r="F320" s="1826"/>
      <c r="G320" s="1826"/>
      <c r="H320" s="599"/>
      <c r="I320" s="599"/>
      <c r="J320" s="2065"/>
      <c r="K320" s="599"/>
      <c r="L320" s="599"/>
      <c r="M320" s="2065"/>
      <c r="N320" s="599"/>
      <c r="O320" s="1097"/>
      <c r="P320" s="1097"/>
      <c r="Q320" s="599"/>
      <c r="R320" s="599"/>
      <c r="S320" s="599"/>
      <c r="T320" s="1096">
        <f t="shared" si="36"/>
        <v>0</v>
      </c>
      <c r="U320" s="599">
        <v>0</v>
      </c>
      <c r="V320" s="1407">
        <f t="shared" si="40"/>
        <v>0</v>
      </c>
      <c r="W320" s="599">
        <f t="shared" si="37"/>
        <v>0</v>
      </c>
      <c r="X320" s="620"/>
      <c r="Y320" s="621"/>
      <c r="Z320" s="1096">
        <f t="shared" si="38"/>
        <v>0</v>
      </c>
      <c r="AA320" s="882">
        <f t="shared" si="39"/>
        <v>0</v>
      </c>
    </row>
    <row r="321" spans="1:27" ht="27" hidden="1" customHeight="1">
      <c r="A321" s="583"/>
      <c r="B321" s="583">
        <v>501</v>
      </c>
      <c r="C321" s="581">
        <v>13</v>
      </c>
      <c r="D321" s="582" t="s">
        <v>460</v>
      </c>
      <c r="E321" s="1138" t="s">
        <v>758</v>
      </c>
      <c r="F321" s="1829">
        <v>4096755697313</v>
      </c>
      <c r="G321" s="1826">
        <v>6967633754</v>
      </c>
      <c r="H321" s="599"/>
      <c r="I321" s="599"/>
      <c r="J321" s="2080"/>
      <c r="K321" s="2080"/>
      <c r="L321" s="599"/>
      <c r="M321" s="2065"/>
      <c r="N321" s="2065">
        <v>-87053281935</v>
      </c>
      <c r="O321" s="1097"/>
      <c r="P321" s="1097"/>
      <c r="Q321" s="599"/>
      <c r="R321" s="599"/>
      <c r="S321" s="599"/>
      <c r="T321" s="1096">
        <f t="shared" si="36"/>
        <v>4016670049132</v>
      </c>
      <c r="U321" s="599">
        <v>4022575933288</v>
      </c>
      <c r="V321" s="1407">
        <f t="shared" si="40"/>
        <v>4016670</v>
      </c>
      <c r="W321" s="599">
        <f t="shared" si="37"/>
        <v>4022576</v>
      </c>
      <c r="X321" s="620"/>
      <c r="Y321" s="621"/>
      <c r="Z321" s="1096">
        <f t="shared" si="38"/>
        <v>4016670049132</v>
      </c>
      <c r="AA321" s="882">
        <f t="shared" si="39"/>
        <v>4016670</v>
      </c>
    </row>
    <row r="322" spans="1:27" ht="27" hidden="1" customHeight="1">
      <c r="A322" s="583"/>
      <c r="B322" s="583">
        <v>501</v>
      </c>
      <c r="C322" s="581">
        <v>13</v>
      </c>
      <c r="D322" s="582" t="s">
        <v>460</v>
      </c>
      <c r="E322" s="1138" t="s">
        <v>759</v>
      </c>
      <c r="F322" s="1826"/>
      <c r="G322" s="1826"/>
      <c r="H322" s="599"/>
      <c r="I322" s="599"/>
      <c r="J322" s="2065"/>
      <c r="K322" s="599"/>
      <c r="L322" s="599"/>
      <c r="M322" s="2065"/>
      <c r="N322" s="599"/>
      <c r="O322" s="1097"/>
      <c r="P322" s="1097"/>
      <c r="Q322" s="599"/>
      <c r="R322" s="599"/>
      <c r="S322" s="599"/>
      <c r="T322" s="1096">
        <f t="shared" si="36"/>
        <v>0</v>
      </c>
      <c r="U322" s="599">
        <v>0</v>
      </c>
      <c r="V322" s="1407">
        <f t="shared" si="40"/>
        <v>0</v>
      </c>
      <c r="W322" s="599">
        <f t="shared" si="37"/>
        <v>0</v>
      </c>
      <c r="X322" s="620"/>
      <c r="Y322" s="621"/>
      <c r="Z322" s="1096">
        <f t="shared" si="38"/>
        <v>0</v>
      </c>
      <c r="AA322" s="882">
        <f t="shared" si="39"/>
        <v>0</v>
      </c>
    </row>
    <row r="323" spans="1:27" ht="27" hidden="1" customHeight="1">
      <c r="A323" s="583"/>
      <c r="B323" s="583">
        <v>503</v>
      </c>
      <c r="C323" s="581">
        <v>13</v>
      </c>
      <c r="D323" s="582" t="s">
        <v>460</v>
      </c>
      <c r="E323" s="1138" t="s">
        <v>760</v>
      </c>
      <c r="F323" s="1829"/>
      <c r="G323" s="1826"/>
      <c r="H323" s="599"/>
      <c r="I323" s="599"/>
      <c r="J323" s="2065"/>
      <c r="K323" s="599"/>
      <c r="L323" s="599"/>
      <c r="M323" s="2065"/>
      <c r="N323" s="599"/>
      <c r="O323" s="1097"/>
      <c r="P323" s="1097"/>
      <c r="Q323" s="599"/>
      <c r="R323" s="599"/>
      <c r="S323" s="599"/>
      <c r="T323" s="1096">
        <f t="shared" si="36"/>
        <v>0</v>
      </c>
      <c r="U323" s="599">
        <v>0</v>
      </c>
      <c r="V323" s="1407">
        <f t="shared" si="40"/>
        <v>0</v>
      </c>
      <c r="W323" s="599">
        <f t="shared" si="37"/>
        <v>0</v>
      </c>
      <c r="X323" s="620"/>
      <c r="Y323" s="621"/>
      <c r="Z323" s="1096">
        <f t="shared" si="38"/>
        <v>0</v>
      </c>
      <c r="AA323" s="882">
        <f t="shared" si="39"/>
        <v>0</v>
      </c>
    </row>
    <row r="324" spans="1:27" ht="27" hidden="1" customHeight="1">
      <c r="A324" s="583"/>
      <c r="B324" s="583">
        <v>908</v>
      </c>
      <c r="C324" s="581">
        <v>8</v>
      </c>
      <c r="D324" s="582" t="s">
        <v>462</v>
      </c>
      <c r="E324" s="1138" t="s">
        <v>463</v>
      </c>
      <c r="F324" s="1829">
        <v>692990025099</v>
      </c>
      <c r="G324" s="1826">
        <v>-3672000</v>
      </c>
      <c r="H324" s="599"/>
      <c r="I324" s="599"/>
      <c r="J324" s="2133"/>
      <c r="K324" s="599"/>
      <c r="L324" s="599"/>
      <c r="M324" s="2065"/>
      <c r="N324" s="599"/>
      <c r="O324" s="1097"/>
      <c r="P324" s="1097"/>
      <c r="Q324" s="599"/>
      <c r="R324" s="599"/>
      <c r="S324" s="599"/>
      <c r="T324" s="1096">
        <f t="shared" si="36"/>
        <v>692986353099</v>
      </c>
      <c r="U324" s="599">
        <v>2440426614166</v>
      </c>
      <c r="V324" s="1407">
        <f t="shared" si="40"/>
        <v>692986</v>
      </c>
      <c r="W324" s="599">
        <f t="shared" si="37"/>
        <v>2440427</v>
      </c>
      <c r="X324" s="620"/>
      <c r="Y324" s="621"/>
      <c r="Z324" s="1096">
        <f t="shared" si="38"/>
        <v>692986353099</v>
      </c>
      <c r="AA324" s="882">
        <f t="shared" si="39"/>
        <v>692986</v>
      </c>
    </row>
    <row r="325" spans="1:27" ht="27" hidden="1" customHeight="1">
      <c r="A325" s="583"/>
      <c r="B325" s="583">
        <v>501</v>
      </c>
      <c r="C325" s="581">
        <v>13</v>
      </c>
      <c r="D325" s="582" t="s">
        <v>163</v>
      </c>
      <c r="E325" s="1138" t="s">
        <v>1599</v>
      </c>
      <c r="F325" s="1830">
        <v>1363200</v>
      </c>
      <c r="G325" s="1826"/>
      <c r="H325" s="599"/>
      <c r="I325" s="599"/>
      <c r="J325" s="2065"/>
      <c r="K325" s="599"/>
      <c r="L325" s="599"/>
      <c r="M325" s="2065"/>
      <c r="N325" s="599"/>
      <c r="O325" s="1097"/>
      <c r="P325" s="1097"/>
      <c r="Q325" s="599"/>
      <c r="R325" s="599"/>
      <c r="S325" s="599"/>
      <c r="T325" s="1096">
        <f t="shared" si="36"/>
        <v>1363200</v>
      </c>
      <c r="U325" s="599">
        <v>20529787440</v>
      </c>
      <c r="V325" s="1407">
        <f t="shared" si="40"/>
        <v>1</v>
      </c>
      <c r="W325" s="599">
        <f t="shared" si="37"/>
        <v>20530</v>
      </c>
      <c r="X325" s="620"/>
      <c r="Y325" s="621"/>
      <c r="Z325" s="1096">
        <f t="shared" si="38"/>
        <v>1363200</v>
      </c>
      <c r="AA325" s="882">
        <f t="shared" si="39"/>
        <v>1</v>
      </c>
    </row>
    <row r="326" spans="1:27" ht="27" hidden="1" customHeight="1">
      <c r="A326" s="583"/>
      <c r="B326" s="583">
        <v>501</v>
      </c>
      <c r="C326" s="581">
        <v>13</v>
      </c>
      <c r="D326" s="582" t="s">
        <v>165</v>
      </c>
      <c r="E326" s="1138" t="s">
        <v>1600</v>
      </c>
      <c r="F326" s="1829">
        <v>391532615653</v>
      </c>
      <c r="G326" s="1826">
        <v>-28501985503</v>
      </c>
      <c r="H326" s="599"/>
      <c r="I326" s="599"/>
      <c r="J326" s="2065"/>
      <c r="K326" s="599"/>
      <c r="L326" s="599"/>
      <c r="M326" s="2065"/>
      <c r="N326" s="599">
        <v>1684000000</v>
      </c>
      <c r="O326" s="1097"/>
      <c r="P326" s="1097"/>
      <c r="Q326" s="599"/>
      <c r="R326" s="599"/>
      <c r="S326" s="599"/>
      <c r="T326" s="1096">
        <f t="shared" si="36"/>
        <v>364714630150</v>
      </c>
      <c r="U326" s="599">
        <v>144400257982</v>
      </c>
      <c r="V326" s="1407">
        <f t="shared" si="40"/>
        <v>364715</v>
      </c>
      <c r="W326" s="599">
        <f t="shared" si="37"/>
        <v>144400</v>
      </c>
      <c r="X326" s="620"/>
      <c r="Y326" s="621"/>
      <c r="Z326" s="1096">
        <f t="shared" si="38"/>
        <v>364714630150</v>
      </c>
      <c r="AA326" s="882">
        <f t="shared" si="39"/>
        <v>364715</v>
      </c>
    </row>
    <row r="327" spans="1:27" ht="27" hidden="1" customHeight="1">
      <c r="A327" s="583"/>
      <c r="B327" s="583">
        <v>501</v>
      </c>
      <c r="C327" s="581">
        <v>13</v>
      </c>
      <c r="D327" s="582" t="s">
        <v>1598</v>
      </c>
      <c r="E327" s="1138" t="s">
        <v>1601</v>
      </c>
      <c r="F327" s="1826"/>
      <c r="G327" s="1826"/>
      <c r="H327" s="599"/>
      <c r="I327" s="599"/>
      <c r="J327" s="2065"/>
      <c r="K327" s="599"/>
      <c r="L327" s="599"/>
      <c r="M327" s="2065"/>
      <c r="N327" s="599"/>
      <c r="O327" s="1097"/>
      <c r="P327" s="1097"/>
      <c r="Q327" s="599"/>
      <c r="R327" s="599"/>
      <c r="S327" s="599"/>
      <c r="T327" s="1096">
        <f t="shared" si="36"/>
        <v>0</v>
      </c>
      <c r="U327" s="599">
        <v>0</v>
      </c>
      <c r="V327" s="1407">
        <f t="shared" si="40"/>
        <v>0</v>
      </c>
      <c r="W327" s="599">
        <f t="shared" si="37"/>
        <v>0</v>
      </c>
      <c r="X327" s="620"/>
      <c r="Y327" s="621"/>
      <c r="Z327" s="1096">
        <f t="shared" si="38"/>
        <v>0</v>
      </c>
      <c r="AA327" s="882">
        <f t="shared" si="39"/>
        <v>0</v>
      </c>
    </row>
    <row r="328" spans="1:27" ht="27" hidden="1" customHeight="1">
      <c r="A328" s="583">
        <v>3214</v>
      </c>
      <c r="B328" s="583">
        <v>1007</v>
      </c>
      <c r="C328" s="581">
        <v>17</v>
      </c>
      <c r="D328" s="1825" t="s">
        <v>499</v>
      </c>
      <c r="E328" s="1138" t="s">
        <v>1466</v>
      </c>
      <c r="F328" s="1826"/>
      <c r="G328" s="1826"/>
      <c r="H328" s="599"/>
      <c r="I328" s="2096"/>
      <c r="J328" s="2066"/>
      <c r="K328" s="599">
        <v>-7661341034</v>
      </c>
      <c r="L328" s="599"/>
      <c r="M328" s="2065"/>
      <c r="N328" s="599"/>
      <c r="O328" s="1097"/>
      <c r="P328" s="1097"/>
      <c r="Q328" s="599"/>
      <c r="R328" s="599"/>
      <c r="S328" s="599"/>
      <c r="T328" s="1096">
        <f t="shared" si="36"/>
        <v>-7661341034</v>
      </c>
      <c r="U328" s="599">
        <v>-219360162700</v>
      </c>
      <c r="V328" s="1407">
        <f t="shared" si="40"/>
        <v>-7661</v>
      </c>
      <c r="W328" s="599">
        <f t="shared" si="37"/>
        <v>-219360</v>
      </c>
      <c r="X328" s="620"/>
      <c r="Y328" s="621"/>
      <c r="Z328" s="1096">
        <f t="shared" si="38"/>
        <v>-7661341034</v>
      </c>
      <c r="AA328" s="882">
        <f t="shared" si="39"/>
        <v>-7661</v>
      </c>
    </row>
    <row r="329" spans="1:27" ht="27" hidden="1" customHeight="1">
      <c r="A329" s="583"/>
      <c r="B329" s="583">
        <v>501</v>
      </c>
      <c r="C329" s="581">
        <v>13</v>
      </c>
      <c r="D329" s="582" t="s">
        <v>1007</v>
      </c>
      <c r="E329" s="1138" t="s">
        <v>1008</v>
      </c>
      <c r="F329" s="1830">
        <v>-26571</v>
      </c>
      <c r="G329" s="1826"/>
      <c r="H329" s="599"/>
      <c r="I329" s="599"/>
      <c r="J329" s="2065"/>
      <c r="K329" s="2133">
        <v>26571</v>
      </c>
      <c r="L329" s="599"/>
      <c r="M329" s="2065"/>
      <c r="N329" s="599"/>
      <c r="O329" s="1097"/>
      <c r="P329" s="1097"/>
      <c r="Q329" s="599"/>
      <c r="R329" s="599"/>
      <c r="S329" s="599"/>
      <c r="T329" s="1096">
        <f t="shared" si="36"/>
        <v>0</v>
      </c>
      <c r="U329" s="599">
        <v>0</v>
      </c>
      <c r="V329" s="1407">
        <f t="shared" si="40"/>
        <v>0</v>
      </c>
      <c r="W329" s="599">
        <f t="shared" si="37"/>
        <v>0</v>
      </c>
      <c r="X329" s="620"/>
      <c r="Y329" s="621"/>
      <c r="Z329" s="1096">
        <f t="shared" ref="Z329:Z360" si="41">T329+Y329-X329</f>
        <v>0</v>
      </c>
      <c r="AA329" s="882">
        <f t="shared" ref="AA329:AA360" si="42">ROUND((Z329/1000000),0)</f>
        <v>0</v>
      </c>
    </row>
    <row r="330" spans="1:27" ht="27" hidden="1" customHeight="1">
      <c r="A330" s="583"/>
      <c r="B330" s="583">
        <v>501</v>
      </c>
      <c r="C330" s="581">
        <v>13</v>
      </c>
      <c r="D330" s="582" t="s">
        <v>167</v>
      </c>
      <c r="E330" s="1138" t="s">
        <v>1027</v>
      </c>
      <c r="F330" s="1826"/>
      <c r="G330" s="1826"/>
      <c r="H330" s="599"/>
      <c r="I330" s="599"/>
      <c r="J330" s="2065"/>
      <c r="K330" s="599"/>
      <c r="L330" s="599"/>
      <c r="M330" s="2065"/>
      <c r="N330" s="599"/>
      <c r="O330" s="1097"/>
      <c r="P330" s="1097"/>
      <c r="Q330" s="599"/>
      <c r="R330" s="599"/>
      <c r="S330" s="599"/>
      <c r="T330" s="1096">
        <f t="shared" si="36"/>
        <v>0</v>
      </c>
      <c r="U330" s="599">
        <v>0</v>
      </c>
      <c r="V330" s="1407">
        <f t="shared" si="40"/>
        <v>0</v>
      </c>
      <c r="W330" s="599">
        <f t="shared" si="37"/>
        <v>0</v>
      </c>
      <c r="X330" s="620"/>
      <c r="Y330" s="621"/>
      <c r="Z330" s="1096">
        <f t="shared" si="41"/>
        <v>0</v>
      </c>
      <c r="AA330" s="882">
        <f t="shared" si="42"/>
        <v>0</v>
      </c>
    </row>
    <row r="331" spans="1:27" ht="27" hidden="1" customHeight="1">
      <c r="A331" s="583"/>
      <c r="B331" s="583">
        <v>501</v>
      </c>
      <c r="C331" s="581">
        <v>13</v>
      </c>
      <c r="D331" s="582" t="s">
        <v>1009</v>
      </c>
      <c r="E331" s="1138" t="s">
        <v>1008</v>
      </c>
      <c r="F331" s="1829">
        <v>500759895</v>
      </c>
      <c r="G331" s="1826"/>
      <c r="H331" s="599"/>
      <c r="I331" s="599"/>
      <c r="J331" s="2065"/>
      <c r="K331" s="1837">
        <v>-500759895</v>
      </c>
      <c r="L331" s="599"/>
      <c r="M331" s="2065"/>
      <c r="N331" s="599"/>
      <c r="O331" s="1097"/>
      <c r="P331" s="1097"/>
      <c r="Q331" s="599"/>
      <c r="R331" s="599"/>
      <c r="S331" s="599"/>
      <c r="T331" s="1096">
        <f t="shared" si="36"/>
        <v>0</v>
      </c>
      <c r="U331" s="599">
        <v>0</v>
      </c>
      <c r="V331" s="1407">
        <f t="shared" si="40"/>
        <v>0</v>
      </c>
      <c r="W331" s="599">
        <f t="shared" si="37"/>
        <v>0</v>
      </c>
      <c r="X331" s="620"/>
      <c r="Y331" s="621"/>
      <c r="Z331" s="1096">
        <f t="shared" si="41"/>
        <v>0</v>
      </c>
      <c r="AA331" s="882">
        <f t="shared" si="42"/>
        <v>0</v>
      </c>
    </row>
    <row r="332" spans="1:27" ht="27" hidden="1" customHeight="1">
      <c r="A332" s="583"/>
      <c r="B332" s="583">
        <v>501</v>
      </c>
      <c r="C332" s="581">
        <v>13</v>
      </c>
      <c r="D332" s="582" t="s">
        <v>1024</v>
      </c>
      <c r="E332" s="1138" t="s">
        <v>1025</v>
      </c>
      <c r="F332" s="1826"/>
      <c r="G332" s="1826"/>
      <c r="H332" s="599"/>
      <c r="I332" s="599"/>
      <c r="J332" s="2065"/>
      <c r="K332" s="599"/>
      <c r="L332" s="599"/>
      <c r="M332" s="2065"/>
      <c r="N332" s="599"/>
      <c r="O332" s="1097"/>
      <c r="P332" s="1097"/>
      <c r="Q332" s="599"/>
      <c r="R332" s="599"/>
      <c r="S332" s="599"/>
      <c r="T332" s="1096">
        <f t="shared" si="36"/>
        <v>0</v>
      </c>
      <c r="U332" s="599">
        <v>0</v>
      </c>
      <c r="V332" s="1407">
        <f t="shared" si="40"/>
        <v>0</v>
      </c>
      <c r="W332" s="599">
        <f t="shared" si="37"/>
        <v>0</v>
      </c>
      <c r="X332" s="620"/>
      <c r="Y332" s="621"/>
      <c r="Z332" s="1096">
        <f t="shared" si="41"/>
        <v>0</v>
      </c>
      <c r="AA332" s="882">
        <f t="shared" si="42"/>
        <v>0</v>
      </c>
    </row>
    <row r="333" spans="1:27" ht="27" hidden="1" customHeight="1">
      <c r="A333" s="583"/>
      <c r="B333" s="583">
        <v>501</v>
      </c>
      <c r="C333" s="581">
        <v>13</v>
      </c>
      <c r="D333" s="582" t="s">
        <v>282</v>
      </c>
      <c r="E333" s="1138" t="s">
        <v>283</v>
      </c>
      <c r="F333" s="1826"/>
      <c r="G333" s="1826"/>
      <c r="H333" s="599"/>
      <c r="I333" s="599"/>
      <c r="J333" s="2065"/>
      <c r="K333" s="599"/>
      <c r="L333" s="599"/>
      <c r="M333" s="2065"/>
      <c r="N333" s="599"/>
      <c r="O333" s="1097"/>
      <c r="P333" s="1097"/>
      <c r="Q333" s="599"/>
      <c r="R333" s="599"/>
      <c r="S333" s="599"/>
      <c r="T333" s="1096">
        <f t="shared" ref="T333:T396" si="43">SUM(F333:S333)</f>
        <v>0</v>
      </c>
      <c r="U333" s="599">
        <v>0</v>
      </c>
      <c r="V333" s="1407">
        <f t="shared" si="40"/>
        <v>0</v>
      </c>
      <c r="W333" s="599">
        <f t="shared" si="37"/>
        <v>0</v>
      </c>
      <c r="X333" s="620"/>
      <c r="Y333" s="621"/>
      <c r="Z333" s="1096">
        <f t="shared" si="41"/>
        <v>0</v>
      </c>
      <c r="AA333" s="882">
        <f t="shared" si="42"/>
        <v>0</v>
      </c>
    </row>
    <row r="334" spans="1:27" ht="27" hidden="1" customHeight="1">
      <c r="A334" s="583"/>
      <c r="B334" s="583">
        <v>501</v>
      </c>
      <c r="C334" s="581">
        <v>13</v>
      </c>
      <c r="D334" s="582" t="s">
        <v>76</v>
      </c>
      <c r="E334" s="1138" t="s">
        <v>77</v>
      </c>
      <c r="F334" s="1826">
        <v>-2172399</v>
      </c>
      <c r="G334" s="1826"/>
      <c r="H334" s="599"/>
      <c r="I334" s="599"/>
      <c r="J334" s="2065"/>
      <c r="K334" s="599"/>
      <c r="L334" s="599"/>
      <c r="M334" s="2065"/>
      <c r="N334" s="599"/>
      <c r="O334" s="1097"/>
      <c r="P334" s="1097"/>
      <c r="Q334" s="599"/>
      <c r="R334" s="599"/>
      <c r="S334" s="599"/>
      <c r="T334" s="1096">
        <f t="shared" si="43"/>
        <v>-2172399</v>
      </c>
      <c r="U334" s="599">
        <v>0</v>
      </c>
      <c r="V334" s="1407">
        <f t="shared" si="40"/>
        <v>-2</v>
      </c>
      <c r="W334" s="599">
        <f t="shared" si="37"/>
        <v>0</v>
      </c>
      <c r="X334" s="620"/>
      <c r="Y334" s="621"/>
      <c r="Z334" s="1096">
        <f t="shared" si="41"/>
        <v>-2172399</v>
      </c>
      <c r="AA334" s="882">
        <f t="shared" si="42"/>
        <v>-2</v>
      </c>
    </row>
    <row r="335" spans="1:27" ht="27" hidden="1" customHeight="1">
      <c r="A335" s="583"/>
      <c r="B335" s="583">
        <v>501</v>
      </c>
      <c r="C335" s="581">
        <v>13</v>
      </c>
      <c r="D335" s="582" t="s">
        <v>1741</v>
      </c>
      <c r="E335" s="1138" t="s">
        <v>77</v>
      </c>
      <c r="F335" s="1826"/>
      <c r="G335" s="1826"/>
      <c r="H335" s="599"/>
      <c r="I335" s="599"/>
      <c r="J335" s="2065"/>
      <c r="K335" s="599"/>
      <c r="L335" s="599"/>
      <c r="M335" s="2065"/>
      <c r="N335" s="599"/>
      <c r="O335" s="1097"/>
      <c r="P335" s="1097"/>
      <c r="Q335" s="599"/>
      <c r="R335" s="599"/>
      <c r="S335" s="599"/>
      <c r="T335" s="1096">
        <f t="shared" si="43"/>
        <v>0</v>
      </c>
      <c r="U335" s="599">
        <v>0</v>
      </c>
      <c r="V335" s="1407">
        <f t="shared" si="40"/>
        <v>0</v>
      </c>
      <c r="W335" s="599">
        <f t="shared" ref="W335:W398" si="44">ROUND((U335/1000000),0)</f>
        <v>0</v>
      </c>
      <c r="X335" s="620"/>
      <c r="Y335" s="621"/>
      <c r="Z335" s="1096">
        <f t="shared" si="41"/>
        <v>0</v>
      </c>
      <c r="AA335" s="882">
        <f t="shared" si="42"/>
        <v>0</v>
      </c>
    </row>
    <row r="336" spans="1:27" ht="27" hidden="1" customHeight="1">
      <c r="A336" s="583"/>
      <c r="B336" s="583">
        <v>1019</v>
      </c>
      <c r="C336" s="581">
        <v>17</v>
      </c>
      <c r="D336" s="582" t="s">
        <v>505</v>
      </c>
      <c r="E336" s="1138" t="s">
        <v>506</v>
      </c>
      <c r="F336" s="1830">
        <v>-445144501572</v>
      </c>
      <c r="G336" s="1833">
        <v>-40369021356</v>
      </c>
      <c r="H336" s="1833">
        <v>-4078881204</v>
      </c>
      <c r="I336" s="599">
        <v>-258981316</v>
      </c>
      <c r="J336" s="2066"/>
      <c r="K336" s="599"/>
      <c r="L336" s="599"/>
      <c r="M336" s="2065"/>
      <c r="N336" s="599"/>
      <c r="O336" s="1097"/>
      <c r="P336" s="1097"/>
      <c r="Q336" s="599"/>
      <c r="R336" s="599"/>
      <c r="S336" s="599"/>
      <c r="T336" s="1096">
        <f t="shared" si="43"/>
        <v>-489851385448</v>
      </c>
      <c r="U336" s="599">
        <v>-409157599512</v>
      </c>
      <c r="V336" s="1407">
        <f t="shared" si="40"/>
        <v>-489851</v>
      </c>
      <c r="W336" s="599">
        <f t="shared" si="44"/>
        <v>-409158</v>
      </c>
      <c r="X336" s="620"/>
      <c r="Y336" s="621"/>
      <c r="Z336" s="1096">
        <f t="shared" si="41"/>
        <v>-489851385448</v>
      </c>
      <c r="AA336" s="882">
        <f t="shared" si="42"/>
        <v>-489851</v>
      </c>
    </row>
    <row r="337" spans="1:27" ht="27" hidden="1" customHeight="1">
      <c r="A337" s="583"/>
      <c r="B337" s="583">
        <v>501</v>
      </c>
      <c r="C337" s="581">
        <v>13</v>
      </c>
      <c r="D337" s="582" t="s">
        <v>1602</v>
      </c>
      <c r="E337" s="1138" t="s">
        <v>1603</v>
      </c>
      <c r="F337" s="1826"/>
      <c r="G337" s="1826"/>
      <c r="H337" s="599"/>
      <c r="I337" s="599"/>
      <c r="J337" s="2065"/>
      <c r="K337" s="599"/>
      <c r="L337" s="599"/>
      <c r="M337" s="2065"/>
      <c r="N337" s="599"/>
      <c r="O337" s="1097"/>
      <c r="P337" s="1097"/>
      <c r="Q337" s="599"/>
      <c r="R337" s="599"/>
      <c r="S337" s="599"/>
      <c r="T337" s="1096">
        <f t="shared" si="43"/>
        <v>0</v>
      </c>
      <c r="U337" s="599">
        <v>0</v>
      </c>
      <c r="V337" s="1407">
        <f t="shared" si="40"/>
        <v>0</v>
      </c>
      <c r="W337" s="599">
        <f t="shared" si="44"/>
        <v>0</v>
      </c>
      <c r="X337" s="620"/>
      <c r="Y337" s="621"/>
      <c r="Z337" s="1096">
        <f t="shared" si="41"/>
        <v>0</v>
      </c>
      <c r="AA337" s="882">
        <f t="shared" si="42"/>
        <v>0</v>
      </c>
    </row>
    <row r="338" spans="1:27" ht="27" hidden="1" customHeight="1">
      <c r="A338" s="583"/>
      <c r="B338" s="583">
        <v>501</v>
      </c>
      <c r="C338" s="581">
        <v>13</v>
      </c>
      <c r="D338" s="582" t="s">
        <v>594</v>
      </c>
      <c r="E338" s="1138" t="s">
        <v>314</v>
      </c>
      <c r="F338" s="1826"/>
      <c r="G338" s="1826"/>
      <c r="H338" s="599"/>
      <c r="I338" s="599"/>
      <c r="J338" s="2065"/>
      <c r="K338" s="599"/>
      <c r="L338" s="599"/>
      <c r="M338" s="2065"/>
      <c r="N338" s="599"/>
      <c r="O338" s="1097"/>
      <c r="P338" s="1097"/>
      <c r="Q338" s="599"/>
      <c r="R338" s="599"/>
      <c r="S338" s="599"/>
      <c r="T338" s="1096">
        <f t="shared" si="43"/>
        <v>0</v>
      </c>
      <c r="U338" s="599">
        <v>0</v>
      </c>
      <c r="V338" s="1407">
        <f t="shared" si="40"/>
        <v>0</v>
      </c>
      <c r="W338" s="599">
        <f t="shared" si="44"/>
        <v>0</v>
      </c>
      <c r="X338" s="620"/>
      <c r="Y338" s="621"/>
      <c r="Z338" s="1096">
        <f t="shared" si="41"/>
        <v>0</v>
      </c>
      <c r="AA338" s="882">
        <f t="shared" si="42"/>
        <v>0</v>
      </c>
    </row>
    <row r="339" spans="1:27" ht="27" hidden="1" customHeight="1">
      <c r="A339" s="583"/>
      <c r="B339" s="583">
        <v>906</v>
      </c>
      <c r="C339" s="581">
        <v>8</v>
      </c>
      <c r="D339" s="582" t="s">
        <v>1604</v>
      </c>
      <c r="E339" s="1138" t="s">
        <v>1605</v>
      </c>
      <c r="F339" s="1826"/>
      <c r="G339" s="1826"/>
      <c r="H339" s="599"/>
      <c r="I339" s="599"/>
      <c r="J339" s="2065"/>
      <c r="K339" s="599"/>
      <c r="L339" s="599"/>
      <c r="M339" s="2065"/>
      <c r="N339" s="599"/>
      <c r="O339" s="1097"/>
      <c r="P339" s="1097"/>
      <c r="Q339" s="599"/>
      <c r="R339" s="599"/>
      <c r="S339" s="599"/>
      <c r="T339" s="1096">
        <f t="shared" si="43"/>
        <v>0</v>
      </c>
      <c r="U339" s="599">
        <v>0</v>
      </c>
      <c r="V339" s="1407">
        <f t="shared" si="40"/>
        <v>0</v>
      </c>
      <c r="W339" s="599">
        <f t="shared" si="44"/>
        <v>0</v>
      </c>
      <c r="X339" s="620"/>
      <c r="Y339" s="621"/>
      <c r="Z339" s="1096">
        <f t="shared" si="41"/>
        <v>0</v>
      </c>
      <c r="AA339" s="882">
        <f t="shared" si="42"/>
        <v>0</v>
      </c>
    </row>
    <row r="340" spans="1:27" ht="27" hidden="1" customHeight="1">
      <c r="A340" s="583"/>
      <c r="B340" s="583"/>
      <c r="C340" s="581">
        <v>13</v>
      </c>
      <c r="D340" s="582" t="s">
        <v>595</v>
      </c>
      <c r="E340" s="1138" t="s">
        <v>315</v>
      </c>
      <c r="F340" s="1826"/>
      <c r="G340" s="1826"/>
      <c r="H340" s="599"/>
      <c r="I340" s="599"/>
      <c r="J340" s="2065"/>
      <c r="K340" s="599"/>
      <c r="L340" s="599"/>
      <c r="M340" s="2065"/>
      <c r="N340" s="599"/>
      <c r="O340" s="1097"/>
      <c r="P340" s="1097"/>
      <c r="Q340" s="599"/>
      <c r="R340" s="599"/>
      <c r="S340" s="599"/>
      <c r="T340" s="1096">
        <f t="shared" si="43"/>
        <v>0</v>
      </c>
      <c r="U340" s="599">
        <v>0</v>
      </c>
      <c r="V340" s="1407">
        <f t="shared" si="40"/>
        <v>0</v>
      </c>
      <c r="W340" s="599">
        <f t="shared" si="44"/>
        <v>0</v>
      </c>
      <c r="X340" s="620"/>
      <c r="Y340" s="621"/>
      <c r="Z340" s="1096">
        <f t="shared" si="41"/>
        <v>0</v>
      </c>
      <c r="AA340" s="882">
        <f t="shared" si="42"/>
        <v>0</v>
      </c>
    </row>
    <row r="341" spans="1:27" ht="27" hidden="1" customHeight="1">
      <c r="A341" s="583"/>
      <c r="B341" s="583">
        <v>1019</v>
      </c>
      <c r="C341" s="581">
        <v>17</v>
      </c>
      <c r="D341" s="582" t="s">
        <v>507</v>
      </c>
      <c r="E341" s="1138" t="s">
        <v>185</v>
      </c>
      <c r="F341" s="1830">
        <v>170</v>
      </c>
      <c r="G341" s="1833"/>
      <c r="H341" s="2129"/>
      <c r="I341" s="599">
        <v>-170</v>
      </c>
      <c r="J341" s="2066"/>
      <c r="K341" s="2096"/>
      <c r="L341" s="599"/>
      <c r="M341" s="2065"/>
      <c r="N341" s="599"/>
      <c r="O341" s="1097"/>
      <c r="P341" s="1097"/>
      <c r="Q341" s="599"/>
      <c r="R341" s="599"/>
      <c r="S341" s="599"/>
      <c r="T341" s="1096">
        <f t="shared" si="43"/>
        <v>0</v>
      </c>
      <c r="U341" s="599">
        <v>-330720746</v>
      </c>
      <c r="V341" s="1407">
        <f t="shared" si="40"/>
        <v>0</v>
      </c>
      <c r="W341" s="599">
        <f t="shared" si="44"/>
        <v>-331</v>
      </c>
      <c r="X341" s="620"/>
      <c r="Y341" s="621"/>
      <c r="Z341" s="1096">
        <f t="shared" si="41"/>
        <v>0</v>
      </c>
      <c r="AA341" s="882">
        <f t="shared" si="42"/>
        <v>0</v>
      </c>
    </row>
    <row r="342" spans="1:27" ht="27" hidden="1" customHeight="1">
      <c r="A342" s="583"/>
      <c r="B342" s="583">
        <v>501</v>
      </c>
      <c r="C342" s="581">
        <v>13</v>
      </c>
      <c r="D342" s="582" t="s">
        <v>333</v>
      </c>
      <c r="E342" s="1138" t="s">
        <v>334</v>
      </c>
      <c r="F342" s="1826"/>
      <c r="G342" s="1826"/>
      <c r="H342" s="599"/>
      <c r="I342" s="599"/>
      <c r="J342" s="2065"/>
      <c r="K342" s="599"/>
      <c r="L342" s="599"/>
      <c r="M342" s="2065"/>
      <c r="N342" s="599"/>
      <c r="O342" s="1097"/>
      <c r="P342" s="1097"/>
      <c r="Q342" s="599"/>
      <c r="R342" s="599"/>
      <c r="S342" s="599"/>
      <c r="T342" s="1096">
        <f t="shared" si="43"/>
        <v>0</v>
      </c>
      <c r="U342" s="599">
        <v>0</v>
      </c>
      <c r="V342" s="1407">
        <f t="shared" si="40"/>
        <v>0</v>
      </c>
      <c r="W342" s="599">
        <f t="shared" si="44"/>
        <v>0</v>
      </c>
      <c r="X342" s="620"/>
      <c r="Y342" s="621"/>
      <c r="Z342" s="1096">
        <f t="shared" si="41"/>
        <v>0</v>
      </c>
      <c r="AA342" s="882">
        <f t="shared" si="42"/>
        <v>0</v>
      </c>
    </row>
    <row r="343" spans="1:27" ht="27" hidden="1" customHeight="1">
      <c r="A343" s="583"/>
      <c r="B343" s="583">
        <v>501</v>
      </c>
      <c r="C343" s="581">
        <v>13</v>
      </c>
      <c r="D343" s="582" t="s">
        <v>902</v>
      </c>
      <c r="E343" s="1138" t="s">
        <v>1030</v>
      </c>
      <c r="F343" s="1829">
        <v>-115200000</v>
      </c>
      <c r="G343" s="1826"/>
      <c r="H343" s="599"/>
      <c r="I343" s="599"/>
      <c r="J343" s="2065"/>
      <c r="K343" s="2080"/>
      <c r="L343" s="599"/>
      <c r="M343" s="2065"/>
      <c r="N343" s="599"/>
      <c r="O343" s="1097"/>
      <c r="P343" s="1097"/>
      <c r="Q343" s="599"/>
      <c r="R343" s="599"/>
      <c r="S343" s="599"/>
      <c r="T343" s="1096">
        <f t="shared" si="43"/>
        <v>-115200000</v>
      </c>
      <c r="U343" s="599">
        <v>-115200000</v>
      </c>
      <c r="V343" s="1407">
        <f t="shared" si="40"/>
        <v>-115</v>
      </c>
      <c r="W343" s="599">
        <f t="shared" si="44"/>
        <v>-115</v>
      </c>
      <c r="X343" s="620"/>
      <c r="Y343" s="621"/>
      <c r="Z343" s="1096">
        <f t="shared" si="41"/>
        <v>-115200000</v>
      </c>
      <c r="AA343" s="882">
        <f t="shared" si="42"/>
        <v>-115</v>
      </c>
    </row>
    <row r="344" spans="1:27" ht="27" hidden="1" customHeight="1">
      <c r="A344" s="583"/>
      <c r="B344" s="583"/>
      <c r="C344" s="581">
        <v>8</v>
      </c>
      <c r="D344" s="582" t="s">
        <v>903</v>
      </c>
      <c r="E344" s="1138" t="s">
        <v>912</v>
      </c>
      <c r="F344" s="1830"/>
      <c r="G344" s="1826"/>
      <c r="H344" s="599"/>
      <c r="I344" s="599"/>
      <c r="J344" s="2065"/>
      <c r="K344" s="2080"/>
      <c r="L344" s="599"/>
      <c r="M344" s="2065"/>
      <c r="N344" s="599"/>
      <c r="O344" s="1097"/>
      <c r="P344" s="1097"/>
      <c r="Q344" s="599"/>
      <c r="R344" s="599"/>
      <c r="S344" s="599"/>
      <c r="T344" s="1096">
        <f t="shared" si="43"/>
        <v>0</v>
      </c>
      <c r="U344" s="599">
        <v>0</v>
      </c>
      <c r="V344" s="1407">
        <f t="shared" si="40"/>
        <v>0</v>
      </c>
      <c r="W344" s="599">
        <f t="shared" si="44"/>
        <v>0</v>
      </c>
      <c r="X344" s="620"/>
      <c r="Y344" s="621"/>
      <c r="Z344" s="1096">
        <f t="shared" si="41"/>
        <v>0</v>
      </c>
      <c r="AA344" s="882">
        <f t="shared" si="42"/>
        <v>0</v>
      </c>
    </row>
    <row r="345" spans="1:27" ht="27" hidden="1" customHeight="1">
      <c r="A345" s="583"/>
      <c r="B345" s="583">
        <v>501</v>
      </c>
      <c r="C345" s="581">
        <v>13</v>
      </c>
      <c r="D345" s="1825" t="s">
        <v>596</v>
      </c>
      <c r="E345" s="1138" t="s">
        <v>762</v>
      </c>
      <c r="F345" s="1829">
        <v>3446866695</v>
      </c>
      <c r="G345" s="1828"/>
      <c r="H345" s="599"/>
      <c r="I345" s="2133">
        <v>532512115</v>
      </c>
      <c r="J345" s="2065"/>
      <c r="K345" s="599"/>
      <c r="L345" s="599"/>
      <c r="M345" s="2065"/>
      <c r="N345" s="599"/>
      <c r="O345" s="1097"/>
      <c r="P345" s="1097"/>
      <c r="Q345" s="599"/>
      <c r="R345" s="599"/>
      <c r="S345" s="599"/>
      <c r="T345" s="1096">
        <f t="shared" si="43"/>
        <v>3979378810</v>
      </c>
      <c r="U345" s="599">
        <v>3711258712</v>
      </c>
      <c r="V345" s="1407">
        <f t="shared" si="40"/>
        <v>3979</v>
      </c>
      <c r="W345" s="599">
        <f t="shared" si="44"/>
        <v>3711</v>
      </c>
      <c r="X345" s="620"/>
      <c r="Y345" s="621"/>
      <c r="Z345" s="1096">
        <f t="shared" si="41"/>
        <v>3979378810</v>
      </c>
      <c r="AA345" s="882">
        <f t="shared" si="42"/>
        <v>3979</v>
      </c>
    </row>
    <row r="346" spans="1:27" ht="27" hidden="1" customHeight="1">
      <c r="A346" s="583">
        <v>3214</v>
      </c>
      <c r="B346" s="583">
        <v>907</v>
      </c>
      <c r="C346" s="581">
        <v>8</v>
      </c>
      <c r="D346" s="1825" t="s">
        <v>596</v>
      </c>
      <c r="E346" s="1138" t="s">
        <v>1458</v>
      </c>
      <c r="F346" s="1826"/>
      <c r="G346" s="1826"/>
      <c r="H346" s="599"/>
      <c r="I346" s="599"/>
      <c r="J346" s="2065"/>
      <c r="K346" s="599"/>
      <c r="L346" s="599"/>
      <c r="M346" s="2065"/>
      <c r="N346" s="599"/>
      <c r="O346" s="1097"/>
      <c r="P346" s="1097"/>
      <c r="Q346" s="599"/>
      <c r="R346" s="599"/>
      <c r="S346" s="599"/>
      <c r="T346" s="1096">
        <f t="shared" si="43"/>
        <v>0</v>
      </c>
      <c r="U346" s="599">
        <v>0</v>
      </c>
      <c r="V346" s="1407">
        <f t="shared" si="40"/>
        <v>0</v>
      </c>
      <c r="W346" s="599">
        <f t="shared" si="44"/>
        <v>0</v>
      </c>
      <c r="X346" s="620"/>
      <c r="Y346" s="621"/>
      <c r="Z346" s="1096">
        <f t="shared" si="41"/>
        <v>0</v>
      </c>
      <c r="AA346" s="882">
        <f t="shared" si="42"/>
        <v>0</v>
      </c>
    </row>
    <row r="347" spans="1:27" ht="27" hidden="1" customHeight="1">
      <c r="A347" s="583"/>
      <c r="B347" s="583">
        <v>607</v>
      </c>
      <c r="C347" s="581">
        <v>12</v>
      </c>
      <c r="D347" s="582" t="s">
        <v>1384</v>
      </c>
      <c r="E347" s="1138" t="s">
        <v>1401</v>
      </c>
      <c r="F347" s="1826"/>
      <c r="G347" s="1826"/>
      <c r="H347" s="599"/>
      <c r="I347" s="599"/>
      <c r="J347" s="2065"/>
      <c r="K347" s="599"/>
      <c r="L347" s="599"/>
      <c r="M347" s="2065"/>
      <c r="N347" s="599"/>
      <c r="O347" s="1097"/>
      <c r="P347" s="1097"/>
      <c r="Q347" s="599"/>
      <c r="R347" s="599"/>
      <c r="S347" s="599"/>
      <c r="T347" s="1096">
        <f t="shared" si="43"/>
        <v>0</v>
      </c>
      <c r="U347" s="599">
        <v>0</v>
      </c>
      <c r="V347" s="1407">
        <f t="shared" si="40"/>
        <v>0</v>
      </c>
      <c r="W347" s="599">
        <f t="shared" si="44"/>
        <v>0</v>
      </c>
      <c r="X347" s="620"/>
      <c r="Y347" s="621"/>
      <c r="Z347" s="1096">
        <f t="shared" si="41"/>
        <v>0</v>
      </c>
      <c r="AA347" s="882">
        <f t="shared" si="42"/>
        <v>0</v>
      </c>
    </row>
    <row r="348" spans="1:27" ht="27" hidden="1" customHeight="1">
      <c r="A348" s="583"/>
      <c r="B348" s="583">
        <v>607</v>
      </c>
      <c r="C348" s="581">
        <v>12</v>
      </c>
      <c r="D348" s="582" t="s">
        <v>319</v>
      </c>
      <c r="E348" s="1138" t="s">
        <v>1035</v>
      </c>
      <c r="F348" s="1826"/>
      <c r="G348" s="1826"/>
      <c r="H348" s="599"/>
      <c r="I348" s="599"/>
      <c r="J348" s="2065"/>
      <c r="K348" s="599"/>
      <c r="L348" s="599"/>
      <c r="M348" s="2065"/>
      <c r="N348" s="599"/>
      <c r="O348" s="1097"/>
      <c r="P348" s="1097"/>
      <c r="Q348" s="599"/>
      <c r="R348" s="599"/>
      <c r="S348" s="599"/>
      <c r="T348" s="1096">
        <f t="shared" si="43"/>
        <v>0</v>
      </c>
      <c r="U348" s="599">
        <v>0</v>
      </c>
      <c r="V348" s="1407">
        <f t="shared" si="40"/>
        <v>0</v>
      </c>
      <c r="W348" s="599">
        <f t="shared" si="44"/>
        <v>0</v>
      </c>
      <c r="X348" s="620"/>
      <c r="Y348" s="621"/>
      <c r="Z348" s="1096">
        <f t="shared" si="41"/>
        <v>0</v>
      </c>
      <c r="AA348" s="882">
        <f t="shared" si="42"/>
        <v>0</v>
      </c>
    </row>
    <row r="349" spans="1:27" ht="27" hidden="1" customHeight="1">
      <c r="A349" s="583"/>
      <c r="B349" s="583">
        <v>607</v>
      </c>
      <c r="C349" s="581">
        <v>12</v>
      </c>
      <c r="D349" s="582" t="s">
        <v>321</v>
      </c>
      <c r="E349" s="1138" t="s">
        <v>1656</v>
      </c>
      <c r="F349" s="1829">
        <v>109781276924</v>
      </c>
      <c r="G349" s="2085"/>
      <c r="H349" s="599"/>
      <c r="I349" s="2133"/>
      <c r="J349" s="2083"/>
      <c r="K349" s="2083"/>
      <c r="L349" s="2083"/>
      <c r="M349" s="2083"/>
      <c r="N349" s="2083"/>
      <c r="O349" s="2084"/>
      <c r="P349" s="2084"/>
      <c r="Q349" s="2083"/>
      <c r="R349" s="2083"/>
      <c r="S349" s="2083"/>
      <c r="T349" s="1096">
        <f t="shared" si="43"/>
        <v>109781276924</v>
      </c>
      <c r="U349" s="599">
        <v>77376727600</v>
      </c>
      <c r="V349" s="1407">
        <f t="shared" si="40"/>
        <v>109781</v>
      </c>
      <c r="W349" s="599">
        <f t="shared" si="44"/>
        <v>77377</v>
      </c>
      <c r="X349" s="620"/>
      <c r="Y349" s="621"/>
      <c r="Z349" s="1096">
        <f t="shared" si="41"/>
        <v>109781276924</v>
      </c>
      <c r="AA349" s="882">
        <f t="shared" si="42"/>
        <v>109781</v>
      </c>
    </row>
    <row r="350" spans="1:27" ht="27" hidden="1" customHeight="1">
      <c r="A350" s="583">
        <v>6587</v>
      </c>
      <c r="B350" s="583">
        <v>907</v>
      </c>
      <c r="C350" s="581">
        <v>8</v>
      </c>
      <c r="D350" s="582" t="s">
        <v>323</v>
      </c>
      <c r="E350" s="1138" t="s">
        <v>1037</v>
      </c>
      <c r="F350" s="1829">
        <v>8138886214</v>
      </c>
      <c r="G350" s="2077"/>
      <c r="H350" s="599"/>
      <c r="I350" s="2065">
        <v>20815366018</v>
      </c>
      <c r="J350" s="2080"/>
      <c r="K350" s="2065"/>
      <c r="L350" s="2065"/>
      <c r="M350" s="2065"/>
      <c r="N350" s="2065"/>
      <c r="O350" s="2066"/>
      <c r="P350" s="2066"/>
      <c r="Q350" s="2065"/>
      <c r="R350" s="2065"/>
      <c r="S350" s="2065"/>
      <c r="T350" s="1096">
        <f t="shared" si="43"/>
        <v>28954252232</v>
      </c>
      <c r="U350" s="599">
        <v>106596550052</v>
      </c>
      <c r="V350" s="1407">
        <f>ROUND((T350/1000000),0)</f>
        <v>28954</v>
      </c>
      <c r="W350" s="599">
        <f t="shared" si="44"/>
        <v>106597</v>
      </c>
      <c r="X350" s="620"/>
      <c r="Y350" s="621"/>
      <c r="Z350" s="1096">
        <f t="shared" si="41"/>
        <v>28954252232</v>
      </c>
      <c r="AA350" s="882">
        <f t="shared" si="42"/>
        <v>28954</v>
      </c>
    </row>
    <row r="351" spans="1:27" ht="27" hidden="1" customHeight="1">
      <c r="A351" s="583">
        <v>6587</v>
      </c>
      <c r="B351" s="583">
        <v>907</v>
      </c>
      <c r="C351" s="581">
        <v>8</v>
      </c>
      <c r="D351" s="582" t="s">
        <v>325</v>
      </c>
      <c r="E351" s="1138" t="s">
        <v>1038</v>
      </c>
      <c r="F351" s="1829">
        <v>57052424934</v>
      </c>
      <c r="G351" s="2090">
        <v>6350555630</v>
      </c>
      <c r="H351" s="599"/>
      <c r="I351" s="2088">
        <v>89342516712</v>
      </c>
      <c r="J351" s="2080"/>
      <c r="K351" s="2088"/>
      <c r="L351" s="2088"/>
      <c r="M351" s="2088"/>
      <c r="N351" s="2088"/>
      <c r="O351" s="2089"/>
      <c r="P351" s="2089"/>
      <c r="Q351" s="2088"/>
      <c r="R351" s="2088"/>
      <c r="S351" s="2088"/>
      <c r="T351" s="1096">
        <f t="shared" si="43"/>
        <v>152745497276</v>
      </c>
      <c r="U351" s="599">
        <v>201787907005</v>
      </c>
      <c r="V351" s="1407">
        <f t="shared" ref="V351:V358" si="45">ROUND((T351/1000000),0)</f>
        <v>152745</v>
      </c>
      <c r="W351" s="599">
        <f t="shared" si="44"/>
        <v>201788</v>
      </c>
      <c r="X351" s="620"/>
      <c r="Y351" s="621"/>
      <c r="Z351" s="1096">
        <f t="shared" si="41"/>
        <v>152745497276</v>
      </c>
      <c r="AA351" s="882">
        <f t="shared" si="42"/>
        <v>152745</v>
      </c>
    </row>
    <row r="352" spans="1:27" ht="27" hidden="1" customHeight="1">
      <c r="A352" s="583"/>
      <c r="B352" s="583">
        <v>906</v>
      </c>
      <c r="C352" s="581">
        <v>8</v>
      </c>
      <c r="D352" s="582" t="s">
        <v>751</v>
      </c>
      <c r="E352" s="1138" t="s">
        <v>752</v>
      </c>
      <c r="F352" s="1826"/>
      <c r="G352" s="1826"/>
      <c r="H352" s="1833"/>
      <c r="I352" s="599"/>
      <c r="J352" s="2065"/>
      <c r="K352" s="599"/>
      <c r="L352" s="599"/>
      <c r="M352" s="2065"/>
      <c r="N352" s="599"/>
      <c r="O352" s="1097"/>
      <c r="P352" s="1097"/>
      <c r="Q352" s="599"/>
      <c r="R352" s="599"/>
      <c r="S352" s="599"/>
      <c r="T352" s="1096">
        <f t="shared" si="43"/>
        <v>0</v>
      </c>
      <c r="U352" s="599">
        <v>0</v>
      </c>
      <c r="V352" s="1407">
        <f t="shared" si="45"/>
        <v>0</v>
      </c>
      <c r="W352" s="599">
        <f t="shared" si="44"/>
        <v>0</v>
      </c>
      <c r="X352" s="620"/>
      <c r="Y352" s="621"/>
      <c r="Z352" s="1096">
        <f t="shared" si="41"/>
        <v>0</v>
      </c>
      <c r="AA352" s="882">
        <f t="shared" si="42"/>
        <v>0</v>
      </c>
    </row>
    <row r="353" spans="1:27" ht="27" hidden="1" customHeight="1">
      <c r="A353" s="583"/>
      <c r="B353" s="583">
        <v>907</v>
      </c>
      <c r="C353" s="581">
        <v>8</v>
      </c>
      <c r="D353" s="582" t="s">
        <v>751</v>
      </c>
      <c r="E353" s="1138" t="s">
        <v>752</v>
      </c>
      <c r="F353" s="1826"/>
      <c r="G353" s="1826"/>
      <c r="H353" s="1833"/>
      <c r="I353" s="599"/>
      <c r="J353" s="2065"/>
      <c r="K353" s="599"/>
      <c r="L353" s="599"/>
      <c r="M353" s="2065"/>
      <c r="N353" s="599"/>
      <c r="O353" s="1097"/>
      <c r="P353" s="1097"/>
      <c r="Q353" s="599"/>
      <c r="R353" s="599"/>
      <c r="S353" s="599"/>
      <c r="T353" s="1096">
        <f t="shared" si="43"/>
        <v>0</v>
      </c>
      <c r="U353" s="599">
        <v>0</v>
      </c>
      <c r="V353" s="1407">
        <f t="shared" si="45"/>
        <v>0</v>
      </c>
      <c r="W353" s="599">
        <f t="shared" si="44"/>
        <v>0</v>
      </c>
      <c r="X353" s="620"/>
      <c r="Y353" s="621"/>
      <c r="Z353" s="1096">
        <f t="shared" si="41"/>
        <v>0</v>
      </c>
      <c r="AA353" s="882">
        <f t="shared" si="42"/>
        <v>0</v>
      </c>
    </row>
    <row r="354" spans="1:27" ht="27" hidden="1" customHeight="1">
      <c r="A354" s="583"/>
      <c r="B354" s="583">
        <v>601</v>
      </c>
      <c r="C354" s="581">
        <v>12</v>
      </c>
      <c r="D354" s="582" t="s">
        <v>750</v>
      </c>
      <c r="E354" s="1138" t="s">
        <v>752</v>
      </c>
      <c r="F354" s="1826"/>
      <c r="G354" s="1826"/>
      <c r="H354" s="1833"/>
      <c r="I354" s="599"/>
      <c r="J354" s="2065"/>
      <c r="K354" s="599"/>
      <c r="L354" s="599"/>
      <c r="M354" s="2065"/>
      <c r="N354" s="599"/>
      <c r="O354" s="1097"/>
      <c r="P354" s="1097"/>
      <c r="Q354" s="599"/>
      <c r="R354" s="599"/>
      <c r="S354" s="599"/>
      <c r="T354" s="1096">
        <f t="shared" si="43"/>
        <v>0</v>
      </c>
      <c r="U354" s="599">
        <v>0</v>
      </c>
      <c r="V354" s="1407">
        <f t="shared" si="45"/>
        <v>0</v>
      </c>
      <c r="W354" s="599">
        <f t="shared" si="44"/>
        <v>0</v>
      </c>
      <c r="X354" s="620"/>
      <c r="Y354" s="621"/>
      <c r="Z354" s="1096">
        <f t="shared" si="41"/>
        <v>0</v>
      </c>
      <c r="AA354" s="882">
        <f t="shared" si="42"/>
        <v>0</v>
      </c>
    </row>
    <row r="355" spans="1:27" ht="27" hidden="1" customHeight="1">
      <c r="A355" s="583"/>
      <c r="B355" s="583">
        <v>302</v>
      </c>
      <c r="C355" s="581">
        <v>14</v>
      </c>
      <c r="D355" s="582" t="s">
        <v>750</v>
      </c>
      <c r="E355" s="1138" t="s">
        <v>752</v>
      </c>
      <c r="F355" s="1826"/>
      <c r="G355" s="2082"/>
      <c r="H355" s="2086"/>
      <c r="I355" s="2083"/>
      <c r="J355" s="2083"/>
      <c r="K355" s="2083"/>
      <c r="L355" s="2083"/>
      <c r="M355" s="2083"/>
      <c r="N355" s="2083"/>
      <c r="O355" s="2084"/>
      <c r="P355" s="2084"/>
      <c r="Q355" s="2083"/>
      <c r="R355" s="2083"/>
      <c r="S355" s="2083"/>
      <c r="T355" s="1096">
        <f t="shared" si="43"/>
        <v>0</v>
      </c>
      <c r="U355" s="599">
        <v>0</v>
      </c>
      <c r="V355" s="1407">
        <f t="shared" si="45"/>
        <v>0</v>
      </c>
      <c r="W355" s="599">
        <f t="shared" si="44"/>
        <v>0</v>
      </c>
      <c r="X355" s="620"/>
      <c r="Y355" s="621"/>
      <c r="Z355" s="1096">
        <f t="shared" si="41"/>
        <v>0</v>
      </c>
      <c r="AA355" s="882">
        <f t="shared" si="42"/>
        <v>0</v>
      </c>
    </row>
    <row r="356" spans="1:27" ht="27" hidden="1" customHeight="1">
      <c r="A356" s="583"/>
      <c r="B356" s="583"/>
      <c r="C356" s="581">
        <v>15</v>
      </c>
      <c r="D356" s="582" t="s">
        <v>327</v>
      </c>
      <c r="E356" s="1138" t="s">
        <v>328</v>
      </c>
      <c r="F356" s="1830">
        <v>-12000000000000</v>
      </c>
      <c r="G356" s="2075"/>
      <c r="H356" s="2078"/>
      <c r="I356" s="2065"/>
      <c r="J356" s="2065"/>
      <c r="K356" s="2065"/>
      <c r="L356" s="2065"/>
      <c r="M356" s="2065"/>
      <c r="N356" s="2065"/>
      <c r="O356" s="2066"/>
      <c r="P356" s="2066"/>
      <c r="Q356" s="2065"/>
      <c r="R356" s="2065"/>
      <c r="S356" s="2065"/>
      <c r="T356" s="1096">
        <f t="shared" si="43"/>
        <v>-12000000000000</v>
      </c>
      <c r="U356" s="599">
        <v>-12000000000000</v>
      </c>
      <c r="V356" s="1407">
        <f t="shared" si="45"/>
        <v>-12000000</v>
      </c>
      <c r="W356" s="599">
        <f t="shared" si="44"/>
        <v>-12000000</v>
      </c>
      <c r="X356" s="620"/>
      <c r="Y356" s="621"/>
      <c r="Z356" s="1096">
        <f t="shared" si="41"/>
        <v>-12000000000000</v>
      </c>
      <c r="AA356" s="882">
        <f t="shared" si="42"/>
        <v>-12000000</v>
      </c>
    </row>
    <row r="357" spans="1:27" ht="27" hidden="1" customHeight="1">
      <c r="A357" s="583"/>
      <c r="B357" s="583">
        <v>401</v>
      </c>
      <c r="C357" s="581">
        <v>11</v>
      </c>
      <c r="D357" s="582" t="s">
        <v>480</v>
      </c>
      <c r="E357" s="1138" t="s">
        <v>702</v>
      </c>
      <c r="F357" s="1826"/>
      <c r="G357" s="2075"/>
      <c r="H357" s="2065"/>
      <c r="I357" s="2065"/>
      <c r="J357" s="2065"/>
      <c r="K357" s="2065"/>
      <c r="L357" s="2065"/>
      <c r="M357" s="2065"/>
      <c r="N357" s="2065"/>
      <c r="O357" s="2066"/>
      <c r="P357" s="2066"/>
      <c r="Q357" s="2065"/>
      <c r="R357" s="2065"/>
      <c r="S357" s="2065"/>
      <c r="T357" s="1096">
        <f t="shared" si="43"/>
        <v>0</v>
      </c>
      <c r="U357" s="599">
        <v>0</v>
      </c>
      <c r="V357" s="1407">
        <f t="shared" si="45"/>
        <v>0</v>
      </c>
      <c r="W357" s="599">
        <f t="shared" si="44"/>
        <v>0</v>
      </c>
      <c r="X357" s="620"/>
      <c r="Y357" s="621"/>
      <c r="Z357" s="1096">
        <f t="shared" si="41"/>
        <v>0</v>
      </c>
      <c r="AA357" s="882">
        <f t="shared" si="42"/>
        <v>0</v>
      </c>
    </row>
    <row r="358" spans="1:27" ht="27" hidden="1" customHeight="1">
      <c r="A358" s="583"/>
      <c r="B358" s="583">
        <v>1401</v>
      </c>
      <c r="C358" s="581">
        <v>16</v>
      </c>
      <c r="D358" s="582" t="s">
        <v>329</v>
      </c>
      <c r="E358" s="1138" t="s">
        <v>330</v>
      </c>
      <c r="F358" s="1830">
        <v>-500000</v>
      </c>
      <c r="G358" s="2075"/>
      <c r="H358" s="2078"/>
      <c r="I358" s="2065"/>
      <c r="J358" s="2065"/>
      <c r="K358" s="2065"/>
      <c r="L358" s="2065"/>
      <c r="M358" s="2065"/>
      <c r="N358" s="2065"/>
      <c r="O358" s="2066"/>
      <c r="P358" s="2066"/>
      <c r="Q358" s="2065"/>
      <c r="R358" s="2065"/>
      <c r="S358" s="2065"/>
      <c r="T358" s="1096">
        <f t="shared" si="43"/>
        <v>-500000</v>
      </c>
      <c r="U358" s="599">
        <v>-500000</v>
      </c>
      <c r="V358" s="1407">
        <f t="shared" si="45"/>
        <v>-1</v>
      </c>
      <c r="W358" s="599">
        <f t="shared" si="44"/>
        <v>-1</v>
      </c>
      <c r="X358" s="620"/>
      <c r="Y358" s="621"/>
      <c r="Z358" s="1096">
        <f t="shared" si="41"/>
        <v>-500000</v>
      </c>
      <c r="AA358" s="882">
        <f t="shared" si="42"/>
        <v>-1</v>
      </c>
    </row>
    <row r="359" spans="1:27" ht="27" hidden="1" customHeight="1">
      <c r="A359" s="583"/>
      <c r="B359" s="583">
        <v>1402</v>
      </c>
      <c r="C359" s="581">
        <v>16</v>
      </c>
      <c r="D359" s="582" t="s">
        <v>331</v>
      </c>
      <c r="E359" s="1138" t="s">
        <v>332</v>
      </c>
      <c r="F359" s="1830">
        <v>-2735500000</v>
      </c>
      <c r="G359" s="2075"/>
      <c r="H359" s="2078"/>
      <c r="I359" s="2065"/>
      <c r="J359" s="2065"/>
      <c r="K359" s="2065"/>
      <c r="L359" s="2065"/>
      <c r="M359" s="2065"/>
      <c r="N359" s="2065"/>
      <c r="O359" s="2066"/>
      <c r="P359" s="2066"/>
      <c r="Q359" s="2065"/>
      <c r="R359" s="2065"/>
      <c r="S359" s="2065"/>
      <c r="T359" s="1096">
        <f t="shared" si="43"/>
        <v>-2735500000</v>
      </c>
      <c r="U359" s="599">
        <v>-2735500000</v>
      </c>
      <c r="V359" s="1407">
        <f>ROUND((T359/1000000),0)+1</f>
        <v>-2735</v>
      </c>
      <c r="W359" s="599">
        <f t="shared" si="44"/>
        <v>-2736</v>
      </c>
      <c r="X359" s="620"/>
      <c r="Y359" s="621"/>
      <c r="Z359" s="1096">
        <f t="shared" si="41"/>
        <v>-2735500000</v>
      </c>
      <c r="AA359" s="882">
        <f t="shared" si="42"/>
        <v>-2736</v>
      </c>
    </row>
    <row r="360" spans="1:27" ht="27" hidden="1" customHeight="1">
      <c r="A360" s="583"/>
      <c r="B360" s="583">
        <v>401</v>
      </c>
      <c r="C360" s="581">
        <v>11</v>
      </c>
      <c r="D360" s="582" t="s">
        <v>220</v>
      </c>
      <c r="E360" s="1138" t="s">
        <v>703</v>
      </c>
      <c r="F360" s="1826"/>
      <c r="G360" s="2075"/>
      <c r="H360" s="2065">
        <v>14662389893</v>
      </c>
      <c r="I360" s="2065"/>
      <c r="J360" s="2065"/>
      <c r="K360" s="2065"/>
      <c r="L360" s="2065"/>
      <c r="M360" s="2065"/>
      <c r="N360" s="2065"/>
      <c r="O360" s="2066"/>
      <c r="P360" s="2066"/>
      <c r="Q360" s="2065"/>
      <c r="R360" s="2065"/>
      <c r="S360" s="2065"/>
      <c r="T360" s="1096">
        <f t="shared" si="43"/>
        <v>14662389893</v>
      </c>
      <c r="U360" s="599">
        <v>0</v>
      </c>
      <c r="V360" s="1407">
        <f t="shared" ref="V360:V372" si="46">ROUND((T360/1000000),0)</f>
        <v>14662</v>
      </c>
      <c r="W360" s="599">
        <f t="shared" si="44"/>
        <v>0</v>
      </c>
      <c r="X360" s="620"/>
      <c r="Y360" s="621"/>
      <c r="Z360" s="1096">
        <f t="shared" si="41"/>
        <v>14662389893</v>
      </c>
      <c r="AA360" s="882">
        <f t="shared" si="42"/>
        <v>14662</v>
      </c>
    </row>
    <row r="361" spans="1:27" ht="27" hidden="1" customHeight="1">
      <c r="A361" s="583"/>
      <c r="B361" s="583">
        <v>901</v>
      </c>
      <c r="C361" s="581">
        <v>8</v>
      </c>
      <c r="D361" s="582" t="s">
        <v>112</v>
      </c>
      <c r="E361" s="1138" t="s">
        <v>113</v>
      </c>
      <c r="F361" s="599">
        <v>2438621679732</v>
      </c>
      <c r="G361" s="2075"/>
      <c r="H361" s="2078"/>
      <c r="I361" s="2065"/>
      <c r="J361" s="2065"/>
      <c r="K361" s="2065"/>
      <c r="L361" s="2065"/>
      <c r="M361" s="2065"/>
      <c r="N361" s="2065"/>
      <c r="O361" s="2080"/>
      <c r="P361" s="2066"/>
      <c r="Q361" s="2065"/>
      <c r="R361" s="2065"/>
      <c r="S361" s="2065"/>
      <c r="T361" s="1096">
        <f t="shared" si="43"/>
        <v>2438621679732</v>
      </c>
      <c r="U361" s="599">
        <v>2438621679732</v>
      </c>
      <c r="V361" s="1407">
        <f t="shared" si="46"/>
        <v>2438622</v>
      </c>
      <c r="W361" s="599">
        <f t="shared" si="44"/>
        <v>2438622</v>
      </c>
      <c r="X361" s="620"/>
      <c r="Y361" s="621"/>
      <c r="Z361" s="1096">
        <f t="shared" ref="Z361:Z363" si="47">T361+Y361-X361</f>
        <v>2438621679732</v>
      </c>
      <c r="AA361" s="882">
        <f t="shared" ref="AA361:AA363" si="48">ROUND((Z361/1000000),0)</f>
        <v>2438622</v>
      </c>
    </row>
    <row r="362" spans="1:27" ht="22.5" hidden="1" customHeight="1">
      <c r="A362" s="583"/>
      <c r="B362" s="583">
        <v>901</v>
      </c>
      <c r="C362" s="581">
        <v>8</v>
      </c>
      <c r="D362" s="582" t="s">
        <v>1016</v>
      </c>
      <c r="E362" s="1138" t="s">
        <v>1829</v>
      </c>
      <c r="F362" s="1826">
        <v>408926507234</v>
      </c>
      <c r="G362" s="2091">
        <v>38944022</v>
      </c>
      <c r="H362" s="2092"/>
      <c r="I362" s="2133"/>
      <c r="J362" s="604"/>
      <c r="K362" s="604"/>
      <c r="L362" s="604"/>
      <c r="M362" s="604"/>
      <c r="N362" s="604"/>
      <c r="O362" s="2133"/>
      <c r="P362" s="2093"/>
      <c r="Q362" s="604"/>
      <c r="R362" s="604"/>
      <c r="S362" s="604"/>
      <c r="T362" s="1096">
        <f t="shared" si="43"/>
        <v>408965451256</v>
      </c>
      <c r="U362" s="599">
        <v>0</v>
      </c>
      <c r="V362" s="1407">
        <f t="shared" si="46"/>
        <v>408965</v>
      </c>
      <c r="W362" s="599">
        <f t="shared" si="44"/>
        <v>0</v>
      </c>
      <c r="X362" s="620"/>
      <c r="Y362" s="621"/>
      <c r="Z362" s="1096">
        <f t="shared" si="47"/>
        <v>408965451256</v>
      </c>
      <c r="AA362" s="882">
        <f t="shared" si="48"/>
        <v>408965</v>
      </c>
    </row>
    <row r="363" spans="1:27" ht="27" hidden="1" customHeight="1">
      <c r="A363" s="583"/>
      <c r="B363" s="583">
        <v>902</v>
      </c>
      <c r="C363" s="581">
        <v>8</v>
      </c>
      <c r="D363" s="582" t="s">
        <v>114</v>
      </c>
      <c r="E363" s="1138" t="s">
        <v>921</v>
      </c>
      <c r="F363" s="599">
        <v>36378336383571</v>
      </c>
      <c r="G363" s="2078"/>
      <c r="H363" s="2078"/>
      <c r="I363" s="2065"/>
      <c r="J363" s="2080"/>
      <c r="K363" s="2080"/>
      <c r="L363" s="2065"/>
      <c r="M363" s="2065"/>
      <c r="N363" s="2065"/>
      <c r="O363" s="2080"/>
      <c r="P363" s="2066"/>
      <c r="Q363" s="2065"/>
      <c r="R363" s="2065"/>
      <c r="S363" s="2065"/>
      <c r="T363" s="1096">
        <f t="shared" si="43"/>
        <v>36378336383571</v>
      </c>
      <c r="U363" s="599">
        <v>36378336383571</v>
      </c>
      <c r="V363" s="1407">
        <f t="shared" si="46"/>
        <v>36378336</v>
      </c>
      <c r="W363" s="599">
        <f t="shared" si="44"/>
        <v>36378336</v>
      </c>
      <c r="X363" s="620"/>
      <c r="Y363" s="621"/>
      <c r="Z363" s="1096">
        <f t="shared" si="47"/>
        <v>36378336383571</v>
      </c>
      <c r="AA363" s="882">
        <f t="shared" si="48"/>
        <v>36378336</v>
      </c>
    </row>
    <row r="364" spans="1:27" ht="27.75" hidden="1" customHeight="1">
      <c r="A364" s="583"/>
      <c r="B364" s="583">
        <v>902</v>
      </c>
      <c r="C364" s="581">
        <v>8</v>
      </c>
      <c r="D364" s="582" t="s">
        <v>2136</v>
      </c>
      <c r="E364" s="1138" t="s">
        <v>1857</v>
      </c>
      <c r="F364" s="1829">
        <v>2954900833903</v>
      </c>
      <c r="G364" s="2078">
        <v>7964048183280</v>
      </c>
      <c r="H364" s="2078"/>
      <c r="I364" s="2080">
        <v>-292132000000</v>
      </c>
      <c r="J364" s="604"/>
      <c r="K364" s="2133"/>
      <c r="L364" s="2133"/>
      <c r="M364" s="2133"/>
      <c r="N364" s="2133"/>
      <c r="O364" s="2133"/>
      <c r="P364" s="2093"/>
      <c r="Q364" s="604"/>
      <c r="R364" s="604"/>
      <c r="S364" s="604"/>
      <c r="T364" s="1096">
        <f t="shared" si="43"/>
        <v>10626817017183</v>
      </c>
      <c r="U364" s="599">
        <v>0</v>
      </c>
      <c r="V364" s="1407">
        <f t="shared" si="46"/>
        <v>10626817</v>
      </c>
      <c r="W364" s="599">
        <f t="shared" si="44"/>
        <v>0</v>
      </c>
      <c r="X364" s="620"/>
      <c r="Y364" s="621"/>
      <c r="Z364" s="1096"/>
      <c r="AA364" s="882"/>
    </row>
    <row r="365" spans="1:27" ht="27" hidden="1" customHeight="1">
      <c r="A365" s="583"/>
      <c r="B365" s="583">
        <v>902</v>
      </c>
      <c r="C365" s="581">
        <v>8</v>
      </c>
      <c r="D365" s="582" t="s">
        <v>2385</v>
      </c>
      <c r="E365" s="1138" t="s">
        <v>2386</v>
      </c>
      <c r="F365" s="1830">
        <v>-2344736388</v>
      </c>
      <c r="G365" s="2075">
        <v>2344736388</v>
      </c>
      <c r="H365" s="2078"/>
      <c r="I365" s="2065"/>
      <c r="J365" s="2065"/>
      <c r="K365" s="2065"/>
      <c r="L365" s="2065"/>
      <c r="M365" s="2065"/>
      <c r="N365" s="2065"/>
      <c r="O365" s="2080"/>
      <c r="P365" s="2066"/>
      <c r="Q365" s="2065"/>
      <c r="R365" s="2065"/>
      <c r="S365" s="2065"/>
      <c r="T365" s="1096">
        <f t="shared" si="43"/>
        <v>0</v>
      </c>
      <c r="U365" s="599">
        <v>0</v>
      </c>
      <c r="V365" s="1407">
        <f t="shared" si="46"/>
        <v>0</v>
      </c>
      <c r="W365" s="599">
        <f t="shared" si="44"/>
        <v>0</v>
      </c>
      <c r="X365" s="620"/>
      <c r="Y365" s="621"/>
      <c r="Z365" s="1096">
        <f t="shared" ref="Z365:Z396" si="49">T365+Y365-X365</f>
        <v>0</v>
      </c>
      <c r="AA365" s="882">
        <f t="shared" ref="AA365:AA396" si="50">ROUND((Z365/1000000),0)</f>
        <v>0</v>
      </c>
    </row>
    <row r="366" spans="1:27" ht="27" hidden="1" customHeight="1">
      <c r="A366" s="583"/>
      <c r="B366" s="583"/>
      <c r="C366" s="581">
        <v>9</v>
      </c>
      <c r="D366" s="582" t="s">
        <v>667</v>
      </c>
      <c r="E366" s="1138" t="s">
        <v>666</v>
      </c>
      <c r="F366" s="599">
        <v>8557763010</v>
      </c>
      <c r="G366" s="2075"/>
      <c r="H366" s="2078"/>
      <c r="I366" s="2065"/>
      <c r="J366" s="2065"/>
      <c r="K366" s="2065"/>
      <c r="L366" s="2065"/>
      <c r="M366" s="2065"/>
      <c r="N366" s="2065"/>
      <c r="O366" s="2066"/>
      <c r="P366" s="2066"/>
      <c r="Q366" s="2065"/>
      <c r="R366" s="2065"/>
      <c r="S366" s="2065"/>
      <c r="T366" s="1096">
        <f t="shared" si="43"/>
        <v>8557763010</v>
      </c>
      <c r="U366" s="599">
        <v>8557763010</v>
      </c>
      <c r="V366" s="1407">
        <f t="shared" si="46"/>
        <v>8558</v>
      </c>
      <c r="W366" s="599">
        <f t="shared" si="44"/>
        <v>8558</v>
      </c>
      <c r="X366" s="620"/>
      <c r="Y366" s="621"/>
      <c r="Z366" s="1096">
        <f t="shared" si="49"/>
        <v>8557763010</v>
      </c>
      <c r="AA366" s="882">
        <f t="shared" si="50"/>
        <v>8558</v>
      </c>
    </row>
    <row r="367" spans="1:27" ht="27" hidden="1" customHeight="1">
      <c r="A367" s="583"/>
      <c r="B367" s="583">
        <v>903</v>
      </c>
      <c r="C367" s="581">
        <v>8</v>
      </c>
      <c r="D367" s="582" t="s">
        <v>105</v>
      </c>
      <c r="E367" s="1138" t="s">
        <v>914</v>
      </c>
      <c r="F367" s="599">
        <v>2828528053461</v>
      </c>
      <c r="G367" s="2075"/>
      <c r="H367" s="2078"/>
      <c r="I367" s="2066"/>
      <c r="J367" s="2066"/>
      <c r="K367" s="2066"/>
      <c r="L367" s="2066"/>
      <c r="M367" s="2066"/>
      <c r="N367" s="2066"/>
      <c r="O367" s="2080"/>
      <c r="P367" s="2066"/>
      <c r="Q367" s="2066"/>
      <c r="R367" s="2065"/>
      <c r="S367" s="2065"/>
      <c r="T367" s="1096">
        <f t="shared" si="43"/>
        <v>2828528053461</v>
      </c>
      <c r="U367" s="599">
        <v>2828528053461</v>
      </c>
      <c r="V367" s="1407">
        <f t="shared" si="46"/>
        <v>2828528</v>
      </c>
      <c r="W367" s="599">
        <f t="shared" si="44"/>
        <v>2828528</v>
      </c>
      <c r="X367" s="620"/>
      <c r="Y367" s="621"/>
      <c r="Z367" s="1096">
        <f t="shared" si="49"/>
        <v>2828528053461</v>
      </c>
      <c r="AA367" s="882">
        <f t="shared" si="50"/>
        <v>2828528</v>
      </c>
    </row>
    <row r="368" spans="1:27" ht="24.75" hidden="1" customHeight="1">
      <c r="A368" s="583"/>
      <c r="B368" s="583">
        <v>903</v>
      </c>
      <c r="C368" s="581">
        <v>8</v>
      </c>
      <c r="D368" s="582" t="s">
        <v>1108</v>
      </c>
      <c r="E368" s="1138" t="s">
        <v>1109</v>
      </c>
      <c r="F368" s="1829">
        <v>301206674394</v>
      </c>
      <c r="G368" s="2078">
        <v>101697441495</v>
      </c>
      <c r="H368" s="2078"/>
      <c r="I368" s="2066">
        <v>1782778042</v>
      </c>
      <c r="J368" s="2081"/>
      <c r="K368" s="2066"/>
      <c r="L368" s="2066"/>
      <c r="M368" s="2066"/>
      <c r="N368" s="2080"/>
      <c r="O368" s="2080"/>
      <c r="P368" s="2066"/>
      <c r="Q368" s="2066"/>
      <c r="R368" s="2065"/>
      <c r="S368" s="2065"/>
      <c r="T368" s="1096">
        <f t="shared" si="43"/>
        <v>404686893931</v>
      </c>
      <c r="U368" s="599">
        <v>0</v>
      </c>
      <c r="V368" s="1407">
        <f t="shared" si="46"/>
        <v>404687</v>
      </c>
      <c r="W368" s="599">
        <f t="shared" si="44"/>
        <v>0</v>
      </c>
      <c r="X368" s="620"/>
      <c r="Y368" s="621"/>
      <c r="Z368" s="1096">
        <f t="shared" si="49"/>
        <v>404686893931</v>
      </c>
      <c r="AA368" s="882">
        <f t="shared" si="50"/>
        <v>404687</v>
      </c>
    </row>
    <row r="369" spans="1:27" ht="27" hidden="1" customHeight="1">
      <c r="A369" s="583"/>
      <c r="B369" s="583">
        <v>903</v>
      </c>
      <c r="C369" s="581">
        <v>8</v>
      </c>
      <c r="D369" s="582" t="s">
        <v>1110</v>
      </c>
      <c r="E369" s="1138" t="s">
        <v>1111</v>
      </c>
      <c r="F369" s="1830">
        <v>-2615473116</v>
      </c>
      <c r="G369" s="2078"/>
      <c r="H369" s="2078"/>
      <c r="I369" s="2066"/>
      <c r="J369" s="2081"/>
      <c r="K369" s="2066"/>
      <c r="L369" s="2066"/>
      <c r="M369" s="2066"/>
      <c r="N369" s="2080"/>
      <c r="O369" s="2080"/>
      <c r="P369" s="2066"/>
      <c r="Q369" s="2066"/>
      <c r="R369" s="2065"/>
      <c r="S369" s="2065"/>
      <c r="T369" s="1096">
        <f t="shared" si="43"/>
        <v>-2615473116</v>
      </c>
      <c r="U369" s="599">
        <v>0</v>
      </c>
      <c r="V369" s="1407">
        <f t="shared" si="46"/>
        <v>-2615</v>
      </c>
      <c r="W369" s="599">
        <f t="shared" si="44"/>
        <v>0</v>
      </c>
      <c r="X369" s="620"/>
      <c r="Y369" s="621"/>
      <c r="Z369" s="1096">
        <f t="shared" si="49"/>
        <v>-2615473116</v>
      </c>
      <c r="AA369" s="882">
        <f t="shared" si="50"/>
        <v>-2615</v>
      </c>
    </row>
    <row r="370" spans="1:27" ht="27" hidden="1" customHeight="1">
      <c r="A370" s="583"/>
      <c r="B370" s="583">
        <v>903</v>
      </c>
      <c r="C370" s="581">
        <v>8</v>
      </c>
      <c r="D370" s="582" t="s">
        <v>1612</v>
      </c>
      <c r="E370" s="1138" t="s">
        <v>1112</v>
      </c>
      <c r="F370" s="1826"/>
      <c r="G370" s="2075"/>
      <c r="H370" s="2078"/>
      <c r="I370" s="2066"/>
      <c r="J370" s="2066"/>
      <c r="K370" s="2066"/>
      <c r="L370" s="2066"/>
      <c r="M370" s="2066"/>
      <c r="N370" s="2066"/>
      <c r="O370" s="2066"/>
      <c r="P370" s="2066"/>
      <c r="Q370" s="2066"/>
      <c r="R370" s="2065"/>
      <c r="S370" s="2065"/>
      <c r="T370" s="1096">
        <f t="shared" si="43"/>
        <v>0</v>
      </c>
      <c r="U370" s="599">
        <v>0</v>
      </c>
      <c r="V370" s="1407">
        <f t="shared" si="46"/>
        <v>0</v>
      </c>
      <c r="W370" s="599">
        <f t="shared" si="44"/>
        <v>0</v>
      </c>
      <c r="X370" s="620"/>
      <c r="Y370" s="621"/>
      <c r="Z370" s="1096">
        <f t="shared" si="49"/>
        <v>0</v>
      </c>
      <c r="AA370" s="882">
        <f t="shared" si="50"/>
        <v>0</v>
      </c>
    </row>
    <row r="371" spans="1:27" ht="27" hidden="1" customHeight="1">
      <c r="A371" s="583"/>
      <c r="B371" s="583">
        <v>902</v>
      </c>
      <c r="C371" s="581">
        <v>8</v>
      </c>
      <c r="D371" s="582" t="s">
        <v>2128</v>
      </c>
      <c r="E371" s="1138" t="s">
        <v>2118</v>
      </c>
      <c r="F371" s="599"/>
      <c r="G371" s="2075"/>
      <c r="H371" s="2088"/>
      <c r="I371" s="2088"/>
      <c r="J371" s="2088"/>
      <c r="K371" s="2099"/>
      <c r="L371" s="2100"/>
      <c r="M371" s="2100"/>
      <c r="N371" s="2088"/>
      <c r="O371" s="2088"/>
      <c r="P371" s="612"/>
      <c r="Q371" s="612"/>
      <c r="R371" s="612"/>
      <c r="S371" s="612"/>
      <c r="T371" s="1096">
        <f t="shared" si="43"/>
        <v>0</v>
      </c>
      <c r="U371" s="612">
        <v>0</v>
      </c>
      <c r="V371" s="1407">
        <f t="shared" si="46"/>
        <v>0</v>
      </c>
      <c r="W371" s="599">
        <f t="shared" si="44"/>
        <v>0</v>
      </c>
      <c r="X371" s="620"/>
      <c r="Y371" s="621"/>
      <c r="Z371" s="1096">
        <f t="shared" si="49"/>
        <v>0</v>
      </c>
      <c r="AA371" s="882">
        <f t="shared" si="50"/>
        <v>0</v>
      </c>
    </row>
    <row r="372" spans="1:27" ht="27" hidden="1" customHeight="1">
      <c r="A372" s="583"/>
      <c r="B372" s="583">
        <v>902</v>
      </c>
      <c r="C372" s="581">
        <v>8</v>
      </c>
      <c r="D372" s="582" t="s">
        <v>2135</v>
      </c>
      <c r="E372" s="1138" t="s">
        <v>1819</v>
      </c>
      <c r="F372" s="1826">
        <v>5086367088</v>
      </c>
      <c r="G372" s="2082">
        <v>-2344736388</v>
      </c>
      <c r="H372" s="2086"/>
      <c r="I372" s="2083">
        <v>-728970042</v>
      </c>
      <c r="J372" s="2065">
        <v>-2012660658</v>
      </c>
      <c r="K372" s="2065"/>
      <c r="L372" s="2083"/>
      <c r="M372" s="2083"/>
      <c r="N372" s="2083"/>
      <c r="O372" s="2084"/>
      <c r="P372" s="2084"/>
      <c r="Q372" s="2083"/>
      <c r="R372" s="2083"/>
      <c r="S372" s="2083"/>
      <c r="T372" s="1096">
        <f t="shared" si="43"/>
        <v>0</v>
      </c>
      <c r="U372" s="599">
        <v>0</v>
      </c>
      <c r="V372" s="1407">
        <f t="shared" si="46"/>
        <v>0</v>
      </c>
      <c r="W372" s="599">
        <f t="shared" si="44"/>
        <v>0</v>
      </c>
      <c r="X372" s="620"/>
      <c r="Y372" s="621"/>
      <c r="Z372" s="1096">
        <f t="shared" si="49"/>
        <v>0</v>
      </c>
      <c r="AA372" s="882">
        <f t="shared" si="50"/>
        <v>0</v>
      </c>
    </row>
    <row r="373" spans="1:27" ht="24.75" hidden="1" customHeight="1">
      <c r="A373" s="583"/>
      <c r="B373" s="583">
        <v>905</v>
      </c>
      <c r="C373" s="581">
        <v>8</v>
      </c>
      <c r="D373" s="582" t="s">
        <v>107</v>
      </c>
      <c r="E373" s="1138" t="s">
        <v>918</v>
      </c>
      <c r="F373" s="1829">
        <v>1001569274239</v>
      </c>
      <c r="G373" s="2075"/>
      <c r="H373" s="2078"/>
      <c r="I373" s="2066"/>
      <c r="J373" s="2066">
        <v>906225814</v>
      </c>
      <c r="K373" s="2066"/>
      <c r="L373" s="2066"/>
      <c r="M373" s="2066"/>
      <c r="N373" s="2066"/>
      <c r="O373" s="2080"/>
      <c r="P373" s="2066"/>
      <c r="Q373" s="2066"/>
      <c r="R373" s="2065"/>
      <c r="S373" s="2065"/>
      <c r="T373" s="1096">
        <f t="shared" si="43"/>
        <v>1002475500053</v>
      </c>
      <c r="U373" s="599">
        <v>1002475500053</v>
      </c>
      <c r="V373" s="1407">
        <f>ROUND((T373/1000000),0)</f>
        <v>1002476</v>
      </c>
      <c r="W373" s="599">
        <f t="shared" si="44"/>
        <v>1002476</v>
      </c>
      <c r="X373" s="620"/>
      <c r="Y373" s="621"/>
      <c r="Z373" s="1096">
        <f t="shared" si="49"/>
        <v>1002475500053</v>
      </c>
      <c r="AA373" s="882">
        <f t="shared" si="50"/>
        <v>1002476</v>
      </c>
    </row>
    <row r="374" spans="1:27" ht="27" hidden="1" customHeight="1">
      <c r="A374" s="583"/>
      <c r="B374" s="583">
        <v>905</v>
      </c>
      <c r="C374" s="581">
        <v>8</v>
      </c>
      <c r="D374" s="582" t="s">
        <v>1113</v>
      </c>
      <c r="E374" s="1138" t="s">
        <v>1114</v>
      </c>
      <c r="F374" s="1829">
        <v>64172064590</v>
      </c>
      <c r="G374" s="2078">
        <v>10284786000</v>
      </c>
      <c r="H374" s="2078"/>
      <c r="I374" s="2066">
        <v>-460000000</v>
      </c>
      <c r="J374" s="2081">
        <v>-906225814</v>
      </c>
      <c r="K374" s="2066">
        <v>906225814</v>
      </c>
      <c r="L374" s="2066"/>
      <c r="M374" s="2066"/>
      <c r="N374" s="2080"/>
      <c r="O374" s="2080"/>
      <c r="P374" s="2066"/>
      <c r="Q374" s="2066"/>
      <c r="R374" s="2065"/>
      <c r="S374" s="2065"/>
      <c r="T374" s="1096">
        <f t="shared" si="43"/>
        <v>73996850590</v>
      </c>
      <c r="U374" s="599">
        <v>0</v>
      </c>
      <c r="V374" s="1407">
        <f t="shared" ref="V374:V405" si="51">ROUND((T374/1000000),0)</f>
        <v>73997</v>
      </c>
      <c r="W374" s="599">
        <f t="shared" si="44"/>
        <v>0</v>
      </c>
      <c r="X374" s="620"/>
      <c r="Y374" s="621"/>
      <c r="Z374" s="1096">
        <f t="shared" si="49"/>
        <v>73996850590</v>
      </c>
      <c r="AA374" s="882">
        <f t="shared" si="50"/>
        <v>73997</v>
      </c>
    </row>
    <row r="375" spans="1:27" ht="27" hidden="1" customHeight="1">
      <c r="A375" s="583"/>
      <c r="B375" s="583">
        <v>905</v>
      </c>
      <c r="C375" s="581">
        <v>8</v>
      </c>
      <c r="D375" s="582" t="s">
        <v>1116</v>
      </c>
      <c r="E375" s="1138" t="s">
        <v>1115</v>
      </c>
      <c r="F375" s="1830">
        <v>-1059225814</v>
      </c>
      <c r="G375" s="2078"/>
      <c r="H375" s="2078"/>
      <c r="I375" s="2066"/>
      <c r="J375" s="2081"/>
      <c r="K375" s="2066"/>
      <c r="L375" s="2066"/>
      <c r="M375" s="2066"/>
      <c r="N375" s="2066"/>
      <c r="O375" s="2080"/>
      <c r="P375" s="2066"/>
      <c r="Q375" s="2066"/>
      <c r="R375" s="2065"/>
      <c r="S375" s="2065"/>
      <c r="T375" s="1096">
        <f t="shared" si="43"/>
        <v>-1059225814</v>
      </c>
      <c r="U375" s="599">
        <v>0</v>
      </c>
      <c r="V375" s="1407">
        <f t="shared" si="51"/>
        <v>-1059</v>
      </c>
      <c r="W375" s="599">
        <f t="shared" si="44"/>
        <v>0</v>
      </c>
      <c r="X375" s="620"/>
      <c r="Y375" s="621"/>
      <c r="Z375" s="1096">
        <f t="shared" si="49"/>
        <v>-1059225814</v>
      </c>
      <c r="AA375" s="882">
        <f t="shared" si="50"/>
        <v>-1059</v>
      </c>
    </row>
    <row r="376" spans="1:27" ht="27" hidden="1" customHeight="1">
      <c r="A376" s="583"/>
      <c r="B376" s="583"/>
      <c r="C376" s="581">
        <v>8</v>
      </c>
      <c r="D376" s="582" t="s">
        <v>1018</v>
      </c>
      <c r="E376" s="1138" t="s">
        <v>1019</v>
      </c>
      <c r="F376" s="1826"/>
      <c r="G376" s="2075"/>
      <c r="H376" s="2078"/>
      <c r="I376" s="2066"/>
      <c r="J376" s="2066"/>
      <c r="K376" s="2066"/>
      <c r="L376" s="2066"/>
      <c r="M376" s="2066"/>
      <c r="N376" s="2066"/>
      <c r="O376" s="2066"/>
      <c r="P376" s="2066"/>
      <c r="Q376" s="2066"/>
      <c r="R376" s="2065"/>
      <c r="S376" s="2065"/>
      <c r="T376" s="1096">
        <f t="shared" si="43"/>
        <v>0</v>
      </c>
      <c r="U376" s="599">
        <v>0</v>
      </c>
      <c r="V376" s="1407">
        <f t="shared" si="51"/>
        <v>0</v>
      </c>
      <c r="W376" s="599">
        <f t="shared" si="44"/>
        <v>0</v>
      </c>
      <c r="X376" s="620"/>
      <c r="Y376" s="621"/>
      <c r="Z376" s="1096">
        <f t="shared" si="49"/>
        <v>0</v>
      </c>
      <c r="AA376" s="882">
        <f t="shared" si="50"/>
        <v>0</v>
      </c>
    </row>
    <row r="377" spans="1:27" ht="27" hidden="1" customHeight="1">
      <c r="A377" s="583"/>
      <c r="B377" s="583">
        <v>902</v>
      </c>
      <c r="C377" s="581">
        <v>8</v>
      </c>
      <c r="D377" s="582" t="s">
        <v>1198</v>
      </c>
      <c r="E377" s="1138" t="s">
        <v>1199</v>
      </c>
      <c r="F377" s="1826"/>
      <c r="G377" s="2075"/>
      <c r="H377" s="2078"/>
      <c r="I377" s="2066"/>
      <c r="J377" s="2066"/>
      <c r="K377" s="2066"/>
      <c r="L377" s="2066"/>
      <c r="M377" s="2066"/>
      <c r="N377" s="2066"/>
      <c r="O377" s="2066"/>
      <c r="P377" s="2066"/>
      <c r="Q377" s="2066"/>
      <c r="R377" s="2065"/>
      <c r="S377" s="2065"/>
      <c r="T377" s="1096">
        <f t="shared" si="43"/>
        <v>0</v>
      </c>
      <c r="U377" s="599">
        <v>0</v>
      </c>
      <c r="V377" s="1407">
        <f t="shared" si="51"/>
        <v>0</v>
      </c>
      <c r="W377" s="599">
        <f t="shared" si="44"/>
        <v>0</v>
      </c>
      <c r="X377" s="620"/>
      <c r="Y377" s="621"/>
      <c r="Z377" s="1096">
        <f t="shared" si="49"/>
        <v>0</v>
      </c>
      <c r="AA377" s="882">
        <f t="shared" si="50"/>
        <v>0</v>
      </c>
    </row>
    <row r="378" spans="1:27" ht="27" hidden="1" customHeight="1">
      <c r="A378" s="583"/>
      <c r="B378" s="583">
        <v>904</v>
      </c>
      <c r="C378" s="581">
        <v>8</v>
      </c>
      <c r="D378" s="582" t="s">
        <v>149</v>
      </c>
      <c r="E378" s="1138" t="s">
        <v>916</v>
      </c>
      <c r="F378" s="599">
        <v>723966288310</v>
      </c>
      <c r="G378" s="2075"/>
      <c r="H378" s="2078"/>
      <c r="I378" s="2066"/>
      <c r="J378" s="2066"/>
      <c r="K378" s="2066"/>
      <c r="L378" s="2066"/>
      <c r="M378" s="2066"/>
      <c r="N378" s="2066"/>
      <c r="O378" s="2080"/>
      <c r="P378" s="2066"/>
      <c r="Q378" s="2066"/>
      <c r="R378" s="2065"/>
      <c r="S378" s="2065"/>
      <c r="T378" s="1096">
        <f t="shared" si="43"/>
        <v>723966288310</v>
      </c>
      <c r="U378" s="599">
        <v>723966288310</v>
      </c>
      <c r="V378" s="1407">
        <f t="shared" si="51"/>
        <v>723966</v>
      </c>
      <c r="W378" s="599">
        <f t="shared" si="44"/>
        <v>723966</v>
      </c>
      <c r="X378" s="620"/>
      <c r="Y378" s="621"/>
      <c r="Z378" s="1096">
        <f t="shared" si="49"/>
        <v>723966288310</v>
      </c>
      <c r="AA378" s="882">
        <f t="shared" si="50"/>
        <v>723966</v>
      </c>
    </row>
    <row r="379" spans="1:27" ht="27" hidden="1" customHeight="1">
      <c r="A379" s="583"/>
      <c r="B379" s="583">
        <v>904</v>
      </c>
      <c r="C379" s="581">
        <v>8</v>
      </c>
      <c r="D379" s="582" t="s">
        <v>1117</v>
      </c>
      <c r="E379" s="1138" t="s">
        <v>1120</v>
      </c>
      <c r="F379" s="1829">
        <v>153659293184</v>
      </c>
      <c r="G379" s="2078">
        <v>10406308933</v>
      </c>
      <c r="H379" s="2078"/>
      <c r="I379" s="2066">
        <v>-88700000</v>
      </c>
      <c r="J379" s="2081"/>
      <c r="K379" s="2066"/>
      <c r="L379" s="2066"/>
      <c r="M379" s="2066"/>
      <c r="N379" s="2080"/>
      <c r="O379" s="2080"/>
      <c r="P379" s="2066"/>
      <c r="Q379" s="2066"/>
      <c r="R379" s="2065"/>
      <c r="S379" s="2065"/>
      <c r="T379" s="1096">
        <f t="shared" si="43"/>
        <v>163976902117</v>
      </c>
      <c r="U379" s="599">
        <v>0</v>
      </c>
      <c r="V379" s="1407">
        <f t="shared" si="51"/>
        <v>163977</v>
      </c>
      <c r="W379" s="599">
        <f t="shared" si="44"/>
        <v>0</v>
      </c>
      <c r="X379" s="620"/>
      <c r="Y379" s="621"/>
      <c r="Z379" s="1096">
        <f t="shared" si="49"/>
        <v>163976902117</v>
      </c>
      <c r="AA379" s="882">
        <f t="shared" si="50"/>
        <v>163977</v>
      </c>
    </row>
    <row r="380" spans="1:27" ht="27" hidden="1" customHeight="1">
      <c r="A380" s="583"/>
      <c r="B380" s="583">
        <v>904</v>
      </c>
      <c r="C380" s="581">
        <v>8</v>
      </c>
      <c r="D380" s="582" t="s">
        <v>1118</v>
      </c>
      <c r="E380" s="1138" t="s">
        <v>1121</v>
      </c>
      <c r="F380" s="1830">
        <v>-1760500679</v>
      </c>
      <c r="G380" s="2078"/>
      <c r="H380" s="2078"/>
      <c r="I380" s="2066"/>
      <c r="J380" s="2081"/>
      <c r="K380" s="2066"/>
      <c r="L380" s="2066"/>
      <c r="M380" s="2066"/>
      <c r="N380" s="2066"/>
      <c r="O380" s="2080"/>
      <c r="P380" s="2066"/>
      <c r="Q380" s="2066"/>
      <c r="R380" s="2065"/>
      <c r="S380" s="2065"/>
      <c r="T380" s="1096">
        <f t="shared" si="43"/>
        <v>-1760500679</v>
      </c>
      <c r="U380" s="599">
        <v>0</v>
      </c>
      <c r="V380" s="1407">
        <f t="shared" si="51"/>
        <v>-1761</v>
      </c>
      <c r="W380" s="599">
        <f t="shared" si="44"/>
        <v>0</v>
      </c>
      <c r="X380" s="620"/>
      <c r="Y380" s="621"/>
      <c r="Z380" s="1096">
        <f t="shared" si="49"/>
        <v>-1760500679</v>
      </c>
      <c r="AA380" s="882">
        <f t="shared" si="50"/>
        <v>-1761</v>
      </c>
    </row>
    <row r="381" spans="1:27" ht="27" hidden="1" customHeight="1">
      <c r="A381" s="583"/>
      <c r="B381" s="583">
        <v>904</v>
      </c>
      <c r="C381" s="581">
        <v>8</v>
      </c>
      <c r="D381" s="582" t="s">
        <v>1119</v>
      </c>
      <c r="E381" s="1138" t="s">
        <v>1122</v>
      </c>
      <c r="F381" s="1826"/>
      <c r="G381" s="2075"/>
      <c r="H381" s="2078"/>
      <c r="I381" s="2066"/>
      <c r="J381" s="2066"/>
      <c r="K381" s="2066"/>
      <c r="L381" s="2066"/>
      <c r="M381" s="2066"/>
      <c r="N381" s="2066"/>
      <c r="O381" s="2066"/>
      <c r="P381" s="2066"/>
      <c r="Q381" s="2066"/>
      <c r="R381" s="2065"/>
      <c r="S381" s="2065"/>
      <c r="T381" s="1096">
        <f t="shared" si="43"/>
        <v>0</v>
      </c>
      <c r="U381" s="599">
        <v>0</v>
      </c>
      <c r="V381" s="1407">
        <f t="shared" si="51"/>
        <v>0</v>
      </c>
      <c r="W381" s="599">
        <f t="shared" si="44"/>
        <v>0</v>
      </c>
      <c r="X381" s="620"/>
      <c r="Y381" s="621"/>
      <c r="Z381" s="1096">
        <f t="shared" si="49"/>
        <v>0</v>
      </c>
      <c r="AA381" s="882">
        <f t="shared" si="50"/>
        <v>0</v>
      </c>
    </row>
    <row r="382" spans="1:27" ht="27" hidden="1" customHeight="1">
      <c r="A382" s="583"/>
      <c r="B382" s="583">
        <v>903</v>
      </c>
      <c r="C382" s="581">
        <v>8</v>
      </c>
      <c r="D382" s="582" t="s">
        <v>1020</v>
      </c>
      <c r="E382" s="1138" t="s">
        <v>1021</v>
      </c>
      <c r="F382" s="1829">
        <v>40099341179</v>
      </c>
      <c r="G382" s="2078">
        <v>-40099341179</v>
      </c>
      <c r="H382" s="2078"/>
      <c r="I382" s="2080"/>
      <c r="J382" s="2081"/>
      <c r="K382" s="2080"/>
      <c r="L382" s="2066"/>
      <c r="M382" s="2066"/>
      <c r="N382" s="2066"/>
      <c r="O382" s="2080"/>
      <c r="P382" s="2066"/>
      <c r="Q382" s="2066"/>
      <c r="R382" s="2065"/>
      <c r="S382" s="2065"/>
      <c r="T382" s="1096">
        <f t="shared" si="43"/>
        <v>0</v>
      </c>
      <c r="U382" s="599">
        <v>0</v>
      </c>
      <c r="V382" s="1407">
        <f t="shared" si="51"/>
        <v>0</v>
      </c>
      <c r="W382" s="599">
        <f t="shared" si="44"/>
        <v>0</v>
      </c>
      <c r="X382" s="620"/>
      <c r="Y382" s="621"/>
      <c r="Z382" s="1096">
        <f t="shared" si="49"/>
        <v>0</v>
      </c>
      <c r="AA382" s="882">
        <f t="shared" si="50"/>
        <v>0</v>
      </c>
    </row>
    <row r="383" spans="1:27" ht="27" hidden="1" customHeight="1">
      <c r="A383" s="583"/>
      <c r="B383" s="583">
        <v>902</v>
      </c>
      <c r="C383" s="581">
        <v>8</v>
      </c>
      <c r="D383" s="582" t="s">
        <v>1010</v>
      </c>
      <c r="E383" s="1138" t="s">
        <v>1011</v>
      </c>
      <c r="F383" s="1830">
        <v>-1883449755708</v>
      </c>
      <c r="G383" s="2078">
        <v>-313734456232</v>
      </c>
      <c r="H383" s="2078"/>
      <c r="I383" s="2066">
        <v>-993976356776</v>
      </c>
      <c r="J383" s="2081"/>
      <c r="K383" s="2066">
        <v>473013591699</v>
      </c>
      <c r="L383" s="2066"/>
      <c r="M383" s="2066"/>
      <c r="N383" s="2066"/>
      <c r="O383" s="2080"/>
      <c r="P383" s="2066"/>
      <c r="Q383" s="2066"/>
      <c r="R383" s="2065"/>
      <c r="S383" s="2065"/>
      <c r="T383" s="1096">
        <f t="shared" si="43"/>
        <v>-2718146977017</v>
      </c>
      <c r="U383" s="599">
        <v>0</v>
      </c>
      <c r="V383" s="1407">
        <f t="shared" si="51"/>
        <v>-2718147</v>
      </c>
      <c r="W383" s="599">
        <f t="shared" si="44"/>
        <v>0</v>
      </c>
      <c r="X383" s="620"/>
      <c r="Y383" s="621"/>
      <c r="Z383" s="1096">
        <f t="shared" si="49"/>
        <v>-2718146977017</v>
      </c>
      <c r="AA383" s="882">
        <f t="shared" si="50"/>
        <v>-2718147</v>
      </c>
    </row>
    <row r="384" spans="1:27" ht="27" hidden="1" customHeight="1">
      <c r="A384" s="583"/>
      <c r="B384" s="583">
        <v>902</v>
      </c>
      <c r="C384" s="581">
        <v>8</v>
      </c>
      <c r="D384" s="582" t="s">
        <v>1667</v>
      </c>
      <c r="E384" s="1138" t="s">
        <v>2138</v>
      </c>
      <c r="F384" s="1829"/>
      <c r="G384" s="2075"/>
      <c r="H384" s="2078"/>
      <c r="I384" s="2066"/>
      <c r="J384" s="2066"/>
      <c r="K384" s="2066"/>
      <c r="L384" s="2066"/>
      <c r="M384" s="2066"/>
      <c r="N384" s="2066"/>
      <c r="O384" s="2080"/>
      <c r="P384" s="2066"/>
      <c r="Q384" s="2066"/>
      <c r="R384" s="2065"/>
      <c r="S384" s="2065"/>
      <c r="T384" s="1096">
        <f t="shared" si="43"/>
        <v>0</v>
      </c>
      <c r="U384" s="599">
        <v>0</v>
      </c>
      <c r="V384" s="1407">
        <f t="shared" si="51"/>
        <v>0</v>
      </c>
      <c r="W384" s="599">
        <f t="shared" si="44"/>
        <v>0</v>
      </c>
      <c r="X384" s="620"/>
      <c r="Y384" s="621"/>
      <c r="Z384" s="1096">
        <f t="shared" si="49"/>
        <v>0</v>
      </c>
      <c r="AA384" s="882">
        <f t="shared" si="50"/>
        <v>0</v>
      </c>
    </row>
    <row r="385" spans="1:27" ht="27" hidden="1" customHeight="1">
      <c r="A385" s="583"/>
      <c r="B385" s="583">
        <v>903</v>
      </c>
      <c r="C385" s="581">
        <v>8</v>
      </c>
      <c r="D385" s="582" t="s">
        <v>1253</v>
      </c>
      <c r="E385" s="1138" t="s">
        <v>2139</v>
      </c>
      <c r="F385" s="1830">
        <v>-3065148</v>
      </c>
      <c r="G385" s="2075"/>
      <c r="H385" s="2078"/>
      <c r="I385" s="2066"/>
      <c r="J385" s="2066"/>
      <c r="K385" s="2066"/>
      <c r="L385" s="2066"/>
      <c r="M385" s="2066"/>
      <c r="N385" s="2066"/>
      <c r="O385" s="2080"/>
      <c r="P385" s="2066"/>
      <c r="Q385" s="2066"/>
      <c r="R385" s="2065"/>
      <c r="S385" s="2065"/>
      <c r="T385" s="1096">
        <f t="shared" si="43"/>
        <v>-3065148</v>
      </c>
      <c r="U385" s="599">
        <v>0</v>
      </c>
      <c r="V385" s="1407">
        <f t="shared" si="51"/>
        <v>-3</v>
      </c>
      <c r="W385" s="599">
        <f t="shared" si="44"/>
        <v>0</v>
      </c>
      <c r="X385" s="620"/>
      <c r="Y385" s="621"/>
      <c r="Z385" s="1096">
        <f t="shared" si="49"/>
        <v>-3065148</v>
      </c>
      <c r="AA385" s="882">
        <f t="shared" si="50"/>
        <v>-3</v>
      </c>
    </row>
    <row r="386" spans="1:27" ht="27" hidden="1" customHeight="1">
      <c r="A386" s="583"/>
      <c r="B386" s="583">
        <v>902</v>
      </c>
      <c r="C386" s="581">
        <v>8</v>
      </c>
      <c r="D386" s="582" t="s">
        <v>1123</v>
      </c>
      <c r="E386" s="1138" t="s">
        <v>1124</v>
      </c>
      <c r="F386" s="1830">
        <v>-89442504668</v>
      </c>
      <c r="G386" s="2075">
        <v>-1388221366</v>
      </c>
      <c r="H386" s="2078"/>
      <c r="I386" s="2065"/>
      <c r="J386" s="2066"/>
      <c r="K386" s="2065"/>
      <c r="L386" s="2065"/>
      <c r="M386" s="2065"/>
      <c r="N386" s="2065"/>
      <c r="O386" s="2080"/>
      <c r="P386" s="2066"/>
      <c r="Q386" s="2065"/>
      <c r="R386" s="2065"/>
      <c r="S386" s="2065"/>
      <c r="T386" s="1096">
        <f t="shared" si="43"/>
        <v>-90830726034</v>
      </c>
      <c r="U386" s="599">
        <v>0</v>
      </c>
      <c r="V386" s="1407">
        <f t="shared" si="51"/>
        <v>-90831</v>
      </c>
      <c r="W386" s="599">
        <f t="shared" si="44"/>
        <v>0</v>
      </c>
      <c r="X386" s="620"/>
      <c r="Y386" s="621"/>
      <c r="Z386" s="1096">
        <f t="shared" si="49"/>
        <v>-90830726034</v>
      </c>
      <c r="AA386" s="882">
        <f t="shared" si="50"/>
        <v>-90831</v>
      </c>
    </row>
    <row r="387" spans="1:27" ht="27" hidden="1" customHeight="1">
      <c r="A387" s="583"/>
      <c r="B387" s="583"/>
      <c r="C387" s="581">
        <v>8</v>
      </c>
      <c r="D387" s="582" t="s">
        <v>1254</v>
      </c>
      <c r="E387" s="1138" t="s">
        <v>1255</v>
      </c>
      <c r="F387" s="1826"/>
      <c r="G387" s="2075"/>
      <c r="H387" s="2078"/>
      <c r="I387" s="2065"/>
      <c r="J387" s="2066"/>
      <c r="K387" s="2065"/>
      <c r="L387" s="2065"/>
      <c r="M387" s="2065"/>
      <c r="N387" s="2065"/>
      <c r="O387" s="2066"/>
      <c r="P387" s="2066"/>
      <c r="Q387" s="2065"/>
      <c r="R387" s="2065"/>
      <c r="S387" s="2065"/>
      <c r="T387" s="1096">
        <f t="shared" si="43"/>
        <v>0</v>
      </c>
      <c r="U387" s="599">
        <v>0</v>
      </c>
      <c r="V387" s="1407">
        <f t="shared" si="51"/>
        <v>0</v>
      </c>
      <c r="W387" s="599">
        <f t="shared" si="44"/>
        <v>0</v>
      </c>
      <c r="X387" s="620"/>
      <c r="Y387" s="621"/>
      <c r="Z387" s="1096">
        <f t="shared" si="49"/>
        <v>0</v>
      </c>
      <c r="AA387" s="882">
        <f t="shared" si="50"/>
        <v>0</v>
      </c>
    </row>
    <row r="388" spans="1:27" ht="27" hidden="1" customHeight="1">
      <c r="A388" s="583"/>
      <c r="B388" s="583">
        <v>902</v>
      </c>
      <c r="C388" s="581">
        <v>8</v>
      </c>
      <c r="D388" s="582" t="s">
        <v>1125</v>
      </c>
      <c r="E388" s="1138" t="s">
        <v>1126</v>
      </c>
      <c r="F388" s="1830">
        <v>-39329996683</v>
      </c>
      <c r="G388" s="2078">
        <v>-1508829480</v>
      </c>
      <c r="H388" s="2078"/>
      <c r="I388" s="2065">
        <v>833082403</v>
      </c>
      <c r="J388" s="2081">
        <v>-12209316</v>
      </c>
      <c r="K388" s="2065"/>
      <c r="L388" s="2065"/>
      <c r="M388" s="2065"/>
      <c r="N388" s="2065"/>
      <c r="O388" s="2080"/>
      <c r="P388" s="2066"/>
      <c r="Q388" s="2065"/>
      <c r="R388" s="2065"/>
      <c r="S388" s="2065"/>
      <c r="T388" s="1096">
        <f t="shared" si="43"/>
        <v>-40017953076</v>
      </c>
      <c r="U388" s="599">
        <v>0</v>
      </c>
      <c r="V388" s="1407">
        <f t="shared" si="51"/>
        <v>-40018</v>
      </c>
      <c r="W388" s="599">
        <f t="shared" si="44"/>
        <v>0</v>
      </c>
      <c r="X388" s="620"/>
      <c r="Y388" s="621"/>
      <c r="Z388" s="1096">
        <f t="shared" si="49"/>
        <v>-40017953076</v>
      </c>
      <c r="AA388" s="882">
        <f t="shared" si="50"/>
        <v>-40018</v>
      </c>
    </row>
    <row r="389" spans="1:27" ht="27" hidden="1" customHeight="1">
      <c r="A389" s="583"/>
      <c r="B389" s="583">
        <v>902</v>
      </c>
      <c r="C389" s="581">
        <v>8</v>
      </c>
      <c r="D389" s="582" t="s">
        <v>1200</v>
      </c>
      <c r="E389" s="1138" t="s">
        <v>1201</v>
      </c>
      <c r="F389" s="1826"/>
      <c r="G389" s="2075"/>
      <c r="H389" s="2078"/>
      <c r="I389" s="2065"/>
      <c r="J389" s="2066"/>
      <c r="K389" s="2065"/>
      <c r="L389" s="2065"/>
      <c r="M389" s="2065"/>
      <c r="N389" s="2065"/>
      <c r="O389" s="2066"/>
      <c r="P389" s="2066"/>
      <c r="Q389" s="2065"/>
      <c r="R389" s="2065"/>
      <c r="S389" s="2065"/>
      <c r="T389" s="1096">
        <f t="shared" si="43"/>
        <v>0</v>
      </c>
      <c r="U389" s="599">
        <v>0</v>
      </c>
      <c r="V389" s="1407">
        <f t="shared" si="51"/>
        <v>0</v>
      </c>
      <c r="W389" s="599">
        <f t="shared" si="44"/>
        <v>0</v>
      </c>
      <c r="X389" s="620"/>
      <c r="Y389" s="621"/>
      <c r="Z389" s="1096">
        <f t="shared" si="49"/>
        <v>0</v>
      </c>
      <c r="AA389" s="882">
        <f t="shared" si="50"/>
        <v>0</v>
      </c>
    </row>
    <row r="390" spans="1:27" ht="27" hidden="1" customHeight="1">
      <c r="A390" s="583"/>
      <c r="B390" s="583">
        <v>902</v>
      </c>
      <c r="C390" s="581">
        <v>8</v>
      </c>
      <c r="D390" s="582" t="s">
        <v>151</v>
      </c>
      <c r="E390" s="1138" t="s">
        <v>915</v>
      </c>
      <c r="F390" s="599">
        <v>-27546112354352</v>
      </c>
      <c r="G390" s="2075"/>
      <c r="H390" s="2078"/>
      <c r="I390" s="2065"/>
      <c r="J390" s="2066"/>
      <c r="K390" s="2065"/>
      <c r="L390" s="2065"/>
      <c r="M390" s="2065"/>
      <c r="N390" s="2065"/>
      <c r="O390" s="2080"/>
      <c r="P390" s="2066"/>
      <c r="Q390" s="2065"/>
      <c r="R390" s="2065"/>
      <c r="S390" s="2065"/>
      <c r="T390" s="1096">
        <f t="shared" si="43"/>
        <v>-27546112354352</v>
      </c>
      <c r="U390" s="599">
        <v>-27546112354352</v>
      </c>
      <c r="V390" s="1407">
        <f t="shared" si="51"/>
        <v>-27546112</v>
      </c>
      <c r="W390" s="599">
        <f t="shared" si="44"/>
        <v>-27546112</v>
      </c>
      <c r="X390" s="620"/>
      <c r="Y390" s="621"/>
      <c r="Z390" s="1096">
        <f t="shared" si="49"/>
        <v>-27546112354352</v>
      </c>
      <c r="AA390" s="882">
        <f t="shared" si="50"/>
        <v>-27546112</v>
      </c>
    </row>
    <row r="391" spans="1:27" ht="27" hidden="1" customHeight="1">
      <c r="A391" s="583"/>
      <c r="B391" s="583"/>
      <c r="C391" s="581">
        <v>8</v>
      </c>
      <c r="D391" s="582" t="s">
        <v>1256</v>
      </c>
      <c r="E391" s="1138" t="s">
        <v>1257</v>
      </c>
      <c r="F391" s="1826"/>
      <c r="G391" s="2075"/>
      <c r="H391" s="2078"/>
      <c r="I391" s="2065"/>
      <c r="J391" s="2066"/>
      <c r="K391" s="2065"/>
      <c r="L391" s="2065"/>
      <c r="M391" s="2065"/>
      <c r="N391" s="2065"/>
      <c r="O391" s="2066"/>
      <c r="P391" s="2066"/>
      <c r="Q391" s="2065"/>
      <c r="R391" s="2065"/>
      <c r="S391" s="2065"/>
      <c r="T391" s="1096">
        <f t="shared" si="43"/>
        <v>0</v>
      </c>
      <c r="U391" s="599">
        <v>0</v>
      </c>
      <c r="V391" s="1407">
        <f t="shared" si="51"/>
        <v>0</v>
      </c>
      <c r="W391" s="599">
        <f t="shared" si="44"/>
        <v>0</v>
      </c>
      <c r="X391" s="620"/>
      <c r="Y391" s="621"/>
      <c r="Z391" s="1096">
        <f t="shared" si="49"/>
        <v>0</v>
      </c>
      <c r="AA391" s="882">
        <f t="shared" si="50"/>
        <v>0</v>
      </c>
    </row>
    <row r="392" spans="1:27" ht="27" hidden="1" customHeight="1">
      <c r="A392" s="583"/>
      <c r="B392" s="583">
        <v>902</v>
      </c>
      <c r="C392" s="581">
        <v>8</v>
      </c>
      <c r="D392" s="582" t="s">
        <v>1127</v>
      </c>
      <c r="E392" s="1138" t="s">
        <v>1128</v>
      </c>
      <c r="F392" s="1830">
        <v>-23960848218</v>
      </c>
      <c r="G392" s="2075">
        <v>-38193278</v>
      </c>
      <c r="H392" s="2078"/>
      <c r="I392" s="2065"/>
      <c r="J392" s="2066"/>
      <c r="K392" s="2065"/>
      <c r="L392" s="2065"/>
      <c r="M392" s="2065"/>
      <c r="N392" s="2065"/>
      <c r="O392" s="2080"/>
      <c r="P392" s="2066"/>
      <c r="Q392" s="2065"/>
      <c r="R392" s="2065"/>
      <c r="S392" s="2065"/>
      <c r="T392" s="1096">
        <f t="shared" si="43"/>
        <v>-23999041496</v>
      </c>
      <c r="U392" s="599">
        <v>0</v>
      </c>
      <c r="V392" s="1407">
        <f t="shared" si="51"/>
        <v>-23999</v>
      </c>
      <c r="W392" s="599">
        <f t="shared" si="44"/>
        <v>0</v>
      </c>
      <c r="X392" s="620"/>
      <c r="Y392" s="621"/>
      <c r="Z392" s="1096">
        <f t="shared" si="49"/>
        <v>-23999041496</v>
      </c>
      <c r="AA392" s="882">
        <f t="shared" si="50"/>
        <v>-23999</v>
      </c>
    </row>
    <row r="393" spans="1:27" ht="27" hidden="1" customHeight="1">
      <c r="A393" s="583"/>
      <c r="B393" s="583">
        <v>903</v>
      </c>
      <c r="C393" s="581">
        <v>8</v>
      </c>
      <c r="D393" s="582" t="s">
        <v>509</v>
      </c>
      <c r="E393" s="1138" t="s">
        <v>922</v>
      </c>
      <c r="F393" s="1830">
        <v>-1362264036591</v>
      </c>
      <c r="G393" s="2075"/>
      <c r="H393" s="2078"/>
      <c r="I393" s="2065">
        <v>5871049</v>
      </c>
      <c r="J393" s="2066"/>
      <c r="K393" s="2065"/>
      <c r="L393" s="2065"/>
      <c r="M393" s="2065"/>
      <c r="N393" s="2065"/>
      <c r="O393" s="2080"/>
      <c r="P393" s="2066"/>
      <c r="Q393" s="2065"/>
      <c r="R393" s="2065"/>
      <c r="S393" s="2065"/>
      <c r="T393" s="1096">
        <f t="shared" si="43"/>
        <v>-1362258165542</v>
      </c>
      <c r="U393" s="599">
        <v>-1362258165542</v>
      </c>
      <c r="V393" s="1407">
        <f t="shared" si="51"/>
        <v>-1362258</v>
      </c>
      <c r="W393" s="599">
        <f t="shared" si="44"/>
        <v>-1362258</v>
      </c>
      <c r="X393" s="620"/>
      <c r="Y393" s="621"/>
      <c r="Z393" s="1096">
        <f t="shared" si="49"/>
        <v>-1362258165542</v>
      </c>
      <c r="AA393" s="882">
        <f t="shared" si="50"/>
        <v>-1362258</v>
      </c>
    </row>
    <row r="394" spans="1:27" ht="27" hidden="1" customHeight="1">
      <c r="A394" s="583"/>
      <c r="B394" s="583">
        <v>903</v>
      </c>
      <c r="C394" s="581">
        <v>8</v>
      </c>
      <c r="D394" s="582" t="s">
        <v>1129</v>
      </c>
      <c r="E394" s="1138" t="s">
        <v>1134</v>
      </c>
      <c r="F394" s="1830">
        <v>-288035910923</v>
      </c>
      <c r="G394" s="2078">
        <v>-7671670850</v>
      </c>
      <c r="H394" s="2078"/>
      <c r="I394" s="2065">
        <v>-356255516</v>
      </c>
      <c r="J394" s="2081">
        <v>12209316</v>
      </c>
      <c r="K394" s="2065">
        <v>-67229857349</v>
      </c>
      <c r="L394" s="2065"/>
      <c r="M394" s="2065"/>
      <c r="N394" s="2065"/>
      <c r="O394" s="2080"/>
      <c r="P394" s="2066"/>
      <c r="Q394" s="2065"/>
      <c r="R394" s="2065"/>
      <c r="S394" s="2065"/>
      <c r="T394" s="1096">
        <f t="shared" si="43"/>
        <v>-363281485322</v>
      </c>
      <c r="U394" s="599">
        <v>0</v>
      </c>
      <c r="V394" s="1407">
        <f t="shared" si="51"/>
        <v>-363281</v>
      </c>
      <c r="W394" s="599">
        <f t="shared" si="44"/>
        <v>0</v>
      </c>
      <c r="X394" s="620"/>
      <c r="Y394" s="621"/>
      <c r="Z394" s="1096">
        <f t="shared" si="49"/>
        <v>-363281485322</v>
      </c>
      <c r="AA394" s="882">
        <f t="shared" si="50"/>
        <v>-363281</v>
      </c>
    </row>
    <row r="395" spans="1:27" ht="27" hidden="1" customHeight="1">
      <c r="A395" s="583"/>
      <c r="B395" s="583">
        <v>903</v>
      </c>
      <c r="C395" s="581">
        <v>8</v>
      </c>
      <c r="D395" s="582" t="s">
        <v>1130</v>
      </c>
      <c r="E395" s="1138" t="s">
        <v>1132</v>
      </c>
      <c r="F395" s="2058">
        <v>2450198562</v>
      </c>
      <c r="G395" s="2078"/>
      <c r="H395" s="2078"/>
      <c r="I395" s="2065">
        <v>-5871049</v>
      </c>
      <c r="J395" s="2081"/>
      <c r="K395" s="2065"/>
      <c r="L395" s="2065"/>
      <c r="M395" s="2065"/>
      <c r="N395" s="2080"/>
      <c r="O395" s="2080"/>
      <c r="P395" s="2066"/>
      <c r="Q395" s="2065"/>
      <c r="R395" s="2065"/>
      <c r="S395" s="2065"/>
      <c r="T395" s="1096">
        <f t="shared" si="43"/>
        <v>2444327513</v>
      </c>
      <c r="U395" s="599">
        <v>0</v>
      </c>
      <c r="V395" s="1407">
        <f t="shared" si="51"/>
        <v>2444</v>
      </c>
      <c r="W395" s="599">
        <f t="shared" si="44"/>
        <v>0</v>
      </c>
      <c r="X395" s="620"/>
      <c r="Y395" s="621"/>
      <c r="Z395" s="1096">
        <f t="shared" si="49"/>
        <v>2444327513</v>
      </c>
      <c r="AA395" s="882">
        <f t="shared" si="50"/>
        <v>2444</v>
      </c>
    </row>
    <row r="396" spans="1:27" ht="27" hidden="1" customHeight="1">
      <c r="A396" s="583"/>
      <c r="B396" s="583"/>
      <c r="C396" s="581">
        <v>8</v>
      </c>
      <c r="D396" s="582" t="s">
        <v>1131</v>
      </c>
      <c r="E396" s="1138" t="s">
        <v>1133</v>
      </c>
      <c r="F396" s="1826"/>
      <c r="G396" s="2075"/>
      <c r="H396" s="2078"/>
      <c r="I396" s="2065"/>
      <c r="J396" s="2066"/>
      <c r="K396" s="2065"/>
      <c r="L396" s="2065"/>
      <c r="M396" s="2065"/>
      <c r="N396" s="2065"/>
      <c r="O396" s="2066"/>
      <c r="P396" s="2066"/>
      <c r="Q396" s="2065"/>
      <c r="R396" s="2065"/>
      <c r="S396" s="2065"/>
      <c r="T396" s="1096">
        <f t="shared" si="43"/>
        <v>0</v>
      </c>
      <c r="U396" s="599">
        <v>0</v>
      </c>
      <c r="V396" s="1407">
        <f t="shared" si="51"/>
        <v>0</v>
      </c>
      <c r="W396" s="599">
        <f t="shared" si="44"/>
        <v>0</v>
      </c>
      <c r="X396" s="620"/>
      <c r="Y396" s="621"/>
      <c r="Z396" s="1096">
        <f t="shared" si="49"/>
        <v>0</v>
      </c>
      <c r="AA396" s="882">
        <f t="shared" si="50"/>
        <v>0</v>
      </c>
    </row>
    <row r="397" spans="1:27" ht="27" hidden="1" customHeight="1">
      <c r="A397" s="583"/>
      <c r="B397" s="583">
        <v>905</v>
      </c>
      <c r="C397" s="581">
        <v>8</v>
      </c>
      <c r="D397" s="582" t="s">
        <v>287</v>
      </c>
      <c r="E397" s="1138" t="s">
        <v>919</v>
      </c>
      <c r="F397" s="2058">
        <v>-681556838500</v>
      </c>
      <c r="G397" s="2075"/>
      <c r="H397" s="2078"/>
      <c r="I397" s="2065"/>
      <c r="J397" s="2066">
        <v>-906225814</v>
      </c>
      <c r="K397" s="2065"/>
      <c r="L397" s="2065"/>
      <c r="M397" s="2065"/>
      <c r="N397" s="2065"/>
      <c r="O397" s="2080"/>
      <c r="P397" s="2066"/>
      <c r="Q397" s="2065"/>
      <c r="R397" s="2065"/>
      <c r="S397" s="2065"/>
      <c r="T397" s="1096">
        <f t="shared" ref="T397:T460" si="52">SUM(F397:S397)</f>
        <v>-682463064314</v>
      </c>
      <c r="U397" s="599">
        <v>-682463064314</v>
      </c>
      <c r="V397" s="1407">
        <f t="shared" si="51"/>
        <v>-682463</v>
      </c>
      <c r="W397" s="599">
        <f t="shared" si="44"/>
        <v>-682463</v>
      </c>
      <c r="X397" s="620"/>
      <c r="Y397" s="621"/>
      <c r="Z397" s="1096">
        <f t="shared" ref="Z397:Z428" si="53">T397+Y397-X397</f>
        <v>-682463064314</v>
      </c>
      <c r="AA397" s="882">
        <f t="shared" ref="AA397:AA428" si="54">ROUND((Z397/1000000),0)</f>
        <v>-682463</v>
      </c>
    </row>
    <row r="398" spans="1:27" ht="27" hidden="1" customHeight="1">
      <c r="A398" s="583"/>
      <c r="B398" s="583">
        <v>905</v>
      </c>
      <c r="C398" s="581">
        <v>8</v>
      </c>
      <c r="D398" s="582" t="s">
        <v>1135</v>
      </c>
      <c r="E398" s="1138" t="s">
        <v>1137</v>
      </c>
      <c r="F398" s="1826">
        <v>-96140213594</v>
      </c>
      <c r="G398" s="2078">
        <v>-10267522605</v>
      </c>
      <c r="H398" s="2078"/>
      <c r="I398" s="2065">
        <v>116035920</v>
      </c>
      <c r="J398" s="2081">
        <v>906225814</v>
      </c>
      <c r="K398" s="2065">
        <v>-57539349528</v>
      </c>
      <c r="L398" s="2065"/>
      <c r="M398" s="2065"/>
      <c r="N398" s="2065"/>
      <c r="O398" s="2080"/>
      <c r="P398" s="2066"/>
      <c r="Q398" s="2065"/>
      <c r="R398" s="2065"/>
      <c r="S398" s="2065"/>
      <c r="T398" s="1096">
        <f t="shared" si="52"/>
        <v>-162924823993</v>
      </c>
      <c r="U398" s="599">
        <v>0</v>
      </c>
      <c r="V398" s="1407">
        <f t="shared" si="51"/>
        <v>-162925</v>
      </c>
      <c r="W398" s="599">
        <f t="shared" si="44"/>
        <v>0</v>
      </c>
      <c r="X398" s="620"/>
      <c r="Y398" s="621"/>
      <c r="Z398" s="1096">
        <f t="shared" si="53"/>
        <v>-162924823993</v>
      </c>
      <c r="AA398" s="882">
        <f t="shared" si="54"/>
        <v>-162925</v>
      </c>
    </row>
    <row r="399" spans="1:27" ht="27" hidden="1" customHeight="1">
      <c r="A399" s="583"/>
      <c r="B399" s="583">
        <v>905</v>
      </c>
      <c r="C399" s="581">
        <v>8</v>
      </c>
      <c r="D399" s="582" t="s">
        <v>1136</v>
      </c>
      <c r="E399" s="1138" t="s">
        <v>1138</v>
      </c>
      <c r="F399" s="2058">
        <v>1059225814</v>
      </c>
      <c r="G399" s="2078"/>
      <c r="H399" s="2078"/>
      <c r="I399" s="2065"/>
      <c r="J399" s="2081"/>
      <c r="K399" s="2065"/>
      <c r="L399" s="2065"/>
      <c r="M399" s="2065"/>
      <c r="N399" s="2065"/>
      <c r="O399" s="2080"/>
      <c r="P399" s="2066"/>
      <c r="Q399" s="2065"/>
      <c r="R399" s="2065"/>
      <c r="S399" s="2065"/>
      <c r="T399" s="1096">
        <f t="shared" si="52"/>
        <v>1059225814</v>
      </c>
      <c r="U399" s="599">
        <v>0</v>
      </c>
      <c r="V399" s="1407">
        <f t="shared" si="51"/>
        <v>1059</v>
      </c>
      <c r="W399" s="599">
        <f t="shared" ref="W399:W462" si="55">ROUND((U399/1000000),0)</f>
        <v>0</v>
      </c>
      <c r="X399" s="620"/>
      <c r="Y399" s="621"/>
      <c r="Z399" s="1096">
        <f t="shared" si="53"/>
        <v>1059225814</v>
      </c>
      <c r="AA399" s="882">
        <f t="shared" si="54"/>
        <v>1059</v>
      </c>
    </row>
    <row r="400" spans="1:27" ht="27" hidden="1" customHeight="1">
      <c r="A400" s="583"/>
      <c r="B400" s="583"/>
      <c r="C400" s="581">
        <v>8</v>
      </c>
      <c r="D400" s="582" t="s">
        <v>1022</v>
      </c>
      <c r="E400" s="1138" t="s">
        <v>1023</v>
      </c>
      <c r="F400" s="1826"/>
      <c r="G400" s="2075"/>
      <c r="H400" s="2078"/>
      <c r="I400" s="2065"/>
      <c r="J400" s="2066"/>
      <c r="K400" s="2065"/>
      <c r="L400" s="2065"/>
      <c r="M400" s="2065"/>
      <c r="N400" s="2065"/>
      <c r="O400" s="2066"/>
      <c r="P400" s="2066"/>
      <c r="Q400" s="2065"/>
      <c r="R400" s="2065"/>
      <c r="S400" s="2065"/>
      <c r="T400" s="1096">
        <f t="shared" si="52"/>
        <v>0</v>
      </c>
      <c r="U400" s="599">
        <v>0</v>
      </c>
      <c r="V400" s="1407">
        <f t="shared" si="51"/>
        <v>0</v>
      </c>
      <c r="W400" s="599">
        <f t="shared" si="55"/>
        <v>0</v>
      </c>
      <c r="X400" s="620"/>
      <c r="Y400" s="621"/>
      <c r="Z400" s="1096">
        <f t="shared" si="53"/>
        <v>0</v>
      </c>
      <c r="AA400" s="882">
        <f t="shared" si="54"/>
        <v>0</v>
      </c>
    </row>
    <row r="401" spans="1:27" ht="27" hidden="1" customHeight="1">
      <c r="A401" s="583"/>
      <c r="B401" s="583">
        <v>904</v>
      </c>
      <c r="C401" s="581">
        <v>8</v>
      </c>
      <c r="D401" s="582" t="s">
        <v>289</v>
      </c>
      <c r="E401" s="1138" t="s">
        <v>917</v>
      </c>
      <c r="F401" s="599">
        <v>-431179887348</v>
      </c>
      <c r="G401" s="2075"/>
      <c r="H401" s="2078"/>
      <c r="I401" s="2065"/>
      <c r="J401" s="2066"/>
      <c r="K401" s="2065"/>
      <c r="L401" s="2065"/>
      <c r="M401" s="2065"/>
      <c r="N401" s="2065"/>
      <c r="O401" s="2080"/>
      <c r="P401" s="2066"/>
      <c r="Q401" s="2065"/>
      <c r="R401" s="2065"/>
      <c r="S401" s="2065"/>
      <c r="T401" s="1096">
        <f t="shared" si="52"/>
        <v>-431179887348</v>
      </c>
      <c r="U401" s="599">
        <v>-431179887348</v>
      </c>
      <c r="V401" s="1407">
        <f t="shared" si="51"/>
        <v>-431180</v>
      </c>
      <c r="W401" s="599">
        <f t="shared" si="55"/>
        <v>-431180</v>
      </c>
      <c r="X401" s="620"/>
      <c r="Y401" s="621"/>
      <c r="Z401" s="1096">
        <f t="shared" si="53"/>
        <v>-431179887348</v>
      </c>
      <c r="AA401" s="882">
        <f t="shared" si="54"/>
        <v>-431180</v>
      </c>
    </row>
    <row r="402" spans="1:27" ht="27" hidden="1" customHeight="1">
      <c r="A402" s="583"/>
      <c r="B402" s="583">
        <v>904</v>
      </c>
      <c r="C402" s="581">
        <v>8</v>
      </c>
      <c r="D402" s="582" t="s">
        <v>1139</v>
      </c>
      <c r="E402" s="1138" t="s">
        <v>1142</v>
      </c>
      <c r="F402" s="2058">
        <v>-89784789486</v>
      </c>
      <c r="G402" s="2078">
        <v>-892378178</v>
      </c>
      <c r="H402" s="2078"/>
      <c r="I402" s="2065">
        <v>3700000</v>
      </c>
      <c r="J402" s="2081"/>
      <c r="K402" s="2080">
        <v>-4554064299</v>
      </c>
      <c r="L402" s="2065"/>
      <c r="M402" s="2065"/>
      <c r="N402" s="2065"/>
      <c r="O402" s="2080"/>
      <c r="P402" s="2066"/>
      <c r="Q402" s="2065"/>
      <c r="R402" s="2065"/>
      <c r="S402" s="2065"/>
      <c r="T402" s="1096">
        <f t="shared" si="52"/>
        <v>-95227531963</v>
      </c>
      <c r="U402" s="599">
        <v>0</v>
      </c>
      <c r="V402" s="1407">
        <f t="shared" si="51"/>
        <v>-95228</v>
      </c>
      <c r="W402" s="599">
        <f t="shared" si="55"/>
        <v>0</v>
      </c>
      <c r="X402" s="620"/>
      <c r="Y402" s="621"/>
      <c r="Z402" s="1096">
        <f t="shared" si="53"/>
        <v>-95227531963</v>
      </c>
      <c r="AA402" s="882">
        <f t="shared" si="54"/>
        <v>-95228</v>
      </c>
    </row>
    <row r="403" spans="1:27" ht="27" hidden="1" customHeight="1">
      <c r="A403" s="583"/>
      <c r="B403" s="583">
        <v>904</v>
      </c>
      <c r="C403" s="581">
        <v>8</v>
      </c>
      <c r="D403" s="582" t="s">
        <v>1140</v>
      </c>
      <c r="E403" s="1138" t="s">
        <v>1143</v>
      </c>
      <c r="F403" s="2058">
        <v>1724197133</v>
      </c>
      <c r="G403" s="2078"/>
      <c r="H403" s="2078"/>
      <c r="I403" s="2065"/>
      <c r="J403" s="2081"/>
      <c r="K403" s="2080"/>
      <c r="L403" s="2065"/>
      <c r="M403" s="2065"/>
      <c r="N403" s="2065"/>
      <c r="O403" s="2080"/>
      <c r="P403" s="2066"/>
      <c r="Q403" s="2065"/>
      <c r="R403" s="2065"/>
      <c r="S403" s="2065"/>
      <c r="T403" s="1096">
        <f t="shared" si="52"/>
        <v>1724197133</v>
      </c>
      <c r="U403" s="599">
        <v>0</v>
      </c>
      <c r="V403" s="1407">
        <f t="shared" si="51"/>
        <v>1724</v>
      </c>
      <c r="W403" s="599">
        <f t="shared" si="55"/>
        <v>0</v>
      </c>
      <c r="X403" s="620"/>
      <c r="Y403" s="621"/>
      <c r="Z403" s="1096">
        <f t="shared" si="53"/>
        <v>1724197133</v>
      </c>
      <c r="AA403" s="882">
        <f t="shared" si="54"/>
        <v>1724</v>
      </c>
    </row>
    <row r="404" spans="1:27" ht="27" hidden="1" customHeight="1">
      <c r="A404" s="583"/>
      <c r="B404" s="583">
        <v>904</v>
      </c>
      <c r="C404" s="581">
        <v>8</v>
      </c>
      <c r="D404" s="582" t="s">
        <v>1141</v>
      </c>
      <c r="E404" s="1138" t="s">
        <v>1144</v>
      </c>
      <c r="F404" s="1826"/>
      <c r="G404" s="2075"/>
      <c r="H404" s="2078"/>
      <c r="I404" s="2065"/>
      <c r="J404" s="2066"/>
      <c r="K404" s="2065"/>
      <c r="L404" s="2065"/>
      <c r="M404" s="2065"/>
      <c r="N404" s="2065"/>
      <c r="O404" s="2066"/>
      <c r="P404" s="2066"/>
      <c r="Q404" s="2065"/>
      <c r="R404" s="2065"/>
      <c r="S404" s="2065"/>
      <c r="T404" s="1096">
        <f t="shared" si="52"/>
        <v>0</v>
      </c>
      <c r="U404" s="599">
        <v>0</v>
      </c>
      <c r="V404" s="1407">
        <f t="shared" si="51"/>
        <v>0</v>
      </c>
      <c r="W404" s="599">
        <f t="shared" si="55"/>
        <v>0</v>
      </c>
      <c r="X404" s="620"/>
      <c r="Y404" s="621"/>
      <c r="Z404" s="1096">
        <f t="shared" si="53"/>
        <v>0</v>
      </c>
      <c r="AA404" s="882">
        <f t="shared" si="54"/>
        <v>0</v>
      </c>
    </row>
    <row r="405" spans="1:27" ht="27" hidden="1" customHeight="1">
      <c r="A405" s="583"/>
      <c r="B405" s="583">
        <v>902</v>
      </c>
      <c r="C405" s="581">
        <v>8</v>
      </c>
      <c r="D405" s="582" t="s">
        <v>1145</v>
      </c>
      <c r="E405" s="1138" t="s">
        <v>2140</v>
      </c>
      <c r="F405" s="2058">
        <v>-941512032</v>
      </c>
      <c r="G405" s="2075">
        <v>-934012747</v>
      </c>
      <c r="H405" s="2078"/>
      <c r="I405" s="2065"/>
      <c r="J405" s="2066"/>
      <c r="K405" s="2065"/>
      <c r="L405" s="2065"/>
      <c r="M405" s="2065"/>
      <c r="N405" s="2065"/>
      <c r="O405" s="2080"/>
      <c r="P405" s="2066"/>
      <c r="Q405" s="2065"/>
      <c r="R405" s="2065"/>
      <c r="S405" s="2065"/>
      <c r="T405" s="1096">
        <f t="shared" si="52"/>
        <v>-1875524779</v>
      </c>
      <c r="U405" s="599">
        <v>0</v>
      </c>
      <c r="V405" s="1407">
        <f t="shared" si="51"/>
        <v>-1876</v>
      </c>
      <c r="W405" s="599">
        <f t="shared" si="55"/>
        <v>0</v>
      </c>
      <c r="X405" s="620"/>
      <c r="Y405" s="621"/>
      <c r="Z405" s="1096">
        <f t="shared" si="53"/>
        <v>-1875524779</v>
      </c>
      <c r="AA405" s="882">
        <f t="shared" si="54"/>
        <v>-1876</v>
      </c>
    </row>
    <row r="406" spans="1:27" ht="27" hidden="1" customHeight="1">
      <c r="A406" s="583"/>
      <c r="B406" s="583">
        <v>902</v>
      </c>
      <c r="C406" s="581">
        <v>8</v>
      </c>
      <c r="D406" s="582" t="s">
        <v>1146</v>
      </c>
      <c r="E406" s="1138" t="s">
        <v>2141</v>
      </c>
      <c r="F406" s="2058">
        <v>-811479952</v>
      </c>
      <c r="G406" s="2075"/>
      <c r="H406" s="2078"/>
      <c r="I406" s="2065"/>
      <c r="J406" s="2066"/>
      <c r="K406" s="2065"/>
      <c r="L406" s="2065"/>
      <c r="M406" s="2065"/>
      <c r="N406" s="2065"/>
      <c r="O406" s="2080"/>
      <c r="P406" s="2066"/>
      <c r="Q406" s="2065"/>
      <c r="R406" s="2065"/>
      <c r="S406" s="2065"/>
      <c r="T406" s="1096">
        <f t="shared" si="52"/>
        <v>-811479952</v>
      </c>
      <c r="U406" s="599">
        <v>0</v>
      </c>
      <c r="V406" s="1407">
        <f t="shared" ref="V406:V437" si="56">ROUND((T406/1000000),0)</f>
        <v>-811</v>
      </c>
      <c r="W406" s="599">
        <f t="shared" si="55"/>
        <v>0</v>
      </c>
      <c r="X406" s="620"/>
      <c r="Y406" s="621"/>
      <c r="Z406" s="1096">
        <f t="shared" si="53"/>
        <v>-811479952</v>
      </c>
      <c r="AA406" s="882">
        <f t="shared" si="54"/>
        <v>-811</v>
      </c>
    </row>
    <row r="407" spans="1:27" ht="27" hidden="1" customHeight="1">
      <c r="A407" s="583">
        <v>6587</v>
      </c>
      <c r="B407" s="583">
        <v>906</v>
      </c>
      <c r="C407" s="581">
        <v>8</v>
      </c>
      <c r="D407" s="582" t="s">
        <v>771</v>
      </c>
      <c r="E407" s="1138" t="s">
        <v>773</v>
      </c>
      <c r="F407" s="2058">
        <v>30446898284464</v>
      </c>
      <c r="G407" s="2078">
        <v>-7848060924691</v>
      </c>
      <c r="H407" s="2078">
        <v>22737009363</v>
      </c>
      <c r="I407" s="2080">
        <v>-4610170563841</v>
      </c>
      <c r="J407" s="2080">
        <v>-767895902208</v>
      </c>
      <c r="K407" s="2080">
        <v>23238371936203</v>
      </c>
      <c r="L407" s="2080"/>
      <c r="M407" s="2080"/>
      <c r="N407" s="2065"/>
      <c r="O407" s="2066"/>
      <c r="P407" s="2066"/>
      <c r="Q407" s="2065"/>
      <c r="R407" s="2065"/>
      <c r="S407" s="2065"/>
      <c r="T407" s="1096">
        <f t="shared" si="52"/>
        <v>40481879839290</v>
      </c>
      <c r="U407" s="599">
        <v>12201267410124</v>
      </c>
      <c r="V407" s="1407">
        <f t="shared" si="56"/>
        <v>40481880</v>
      </c>
      <c r="W407" s="599">
        <f t="shared" si="55"/>
        <v>12201267</v>
      </c>
      <c r="X407" s="620"/>
      <c r="Y407" s="621"/>
      <c r="Z407" s="1096">
        <f t="shared" si="53"/>
        <v>40481879839290</v>
      </c>
      <c r="AA407" s="882">
        <f t="shared" si="54"/>
        <v>40481880</v>
      </c>
    </row>
    <row r="408" spans="1:27" ht="27" hidden="1" customHeight="1">
      <c r="A408" s="583"/>
      <c r="B408" s="583">
        <v>903</v>
      </c>
      <c r="C408" s="581">
        <v>8</v>
      </c>
      <c r="D408" s="582" t="s">
        <v>1014</v>
      </c>
      <c r="E408" s="1138" t="s">
        <v>1015</v>
      </c>
      <c r="F408" s="2526">
        <v>85536443787</v>
      </c>
      <c r="G408" s="2078">
        <v>-85306643788</v>
      </c>
      <c r="H408" s="2078">
        <v>372301644</v>
      </c>
      <c r="I408" s="2080">
        <v>-735403643</v>
      </c>
      <c r="J408" s="2080">
        <v>133302000</v>
      </c>
      <c r="K408" s="2080"/>
      <c r="L408" s="2065"/>
      <c r="M408" s="2065"/>
      <c r="N408" s="2065"/>
      <c r="O408" s="2080"/>
      <c r="P408" s="2066"/>
      <c r="Q408" s="2065"/>
      <c r="R408" s="2065"/>
      <c r="S408" s="2065"/>
      <c r="T408" s="1096">
        <f t="shared" si="52"/>
        <v>0</v>
      </c>
      <c r="U408" s="599">
        <v>0</v>
      </c>
      <c r="V408" s="1407">
        <f t="shared" si="56"/>
        <v>0</v>
      </c>
      <c r="W408" s="599">
        <f t="shared" si="55"/>
        <v>0</v>
      </c>
      <c r="X408" s="620"/>
      <c r="Y408" s="621"/>
      <c r="Z408" s="1096">
        <f t="shared" si="53"/>
        <v>0</v>
      </c>
      <c r="AA408" s="882">
        <f t="shared" si="54"/>
        <v>0</v>
      </c>
    </row>
    <row r="409" spans="1:27" ht="27" hidden="1" customHeight="1">
      <c r="A409" s="583">
        <v>3214</v>
      </c>
      <c r="B409" s="583">
        <v>906</v>
      </c>
      <c r="C409" s="581">
        <v>8</v>
      </c>
      <c r="D409" s="582" t="s">
        <v>772</v>
      </c>
      <c r="E409" s="1138" t="s">
        <v>774</v>
      </c>
      <c r="F409" s="1826"/>
      <c r="G409" s="2075"/>
      <c r="H409" s="2078"/>
      <c r="I409" s="2065"/>
      <c r="J409" s="2066"/>
      <c r="K409" s="2065"/>
      <c r="L409" s="2065">
        <v>7070601632240</v>
      </c>
      <c r="M409" s="2065"/>
      <c r="N409" s="2065">
        <f>-35736101026-743381730000</f>
        <v>-779117831026</v>
      </c>
      <c r="O409" s="2066"/>
      <c r="P409" s="2066"/>
      <c r="Q409" s="2065"/>
      <c r="R409" s="2065"/>
      <c r="S409" s="2065"/>
      <c r="T409" s="1096">
        <f t="shared" si="52"/>
        <v>6291483801214</v>
      </c>
      <c r="U409" s="599">
        <v>0</v>
      </c>
      <c r="V409" s="1407">
        <f t="shared" si="56"/>
        <v>6291484</v>
      </c>
      <c r="W409" s="599">
        <f t="shared" si="55"/>
        <v>0</v>
      </c>
      <c r="X409" s="620"/>
      <c r="Y409" s="621"/>
      <c r="Z409" s="1096">
        <f t="shared" si="53"/>
        <v>6291483801214</v>
      </c>
      <c r="AA409" s="882">
        <f t="shared" si="54"/>
        <v>6291484</v>
      </c>
    </row>
    <row r="410" spans="1:27" ht="27" hidden="1" customHeight="1">
      <c r="A410" s="583"/>
      <c r="B410" s="583"/>
      <c r="C410" s="581">
        <v>10</v>
      </c>
      <c r="D410" s="582" t="s">
        <v>291</v>
      </c>
      <c r="E410" s="1138" t="s">
        <v>495</v>
      </c>
      <c r="F410" s="2058">
        <v>47500000</v>
      </c>
      <c r="G410" s="2075"/>
      <c r="H410" s="2078"/>
      <c r="I410" s="2065"/>
      <c r="J410" s="2066"/>
      <c r="K410" s="2065"/>
      <c r="L410" s="2065"/>
      <c r="M410" s="2065"/>
      <c r="N410" s="2065"/>
      <c r="O410" s="2066"/>
      <c r="P410" s="2066"/>
      <c r="Q410" s="2065"/>
      <c r="R410" s="2065"/>
      <c r="S410" s="2065"/>
      <c r="T410" s="1096">
        <f t="shared" si="52"/>
        <v>47500000</v>
      </c>
      <c r="U410" s="599">
        <v>47500000</v>
      </c>
      <c r="V410" s="1407">
        <f t="shared" si="56"/>
        <v>48</v>
      </c>
      <c r="W410" s="599">
        <f t="shared" si="55"/>
        <v>48</v>
      </c>
      <c r="X410" s="620"/>
      <c r="Y410" s="621"/>
      <c r="Z410" s="1096">
        <f t="shared" si="53"/>
        <v>47500000</v>
      </c>
      <c r="AA410" s="882">
        <f t="shared" si="54"/>
        <v>48</v>
      </c>
    </row>
    <row r="411" spans="1:27" ht="27" hidden="1" customHeight="1">
      <c r="A411" s="583"/>
      <c r="B411" s="583">
        <v>401</v>
      </c>
      <c r="C411" s="581">
        <v>11</v>
      </c>
      <c r="D411" s="1825" t="s">
        <v>483</v>
      </c>
      <c r="E411" s="1138" t="s">
        <v>1159</v>
      </c>
      <c r="F411" s="2306">
        <v>0</v>
      </c>
      <c r="G411" s="2075"/>
      <c r="H411" s="2065"/>
      <c r="I411" s="2065"/>
      <c r="J411" s="2065"/>
      <c r="K411" s="2065"/>
      <c r="L411" s="2065"/>
      <c r="M411" s="2065"/>
      <c r="N411" s="2065"/>
      <c r="O411" s="2066"/>
      <c r="P411" s="2066"/>
      <c r="Q411" s="2065"/>
      <c r="R411" s="2065"/>
      <c r="S411" s="2065"/>
      <c r="T411" s="1096">
        <f t="shared" si="52"/>
        <v>0</v>
      </c>
      <c r="U411" s="599">
        <v>0</v>
      </c>
      <c r="V411" s="1407">
        <f t="shared" si="56"/>
        <v>0</v>
      </c>
      <c r="W411" s="599">
        <f t="shared" si="55"/>
        <v>0</v>
      </c>
      <c r="X411" s="620"/>
      <c r="Y411" s="621"/>
      <c r="Z411" s="1096">
        <f t="shared" si="53"/>
        <v>0</v>
      </c>
      <c r="AA411" s="882">
        <f t="shared" si="54"/>
        <v>0</v>
      </c>
    </row>
    <row r="412" spans="1:27" ht="27" hidden="1" customHeight="1">
      <c r="A412" s="583"/>
      <c r="B412" s="583">
        <v>401</v>
      </c>
      <c r="C412" s="581">
        <v>11</v>
      </c>
      <c r="D412" s="582" t="s">
        <v>0</v>
      </c>
      <c r="E412" s="1138" t="s">
        <v>1090</v>
      </c>
      <c r="F412" s="1829">
        <v>2472712050</v>
      </c>
      <c r="G412" s="2075">
        <v>-2462659410</v>
      </c>
      <c r="H412" s="2094"/>
      <c r="I412" s="2065">
        <v>-10052640</v>
      </c>
      <c r="J412" s="2065"/>
      <c r="K412" s="2080"/>
      <c r="L412" s="2065"/>
      <c r="M412" s="2065"/>
      <c r="N412" s="2065"/>
      <c r="O412" s="2066"/>
      <c r="P412" s="2066"/>
      <c r="Q412" s="2065"/>
      <c r="R412" s="2065"/>
      <c r="S412" s="2065"/>
      <c r="T412" s="1096">
        <f t="shared" si="52"/>
        <v>0</v>
      </c>
      <c r="U412" s="599">
        <v>538396200</v>
      </c>
      <c r="V412" s="1407">
        <f t="shared" si="56"/>
        <v>0</v>
      </c>
      <c r="W412" s="599">
        <f t="shared" si="55"/>
        <v>538</v>
      </c>
      <c r="X412" s="620"/>
      <c r="Y412" s="621"/>
      <c r="Z412" s="1096">
        <f t="shared" si="53"/>
        <v>0</v>
      </c>
      <c r="AA412" s="882">
        <f t="shared" si="54"/>
        <v>0</v>
      </c>
    </row>
    <row r="413" spans="1:27" ht="27" hidden="1" customHeight="1">
      <c r="A413" s="583"/>
      <c r="B413" s="583">
        <v>1019</v>
      </c>
      <c r="C413" s="581">
        <v>17</v>
      </c>
      <c r="D413" s="1825" t="s">
        <v>190</v>
      </c>
      <c r="E413" s="1138" t="s">
        <v>191</v>
      </c>
      <c r="F413" s="1830">
        <v>-21865967601</v>
      </c>
      <c r="G413" s="2078"/>
      <c r="H413" s="2065"/>
      <c r="I413" s="2065"/>
      <c r="J413" s="2066"/>
      <c r="K413" s="2065"/>
      <c r="L413" s="2065"/>
      <c r="M413" s="2065"/>
      <c r="N413" s="2065"/>
      <c r="O413" s="2066"/>
      <c r="P413" s="2066"/>
      <c r="Q413" s="2065"/>
      <c r="R413" s="2065"/>
      <c r="S413" s="2065"/>
      <c r="T413" s="1096">
        <f t="shared" si="52"/>
        <v>-21865967601</v>
      </c>
      <c r="U413" s="599">
        <v>-18077137361</v>
      </c>
      <c r="V413" s="1407">
        <f t="shared" si="56"/>
        <v>-21866</v>
      </c>
      <c r="W413" s="599">
        <f t="shared" si="55"/>
        <v>-18077</v>
      </c>
      <c r="X413" s="620"/>
      <c r="Y413" s="621"/>
      <c r="Z413" s="1096">
        <f t="shared" si="53"/>
        <v>-21865967601</v>
      </c>
      <c r="AA413" s="882">
        <f t="shared" si="54"/>
        <v>-21866</v>
      </c>
    </row>
    <row r="414" spans="1:27" ht="27" hidden="1" customHeight="1">
      <c r="A414" s="583"/>
      <c r="B414" s="583">
        <v>501</v>
      </c>
      <c r="C414" s="581">
        <v>13</v>
      </c>
      <c r="D414" s="582" t="s">
        <v>145</v>
      </c>
      <c r="E414" s="1138" t="s">
        <v>761</v>
      </c>
      <c r="F414" s="1826"/>
      <c r="G414" s="2075"/>
      <c r="H414" s="2078"/>
      <c r="I414" s="2065"/>
      <c r="J414" s="2066"/>
      <c r="K414" s="2065"/>
      <c r="L414" s="2065"/>
      <c r="M414" s="2065"/>
      <c r="N414" s="2065"/>
      <c r="O414" s="2066"/>
      <c r="P414" s="2066"/>
      <c r="Q414" s="2065"/>
      <c r="R414" s="2065"/>
      <c r="S414" s="2065"/>
      <c r="T414" s="1096">
        <f t="shared" si="52"/>
        <v>0</v>
      </c>
      <c r="U414" s="599">
        <v>0</v>
      </c>
      <c r="V414" s="1407">
        <f t="shared" si="56"/>
        <v>0</v>
      </c>
      <c r="W414" s="599">
        <f t="shared" si="55"/>
        <v>0</v>
      </c>
      <c r="X414" s="620"/>
      <c r="Y414" s="621"/>
      <c r="Z414" s="1096">
        <f t="shared" si="53"/>
        <v>0</v>
      </c>
      <c r="AA414" s="882">
        <f t="shared" si="54"/>
        <v>0</v>
      </c>
    </row>
    <row r="415" spans="1:27" ht="27" hidden="1" customHeight="1">
      <c r="A415" s="583"/>
      <c r="B415" s="583">
        <v>504</v>
      </c>
      <c r="C415" s="581">
        <v>13</v>
      </c>
      <c r="D415" s="582" t="s">
        <v>119</v>
      </c>
      <c r="E415" s="1138" t="s">
        <v>1149</v>
      </c>
      <c r="F415" s="2059">
        <v>35929543000</v>
      </c>
      <c r="G415" s="2075"/>
      <c r="H415" s="2078"/>
      <c r="I415" s="2065">
        <v>-22217563000</v>
      </c>
      <c r="J415" s="2066"/>
      <c r="K415" s="2065"/>
      <c r="L415" s="2065"/>
      <c r="M415" s="2065"/>
      <c r="N415" s="2065"/>
      <c r="O415" s="2066"/>
      <c r="P415" s="2066"/>
      <c r="Q415" s="2065"/>
      <c r="R415" s="2065"/>
      <c r="S415" s="2065"/>
      <c r="T415" s="1096">
        <f t="shared" si="52"/>
        <v>13711980000</v>
      </c>
      <c r="U415" s="599">
        <v>35929543000</v>
      </c>
      <c r="V415" s="1407">
        <f t="shared" si="56"/>
        <v>13712</v>
      </c>
      <c r="W415" s="599">
        <f t="shared" si="55"/>
        <v>35930</v>
      </c>
      <c r="X415" s="620"/>
      <c r="Y415" s="621"/>
      <c r="Z415" s="1096">
        <f t="shared" si="53"/>
        <v>13711980000</v>
      </c>
      <c r="AA415" s="882">
        <f t="shared" si="54"/>
        <v>13712</v>
      </c>
    </row>
    <row r="416" spans="1:27" ht="27" hidden="1" customHeight="1">
      <c r="A416" s="583">
        <v>3214</v>
      </c>
      <c r="B416" s="583">
        <v>1007</v>
      </c>
      <c r="C416" s="581">
        <v>17</v>
      </c>
      <c r="D416" s="1825">
        <v>90006852</v>
      </c>
      <c r="E416" s="1138" t="s">
        <v>191</v>
      </c>
      <c r="F416" s="2075"/>
      <c r="G416" s="2075"/>
      <c r="H416" s="2065"/>
      <c r="I416" s="2065"/>
      <c r="J416" s="2065"/>
      <c r="K416" s="2065"/>
      <c r="L416" s="2065"/>
      <c r="M416" s="2065"/>
      <c r="N416" s="2065"/>
      <c r="O416" s="2066"/>
      <c r="P416" s="2066"/>
      <c r="Q416" s="2065"/>
      <c r="R416" s="2065"/>
      <c r="S416" s="2065"/>
      <c r="T416" s="1096">
        <f t="shared" si="52"/>
        <v>0</v>
      </c>
      <c r="U416" s="599">
        <v>0</v>
      </c>
      <c r="V416" s="1407">
        <f t="shared" si="56"/>
        <v>0</v>
      </c>
      <c r="W416" s="599">
        <f t="shared" si="55"/>
        <v>0</v>
      </c>
      <c r="X416" s="620"/>
      <c r="Y416" s="621"/>
      <c r="Z416" s="1096">
        <f t="shared" si="53"/>
        <v>0</v>
      </c>
      <c r="AA416" s="882">
        <f t="shared" si="54"/>
        <v>0</v>
      </c>
    </row>
    <row r="417" spans="1:27" ht="27" hidden="1" customHeight="1">
      <c r="A417" s="583"/>
      <c r="B417" s="583">
        <v>505</v>
      </c>
      <c r="C417" s="581">
        <v>13</v>
      </c>
      <c r="D417" s="582" t="s">
        <v>123</v>
      </c>
      <c r="E417" s="1138" t="s">
        <v>124</v>
      </c>
      <c r="F417" s="1830">
        <v>-6703529339</v>
      </c>
      <c r="G417" s="2078"/>
      <c r="H417" s="2078"/>
      <c r="I417" s="2065"/>
      <c r="J417" s="2066"/>
      <c r="K417" s="2065">
        <v>8387495091</v>
      </c>
      <c r="L417" s="2065"/>
      <c r="M417" s="2065"/>
      <c r="N417" s="2065">
        <f>87053281935-1684000000</f>
        <v>85369281935</v>
      </c>
      <c r="O417" s="2066"/>
      <c r="P417" s="2066"/>
      <c r="Q417" s="2065"/>
      <c r="R417" s="2065"/>
      <c r="S417" s="2065"/>
      <c r="T417" s="1096">
        <f t="shared" si="52"/>
        <v>87053247687</v>
      </c>
      <c r="U417" s="599">
        <v>53598441220</v>
      </c>
      <c r="V417" s="1407">
        <f t="shared" si="56"/>
        <v>87053</v>
      </c>
      <c r="W417" s="599">
        <f t="shared" si="55"/>
        <v>53598</v>
      </c>
      <c r="X417" s="620"/>
      <c r="Y417" s="621"/>
      <c r="Z417" s="1096">
        <f t="shared" si="53"/>
        <v>87053247687</v>
      </c>
      <c r="AA417" s="882">
        <f t="shared" si="54"/>
        <v>87053</v>
      </c>
    </row>
    <row r="418" spans="1:27" ht="27" hidden="1" customHeight="1">
      <c r="A418" s="583"/>
      <c r="B418" s="583">
        <v>501</v>
      </c>
      <c r="C418" s="581">
        <v>13</v>
      </c>
      <c r="D418" s="582">
        <v>90004883</v>
      </c>
      <c r="E418" s="1138" t="s">
        <v>1830</v>
      </c>
      <c r="F418" s="1826"/>
      <c r="G418" s="2075"/>
      <c r="H418" s="2078"/>
      <c r="I418" s="604"/>
      <c r="J418" s="2065"/>
      <c r="K418" s="2065"/>
      <c r="L418" s="604"/>
      <c r="M418" s="604"/>
      <c r="N418" s="604"/>
      <c r="O418" s="2093"/>
      <c r="P418" s="2093"/>
      <c r="Q418" s="604"/>
      <c r="R418" s="604"/>
      <c r="S418" s="604"/>
      <c r="T418" s="1096">
        <f t="shared" si="52"/>
        <v>0</v>
      </c>
      <c r="U418" s="599">
        <v>0</v>
      </c>
      <c r="V418" s="1407">
        <f t="shared" si="56"/>
        <v>0</v>
      </c>
      <c r="W418" s="599">
        <f t="shared" si="55"/>
        <v>0</v>
      </c>
      <c r="X418" s="620"/>
      <c r="Y418" s="621"/>
      <c r="Z418" s="1096">
        <f t="shared" si="53"/>
        <v>0</v>
      </c>
      <c r="AA418" s="882">
        <f t="shared" si="54"/>
        <v>0</v>
      </c>
    </row>
    <row r="419" spans="1:27" ht="27" hidden="1" customHeight="1">
      <c r="A419" s="583"/>
      <c r="B419" s="583"/>
      <c r="C419" s="581">
        <v>9</v>
      </c>
      <c r="D419" s="582" t="s">
        <v>125</v>
      </c>
      <c r="E419" s="1138" t="s">
        <v>2119</v>
      </c>
      <c r="F419" s="1829">
        <v>74683308674</v>
      </c>
      <c r="G419" s="2075"/>
      <c r="H419" s="2078"/>
      <c r="I419" s="2080"/>
      <c r="J419" s="2066"/>
      <c r="K419" s="2065"/>
      <c r="L419" s="2065"/>
      <c r="M419" s="2065"/>
      <c r="N419" s="2065"/>
      <c r="O419" s="2066"/>
      <c r="P419" s="2066"/>
      <c r="Q419" s="2065"/>
      <c r="R419" s="2065"/>
      <c r="S419" s="2065"/>
      <c r="T419" s="1096">
        <f t="shared" si="52"/>
        <v>74683308674</v>
      </c>
      <c r="U419" s="599">
        <v>74617162674</v>
      </c>
      <c r="V419" s="1407">
        <f t="shared" si="56"/>
        <v>74683</v>
      </c>
      <c r="W419" s="599">
        <f t="shared" si="55"/>
        <v>74617</v>
      </c>
      <c r="X419" s="620"/>
      <c r="Y419" s="621"/>
      <c r="Z419" s="1096">
        <f t="shared" si="53"/>
        <v>74683308674</v>
      </c>
      <c r="AA419" s="882">
        <f t="shared" si="54"/>
        <v>74683</v>
      </c>
    </row>
    <row r="420" spans="1:27" ht="27" hidden="1" customHeight="1">
      <c r="A420" s="583"/>
      <c r="B420" s="583">
        <v>401</v>
      </c>
      <c r="C420" s="581">
        <v>11</v>
      </c>
      <c r="D420" s="582" t="s">
        <v>224</v>
      </c>
      <c r="E420" s="1138" t="s">
        <v>474</v>
      </c>
      <c r="F420" s="1830">
        <v>81714358</v>
      </c>
      <c r="G420" s="2077">
        <v>15774440</v>
      </c>
      <c r="H420" s="2065">
        <v>-3943610</v>
      </c>
      <c r="I420" s="2065"/>
      <c r="J420" s="2065"/>
      <c r="K420" s="2065"/>
      <c r="L420" s="2065"/>
      <c r="M420" s="2065"/>
      <c r="N420" s="2065"/>
      <c r="O420" s="2066"/>
      <c r="P420" s="2066"/>
      <c r="Q420" s="2065"/>
      <c r="R420" s="2065"/>
      <c r="S420" s="2065"/>
      <c r="T420" s="1981">
        <f t="shared" si="52"/>
        <v>93545188</v>
      </c>
      <c r="U420" s="599">
        <v>109319628</v>
      </c>
      <c r="V420" s="1407">
        <f t="shared" si="56"/>
        <v>94</v>
      </c>
      <c r="W420" s="599">
        <f t="shared" si="55"/>
        <v>109</v>
      </c>
      <c r="X420" s="620"/>
      <c r="Y420" s="621"/>
      <c r="Z420" s="1096">
        <f t="shared" si="53"/>
        <v>93545188</v>
      </c>
      <c r="AA420" s="882">
        <f t="shared" si="54"/>
        <v>94</v>
      </c>
    </row>
    <row r="421" spans="1:27" ht="27" hidden="1" customHeight="1">
      <c r="A421" s="583"/>
      <c r="B421" s="583">
        <v>606</v>
      </c>
      <c r="C421" s="581">
        <v>12</v>
      </c>
      <c r="D421" s="582" t="s">
        <v>849</v>
      </c>
      <c r="E421" s="1138" t="s">
        <v>920</v>
      </c>
      <c r="F421" s="1829">
        <v>60973912712</v>
      </c>
      <c r="G421" s="2075">
        <v>-5834424000</v>
      </c>
      <c r="H421" s="2078">
        <v>666840000</v>
      </c>
      <c r="I421" s="2065">
        <v>-2411260493</v>
      </c>
      <c r="J421" s="2066"/>
      <c r="K421" s="2065"/>
      <c r="L421" s="2065"/>
      <c r="M421" s="2065"/>
      <c r="N421" s="2065"/>
      <c r="O421" s="2066"/>
      <c r="P421" s="2066"/>
      <c r="Q421" s="2065"/>
      <c r="R421" s="2065"/>
      <c r="S421" s="2065"/>
      <c r="T421" s="1096">
        <f t="shared" si="52"/>
        <v>53395068219</v>
      </c>
      <c r="U421" s="599">
        <v>122127111538</v>
      </c>
      <c r="V421" s="1407">
        <f t="shared" si="56"/>
        <v>53395</v>
      </c>
      <c r="W421" s="599">
        <f t="shared" si="55"/>
        <v>122127</v>
      </c>
      <c r="X421" s="620"/>
      <c r="Y421" s="621"/>
      <c r="Z421" s="1096">
        <f t="shared" si="53"/>
        <v>53395068219</v>
      </c>
      <c r="AA421" s="882">
        <f t="shared" si="54"/>
        <v>53395</v>
      </c>
    </row>
    <row r="422" spans="1:27" ht="27" hidden="1" customHeight="1">
      <c r="A422" s="583"/>
      <c r="B422" s="583">
        <v>604</v>
      </c>
      <c r="C422" s="581">
        <v>12</v>
      </c>
      <c r="D422" s="582" t="s">
        <v>69</v>
      </c>
      <c r="E422" s="1138" t="s">
        <v>70</v>
      </c>
      <c r="F422" s="1829">
        <v>107553356</v>
      </c>
      <c r="G422" s="2075"/>
      <c r="H422" s="2078"/>
      <c r="I422" s="2065"/>
      <c r="J422" s="2066"/>
      <c r="K422" s="2065"/>
      <c r="L422" s="2065"/>
      <c r="M422" s="2065"/>
      <c r="N422" s="2065"/>
      <c r="O422" s="2066"/>
      <c r="P422" s="2066"/>
      <c r="Q422" s="2065"/>
      <c r="R422" s="2065"/>
      <c r="S422" s="2065"/>
      <c r="T422" s="1096">
        <f t="shared" si="52"/>
        <v>107553356</v>
      </c>
      <c r="U422" s="599">
        <v>107553356</v>
      </c>
      <c r="V422" s="1407">
        <f t="shared" si="56"/>
        <v>108</v>
      </c>
      <c r="W422" s="599">
        <f t="shared" si="55"/>
        <v>108</v>
      </c>
      <c r="X422" s="620"/>
      <c r="Y422" s="621"/>
      <c r="Z422" s="1096">
        <f t="shared" si="53"/>
        <v>107553356</v>
      </c>
      <c r="AA422" s="882">
        <f t="shared" si="54"/>
        <v>108</v>
      </c>
    </row>
    <row r="423" spans="1:27" ht="27" hidden="1" customHeight="1">
      <c r="A423" s="583"/>
      <c r="B423" s="583">
        <v>413</v>
      </c>
      <c r="C423" s="581">
        <v>11</v>
      </c>
      <c r="D423" s="582" t="s">
        <v>1234</v>
      </c>
      <c r="E423" s="1138" t="s">
        <v>1235</v>
      </c>
      <c r="F423" s="1829">
        <v>228120000000</v>
      </c>
      <c r="G423" s="2075"/>
      <c r="H423" s="2065"/>
      <c r="I423" s="2065"/>
      <c r="J423" s="2065"/>
      <c r="K423" s="2065"/>
      <c r="L423" s="2065"/>
      <c r="M423" s="2065"/>
      <c r="N423" s="2065"/>
      <c r="O423" s="2066"/>
      <c r="P423" s="2066"/>
      <c r="Q423" s="2065"/>
      <c r="R423" s="2065"/>
      <c r="S423" s="2065"/>
      <c r="T423" s="1981">
        <f t="shared" si="52"/>
        <v>228120000000</v>
      </c>
      <c r="U423" s="599">
        <v>12170000000</v>
      </c>
      <c r="V423" s="1407">
        <f t="shared" si="56"/>
        <v>228120</v>
      </c>
      <c r="W423" s="599">
        <f t="shared" si="55"/>
        <v>12170</v>
      </c>
      <c r="X423" s="620"/>
      <c r="Y423" s="621"/>
      <c r="Z423" s="1096">
        <f t="shared" si="53"/>
        <v>228120000000</v>
      </c>
      <c r="AA423" s="882">
        <f t="shared" si="54"/>
        <v>228120</v>
      </c>
    </row>
    <row r="424" spans="1:27" ht="27" hidden="1" customHeight="1">
      <c r="A424" s="583"/>
      <c r="B424" s="583">
        <v>907</v>
      </c>
      <c r="C424" s="581">
        <v>8</v>
      </c>
      <c r="D424" s="1825" t="s">
        <v>71</v>
      </c>
      <c r="E424" s="1138" t="s">
        <v>72</v>
      </c>
      <c r="F424" s="1829">
        <v>266144999544</v>
      </c>
      <c r="G424" s="2078">
        <v>-19595049602</v>
      </c>
      <c r="H424" s="2078"/>
      <c r="I424" s="2080"/>
      <c r="J424" s="2066"/>
      <c r="K424" s="2065"/>
      <c r="L424" s="2080"/>
      <c r="M424" s="2080"/>
      <c r="N424" s="2065"/>
      <c r="O424" s="2066"/>
      <c r="P424" s="2066"/>
      <c r="Q424" s="2065"/>
      <c r="R424" s="2065"/>
      <c r="S424" s="2065"/>
      <c r="T424" s="1096">
        <f t="shared" si="52"/>
        <v>246549949942</v>
      </c>
      <c r="U424" s="599">
        <v>213604100924</v>
      </c>
      <c r="V424" s="1407">
        <f t="shared" si="56"/>
        <v>246550</v>
      </c>
      <c r="W424" s="599">
        <f t="shared" si="55"/>
        <v>213604</v>
      </c>
      <c r="X424" s="620"/>
      <c r="Y424" s="621"/>
      <c r="Z424" s="1096">
        <f t="shared" si="53"/>
        <v>246549949942</v>
      </c>
      <c r="AA424" s="882">
        <f t="shared" si="54"/>
        <v>246550</v>
      </c>
    </row>
    <row r="425" spans="1:27" ht="27" hidden="1" customHeight="1">
      <c r="A425" s="583">
        <v>3214</v>
      </c>
      <c r="B425" s="583">
        <v>907</v>
      </c>
      <c r="C425" s="581">
        <v>8</v>
      </c>
      <c r="D425" s="1825" t="s">
        <v>71</v>
      </c>
      <c r="E425" s="1138" t="s">
        <v>1459</v>
      </c>
      <c r="F425" s="1826">
        <v>0</v>
      </c>
      <c r="G425" s="2075"/>
      <c r="H425" s="2078"/>
      <c r="I425" s="2065"/>
      <c r="J425" s="2066"/>
      <c r="K425" s="2065">
        <f>1709113620417-1516990934</f>
        <v>1707596629483</v>
      </c>
      <c r="L425" s="2080"/>
      <c r="M425" s="2080"/>
      <c r="N425" s="2065">
        <v>743381730000</v>
      </c>
      <c r="O425" s="2080"/>
      <c r="P425" s="2066"/>
      <c r="Q425" s="2065"/>
      <c r="R425" s="2065"/>
      <c r="S425" s="2065"/>
      <c r="T425" s="1096">
        <f t="shared" si="52"/>
        <v>2450978359483</v>
      </c>
      <c r="U425" s="599">
        <v>697562803096</v>
      </c>
      <c r="V425" s="1407">
        <f t="shared" si="56"/>
        <v>2450978</v>
      </c>
      <c r="W425" s="599">
        <f t="shared" si="55"/>
        <v>697563</v>
      </c>
      <c r="X425" s="620"/>
      <c r="Y425" s="621"/>
      <c r="Z425" s="1096">
        <f t="shared" si="53"/>
        <v>2450978359483</v>
      </c>
      <c r="AA425" s="882">
        <f t="shared" si="54"/>
        <v>2450978</v>
      </c>
    </row>
    <row r="426" spans="1:27" ht="27" hidden="1" customHeight="1">
      <c r="A426" s="583">
        <v>6587</v>
      </c>
      <c r="B426" s="583">
        <v>907</v>
      </c>
      <c r="C426" s="581">
        <v>8</v>
      </c>
      <c r="D426" s="1825" t="s">
        <v>71</v>
      </c>
      <c r="E426" s="1138" t="s">
        <v>1719</v>
      </c>
      <c r="F426" s="1826"/>
      <c r="G426" s="2075"/>
      <c r="H426" s="2065"/>
      <c r="I426" s="2065"/>
      <c r="J426" s="2066"/>
      <c r="K426" s="2065"/>
      <c r="L426" s="2065"/>
      <c r="M426" s="2065"/>
      <c r="N426" s="2065"/>
      <c r="O426" s="2066"/>
      <c r="P426" s="2066"/>
      <c r="Q426" s="2065"/>
      <c r="R426" s="2065"/>
      <c r="S426" s="2065"/>
      <c r="T426" s="1096">
        <f t="shared" si="52"/>
        <v>0</v>
      </c>
      <c r="U426" s="599">
        <v>0</v>
      </c>
      <c r="V426" s="1407">
        <f t="shared" si="56"/>
        <v>0</v>
      </c>
      <c r="W426" s="599">
        <f t="shared" si="55"/>
        <v>0</v>
      </c>
      <c r="X426" s="620"/>
      <c r="Y426" s="621"/>
      <c r="Z426" s="1096">
        <f t="shared" si="53"/>
        <v>0</v>
      </c>
      <c r="AA426" s="882">
        <f t="shared" si="54"/>
        <v>0</v>
      </c>
    </row>
    <row r="427" spans="1:27" ht="27" hidden="1" customHeight="1">
      <c r="A427" s="583"/>
      <c r="B427" s="583">
        <v>401</v>
      </c>
      <c r="C427" s="581">
        <v>11</v>
      </c>
      <c r="D427" s="582" t="s">
        <v>1606</v>
      </c>
      <c r="E427" s="1138" t="s">
        <v>1607</v>
      </c>
      <c r="F427" s="1826"/>
      <c r="G427" s="2075"/>
      <c r="H427" s="2065"/>
      <c r="I427" s="2065"/>
      <c r="J427" s="2065"/>
      <c r="K427" s="2065"/>
      <c r="L427" s="2065"/>
      <c r="M427" s="2065"/>
      <c r="N427" s="2065"/>
      <c r="O427" s="2066"/>
      <c r="P427" s="2066"/>
      <c r="Q427" s="2065"/>
      <c r="R427" s="2065"/>
      <c r="S427" s="2065"/>
      <c r="T427" s="1096">
        <f t="shared" si="52"/>
        <v>0</v>
      </c>
      <c r="U427" s="599">
        <v>0</v>
      </c>
      <c r="V427" s="1407">
        <f t="shared" si="56"/>
        <v>0</v>
      </c>
      <c r="W427" s="599">
        <f t="shared" si="55"/>
        <v>0</v>
      </c>
      <c r="X427" s="620"/>
      <c r="Y427" s="621"/>
      <c r="Z427" s="1096">
        <f t="shared" si="53"/>
        <v>0</v>
      </c>
      <c r="AA427" s="882">
        <f t="shared" si="54"/>
        <v>0</v>
      </c>
    </row>
    <row r="428" spans="1:27" ht="27" hidden="1" customHeight="1">
      <c r="A428" s="583"/>
      <c r="B428" s="583">
        <v>602</v>
      </c>
      <c r="C428" s="581">
        <v>12</v>
      </c>
      <c r="D428" s="582" t="s">
        <v>1153</v>
      </c>
      <c r="E428" s="1138" t="s">
        <v>1154</v>
      </c>
      <c r="F428" s="1829">
        <v>145000003005</v>
      </c>
      <c r="G428" s="2078"/>
      <c r="H428" s="2065"/>
      <c r="I428" s="2065"/>
      <c r="J428" s="2066"/>
      <c r="K428" s="2080"/>
      <c r="L428" s="2065"/>
      <c r="M428" s="2065"/>
      <c r="N428" s="2065"/>
      <c r="O428" s="2066"/>
      <c r="P428" s="2066"/>
      <c r="Q428" s="2065"/>
      <c r="R428" s="2065"/>
      <c r="S428" s="2065"/>
      <c r="T428" s="1096">
        <f t="shared" si="52"/>
        <v>145000003005</v>
      </c>
      <c r="U428" s="599">
        <v>723225366370</v>
      </c>
      <c r="V428" s="1407">
        <f t="shared" si="56"/>
        <v>145000</v>
      </c>
      <c r="W428" s="599">
        <f t="shared" si="55"/>
        <v>723225</v>
      </c>
      <c r="X428" s="620"/>
      <c r="Y428" s="621"/>
      <c r="Z428" s="1096">
        <f t="shared" si="53"/>
        <v>145000003005</v>
      </c>
      <c r="AA428" s="882">
        <f t="shared" si="54"/>
        <v>145000</v>
      </c>
    </row>
    <row r="429" spans="1:27" ht="27" hidden="1" customHeight="1">
      <c r="A429" s="583"/>
      <c r="B429" s="583">
        <v>401</v>
      </c>
      <c r="C429" s="581">
        <v>11</v>
      </c>
      <c r="D429" s="582" t="s">
        <v>2</v>
      </c>
      <c r="E429" s="1138" t="s">
        <v>877</v>
      </c>
      <c r="F429" s="1829">
        <v>38787768645</v>
      </c>
      <c r="G429" s="2077">
        <v>560000000</v>
      </c>
      <c r="H429" s="2094">
        <v>538728537</v>
      </c>
      <c r="I429" s="2065"/>
      <c r="J429" s="2065"/>
      <c r="K429" s="2065"/>
      <c r="L429" s="2065"/>
      <c r="M429" s="2065"/>
      <c r="N429" s="2065"/>
      <c r="O429" s="2066"/>
      <c r="P429" s="2066"/>
      <c r="Q429" s="2065"/>
      <c r="R429" s="2065"/>
      <c r="S429" s="2065"/>
      <c r="T429" s="1981">
        <f t="shared" si="52"/>
        <v>39886497182</v>
      </c>
      <c r="U429" s="599">
        <v>5419685826</v>
      </c>
      <c r="V429" s="1407">
        <f t="shared" si="56"/>
        <v>39886</v>
      </c>
      <c r="W429" s="599">
        <f t="shared" si="55"/>
        <v>5420</v>
      </c>
      <c r="X429" s="620"/>
      <c r="Y429" s="621"/>
      <c r="Z429" s="1096">
        <f t="shared" ref="Z429:Z437" si="57">T429+Y429-X429</f>
        <v>39886497182</v>
      </c>
      <c r="AA429" s="882">
        <f t="shared" ref="AA429:AA437" si="58">ROUND((Z429/1000000),0)</f>
        <v>39886</v>
      </c>
    </row>
    <row r="430" spans="1:27" ht="27" hidden="1" customHeight="1">
      <c r="A430" s="583"/>
      <c r="B430" s="583">
        <v>401</v>
      </c>
      <c r="C430" s="581">
        <v>11</v>
      </c>
      <c r="D430" s="582" t="s">
        <v>441</v>
      </c>
      <c r="E430" s="1138" t="s">
        <v>442</v>
      </c>
      <c r="F430" s="1830"/>
      <c r="G430" s="2075"/>
      <c r="H430" s="2065"/>
      <c r="I430" s="2065"/>
      <c r="J430" s="2065"/>
      <c r="K430" s="2065"/>
      <c r="L430" s="2065"/>
      <c r="M430" s="2065"/>
      <c r="N430" s="2065"/>
      <c r="O430" s="2066"/>
      <c r="P430" s="2066"/>
      <c r="Q430" s="2065"/>
      <c r="R430" s="2065"/>
      <c r="S430" s="2065"/>
      <c r="T430" s="1981">
        <f t="shared" si="52"/>
        <v>0</v>
      </c>
      <c r="U430" s="599">
        <v>0</v>
      </c>
      <c r="V430" s="1407">
        <f t="shared" si="56"/>
        <v>0</v>
      </c>
      <c r="W430" s="599">
        <f t="shared" si="55"/>
        <v>0</v>
      </c>
      <c r="X430" s="620"/>
      <c r="Y430" s="621"/>
      <c r="Z430" s="1096">
        <f t="shared" si="57"/>
        <v>0</v>
      </c>
      <c r="AA430" s="882">
        <f t="shared" si="58"/>
        <v>0</v>
      </c>
    </row>
    <row r="431" spans="1:27" ht="27" hidden="1" customHeight="1">
      <c r="A431" s="583"/>
      <c r="B431" s="583">
        <v>1018</v>
      </c>
      <c r="C431" s="581">
        <v>17</v>
      </c>
      <c r="D431" s="582" t="s">
        <v>1175</v>
      </c>
      <c r="E431" s="1138" t="s">
        <v>1168</v>
      </c>
      <c r="F431" s="1829">
        <v>-263040</v>
      </c>
      <c r="G431" s="2075"/>
      <c r="H431" s="2065"/>
      <c r="I431" s="2065"/>
      <c r="J431" s="2065"/>
      <c r="K431" s="2065"/>
      <c r="L431" s="2065"/>
      <c r="M431" s="2065"/>
      <c r="N431" s="2065"/>
      <c r="O431" s="2066"/>
      <c r="P431" s="2066"/>
      <c r="Q431" s="2065"/>
      <c r="R431" s="2065"/>
      <c r="S431" s="2065"/>
      <c r="T431" s="1981">
        <f t="shared" si="52"/>
        <v>-263040</v>
      </c>
      <c r="U431" s="599">
        <v>-263040</v>
      </c>
      <c r="V431" s="1407">
        <f t="shared" si="56"/>
        <v>0</v>
      </c>
      <c r="W431" s="599">
        <f t="shared" si="55"/>
        <v>0</v>
      </c>
      <c r="X431" s="620"/>
      <c r="Y431" s="621"/>
      <c r="Z431" s="1096">
        <f t="shared" si="57"/>
        <v>-263040</v>
      </c>
      <c r="AA431" s="882">
        <f t="shared" si="58"/>
        <v>0</v>
      </c>
    </row>
    <row r="432" spans="1:27" ht="27" hidden="1" customHeight="1">
      <c r="A432" s="583"/>
      <c r="B432" s="583">
        <v>401</v>
      </c>
      <c r="C432" s="581">
        <v>11</v>
      </c>
      <c r="D432" s="582" t="s">
        <v>835</v>
      </c>
      <c r="E432" s="1138" t="s">
        <v>2117</v>
      </c>
      <c r="F432" s="1829">
        <v>113381825381</v>
      </c>
      <c r="G432" s="2077">
        <v>2360000000</v>
      </c>
      <c r="H432" s="2065"/>
      <c r="I432" s="2065"/>
      <c r="J432" s="2065"/>
      <c r="K432" s="2065"/>
      <c r="L432" s="2065"/>
      <c r="M432" s="2065"/>
      <c r="N432" s="2065"/>
      <c r="O432" s="2066"/>
      <c r="P432" s="2066"/>
      <c r="Q432" s="2065"/>
      <c r="R432" s="2065"/>
      <c r="S432" s="2065"/>
      <c r="T432" s="1981">
        <f t="shared" si="52"/>
        <v>115741825381</v>
      </c>
      <c r="U432" s="599">
        <v>123013968031</v>
      </c>
      <c r="V432" s="1407">
        <f t="shared" si="56"/>
        <v>115742</v>
      </c>
      <c r="W432" s="599">
        <f t="shared" si="55"/>
        <v>123014</v>
      </c>
      <c r="X432" s="620"/>
      <c r="Y432" s="621"/>
      <c r="Z432" s="1096">
        <f t="shared" si="57"/>
        <v>115741825381</v>
      </c>
      <c r="AA432" s="882">
        <f t="shared" si="58"/>
        <v>115742</v>
      </c>
    </row>
    <row r="433" spans="1:27" ht="27" hidden="1" customHeight="1">
      <c r="A433" s="583"/>
      <c r="B433" s="583">
        <v>907</v>
      </c>
      <c r="C433" s="581">
        <v>8</v>
      </c>
      <c r="D433" s="1825" t="s">
        <v>411</v>
      </c>
      <c r="E433" s="1138" t="s">
        <v>769</v>
      </c>
      <c r="F433" s="1829">
        <v>1177194355475</v>
      </c>
      <c r="G433" s="2078">
        <v>-920000000</v>
      </c>
      <c r="H433" s="2078"/>
      <c r="I433" s="2065"/>
      <c r="J433" s="2066"/>
      <c r="K433" s="2065"/>
      <c r="L433" s="2065"/>
      <c r="M433" s="2065"/>
      <c r="N433" s="2065"/>
      <c r="O433" s="2066"/>
      <c r="P433" s="2066"/>
      <c r="Q433" s="2065"/>
      <c r="R433" s="2065"/>
      <c r="S433" s="2065"/>
      <c r="T433" s="1096">
        <f t="shared" si="52"/>
        <v>1176274355475</v>
      </c>
      <c r="U433" s="599">
        <v>951086968805</v>
      </c>
      <c r="V433" s="1407">
        <f t="shared" si="56"/>
        <v>1176274</v>
      </c>
      <c r="W433" s="599">
        <f t="shared" si="55"/>
        <v>951087</v>
      </c>
      <c r="X433" s="620"/>
      <c r="Y433" s="621"/>
      <c r="Z433" s="1096">
        <f t="shared" si="57"/>
        <v>1176274355475</v>
      </c>
      <c r="AA433" s="882">
        <f t="shared" si="58"/>
        <v>1176274</v>
      </c>
    </row>
    <row r="434" spans="1:27" ht="27" hidden="1" customHeight="1">
      <c r="A434" s="583">
        <v>3214</v>
      </c>
      <c r="B434" s="583">
        <v>907</v>
      </c>
      <c r="C434" s="581">
        <v>8</v>
      </c>
      <c r="D434" s="1825" t="s">
        <v>411</v>
      </c>
      <c r="E434" s="1138" t="s">
        <v>1670</v>
      </c>
      <c r="F434" s="1826">
        <v>0</v>
      </c>
      <c r="G434" s="2075"/>
      <c r="H434" s="2065"/>
      <c r="I434" s="2065"/>
      <c r="J434" s="2066"/>
      <c r="K434" s="2065">
        <f>19588476810428+91097</f>
        <v>19588476901525</v>
      </c>
      <c r="L434" s="2080"/>
      <c r="M434" s="2080"/>
      <c r="N434" s="2065"/>
      <c r="O434" s="2080"/>
      <c r="P434" s="2066"/>
      <c r="Q434" s="2065"/>
      <c r="R434" s="2065"/>
      <c r="S434" s="2065"/>
      <c r="T434" s="1096">
        <f t="shared" si="52"/>
        <v>19588476901525</v>
      </c>
      <c r="U434" s="599">
        <v>11031660797114</v>
      </c>
      <c r="V434" s="1407">
        <f t="shared" si="56"/>
        <v>19588477</v>
      </c>
      <c r="W434" s="599">
        <f t="shared" si="55"/>
        <v>11031661</v>
      </c>
      <c r="X434" s="620"/>
      <c r="Y434" s="621"/>
      <c r="Z434" s="1096">
        <f t="shared" si="57"/>
        <v>19588476901525</v>
      </c>
      <c r="AA434" s="882">
        <f t="shared" si="58"/>
        <v>19588477</v>
      </c>
    </row>
    <row r="435" spans="1:27" ht="27" hidden="1" customHeight="1">
      <c r="A435" s="583">
        <v>6587</v>
      </c>
      <c r="B435" s="583">
        <v>907</v>
      </c>
      <c r="C435" s="581">
        <v>8</v>
      </c>
      <c r="D435" s="1825" t="s">
        <v>411</v>
      </c>
      <c r="E435" s="1138" t="s">
        <v>1674</v>
      </c>
      <c r="F435" s="1826"/>
      <c r="G435" s="2075"/>
      <c r="H435" s="2095"/>
      <c r="I435" s="2065"/>
      <c r="J435" s="2066"/>
      <c r="K435" s="2065"/>
      <c r="L435" s="2065"/>
      <c r="M435" s="2065"/>
      <c r="N435" s="2065"/>
      <c r="O435" s="2066"/>
      <c r="P435" s="2066"/>
      <c r="Q435" s="2065"/>
      <c r="R435" s="2065"/>
      <c r="S435" s="2065"/>
      <c r="T435" s="1096">
        <f t="shared" si="52"/>
        <v>0</v>
      </c>
      <c r="U435" s="599">
        <v>0</v>
      </c>
      <c r="V435" s="1407">
        <f t="shared" si="56"/>
        <v>0</v>
      </c>
      <c r="W435" s="599">
        <f t="shared" si="55"/>
        <v>0</v>
      </c>
      <c r="X435" s="620"/>
      <c r="Y435" s="621"/>
      <c r="Z435" s="1096">
        <f t="shared" si="57"/>
        <v>0</v>
      </c>
      <c r="AA435" s="882">
        <f t="shared" si="58"/>
        <v>0</v>
      </c>
    </row>
    <row r="436" spans="1:27" ht="27" hidden="1" customHeight="1">
      <c r="A436" s="583"/>
      <c r="B436" s="583">
        <v>603</v>
      </c>
      <c r="C436" s="581">
        <v>12</v>
      </c>
      <c r="D436" s="582" t="s">
        <v>353</v>
      </c>
      <c r="E436" s="1138" t="s">
        <v>354</v>
      </c>
      <c r="F436" s="1829">
        <v>243771198336</v>
      </c>
      <c r="G436" s="2078"/>
      <c r="H436" s="2078"/>
      <c r="I436" s="2065"/>
      <c r="J436" s="2066"/>
      <c r="K436" s="2065"/>
      <c r="L436" s="2065"/>
      <c r="M436" s="2065"/>
      <c r="N436" s="2065"/>
      <c r="O436" s="2066"/>
      <c r="P436" s="2066"/>
      <c r="Q436" s="2065"/>
      <c r="R436" s="2065"/>
      <c r="S436" s="2065"/>
      <c r="T436" s="1096">
        <f t="shared" si="52"/>
        <v>243771198336</v>
      </c>
      <c r="U436" s="599">
        <v>84739402817</v>
      </c>
      <c r="V436" s="1407">
        <f t="shared" si="56"/>
        <v>243771</v>
      </c>
      <c r="W436" s="599">
        <f t="shared" si="55"/>
        <v>84739</v>
      </c>
      <c r="X436" s="620"/>
      <c r="Y436" s="621"/>
      <c r="Z436" s="1096">
        <f t="shared" si="57"/>
        <v>243771198336</v>
      </c>
      <c r="AA436" s="882">
        <f t="shared" si="58"/>
        <v>243771</v>
      </c>
    </row>
    <row r="437" spans="1:27" ht="27" hidden="1" customHeight="1">
      <c r="A437" s="2062"/>
      <c r="B437" s="2062">
        <v>1018</v>
      </c>
      <c r="C437" s="2063">
        <v>17</v>
      </c>
      <c r="D437" s="2073" t="s">
        <v>6</v>
      </c>
      <c r="E437" s="2074" t="s">
        <v>204</v>
      </c>
      <c r="F437" s="2076">
        <v>-21708133204</v>
      </c>
      <c r="G437" s="2077">
        <v>8340347584</v>
      </c>
      <c r="H437" s="2094">
        <v>8197624944</v>
      </c>
      <c r="I437" s="2065"/>
      <c r="J437" s="2065"/>
      <c r="K437" s="2065"/>
      <c r="L437" s="2065"/>
      <c r="M437" s="2065"/>
      <c r="N437" s="2065"/>
      <c r="O437" s="2066"/>
      <c r="P437" s="2066"/>
      <c r="Q437" s="2065"/>
      <c r="R437" s="2065"/>
      <c r="S437" s="2065"/>
      <c r="T437" s="1981">
        <f t="shared" si="52"/>
        <v>-5170160676</v>
      </c>
      <c r="U437" s="2065">
        <v>12196211250</v>
      </c>
      <c r="V437" s="1407">
        <f t="shared" si="56"/>
        <v>-5170</v>
      </c>
      <c r="W437" s="2065">
        <f t="shared" si="55"/>
        <v>12196</v>
      </c>
      <c r="X437" s="2067"/>
      <c r="Y437" s="2068"/>
      <c r="Z437" s="2069">
        <f t="shared" si="57"/>
        <v>-5170160676</v>
      </c>
      <c r="AA437" s="2070">
        <f t="shared" si="58"/>
        <v>-5170</v>
      </c>
    </row>
    <row r="438" spans="1:27" ht="27" hidden="1" customHeight="1">
      <c r="A438" s="583"/>
      <c r="B438" s="583">
        <v>401</v>
      </c>
      <c r="C438" s="581">
        <v>11</v>
      </c>
      <c r="D438" s="582">
        <v>6605610</v>
      </c>
      <c r="E438" s="1138" t="s">
        <v>1856</v>
      </c>
      <c r="F438" s="1826"/>
      <c r="G438" s="2075"/>
      <c r="H438" s="2065"/>
      <c r="I438" s="2065"/>
      <c r="J438" s="2065"/>
      <c r="K438" s="2065"/>
      <c r="L438" s="2065"/>
      <c r="M438" s="2065"/>
      <c r="N438" s="2065"/>
      <c r="O438" s="2066"/>
      <c r="P438" s="2066"/>
      <c r="Q438" s="2065"/>
      <c r="R438" s="2065"/>
      <c r="S438" s="2065"/>
      <c r="T438" s="1096">
        <f t="shared" si="52"/>
        <v>0</v>
      </c>
      <c r="U438" s="599">
        <v>0</v>
      </c>
      <c r="V438" s="1407">
        <f t="shared" ref="V438:V458" si="59">ROUND((T438/1000000),0)</f>
        <v>0</v>
      </c>
      <c r="W438" s="599">
        <f t="shared" si="55"/>
        <v>0</v>
      </c>
      <c r="X438" s="620"/>
      <c r="Y438" s="621"/>
      <c r="Z438" s="1096"/>
      <c r="AA438" s="882"/>
    </row>
    <row r="439" spans="1:27" ht="27" hidden="1" customHeight="1">
      <c r="A439" s="583">
        <v>1</v>
      </c>
      <c r="B439" s="583">
        <v>1006</v>
      </c>
      <c r="C439" s="581">
        <v>17</v>
      </c>
      <c r="D439" s="582" t="s">
        <v>529</v>
      </c>
      <c r="E439" s="1138" t="s">
        <v>156</v>
      </c>
      <c r="F439" s="1830">
        <v>-161093207327</v>
      </c>
      <c r="G439" s="2077">
        <v>-757606366</v>
      </c>
      <c r="H439" s="2094"/>
      <c r="I439" s="2065">
        <v>531113912</v>
      </c>
      <c r="J439" s="2080"/>
      <c r="K439" s="2080">
        <f>111811404581-11330877-5608206479-11713860908-5454295764-88529814698</f>
        <v>493895855</v>
      </c>
      <c r="L439" s="2080"/>
      <c r="M439" s="2080"/>
      <c r="N439" s="2080"/>
      <c r="O439" s="2080"/>
      <c r="P439" s="2066"/>
      <c r="Q439" s="2065"/>
      <c r="R439" s="2065"/>
      <c r="S439" s="2065"/>
      <c r="T439" s="1096">
        <f t="shared" si="52"/>
        <v>-160825803926</v>
      </c>
      <c r="U439" s="599">
        <v>-19980119293</v>
      </c>
      <c r="V439" s="1407">
        <f t="shared" si="59"/>
        <v>-160826</v>
      </c>
      <c r="W439" s="599">
        <f t="shared" si="55"/>
        <v>-19980</v>
      </c>
      <c r="X439" s="620"/>
      <c r="Y439" s="621"/>
      <c r="Z439" s="1096">
        <f t="shared" ref="Z439:Z446" si="60">T439+Y439-X439</f>
        <v>-160825803926</v>
      </c>
      <c r="AA439" s="882">
        <f t="shared" ref="AA439:AA446" si="61">ROUND((Z439/1000000),0)</f>
        <v>-160826</v>
      </c>
    </row>
    <row r="440" spans="1:27" ht="27" hidden="1" customHeight="1">
      <c r="A440" s="583"/>
      <c r="B440" s="583">
        <v>1018</v>
      </c>
      <c r="C440" s="581">
        <v>17</v>
      </c>
      <c r="D440" s="582" t="s">
        <v>1238</v>
      </c>
      <c r="E440" s="1138" t="s">
        <v>1239</v>
      </c>
      <c r="F440" s="1830">
        <v>-558087041</v>
      </c>
      <c r="G440" s="2075"/>
      <c r="H440" s="2065"/>
      <c r="I440" s="2065"/>
      <c r="J440" s="2065"/>
      <c r="K440" s="2065"/>
      <c r="L440" s="2065"/>
      <c r="M440" s="2065"/>
      <c r="N440" s="2065"/>
      <c r="O440" s="2066"/>
      <c r="P440" s="2066"/>
      <c r="Q440" s="2065"/>
      <c r="R440" s="2065"/>
      <c r="S440" s="2065"/>
      <c r="T440" s="1981">
        <f t="shared" si="52"/>
        <v>-558087041</v>
      </c>
      <c r="U440" s="599">
        <v>-566898243</v>
      </c>
      <c r="V440" s="1407">
        <f t="shared" si="59"/>
        <v>-558</v>
      </c>
      <c r="W440" s="599">
        <f t="shared" si="55"/>
        <v>-567</v>
      </c>
      <c r="X440" s="620"/>
      <c r="Y440" s="621"/>
      <c r="Z440" s="1096">
        <f t="shared" si="60"/>
        <v>-558087041</v>
      </c>
      <c r="AA440" s="882">
        <f t="shared" si="61"/>
        <v>-558</v>
      </c>
    </row>
    <row r="441" spans="1:27" ht="27" hidden="1" customHeight="1">
      <c r="A441" s="583">
        <v>1</v>
      </c>
      <c r="B441" s="583">
        <v>1005</v>
      </c>
      <c r="C441" s="581">
        <v>17</v>
      </c>
      <c r="D441" s="582" t="s">
        <v>527</v>
      </c>
      <c r="E441" s="1138" t="s">
        <v>528</v>
      </c>
      <c r="F441" s="1830">
        <v>-691238354</v>
      </c>
      <c r="G441" s="2075"/>
      <c r="H441" s="2065"/>
      <c r="I441" s="2065">
        <v>465385174</v>
      </c>
      <c r="J441" s="2080"/>
      <c r="K441" s="2065">
        <f>225853180-14013404253</f>
        <v>-13787551073</v>
      </c>
      <c r="L441" s="2065"/>
      <c r="M441" s="2065"/>
      <c r="N441" s="2080"/>
      <c r="O441" s="2066"/>
      <c r="P441" s="2066"/>
      <c r="Q441" s="2065"/>
      <c r="R441" s="2065"/>
      <c r="S441" s="2065"/>
      <c r="T441" s="1096">
        <f t="shared" si="52"/>
        <v>-14013404253</v>
      </c>
      <c r="U441" s="599">
        <v>-2728619047</v>
      </c>
      <c r="V441" s="1407">
        <f t="shared" si="59"/>
        <v>-14013</v>
      </c>
      <c r="W441" s="599">
        <f t="shared" si="55"/>
        <v>-2729</v>
      </c>
      <c r="X441" s="620"/>
      <c r="Y441" s="621"/>
      <c r="Z441" s="1096">
        <f t="shared" si="60"/>
        <v>-14013404253</v>
      </c>
      <c r="AA441" s="882">
        <f t="shared" si="61"/>
        <v>-14013</v>
      </c>
    </row>
    <row r="442" spans="1:27" ht="27" hidden="1" customHeight="1">
      <c r="A442" s="583"/>
      <c r="B442" s="583">
        <v>1004</v>
      </c>
      <c r="C442" s="581">
        <v>17</v>
      </c>
      <c r="D442" s="1825" t="s">
        <v>1432</v>
      </c>
      <c r="E442" s="1138" t="s">
        <v>822</v>
      </c>
      <c r="F442" s="1830">
        <v>-1308584132116</v>
      </c>
      <c r="G442" s="2075">
        <v>-66895664333</v>
      </c>
      <c r="H442" s="2065">
        <v>528345042281</v>
      </c>
      <c r="I442" s="2065"/>
      <c r="J442" s="2066"/>
      <c r="K442" s="2065"/>
      <c r="L442" s="2065"/>
      <c r="M442" s="2065"/>
      <c r="N442" s="2065"/>
      <c r="O442" s="2066"/>
      <c r="P442" s="2066"/>
      <c r="Q442" s="2065"/>
      <c r="R442" s="2065"/>
      <c r="S442" s="2065"/>
      <c r="T442" s="1096">
        <f t="shared" si="52"/>
        <v>-847134754168</v>
      </c>
      <c r="U442" s="599">
        <v>-751216280591</v>
      </c>
      <c r="V442" s="1407">
        <f t="shared" si="59"/>
        <v>-847135</v>
      </c>
      <c r="W442" s="599">
        <f t="shared" si="55"/>
        <v>-751216</v>
      </c>
      <c r="X442" s="620"/>
      <c r="Y442" s="621"/>
      <c r="Z442" s="1096">
        <f t="shared" si="60"/>
        <v>-847134754168</v>
      </c>
      <c r="AA442" s="882">
        <f t="shared" si="61"/>
        <v>-847135</v>
      </c>
    </row>
    <row r="443" spans="1:27" ht="27" hidden="1" customHeight="1">
      <c r="A443" s="583">
        <v>1</v>
      </c>
      <c r="B443" s="583">
        <v>1003</v>
      </c>
      <c r="C443" s="581">
        <v>17</v>
      </c>
      <c r="D443" s="582" t="s">
        <v>208</v>
      </c>
      <c r="E443" s="1138" t="s">
        <v>209</v>
      </c>
      <c r="F443" s="1830">
        <v>-64557595899</v>
      </c>
      <c r="G443" s="2077">
        <v>-24542400</v>
      </c>
      <c r="H443" s="2094"/>
      <c r="I443" s="2080">
        <v>453617230</v>
      </c>
      <c r="J443" s="2065">
        <v>-45992235488</v>
      </c>
      <c r="K443" s="2080">
        <f>108860711357-5608206479</f>
        <v>103252504878</v>
      </c>
      <c r="L443" s="2080"/>
      <c r="M443" s="2080"/>
      <c r="N443" s="2080"/>
      <c r="O443" s="2080"/>
      <c r="P443" s="2066"/>
      <c r="Q443" s="2065"/>
      <c r="R443" s="2065"/>
      <c r="S443" s="2065"/>
      <c r="T443" s="1096">
        <f t="shared" si="52"/>
        <v>-6868251679</v>
      </c>
      <c r="U443" s="599">
        <v>-28101204847</v>
      </c>
      <c r="V443" s="1407">
        <f t="shared" si="59"/>
        <v>-6868</v>
      </c>
      <c r="W443" s="599">
        <f t="shared" si="55"/>
        <v>-28101</v>
      </c>
      <c r="X443" s="620"/>
      <c r="Y443" s="621"/>
      <c r="Z443" s="1096">
        <f t="shared" si="60"/>
        <v>-6868251679</v>
      </c>
      <c r="AA443" s="882">
        <f t="shared" si="61"/>
        <v>-6868</v>
      </c>
    </row>
    <row r="444" spans="1:27" ht="27" hidden="1" customHeight="1">
      <c r="A444" s="583"/>
      <c r="B444" s="583">
        <v>602</v>
      </c>
      <c r="C444" s="581">
        <v>12</v>
      </c>
      <c r="D444" s="582" t="s">
        <v>600</v>
      </c>
      <c r="E444" s="1138" t="s">
        <v>601</v>
      </c>
      <c r="F444" s="1830">
        <v>-61771631057</v>
      </c>
      <c r="G444" s="2078">
        <v>-120140076435</v>
      </c>
      <c r="H444" s="2065"/>
      <c r="I444" s="2065"/>
      <c r="J444" s="2066"/>
      <c r="K444" s="2080"/>
      <c r="L444" s="2080"/>
      <c r="M444" s="2080"/>
      <c r="N444" s="2065"/>
      <c r="O444" s="2066"/>
      <c r="P444" s="2066"/>
      <c r="Q444" s="2065"/>
      <c r="R444" s="2065"/>
      <c r="S444" s="2065"/>
      <c r="T444" s="1096">
        <f t="shared" si="52"/>
        <v>-181911707492</v>
      </c>
      <c r="U444" s="599">
        <v>-689996994071</v>
      </c>
      <c r="V444" s="1407">
        <f t="shared" si="59"/>
        <v>-181912</v>
      </c>
      <c r="W444" s="599">
        <f t="shared" si="55"/>
        <v>-689997</v>
      </c>
      <c r="X444" s="620"/>
      <c r="Y444" s="621"/>
      <c r="Z444" s="1096">
        <f t="shared" si="60"/>
        <v>-181911707492</v>
      </c>
      <c r="AA444" s="882">
        <f t="shared" si="61"/>
        <v>-181912</v>
      </c>
    </row>
    <row r="445" spans="1:27" ht="27" customHeight="1">
      <c r="A445" s="583"/>
      <c r="B445" s="583">
        <v>1012</v>
      </c>
      <c r="C445" s="581">
        <v>17</v>
      </c>
      <c r="D445" s="582" t="s">
        <v>132</v>
      </c>
      <c r="E445" s="1138" t="s">
        <v>1761</v>
      </c>
      <c r="F445" s="1829">
        <v>27019482306</v>
      </c>
      <c r="G445" s="2077"/>
      <c r="H445" s="2065">
        <v>-2233857400</v>
      </c>
      <c r="I445" s="2065"/>
      <c r="J445" s="2065">
        <v>-27019482306</v>
      </c>
      <c r="K445" s="2065">
        <v>2233857400</v>
      </c>
      <c r="L445" s="2080"/>
      <c r="M445" s="2080"/>
      <c r="N445" s="2065"/>
      <c r="O445" s="2066"/>
      <c r="P445" s="2066"/>
      <c r="Q445" s="2065"/>
      <c r="R445" s="2065"/>
      <c r="S445" s="2065"/>
      <c r="T445" s="1096">
        <f t="shared" si="52"/>
        <v>0</v>
      </c>
      <c r="U445" s="599">
        <v>0</v>
      </c>
      <c r="V445" s="1407">
        <f t="shared" si="59"/>
        <v>0</v>
      </c>
      <c r="W445" s="599">
        <f t="shared" si="55"/>
        <v>0</v>
      </c>
      <c r="X445" s="620"/>
      <c r="Y445" s="621"/>
      <c r="Z445" s="1096">
        <f t="shared" si="60"/>
        <v>0</v>
      </c>
      <c r="AA445" s="882">
        <f t="shared" si="61"/>
        <v>0</v>
      </c>
    </row>
    <row r="446" spans="1:27" ht="27" customHeight="1">
      <c r="A446" s="583"/>
      <c r="B446" s="583">
        <v>1012</v>
      </c>
      <c r="C446" s="581">
        <v>17</v>
      </c>
      <c r="D446" s="582" t="s">
        <v>939</v>
      </c>
      <c r="E446" s="1138" t="s">
        <v>940</v>
      </c>
      <c r="F446" s="1829">
        <v>67998934958</v>
      </c>
      <c r="G446" s="2077">
        <v>-52339945544</v>
      </c>
      <c r="H446" s="2094">
        <v>-2907618542</v>
      </c>
      <c r="I446" s="2065">
        <v>-12751370872</v>
      </c>
      <c r="J446" s="2080"/>
      <c r="K446" s="2080"/>
      <c r="L446" s="2065"/>
      <c r="M446" s="2065"/>
      <c r="N446" s="2065"/>
      <c r="O446" s="2066"/>
      <c r="P446" s="2066"/>
      <c r="Q446" s="2065"/>
      <c r="R446" s="2065"/>
      <c r="S446" s="2065"/>
      <c r="T446" s="1981">
        <f t="shared" si="52"/>
        <v>0</v>
      </c>
      <c r="U446" s="599">
        <v>0</v>
      </c>
      <c r="V446" s="1407">
        <f t="shared" si="59"/>
        <v>0</v>
      </c>
      <c r="W446" s="599">
        <f t="shared" si="55"/>
        <v>0</v>
      </c>
      <c r="X446" s="620"/>
      <c r="Y446" s="621"/>
      <c r="Z446" s="1096">
        <f t="shared" si="60"/>
        <v>0</v>
      </c>
      <c r="AA446" s="882">
        <f t="shared" si="61"/>
        <v>0</v>
      </c>
    </row>
    <row r="447" spans="1:27" ht="27" hidden="1" customHeight="1">
      <c r="A447" s="583"/>
      <c r="B447" s="583">
        <v>401</v>
      </c>
      <c r="C447" s="581">
        <v>11</v>
      </c>
      <c r="D447" s="1825" t="s">
        <v>2040</v>
      </c>
      <c r="E447" s="1513" t="s">
        <v>2038</v>
      </c>
      <c r="F447" s="1831"/>
      <c r="G447" s="2075"/>
      <c r="H447" s="2065"/>
      <c r="I447" s="2065"/>
      <c r="J447" s="2065"/>
      <c r="K447" s="2065"/>
      <c r="L447" s="2065"/>
      <c r="M447" s="2065"/>
      <c r="N447" s="2065"/>
      <c r="O447" s="2066"/>
      <c r="P447" s="2066"/>
      <c r="Q447" s="2065"/>
      <c r="R447" s="2065"/>
      <c r="S447" s="2065"/>
      <c r="T447" s="1981">
        <f t="shared" si="52"/>
        <v>0</v>
      </c>
      <c r="U447" s="599">
        <v>0</v>
      </c>
      <c r="V447" s="1407">
        <f t="shared" si="59"/>
        <v>0</v>
      </c>
      <c r="W447" s="599">
        <f t="shared" si="55"/>
        <v>0</v>
      </c>
      <c r="X447" s="620"/>
      <c r="Y447" s="621"/>
      <c r="Z447" s="1096"/>
      <c r="AA447" s="882"/>
    </row>
    <row r="448" spans="1:27" ht="27" customHeight="1">
      <c r="A448" s="583"/>
      <c r="B448" s="583">
        <v>1012</v>
      </c>
      <c r="C448" s="581">
        <v>17</v>
      </c>
      <c r="D448" s="582" t="s">
        <v>7</v>
      </c>
      <c r="E448" s="1138" t="s">
        <v>1822</v>
      </c>
      <c r="F448" s="1829">
        <v>101102168</v>
      </c>
      <c r="G448" s="2077"/>
      <c r="H448" s="2094"/>
      <c r="I448" s="2065">
        <v>-101102168</v>
      </c>
      <c r="J448" s="2065"/>
      <c r="K448" s="2080"/>
      <c r="L448" s="2065"/>
      <c r="M448" s="2065"/>
      <c r="N448" s="2065"/>
      <c r="O448" s="2066"/>
      <c r="P448" s="2066"/>
      <c r="Q448" s="2065"/>
      <c r="R448" s="2065"/>
      <c r="S448" s="2065"/>
      <c r="T448" s="1096">
        <f t="shared" si="52"/>
        <v>0</v>
      </c>
      <c r="U448" s="599">
        <v>0</v>
      </c>
      <c r="V448" s="1407">
        <f t="shared" si="59"/>
        <v>0</v>
      </c>
      <c r="W448" s="599">
        <f t="shared" si="55"/>
        <v>0</v>
      </c>
      <c r="X448" s="620"/>
      <c r="Y448" s="621"/>
      <c r="Z448" s="1096">
        <f t="shared" ref="Z448:Z458" si="62">T448+Y448-X448</f>
        <v>0</v>
      </c>
      <c r="AA448" s="882">
        <f t="shared" ref="AA448:AA458" si="63">ROUND((Z448/1000000),0)</f>
        <v>0</v>
      </c>
    </row>
    <row r="449" spans="1:27" ht="27" customHeight="1">
      <c r="A449" s="583"/>
      <c r="B449" s="583">
        <v>1012</v>
      </c>
      <c r="C449" s="581">
        <v>17</v>
      </c>
      <c r="D449" s="582" t="s">
        <v>39</v>
      </c>
      <c r="E449" s="1138" t="s">
        <v>181</v>
      </c>
      <c r="F449" s="1830">
        <v>-438393476</v>
      </c>
      <c r="G449" s="2077">
        <v>52339945544</v>
      </c>
      <c r="H449" s="2064">
        <v>2907618542</v>
      </c>
      <c r="I449" s="2097">
        <v>-54809170610</v>
      </c>
      <c r="J449" s="2080"/>
      <c r="K449" s="2080"/>
      <c r="L449" s="2065"/>
      <c r="M449" s="2065"/>
      <c r="N449" s="2065"/>
      <c r="O449" s="2066"/>
      <c r="P449" s="2066"/>
      <c r="Q449" s="2065"/>
      <c r="R449" s="2065"/>
      <c r="S449" s="2065"/>
      <c r="T449" s="1981">
        <f t="shared" si="52"/>
        <v>0</v>
      </c>
      <c r="U449" s="599">
        <v>0</v>
      </c>
      <c r="V449" s="1407">
        <f t="shared" si="59"/>
        <v>0</v>
      </c>
      <c r="W449" s="599">
        <f t="shared" si="55"/>
        <v>0</v>
      </c>
      <c r="X449" s="620"/>
      <c r="Y449" s="621"/>
      <c r="Z449" s="1096">
        <f t="shared" si="62"/>
        <v>0</v>
      </c>
      <c r="AA449" s="882">
        <f t="shared" si="63"/>
        <v>0</v>
      </c>
    </row>
    <row r="450" spans="1:27" ht="27" customHeight="1">
      <c r="A450" s="583"/>
      <c r="B450" s="583">
        <v>1012</v>
      </c>
      <c r="C450" s="581">
        <v>17</v>
      </c>
      <c r="D450" s="582" t="s">
        <v>21</v>
      </c>
      <c r="E450" s="1138" t="s">
        <v>22</v>
      </c>
      <c r="F450" s="1829">
        <v>455950389</v>
      </c>
      <c r="G450" s="2078">
        <v>-69756498075</v>
      </c>
      <c r="H450" s="2075"/>
      <c r="I450" s="2080">
        <v>-455950389</v>
      </c>
      <c r="J450" s="2066"/>
      <c r="K450" s="2080">
        <v>-1239810273300</v>
      </c>
      <c r="L450" s="2065"/>
      <c r="M450" s="2065"/>
      <c r="N450" s="2065"/>
      <c r="O450" s="2066"/>
      <c r="P450" s="2066"/>
      <c r="Q450" s="2065"/>
      <c r="R450" s="2065"/>
      <c r="S450" s="2065"/>
      <c r="T450" s="1096">
        <f t="shared" si="52"/>
        <v>-1309566771375</v>
      </c>
      <c r="U450" s="599">
        <v>-25370000000</v>
      </c>
      <c r="V450" s="1407">
        <f t="shared" si="59"/>
        <v>-1309567</v>
      </c>
      <c r="W450" s="599">
        <f t="shared" si="55"/>
        <v>-25370</v>
      </c>
      <c r="X450" s="620"/>
      <c r="Y450" s="621"/>
      <c r="Z450" s="1096">
        <f t="shared" si="62"/>
        <v>-1309566771375</v>
      </c>
      <c r="AA450" s="882">
        <f t="shared" si="63"/>
        <v>-1309567</v>
      </c>
    </row>
    <row r="451" spans="1:27" ht="27" hidden="1" customHeight="1">
      <c r="A451" s="583"/>
      <c r="B451" s="583">
        <v>1001</v>
      </c>
      <c r="C451" s="581">
        <v>17</v>
      </c>
      <c r="D451" s="582" t="s">
        <v>55</v>
      </c>
      <c r="E451" s="1138" t="s">
        <v>547</v>
      </c>
      <c r="F451" s="1826"/>
      <c r="G451" s="2075"/>
      <c r="H451" s="2065"/>
      <c r="I451" s="2065"/>
      <c r="J451" s="2065"/>
      <c r="K451" s="2065"/>
      <c r="L451" s="2065"/>
      <c r="M451" s="2065"/>
      <c r="N451" s="2065"/>
      <c r="O451" s="2066"/>
      <c r="P451" s="2066"/>
      <c r="Q451" s="2065"/>
      <c r="R451" s="2065"/>
      <c r="S451" s="2065"/>
      <c r="T451" s="1096">
        <f t="shared" si="52"/>
        <v>0</v>
      </c>
      <c r="U451" s="599">
        <v>0</v>
      </c>
      <c r="V451" s="1407">
        <f t="shared" si="59"/>
        <v>0</v>
      </c>
      <c r="W451" s="599">
        <f t="shared" si="55"/>
        <v>0</v>
      </c>
      <c r="X451" s="620"/>
      <c r="Y451" s="621"/>
      <c r="Z451" s="1096">
        <f t="shared" si="62"/>
        <v>0</v>
      </c>
      <c r="AA451" s="882">
        <f t="shared" si="63"/>
        <v>0</v>
      </c>
    </row>
    <row r="452" spans="1:27" ht="27" hidden="1" customHeight="1">
      <c r="A452" s="583"/>
      <c r="B452" s="583">
        <v>1001</v>
      </c>
      <c r="C452" s="581">
        <v>17</v>
      </c>
      <c r="D452" s="582" t="s">
        <v>569</v>
      </c>
      <c r="E452" s="1138" t="s">
        <v>961</v>
      </c>
      <c r="F452" s="1830">
        <v>-20541577212</v>
      </c>
      <c r="G452" s="2075"/>
      <c r="H452" s="2094"/>
      <c r="I452" s="2065"/>
      <c r="J452" s="2065"/>
      <c r="K452" s="2065"/>
      <c r="L452" s="2065"/>
      <c r="M452" s="2065"/>
      <c r="N452" s="2065"/>
      <c r="O452" s="2066"/>
      <c r="P452" s="2066"/>
      <c r="Q452" s="2065"/>
      <c r="R452" s="2065"/>
      <c r="S452" s="2065"/>
      <c r="T452" s="1096">
        <f t="shared" si="52"/>
        <v>-20541577212</v>
      </c>
      <c r="U452" s="599">
        <v>-11845458155</v>
      </c>
      <c r="V452" s="1407">
        <f t="shared" si="59"/>
        <v>-20542</v>
      </c>
      <c r="W452" s="599">
        <f t="shared" si="55"/>
        <v>-11845</v>
      </c>
      <c r="X452" s="620"/>
      <c r="Y452" s="621"/>
      <c r="Z452" s="1096">
        <f t="shared" si="62"/>
        <v>-20541577212</v>
      </c>
      <c r="AA452" s="882">
        <f t="shared" si="63"/>
        <v>-20542</v>
      </c>
    </row>
    <row r="453" spans="1:27" ht="27" hidden="1" customHeight="1">
      <c r="A453" s="583"/>
      <c r="B453" s="583">
        <v>1001</v>
      </c>
      <c r="C453" s="581">
        <v>17</v>
      </c>
      <c r="D453" s="582" t="s">
        <v>575</v>
      </c>
      <c r="E453" s="1138" t="s">
        <v>1608</v>
      </c>
      <c r="F453" s="1826"/>
      <c r="G453" s="2075"/>
      <c r="H453" s="2065"/>
      <c r="I453" s="2065"/>
      <c r="J453" s="2065"/>
      <c r="K453" s="2065"/>
      <c r="L453" s="2065"/>
      <c r="M453" s="2065"/>
      <c r="N453" s="2065"/>
      <c r="O453" s="2066"/>
      <c r="P453" s="2066"/>
      <c r="Q453" s="2065"/>
      <c r="R453" s="2065"/>
      <c r="S453" s="2065"/>
      <c r="T453" s="1096">
        <f t="shared" si="52"/>
        <v>0</v>
      </c>
      <c r="U453" s="599">
        <v>0</v>
      </c>
      <c r="V453" s="1407">
        <f t="shared" si="59"/>
        <v>0</v>
      </c>
      <c r="W453" s="599">
        <f t="shared" si="55"/>
        <v>0</v>
      </c>
      <c r="X453" s="620"/>
      <c r="Y453" s="621"/>
      <c r="Z453" s="1096">
        <f t="shared" si="62"/>
        <v>0</v>
      </c>
      <c r="AA453" s="882">
        <f t="shared" si="63"/>
        <v>0</v>
      </c>
    </row>
    <row r="454" spans="1:27" ht="27" hidden="1" customHeight="1">
      <c r="A454" s="583"/>
      <c r="B454" s="583">
        <v>1001</v>
      </c>
      <c r="C454" s="581">
        <v>17</v>
      </c>
      <c r="D454" s="582" t="s">
        <v>262</v>
      </c>
      <c r="E454" s="1138" t="s">
        <v>263</v>
      </c>
      <c r="F454" s="1826">
        <v>-12521701068</v>
      </c>
      <c r="G454" s="2075"/>
      <c r="H454" s="2094">
        <v>-727344072</v>
      </c>
      <c r="I454" s="2080">
        <v>-1173561226</v>
      </c>
      <c r="J454" s="2065"/>
      <c r="K454" s="2065"/>
      <c r="L454" s="2065"/>
      <c r="M454" s="2065"/>
      <c r="N454" s="2065"/>
      <c r="O454" s="2066"/>
      <c r="P454" s="2066"/>
      <c r="Q454" s="2065"/>
      <c r="R454" s="2065"/>
      <c r="S454" s="2065"/>
      <c r="T454" s="1096">
        <f t="shared" si="52"/>
        <v>-14422606366</v>
      </c>
      <c r="U454" s="599">
        <v>-5420718044</v>
      </c>
      <c r="V454" s="1407">
        <f t="shared" si="59"/>
        <v>-14423</v>
      </c>
      <c r="W454" s="599">
        <f t="shared" si="55"/>
        <v>-5421</v>
      </c>
      <c r="X454" s="620"/>
      <c r="Y454" s="621"/>
      <c r="Z454" s="1096">
        <f t="shared" si="62"/>
        <v>-14422606366</v>
      </c>
      <c r="AA454" s="882">
        <f t="shared" si="63"/>
        <v>-14423</v>
      </c>
    </row>
    <row r="455" spans="1:27" ht="27" hidden="1" customHeight="1">
      <c r="A455" s="583"/>
      <c r="B455" s="583">
        <v>1001</v>
      </c>
      <c r="C455" s="581">
        <v>17</v>
      </c>
      <c r="D455" s="582" t="s">
        <v>546</v>
      </c>
      <c r="E455" s="1138" t="s">
        <v>170</v>
      </c>
      <c r="F455" s="1830">
        <v>-41430163625</v>
      </c>
      <c r="G455" s="2077">
        <v>-3276832580</v>
      </c>
      <c r="H455" s="2065"/>
      <c r="I455" s="2080">
        <v>-2113524782</v>
      </c>
      <c r="J455" s="2065"/>
      <c r="K455" s="2080"/>
      <c r="L455" s="2065"/>
      <c r="M455" s="2065"/>
      <c r="N455" s="2065"/>
      <c r="O455" s="2066"/>
      <c r="P455" s="2066"/>
      <c r="Q455" s="2065"/>
      <c r="R455" s="2065"/>
      <c r="S455" s="2065"/>
      <c r="T455" s="1096">
        <f t="shared" si="52"/>
        <v>-46820520987</v>
      </c>
      <c r="U455" s="599">
        <v>-19721721007</v>
      </c>
      <c r="V455" s="1407">
        <f t="shared" si="59"/>
        <v>-46821</v>
      </c>
      <c r="W455" s="599">
        <f t="shared" si="55"/>
        <v>-19722</v>
      </c>
      <c r="X455" s="620"/>
      <c r="Y455" s="621"/>
      <c r="Z455" s="1096">
        <f t="shared" si="62"/>
        <v>-46820520987</v>
      </c>
      <c r="AA455" s="882">
        <f t="shared" si="63"/>
        <v>-46821</v>
      </c>
    </row>
    <row r="456" spans="1:27" ht="27" hidden="1" customHeight="1">
      <c r="A456" s="583"/>
      <c r="B456" s="583">
        <v>428</v>
      </c>
      <c r="C456" s="581">
        <v>11</v>
      </c>
      <c r="D456" s="582" t="s">
        <v>162</v>
      </c>
      <c r="E456" s="1138" t="s">
        <v>171</v>
      </c>
      <c r="F456" s="1829">
        <v>1478252865</v>
      </c>
      <c r="G456" s="2075">
        <v>79792774</v>
      </c>
      <c r="H456" s="2094"/>
      <c r="I456" s="2065"/>
      <c r="J456" s="2065"/>
      <c r="K456" s="2080"/>
      <c r="L456" s="2065"/>
      <c r="M456" s="2065"/>
      <c r="N456" s="2065"/>
      <c r="O456" s="2066"/>
      <c r="P456" s="2066"/>
      <c r="Q456" s="2065"/>
      <c r="R456" s="2065"/>
      <c r="S456" s="2065"/>
      <c r="T456" s="1096">
        <f t="shared" si="52"/>
        <v>1558045639</v>
      </c>
      <c r="U456" s="599">
        <v>-58359375</v>
      </c>
      <c r="V456" s="1407">
        <f t="shared" si="59"/>
        <v>1558</v>
      </c>
      <c r="W456" s="599">
        <f t="shared" si="55"/>
        <v>-58</v>
      </c>
      <c r="X456" s="620"/>
      <c r="Y456" s="621"/>
      <c r="Z456" s="1096">
        <f t="shared" si="62"/>
        <v>1558045639</v>
      </c>
      <c r="AA456" s="882">
        <f t="shared" si="63"/>
        <v>1558</v>
      </c>
    </row>
    <row r="457" spans="1:27" ht="27" hidden="1" customHeight="1">
      <c r="A457" s="583"/>
      <c r="B457" s="583">
        <v>1001</v>
      </c>
      <c r="C457" s="581">
        <v>17</v>
      </c>
      <c r="D457" s="582" t="s">
        <v>301</v>
      </c>
      <c r="E457" s="1138" t="s">
        <v>886</v>
      </c>
      <c r="F457" s="1826"/>
      <c r="G457" s="2075"/>
      <c r="H457" s="2065"/>
      <c r="I457" s="2065"/>
      <c r="J457" s="2065"/>
      <c r="K457" s="2065"/>
      <c r="L457" s="2065"/>
      <c r="M457" s="2065"/>
      <c r="N457" s="2065"/>
      <c r="O457" s="2066"/>
      <c r="P457" s="2066"/>
      <c r="Q457" s="2065"/>
      <c r="R457" s="2065"/>
      <c r="S457" s="2065"/>
      <c r="T457" s="1096">
        <f t="shared" si="52"/>
        <v>0</v>
      </c>
      <c r="U457" s="599">
        <v>0</v>
      </c>
      <c r="V457" s="1407">
        <f t="shared" si="59"/>
        <v>0</v>
      </c>
      <c r="W457" s="599">
        <f t="shared" si="55"/>
        <v>0</v>
      </c>
      <c r="X457" s="620"/>
      <c r="Y457" s="621"/>
      <c r="Z457" s="1096">
        <f t="shared" si="62"/>
        <v>0</v>
      </c>
      <c r="AA457" s="882">
        <f t="shared" si="63"/>
        <v>0</v>
      </c>
    </row>
    <row r="458" spans="1:27" ht="27" hidden="1" customHeight="1">
      <c r="A458" s="583"/>
      <c r="B458" s="583">
        <v>428</v>
      </c>
      <c r="C458" s="581">
        <v>11</v>
      </c>
      <c r="D458" s="582" t="s">
        <v>110</v>
      </c>
      <c r="E458" s="1138" t="s">
        <v>174</v>
      </c>
      <c r="F458" s="1829">
        <v>2582970663</v>
      </c>
      <c r="G458" s="2077"/>
      <c r="H458" s="2094">
        <v>-168840000</v>
      </c>
      <c r="I458" s="2065">
        <v>641788316</v>
      </c>
      <c r="J458" s="2065"/>
      <c r="K458" s="2065">
        <v>-306371551</v>
      </c>
      <c r="L458" s="2065"/>
      <c r="M458" s="2065"/>
      <c r="N458" s="2065"/>
      <c r="O458" s="2066"/>
      <c r="P458" s="2066"/>
      <c r="Q458" s="2065"/>
      <c r="R458" s="2065"/>
      <c r="S458" s="2065"/>
      <c r="T458" s="1096">
        <f t="shared" si="52"/>
        <v>2749547428</v>
      </c>
      <c r="U458" s="599">
        <v>-311396211</v>
      </c>
      <c r="V458" s="1407">
        <f t="shared" si="59"/>
        <v>2750</v>
      </c>
      <c r="W458" s="599">
        <f t="shared" si="55"/>
        <v>-311</v>
      </c>
      <c r="X458" s="620"/>
      <c r="Y458" s="621"/>
      <c r="Z458" s="1096">
        <f t="shared" si="62"/>
        <v>2749547428</v>
      </c>
      <c r="AA458" s="882">
        <f t="shared" si="63"/>
        <v>2750</v>
      </c>
    </row>
    <row r="459" spans="1:27" ht="27" hidden="1" customHeight="1">
      <c r="A459" s="583"/>
      <c r="B459" s="583">
        <v>1018</v>
      </c>
      <c r="C459" s="581">
        <v>17</v>
      </c>
      <c r="D459" s="582" t="s">
        <v>2122</v>
      </c>
      <c r="E459" s="1513" t="s">
        <v>2038</v>
      </c>
      <c r="F459" s="1830">
        <v>-386272</v>
      </c>
      <c r="G459" s="2075"/>
      <c r="H459" s="2064"/>
      <c r="I459" s="2065"/>
      <c r="J459" s="2065"/>
      <c r="K459" s="2065"/>
      <c r="L459" s="2065"/>
      <c r="M459" s="2065"/>
      <c r="N459" s="2065"/>
      <c r="O459" s="2066"/>
      <c r="P459" s="2066"/>
      <c r="Q459" s="2065"/>
      <c r="R459" s="2065"/>
      <c r="S459" s="2065"/>
      <c r="T459" s="1981">
        <f t="shared" si="52"/>
        <v>-386272</v>
      </c>
      <c r="U459" s="599">
        <v>-515423</v>
      </c>
      <c r="V459" s="1407">
        <f>ROUND((T459/1000000),0)</f>
        <v>0</v>
      </c>
      <c r="W459" s="599">
        <f t="shared" si="55"/>
        <v>-1</v>
      </c>
      <c r="X459" s="620"/>
      <c r="Y459" s="621"/>
      <c r="Z459" s="1096"/>
      <c r="AA459" s="882"/>
    </row>
    <row r="460" spans="1:27" ht="27" hidden="1" customHeight="1">
      <c r="A460" s="2062"/>
      <c r="B460" s="2062">
        <v>412</v>
      </c>
      <c r="C460" s="2063">
        <v>11</v>
      </c>
      <c r="D460" s="2073" t="s">
        <v>14</v>
      </c>
      <c r="E460" s="2074" t="s">
        <v>363</v>
      </c>
      <c r="F460" s="2064">
        <v>923964459513</v>
      </c>
      <c r="G460" s="2075"/>
      <c r="H460" s="2064"/>
      <c r="I460" s="2065"/>
      <c r="J460" s="2065"/>
      <c r="K460" s="2065"/>
      <c r="L460" s="2080"/>
      <c r="M460" s="2080"/>
      <c r="N460" s="2065"/>
      <c r="O460" s="2066"/>
      <c r="P460" s="2066"/>
      <c r="Q460" s="2065"/>
      <c r="R460" s="2065"/>
      <c r="S460" s="2065"/>
      <c r="T460" s="1981">
        <f t="shared" si="52"/>
        <v>923964459513</v>
      </c>
      <c r="U460" s="2065">
        <v>532271655917</v>
      </c>
      <c r="V460" s="2102">
        <f t="shared" ref="V460:V491" si="64">ROUND((T460/1000000),0)</f>
        <v>923964</v>
      </c>
      <c r="W460" s="2065">
        <f t="shared" si="55"/>
        <v>532272</v>
      </c>
      <c r="X460" s="2067"/>
      <c r="Y460" s="2068"/>
      <c r="Z460" s="2069">
        <f t="shared" ref="Z460:Z481" si="65">T460+Y460-X460</f>
        <v>923964459513</v>
      </c>
      <c r="AA460" s="2070">
        <f t="shared" ref="AA460:AA481" si="66">ROUND((Z460/1000000),0)</f>
        <v>923964</v>
      </c>
    </row>
    <row r="461" spans="1:27" ht="27" hidden="1" customHeight="1">
      <c r="A461" s="583"/>
      <c r="B461" s="583">
        <v>1401</v>
      </c>
      <c r="C461" s="581">
        <v>18</v>
      </c>
      <c r="D461" s="582" t="s">
        <v>1166</v>
      </c>
      <c r="E461" s="1138" t="s">
        <v>1165</v>
      </c>
      <c r="F461" s="1826"/>
      <c r="G461" s="2075"/>
      <c r="H461" s="2065"/>
      <c r="I461" s="2065"/>
      <c r="J461" s="2066"/>
      <c r="K461" s="2065"/>
      <c r="L461" s="2065"/>
      <c r="M461" s="2065"/>
      <c r="N461" s="2065"/>
      <c r="O461" s="2066"/>
      <c r="P461" s="2066"/>
      <c r="Q461" s="2065"/>
      <c r="R461" s="2065"/>
      <c r="S461" s="2065"/>
      <c r="T461" s="1096">
        <f t="shared" ref="T461:T525" si="67">SUM(F461:S461)</f>
        <v>0</v>
      </c>
      <c r="U461" s="599">
        <v>0</v>
      </c>
      <c r="V461" s="1407">
        <f t="shared" si="64"/>
        <v>0</v>
      </c>
      <c r="W461" s="599">
        <f t="shared" si="55"/>
        <v>0</v>
      </c>
      <c r="X461" s="620"/>
      <c r="Y461" s="621"/>
      <c r="Z461" s="1096">
        <f t="shared" si="65"/>
        <v>0</v>
      </c>
      <c r="AA461" s="882">
        <f t="shared" si="66"/>
        <v>0</v>
      </c>
    </row>
    <row r="462" spans="1:27" ht="27" hidden="1" customHeight="1">
      <c r="A462" s="583"/>
      <c r="B462" s="583">
        <v>401</v>
      </c>
      <c r="C462" s="581">
        <v>11</v>
      </c>
      <c r="D462" s="582" t="s">
        <v>42</v>
      </c>
      <c r="E462" s="1138" t="s">
        <v>943</v>
      </c>
      <c r="F462" s="1830">
        <v>-13902000</v>
      </c>
      <c r="G462" s="2075">
        <v>13902000</v>
      </c>
      <c r="H462" s="2064"/>
      <c r="I462" s="2065"/>
      <c r="J462" s="2065"/>
      <c r="K462" s="2065"/>
      <c r="L462" s="2065"/>
      <c r="M462" s="2065"/>
      <c r="N462" s="2065"/>
      <c r="O462" s="2066"/>
      <c r="P462" s="2066"/>
      <c r="Q462" s="2065"/>
      <c r="R462" s="2065"/>
      <c r="S462" s="2065"/>
      <c r="T462" s="1096">
        <f t="shared" si="67"/>
        <v>0</v>
      </c>
      <c r="U462" s="599">
        <v>0</v>
      </c>
      <c r="V462" s="1407">
        <f t="shared" si="64"/>
        <v>0</v>
      </c>
      <c r="W462" s="599">
        <f t="shared" si="55"/>
        <v>0</v>
      </c>
      <c r="X462" s="620"/>
      <c r="Y462" s="621"/>
      <c r="Z462" s="1096">
        <f t="shared" si="65"/>
        <v>0</v>
      </c>
      <c r="AA462" s="882">
        <f t="shared" si="66"/>
        <v>0</v>
      </c>
    </row>
    <row r="463" spans="1:27" ht="27" hidden="1" customHeight="1">
      <c r="A463" s="583"/>
      <c r="B463" s="583"/>
      <c r="C463" s="581">
        <v>6</v>
      </c>
      <c r="D463" s="582" t="s">
        <v>897</v>
      </c>
      <c r="E463" s="1138" t="s">
        <v>779</v>
      </c>
      <c r="F463" s="1826"/>
      <c r="G463" s="2075"/>
      <c r="H463" s="2065"/>
      <c r="I463" s="2065"/>
      <c r="J463" s="2066"/>
      <c r="K463" s="2065"/>
      <c r="L463" s="2065"/>
      <c r="M463" s="2065"/>
      <c r="N463" s="2065"/>
      <c r="O463" s="2066"/>
      <c r="P463" s="2066"/>
      <c r="Q463" s="2065"/>
      <c r="R463" s="2065"/>
      <c r="S463" s="2065"/>
      <c r="T463" s="1096">
        <f t="shared" si="67"/>
        <v>0</v>
      </c>
      <c r="U463" s="599">
        <v>0</v>
      </c>
      <c r="V463" s="1407">
        <f t="shared" si="64"/>
        <v>0</v>
      </c>
      <c r="W463" s="599">
        <f t="shared" ref="W463:W527" si="68">ROUND((U463/1000000),0)</f>
        <v>0</v>
      </c>
      <c r="X463" s="620"/>
      <c r="Y463" s="621"/>
      <c r="Z463" s="1096">
        <f t="shared" si="65"/>
        <v>0</v>
      </c>
      <c r="AA463" s="882">
        <f t="shared" si="66"/>
        <v>0</v>
      </c>
    </row>
    <row r="464" spans="1:27" ht="27" hidden="1" customHeight="1">
      <c r="A464" s="583"/>
      <c r="B464" s="583">
        <v>1001</v>
      </c>
      <c r="C464" s="581">
        <v>17</v>
      </c>
      <c r="D464" s="582" t="s">
        <v>335</v>
      </c>
      <c r="E464" s="1138" t="s">
        <v>763</v>
      </c>
      <c r="F464" s="1826"/>
      <c r="G464" s="2075"/>
      <c r="H464" s="2065"/>
      <c r="I464" s="2065"/>
      <c r="J464" s="2065"/>
      <c r="K464" s="2065"/>
      <c r="L464" s="2065"/>
      <c r="M464" s="2065"/>
      <c r="N464" s="2065"/>
      <c r="O464" s="2066"/>
      <c r="P464" s="2066"/>
      <c r="Q464" s="2065"/>
      <c r="R464" s="2065"/>
      <c r="S464" s="2065"/>
      <c r="T464" s="1096">
        <f t="shared" si="67"/>
        <v>0</v>
      </c>
      <c r="U464" s="599">
        <v>0</v>
      </c>
      <c r="V464" s="1407">
        <f t="shared" si="64"/>
        <v>0</v>
      </c>
      <c r="W464" s="599">
        <f t="shared" si="68"/>
        <v>0</v>
      </c>
      <c r="X464" s="620"/>
      <c r="Y464" s="621"/>
      <c r="Z464" s="1096">
        <f t="shared" si="65"/>
        <v>0</v>
      </c>
      <c r="AA464" s="882">
        <f t="shared" si="66"/>
        <v>0</v>
      </c>
    </row>
    <row r="465" spans="1:27" ht="27" hidden="1" customHeight="1">
      <c r="A465" s="583"/>
      <c r="B465" s="583">
        <v>1001</v>
      </c>
      <c r="C465" s="581">
        <v>17</v>
      </c>
      <c r="D465" s="582" t="s">
        <v>393</v>
      </c>
      <c r="E465" s="1138" t="s">
        <v>394</v>
      </c>
      <c r="F465" s="1826"/>
      <c r="G465" s="2075"/>
      <c r="H465" s="2065"/>
      <c r="I465" s="2065"/>
      <c r="J465" s="2065"/>
      <c r="K465" s="2065"/>
      <c r="L465" s="2065"/>
      <c r="M465" s="2065"/>
      <c r="N465" s="2065"/>
      <c r="O465" s="2066"/>
      <c r="P465" s="2066"/>
      <c r="Q465" s="2065"/>
      <c r="R465" s="2065"/>
      <c r="S465" s="2065"/>
      <c r="T465" s="1096">
        <f t="shared" si="67"/>
        <v>0</v>
      </c>
      <c r="U465" s="599">
        <v>0</v>
      </c>
      <c r="V465" s="1407">
        <f t="shared" si="64"/>
        <v>0</v>
      </c>
      <c r="W465" s="599">
        <f t="shared" si="68"/>
        <v>0</v>
      </c>
      <c r="X465" s="620"/>
      <c r="Y465" s="621"/>
      <c r="Z465" s="1096">
        <f t="shared" si="65"/>
        <v>0</v>
      </c>
      <c r="AA465" s="882">
        <f t="shared" si="66"/>
        <v>0</v>
      </c>
    </row>
    <row r="466" spans="1:27" ht="27" hidden="1" customHeight="1">
      <c r="A466" s="583"/>
      <c r="B466" s="583">
        <v>1001</v>
      </c>
      <c r="C466" s="581">
        <v>17</v>
      </c>
      <c r="D466" s="582" t="s">
        <v>968</v>
      </c>
      <c r="E466" s="1138" t="s">
        <v>969</v>
      </c>
      <c r="F466" s="1826"/>
      <c r="G466" s="2075"/>
      <c r="H466" s="2065"/>
      <c r="I466" s="2065"/>
      <c r="J466" s="2065"/>
      <c r="K466" s="2065"/>
      <c r="L466" s="2065"/>
      <c r="M466" s="2065"/>
      <c r="N466" s="2065"/>
      <c r="O466" s="2066"/>
      <c r="P466" s="2066"/>
      <c r="Q466" s="2065"/>
      <c r="R466" s="2065"/>
      <c r="S466" s="2065"/>
      <c r="T466" s="1096">
        <f t="shared" si="67"/>
        <v>0</v>
      </c>
      <c r="U466" s="599">
        <v>0</v>
      </c>
      <c r="V466" s="1407">
        <f t="shared" si="64"/>
        <v>0</v>
      </c>
      <c r="W466" s="599">
        <f t="shared" si="68"/>
        <v>0</v>
      </c>
      <c r="X466" s="620"/>
      <c r="Y466" s="621"/>
      <c r="Z466" s="1096">
        <f t="shared" si="65"/>
        <v>0</v>
      </c>
      <c r="AA466" s="882">
        <f t="shared" si="66"/>
        <v>0</v>
      </c>
    </row>
    <row r="467" spans="1:27" ht="27" hidden="1" customHeight="1">
      <c r="A467" s="583"/>
      <c r="B467" s="583">
        <v>401</v>
      </c>
      <c r="C467" s="581">
        <v>11</v>
      </c>
      <c r="D467" s="582" t="s">
        <v>1099</v>
      </c>
      <c r="E467" s="1138" t="s">
        <v>2129</v>
      </c>
      <c r="F467" s="1830"/>
      <c r="G467" s="2075"/>
      <c r="H467" s="2064"/>
      <c r="I467" s="2065"/>
      <c r="J467" s="2065"/>
      <c r="K467" s="2065"/>
      <c r="L467" s="2065"/>
      <c r="M467" s="2065"/>
      <c r="N467" s="2065"/>
      <c r="O467" s="2066"/>
      <c r="P467" s="2066"/>
      <c r="Q467" s="2065"/>
      <c r="R467" s="2065"/>
      <c r="S467" s="2065"/>
      <c r="T467" s="1096">
        <f t="shared" si="67"/>
        <v>0</v>
      </c>
      <c r="U467" s="599">
        <v>0</v>
      </c>
      <c r="V467" s="1407">
        <f t="shared" si="64"/>
        <v>0</v>
      </c>
      <c r="W467" s="599">
        <f t="shared" si="68"/>
        <v>0</v>
      </c>
      <c r="X467" s="620"/>
      <c r="Y467" s="621"/>
      <c r="Z467" s="1096">
        <f t="shared" si="65"/>
        <v>0</v>
      </c>
      <c r="AA467" s="882">
        <f t="shared" si="66"/>
        <v>0</v>
      </c>
    </row>
    <row r="468" spans="1:27" ht="27" hidden="1" customHeight="1">
      <c r="A468" s="583"/>
      <c r="B468" s="583">
        <v>1001</v>
      </c>
      <c r="C468" s="581">
        <v>17</v>
      </c>
      <c r="D468" s="582" t="s">
        <v>349</v>
      </c>
      <c r="E468" s="1138" t="s">
        <v>285</v>
      </c>
      <c r="F468" s="1826"/>
      <c r="G468" s="2075"/>
      <c r="H468" s="2065"/>
      <c r="I468" s="2065"/>
      <c r="J468" s="2065"/>
      <c r="K468" s="2065"/>
      <c r="L468" s="2065"/>
      <c r="M468" s="2065"/>
      <c r="N468" s="2065"/>
      <c r="O468" s="2066"/>
      <c r="P468" s="2066"/>
      <c r="Q468" s="2065"/>
      <c r="R468" s="2065"/>
      <c r="S468" s="2065"/>
      <c r="T468" s="1096">
        <f t="shared" si="67"/>
        <v>0</v>
      </c>
      <c r="U468" s="599">
        <v>0</v>
      </c>
      <c r="V468" s="1407">
        <f t="shared" si="64"/>
        <v>0</v>
      </c>
      <c r="W468" s="599">
        <f t="shared" si="68"/>
        <v>0</v>
      </c>
      <c r="X468" s="620"/>
      <c r="Y468" s="621"/>
      <c r="Z468" s="1096">
        <f t="shared" si="65"/>
        <v>0</v>
      </c>
      <c r="AA468" s="882">
        <f t="shared" si="66"/>
        <v>0</v>
      </c>
    </row>
    <row r="469" spans="1:27" ht="27" hidden="1" customHeight="1">
      <c r="A469" s="583"/>
      <c r="B469" s="583">
        <v>401</v>
      </c>
      <c r="C469" s="581">
        <v>11</v>
      </c>
      <c r="D469" s="582" t="s">
        <v>1176</v>
      </c>
      <c r="E469" s="1138" t="s">
        <v>1171</v>
      </c>
      <c r="F469" s="1829">
        <v>714810000</v>
      </c>
      <c r="G469" s="2077">
        <v>-714810000</v>
      </c>
      <c r="H469" s="2065"/>
      <c r="I469" s="2065"/>
      <c r="J469" s="2065"/>
      <c r="K469" s="2065"/>
      <c r="L469" s="2080"/>
      <c r="M469" s="2080"/>
      <c r="N469" s="2065"/>
      <c r="O469" s="2066"/>
      <c r="P469" s="2066"/>
      <c r="Q469" s="2065"/>
      <c r="R469" s="2065"/>
      <c r="S469" s="2065"/>
      <c r="T469" s="1096">
        <f t="shared" si="67"/>
        <v>0</v>
      </c>
      <c r="U469" s="599">
        <v>0</v>
      </c>
      <c r="V469" s="1407">
        <f t="shared" si="64"/>
        <v>0</v>
      </c>
      <c r="W469" s="599">
        <f t="shared" si="68"/>
        <v>0</v>
      </c>
      <c r="X469" s="620"/>
      <c r="Y469" s="621"/>
      <c r="Z469" s="1096">
        <f t="shared" si="65"/>
        <v>0</v>
      </c>
      <c r="AA469" s="882">
        <f t="shared" si="66"/>
        <v>0</v>
      </c>
    </row>
    <row r="470" spans="1:27" ht="27" hidden="1" customHeight="1">
      <c r="A470" s="583"/>
      <c r="B470" s="583">
        <v>401</v>
      </c>
      <c r="C470" s="581">
        <v>11</v>
      </c>
      <c r="D470" s="582" t="s">
        <v>944</v>
      </c>
      <c r="E470" s="1138" t="s">
        <v>945</v>
      </c>
      <c r="F470" s="1829">
        <v>15416881407940</v>
      </c>
      <c r="G470" s="2077">
        <v>-11059392687644</v>
      </c>
      <c r="H470" s="2094">
        <v>-3699983543476</v>
      </c>
      <c r="I470" s="2065">
        <v>-657505176820</v>
      </c>
      <c r="J470" s="2080"/>
      <c r="K470" s="2065"/>
      <c r="L470" s="2065"/>
      <c r="M470" s="2065"/>
      <c r="N470" s="2065"/>
      <c r="O470" s="2066"/>
      <c r="P470" s="2066"/>
      <c r="Q470" s="2065"/>
      <c r="R470" s="2065"/>
      <c r="S470" s="2065"/>
      <c r="T470" s="1096">
        <f t="shared" si="67"/>
        <v>0</v>
      </c>
      <c r="U470" s="599">
        <v>0</v>
      </c>
      <c r="V470" s="1407">
        <f t="shared" si="64"/>
        <v>0</v>
      </c>
      <c r="W470" s="599">
        <f t="shared" si="68"/>
        <v>0</v>
      </c>
      <c r="X470" s="620"/>
      <c r="Y470" s="621"/>
      <c r="Z470" s="1096">
        <f t="shared" si="65"/>
        <v>0</v>
      </c>
      <c r="AA470" s="882">
        <f t="shared" si="66"/>
        <v>0</v>
      </c>
    </row>
    <row r="471" spans="1:27" ht="27" hidden="1" customHeight="1">
      <c r="A471" s="583"/>
      <c r="B471" s="583">
        <v>401</v>
      </c>
      <c r="C471" s="581">
        <v>11</v>
      </c>
      <c r="D471" s="582" t="s">
        <v>946</v>
      </c>
      <c r="E471" s="1138" t="s">
        <v>947</v>
      </c>
      <c r="F471" s="1829">
        <v>339171768232</v>
      </c>
      <c r="G471" s="2077">
        <v>-258308572060</v>
      </c>
      <c r="H471" s="2094">
        <v>-52233126099</v>
      </c>
      <c r="I471" s="2065">
        <v>-28630070073</v>
      </c>
      <c r="J471" s="2080"/>
      <c r="K471" s="2065"/>
      <c r="L471" s="2065"/>
      <c r="M471" s="2065"/>
      <c r="N471" s="2065"/>
      <c r="O471" s="2066"/>
      <c r="P471" s="2066"/>
      <c r="Q471" s="2065"/>
      <c r="R471" s="2065"/>
      <c r="S471" s="2065"/>
      <c r="T471" s="1096">
        <f t="shared" si="67"/>
        <v>0</v>
      </c>
      <c r="U471" s="599">
        <v>0</v>
      </c>
      <c r="V471" s="1407">
        <f t="shared" si="64"/>
        <v>0</v>
      </c>
      <c r="W471" s="599">
        <f t="shared" si="68"/>
        <v>0</v>
      </c>
      <c r="X471" s="620"/>
      <c r="Y471" s="621"/>
      <c r="Z471" s="1096">
        <f t="shared" si="65"/>
        <v>0</v>
      </c>
      <c r="AA471" s="882">
        <f t="shared" si="66"/>
        <v>0</v>
      </c>
    </row>
    <row r="472" spans="1:27" ht="27" hidden="1" customHeight="1">
      <c r="A472" s="583"/>
      <c r="B472" s="583">
        <v>401</v>
      </c>
      <c r="C472" s="581">
        <v>11</v>
      </c>
      <c r="D472" s="582" t="s">
        <v>948</v>
      </c>
      <c r="E472" s="1138" t="s">
        <v>949</v>
      </c>
      <c r="F472" s="1829"/>
      <c r="G472" s="2077"/>
      <c r="H472" s="2094"/>
      <c r="I472" s="2065"/>
      <c r="J472" s="2065"/>
      <c r="K472" s="2065"/>
      <c r="L472" s="2065"/>
      <c r="M472" s="2065"/>
      <c r="N472" s="2065"/>
      <c r="O472" s="2066"/>
      <c r="P472" s="2066"/>
      <c r="Q472" s="2065"/>
      <c r="R472" s="2065"/>
      <c r="S472" s="2065"/>
      <c r="T472" s="1096">
        <f t="shared" si="67"/>
        <v>0</v>
      </c>
      <c r="U472" s="599">
        <v>0</v>
      </c>
      <c r="V472" s="1407">
        <f t="shared" si="64"/>
        <v>0</v>
      </c>
      <c r="W472" s="599">
        <f t="shared" si="68"/>
        <v>0</v>
      </c>
      <c r="X472" s="620"/>
      <c r="Y472" s="621"/>
      <c r="Z472" s="1096">
        <f t="shared" si="65"/>
        <v>0</v>
      </c>
      <c r="AA472" s="882">
        <f t="shared" si="66"/>
        <v>0</v>
      </c>
    </row>
    <row r="473" spans="1:27" ht="27" hidden="1" customHeight="1">
      <c r="A473" s="583"/>
      <c r="B473" s="583">
        <v>401</v>
      </c>
      <c r="C473" s="581">
        <v>11</v>
      </c>
      <c r="D473" s="582" t="s">
        <v>45</v>
      </c>
      <c r="E473" s="1138" t="s">
        <v>46</v>
      </c>
      <c r="F473" s="1829">
        <v>4615273082</v>
      </c>
      <c r="G473" s="2077">
        <v>1051743932</v>
      </c>
      <c r="H473" s="2094">
        <v>-1434057488</v>
      </c>
      <c r="I473" s="2065">
        <v>-581246219</v>
      </c>
      <c r="J473" s="2080"/>
      <c r="K473" s="2080">
        <f>20854645+389969126</f>
        <v>410823771</v>
      </c>
      <c r="L473" s="2065"/>
      <c r="M473" s="2065"/>
      <c r="N473" s="2065"/>
      <c r="O473" s="2080"/>
      <c r="P473" s="2066"/>
      <c r="Q473" s="2065"/>
      <c r="R473" s="2065"/>
      <c r="S473" s="2065"/>
      <c r="T473" s="1981">
        <f t="shared" si="67"/>
        <v>4062537078</v>
      </c>
      <c r="U473" s="599">
        <v>6724980329</v>
      </c>
      <c r="V473" s="1407">
        <f t="shared" si="64"/>
        <v>4063</v>
      </c>
      <c r="W473" s="599">
        <f t="shared" si="68"/>
        <v>6725</v>
      </c>
      <c r="X473" s="620"/>
      <c r="Y473" s="621"/>
      <c r="Z473" s="1096">
        <f t="shared" si="65"/>
        <v>4062537078</v>
      </c>
      <c r="AA473" s="882">
        <f t="shared" si="66"/>
        <v>4063</v>
      </c>
    </row>
    <row r="474" spans="1:27" ht="27" hidden="1" customHeight="1">
      <c r="A474" s="583"/>
      <c r="B474" s="583">
        <v>401</v>
      </c>
      <c r="C474" s="581">
        <v>11</v>
      </c>
      <c r="D474" s="582" t="s">
        <v>952</v>
      </c>
      <c r="E474" s="1138" t="s">
        <v>953</v>
      </c>
      <c r="F474" s="1826"/>
      <c r="G474" s="2075"/>
      <c r="H474" s="2065"/>
      <c r="I474" s="2065"/>
      <c r="J474" s="2065"/>
      <c r="K474" s="2065"/>
      <c r="L474" s="2065"/>
      <c r="M474" s="2065"/>
      <c r="N474" s="2065"/>
      <c r="O474" s="2066"/>
      <c r="P474" s="2066"/>
      <c r="Q474" s="2065"/>
      <c r="R474" s="2065"/>
      <c r="S474" s="2065"/>
      <c r="T474" s="1096">
        <f t="shared" si="67"/>
        <v>0</v>
      </c>
      <c r="U474" s="599">
        <v>0</v>
      </c>
      <c r="V474" s="1407">
        <f t="shared" si="64"/>
        <v>0</v>
      </c>
      <c r="W474" s="599">
        <f t="shared" si="68"/>
        <v>0</v>
      </c>
      <c r="X474" s="620"/>
      <c r="Y474" s="621"/>
      <c r="Z474" s="1096">
        <f t="shared" si="65"/>
        <v>0</v>
      </c>
      <c r="AA474" s="882">
        <f t="shared" si="66"/>
        <v>0</v>
      </c>
    </row>
    <row r="475" spans="1:27" ht="27" hidden="1" customHeight="1">
      <c r="A475" s="583"/>
      <c r="B475" s="583">
        <v>1001</v>
      </c>
      <c r="C475" s="581">
        <v>17</v>
      </c>
      <c r="D475" s="582" t="s">
        <v>1064</v>
      </c>
      <c r="E475" s="1138" t="s">
        <v>1240</v>
      </c>
      <c r="F475" s="1826"/>
      <c r="G475" s="2075"/>
      <c r="H475" s="2065"/>
      <c r="I475" s="2065"/>
      <c r="J475" s="2065"/>
      <c r="K475" s="2065"/>
      <c r="L475" s="2065"/>
      <c r="M475" s="2065"/>
      <c r="N475" s="2065"/>
      <c r="O475" s="2066"/>
      <c r="P475" s="2066"/>
      <c r="Q475" s="2065"/>
      <c r="R475" s="2065"/>
      <c r="S475" s="2065"/>
      <c r="T475" s="1096">
        <f t="shared" si="67"/>
        <v>0</v>
      </c>
      <c r="U475" s="599">
        <v>0</v>
      </c>
      <c r="V475" s="1407">
        <f t="shared" si="64"/>
        <v>0</v>
      </c>
      <c r="W475" s="599">
        <f t="shared" si="68"/>
        <v>0</v>
      </c>
      <c r="X475" s="620"/>
      <c r="Y475" s="621"/>
      <c r="Z475" s="1096">
        <f t="shared" si="65"/>
        <v>0</v>
      </c>
      <c r="AA475" s="882">
        <f t="shared" si="66"/>
        <v>0</v>
      </c>
    </row>
    <row r="476" spans="1:27" ht="27" hidden="1" customHeight="1">
      <c r="A476" s="583"/>
      <c r="B476" s="583">
        <v>1001</v>
      </c>
      <c r="C476" s="581">
        <v>17</v>
      </c>
      <c r="D476" s="582" t="s">
        <v>657</v>
      </c>
      <c r="E476" s="1138" t="s">
        <v>658</v>
      </c>
      <c r="F476" s="1826"/>
      <c r="G476" s="2075"/>
      <c r="H476" s="2065"/>
      <c r="I476" s="2065"/>
      <c r="J476" s="2065"/>
      <c r="K476" s="2065"/>
      <c r="L476" s="2065"/>
      <c r="M476" s="2065"/>
      <c r="N476" s="2065"/>
      <c r="O476" s="2066"/>
      <c r="P476" s="2066"/>
      <c r="Q476" s="2065"/>
      <c r="R476" s="2065"/>
      <c r="S476" s="2065"/>
      <c r="T476" s="1096">
        <f t="shared" si="67"/>
        <v>0</v>
      </c>
      <c r="U476" s="599">
        <v>0</v>
      </c>
      <c r="V476" s="1407">
        <f t="shared" si="64"/>
        <v>0</v>
      </c>
      <c r="W476" s="599">
        <f t="shared" si="68"/>
        <v>0</v>
      </c>
      <c r="X476" s="620"/>
      <c r="Y476" s="621"/>
      <c r="Z476" s="1096">
        <f t="shared" si="65"/>
        <v>0</v>
      </c>
      <c r="AA476" s="882">
        <f t="shared" si="66"/>
        <v>0</v>
      </c>
    </row>
    <row r="477" spans="1:27" ht="27" hidden="1" customHeight="1">
      <c r="A477" s="583"/>
      <c r="B477" s="583">
        <v>1001</v>
      </c>
      <c r="C477" s="581">
        <v>17</v>
      </c>
      <c r="D477" s="582" t="s">
        <v>237</v>
      </c>
      <c r="E477" s="1138" t="s">
        <v>1003</v>
      </c>
      <c r="F477" s="1826"/>
      <c r="G477" s="2075"/>
      <c r="H477" s="2065"/>
      <c r="I477" s="2065"/>
      <c r="J477" s="2065"/>
      <c r="K477" s="2065"/>
      <c r="L477" s="2065"/>
      <c r="M477" s="2065"/>
      <c r="N477" s="2065"/>
      <c r="O477" s="2066"/>
      <c r="P477" s="2066"/>
      <c r="Q477" s="2065"/>
      <c r="R477" s="2065"/>
      <c r="S477" s="2065"/>
      <c r="T477" s="1096">
        <f t="shared" si="67"/>
        <v>0</v>
      </c>
      <c r="U477" s="599">
        <v>0</v>
      </c>
      <c r="V477" s="1407">
        <f t="shared" si="64"/>
        <v>0</v>
      </c>
      <c r="W477" s="599">
        <f t="shared" si="68"/>
        <v>0</v>
      </c>
      <c r="X477" s="620"/>
      <c r="Y477" s="621"/>
      <c r="Z477" s="1096">
        <f t="shared" si="65"/>
        <v>0</v>
      </c>
      <c r="AA477" s="882">
        <f t="shared" si="66"/>
        <v>0</v>
      </c>
    </row>
    <row r="478" spans="1:27" ht="27" hidden="1" customHeight="1">
      <c r="A478" s="583"/>
      <c r="B478" s="583">
        <v>401</v>
      </c>
      <c r="C478" s="581">
        <v>11</v>
      </c>
      <c r="D478" s="582" t="s">
        <v>837</v>
      </c>
      <c r="E478" s="1138" t="s">
        <v>954</v>
      </c>
      <c r="F478" s="1829">
        <v>781197541</v>
      </c>
      <c r="G478" s="2077">
        <v>-671796166</v>
      </c>
      <c r="H478" s="2094">
        <v>-109401375</v>
      </c>
      <c r="I478" s="2065"/>
      <c r="J478" s="2065"/>
      <c r="K478" s="2065"/>
      <c r="L478" s="2080"/>
      <c r="M478" s="2080"/>
      <c r="N478" s="2065"/>
      <c r="O478" s="2066"/>
      <c r="P478" s="2066"/>
      <c r="Q478" s="2065"/>
      <c r="R478" s="2065"/>
      <c r="S478" s="2065"/>
      <c r="T478" s="1096">
        <f t="shared" si="67"/>
        <v>0</v>
      </c>
      <c r="U478" s="599">
        <v>3180000</v>
      </c>
      <c r="V478" s="1407">
        <f t="shared" si="64"/>
        <v>0</v>
      </c>
      <c r="W478" s="599">
        <f t="shared" si="68"/>
        <v>3</v>
      </c>
      <c r="X478" s="620"/>
      <c r="Y478" s="621"/>
      <c r="Z478" s="1096">
        <f t="shared" si="65"/>
        <v>0</v>
      </c>
      <c r="AA478" s="882">
        <f t="shared" si="66"/>
        <v>0</v>
      </c>
    </row>
    <row r="479" spans="1:27" ht="27" hidden="1" customHeight="1">
      <c r="A479" s="583"/>
      <c r="B479" s="583">
        <v>1001</v>
      </c>
      <c r="C479" s="581">
        <v>17</v>
      </c>
      <c r="D479" s="582" t="s">
        <v>65</v>
      </c>
      <c r="E479" s="1138" t="s">
        <v>1337</v>
      </c>
      <c r="F479" s="1826"/>
      <c r="G479" s="2075"/>
      <c r="H479" s="2065"/>
      <c r="I479" s="2065"/>
      <c r="J479" s="2065"/>
      <c r="K479" s="2065"/>
      <c r="L479" s="2065"/>
      <c r="M479" s="2065"/>
      <c r="N479" s="2065"/>
      <c r="O479" s="2066"/>
      <c r="P479" s="2066"/>
      <c r="Q479" s="2065"/>
      <c r="R479" s="2065"/>
      <c r="S479" s="2065"/>
      <c r="T479" s="1096">
        <f t="shared" si="67"/>
        <v>0</v>
      </c>
      <c r="U479" s="599">
        <v>0</v>
      </c>
      <c r="V479" s="1407">
        <f t="shared" si="64"/>
        <v>0</v>
      </c>
      <c r="W479" s="599">
        <f t="shared" si="68"/>
        <v>0</v>
      </c>
      <c r="X479" s="620"/>
      <c r="Y479" s="621"/>
      <c r="Z479" s="1096">
        <f t="shared" si="65"/>
        <v>0</v>
      </c>
      <c r="AA479" s="882">
        <f t="shared" si="66"/>
        <v>0</v>
      </c>
    </row>
    <row r="480" spans="1:27" ht="27" hidden="1" customHeight="1">
      <c r="A480" s="583"/>
      <c r="B480" s="583">
        <v>1001</v>
      </c>
      <c r="C480" s="581">
        <v>17</v>
      </c>
      <c r="D480" s="582" t="s">
        <v>1066</v>
      </c>
      <c r="E480" s="1138" t="s">
        <v>1067</v>
      </c>
      <c r="F480" s="1826"/>
      <c r="G480" s="2075"/>
      <c r="H480" s="2065"/>
      <c r="I480" s="2065"/>
      <c r="J480" s="2065"/>
      <c r="K480" s="2065"/>
      <c r="L480" s="2065"/>
      <c r="M480" s="2065"/>
      <c r="N480" s="2065"/>
      <c r="O480" s="2066"/>
      <c r="P480" s="2066"/>
      <c r="Q480" s="2065"/>
      <c r="R480" s="2065"/>
      <c r="S480" s="2065"/>
      <c r="T480" s="1096">
        <f t="shared" si="67"/>
        <v>0</v>
      </c>
      <c r="U480" s="599">
        <v>0</v>
      </c>
      <c r="V480" s="1407">
        <f t="shared" si="64"/>
        <v>0</v>
      </c>
      <c r="W480" s="599">
        <f t="shared" si="68"/>
        <v>0</v>
      </c>
      <c r="X480" s="620"/>
      <c r="Y480" s="621"/>
      <c r="Z480" s="1096">
        <f t="shared" si="65"/>
        <v>0</v>
      </c>
      <c r="AA480" s="882">
        <f t="shared" si="66"/>
        <v>0</v>
      </c>
    </row>
    <row r="481" spans="1:27" ht="22.5" hidden="1" customHeight="1">
      <c r="A481" s="583"/>
      <c r="B481" s="583">
        <v>1001</v>
      </c>
      <c r="C481" s="581">
        <v>17</v>
      </c>
      <c r="D481" s="582" t="s">
        <v>1073</v>
      </c>
      <c r="E481" s="1138" t="s">
        <v>1072</v>
      </c>
      <c r="F481" s="1830"/>
      <c r="G481" s="2075"/>
      <c r="H481" s="2065"/>
      <c r="I481" s="2065"/>
      <c r="J481" s="2065"/>
      <c r="K481" s="2065"/>
      <c r="L481" s="2065"/>
      <c r="M481" s="2065"/>
      <c r="N481" s="2065"/>
      <c r="O481" s="2066"/>
      <c r="P481" s="2066"/>
      <c r="Q481" s="2065"/>
      <c r="R481" s="2065"/>
      <c r="S481" s="2065"/>
      <c r="T481" s="1096">
        <f t="shared" si="67"/>
        <v>0</v>
      </c>
      <c r="U481" s="599">
        <v>0</v>
      </c>
      <c r="V481" s="1407">
        <f t="shared" si="64"/>
        <v>0</v>
      </c>
      <c r="W481" s="599">
        <f t="shared" si="68"/>
        <v>0</v>
      </c>
      <c r="X481" s="620"/>
      <c r="Y481" s="621"/>
      <c r="Z481" s="1096">
        <f t="shared" si="65"/>
        <v>0</v>
      </c>
      <c r="AA481" s="882">
        <f t="shared" si="66"/>
        <v>0</v>
      </c>
    </row>
    <row r="482" spans="1:27" ht="22.5" hidden="1" customHeight="1">
      <c r="A482" s="583"/>
      <c r="B482" s="583">
        <v>1001</v>
      </c>
      <c r="C482" s="581">
        <v>17</v>
      </c>
      <c r="D482" s="1825">
        <v>9298031</v>
      </c>
      <c r="E482" s="1513" t="s">
        <v>2039</v>
      </c>
      <c r="F482" s="1832"/>
      <c r="G482" s="2075"/>
      <c r="H482" s="2065"/>
      <c r="I482" s="2065"/>
      <c r="J482" s="2065"/>
      <c r="K482" s="2065"/>
      <c r="L482" s="2065"/>
      <c r="M482" s="2065"/>
      <c r="N482" s="2065"/>
      <c r="O482" s="2066"/>
      <c r="P482" s="2066"/>
      <c r="Q482" s="2065"/>
      <c r="R482" s="2065"/>
      <c r="S482" s="2065"/>
      <c r="T482" s="1096">
        <f t="shared" si="67"/>
        <v>0</v>
      </c>
      <c r="U482" s="599">
        <v>0</v>
      </c>
      <c r="V482" s="1407">
        <f t="shared" si="64"/>
        <v>0</v>
      </c>
      <c r="W482" s="599">
        <f t="shared" si="68"/>
        <v>0</v>
      </c>
      <c r="X482" s="620"/>
      <c r="Y482" s="621"/>
      <c r="Z482" s="1096"/>
      <c r="AA482" s="882"/>
    </row>
    <row r="483" spans="1:27" ht="22.5" hidden="1" customHeight="1">
      <c r="A483" s="583"/>
      <c r="B483" s="583">
        <v>1001</v>
      </c>
      <c r="C483" s="581">
        <v>17</v>
      </c>
      <c r="D483" s="1825" t="s">
        <v>974</v>
      </c>
      <c r="E483" s="1513" t="s">
        <v>2134</v>
      </c>
      <c r="F483" s="1832">
        <v>-363538194</v>
      </c>
      <c r="G483" s="2075"/>
      <c r="H483" s="2065"/>
      <c r="I483" s="2065"/>
      <c r="J483" s="2065"/>
      <c r="K483" s="2065"/>
      <c r="L483" s="2065"/>
      <c r="M483" s="2065"/>
      <c r="N483" s="2065"/>
      <c r="O483" s="2066"/>
      <c r="P483" s="2066"/>
      <c r="Q483" s="2065"/>
      <c r="R483" s="2065"/>
      <c r="S483" s="2065"/>
      <c r="T483" s="1096">
        <f t="shared" si="67"/>
        <v>-363538194</v>
      </c>
      <c r="U483" s="599">
        <v>-435870594</v>
      </c>
      <c r="V483" s="1407">
        <f t="shared" si="64"/>
        <v>-364</v>
      </c>
      <c r="W483" s="599">
        <f t="shared" si="68"/>
        <v>-436</v>
      </c>
      <c r="X483" s="620"/>
      <c r="Y483" s="621"/>
      <c r="Z483" s="1096"/>
      <c r="AA483" s="882"/>
    </row>
    <row r="484" spans="1:27" ht="22.5" hidden="1" customHeight="1">
      <c r="A484" s="583"/>
      <c r="B484" s="583">
        <v>1001</v>
      </c>
      <c r="C484" s="581">
        <v>17</v>
      </c>
      <c r="D484" s="582" t="s">
        <v>1733</v>
      </c>
      <c r="E484" s="1138" t="s">
        <v>1734</v>
      </c>
      <c r="F484" s="1830"/>
      <c r="G484" s="2075"/>
      <c r="H484" s="2065"/>
      <c r="I484" s="2065">
        <v>-954148382</v>
      </c>
      <c r="J484" s="2065"/>
      <c r="K484" s="2065"/>
      <c r="L484" s="2065"/>
      <c r="M484" s="2065"/>
      <c r="N484" s="2065"/>
      <c r="O484" s="2066"/>
      <c r="P484" s="2066"/>
      <c r="Q484" s="2065"/>
      <c r="R484" s="2065"/>
      <c r="S484" s="2065"/>
      <c r="T484" s="1096">
        <f t="shared" si="67"/>
        <v>-954148382</v>
      </c>
      <c r="U484" s="599">
        <v>0</v>
      </c>
      <c r="V484" s="1407">
        <f t="shared" si="64"/>
        <v>-954</v>
      </c>
      <c r="W484" s="599">
        <f t="shared" si="68"/>
        <v>0</v>
      </c>
      <c r="X484" s="620"/>
      <c r="Y484" s="621"/>
      <c r="Z484" s="1096">
        <f t="shared" ref="Z484:Z516" si="69">T484+Y484-X484</f>
        <v>-954148382</v>
      </c>
      <c r="AA484" s="882">
        <f t="shared" ref="AA484:AA516" si="70">ROUND((Z484/1000000),0)</f>
        <v>-954</v>
      </c>
    </row>
    <row r="485" spans="1:27" ht="22.5" hidden="1" customHeight="1">
      <c r="A485" s="583"/>
      <c r="B485" s="583">
        <v>1001</v>
      </c>
      <c r="C485" s="581">
        <v>17</v>
      </c>
      <c r="D485" s="582" t="s">
        <v>746</v>
      </c>
      <c r="E485" s="1138" t="s">
        <v>745</v>
      </c>
      <c r="F485" s="1826"/>
      <c r="G485" s="2075"/>
      <c r="H485" s="2094"/>
      <c r="I485" s="2065"/>
      <c r="J485" s="2065">
        <v>-172000000</v>
      </c>
      <c r="K485" s="2080"/>
      <c r="L485" s="2065"/>
      <c r="M485" s="2065"/>
      <c r="N485" s="2065"/>
      <c r="O485" s="2066"/>
      <c r="P485" s="2066"/>
      <c r="Q485" s="2065"/>
      <c r="R485" s="2065"/>
      <c r="S485" s="2065"/>
      <c r="T485" s="1096">
        <f t="shared" si="67"/>
        <v>-172000000</v>
      </c>
      <c r="U485" s="599">
        <v>0</v>
      </c>
      <c r="V485" s="1407">
        <f t="shared" si="64"/>
        <v>-172</v>
      </c>
      <c r="W485" s="599">
        <f t="shared" si="68"/>
        <v>0</v>
      </c>
      <c r="X485" s="620"/>
      <c r="Y485" s="621"/>
      <c r="Z485" s="1096">
        <f t="shared" si="69"/>
        <v>-172000000</v>
      </c>
      <c r="AA485" s="882">
        <f t="shared" si="70"/>
        <v>-172</v>
      </c>
    </row>
    <row r="486" spans="1:27" ht="22.5" hidden="1" customHeight="1">
      <c r="A486" s="583"/>
      <c r="B486" s="583">
        <v>1001</v>
      </c>
      <c r="C486" s="581">
        <v>17</v>
      </c>
      <c r="D486" s="582" t="s">
        <v>1735</v>
      </c>
      <c r="E486" s="1138" t="s">
        <v>1736</v>
      </c>
      <c r="F486" s="1826">
        <v>-1279164061</v>
      </c>
      <c r="G486" s="2075"/>
      <c r="H486" s="2094"/>
      <c r="I486" s="2065"/>
      <c r="J486" s="2065"/>
      <c r="K486" s="2065"/>
      <c r="L486" s="2065"/>
      <c r="M486" s="2065"/>
      <c r="N486" s="2065"/>
      <c r="O486" s="2066"/>
      <c r="P486" s="2066"/>
      <c r="Q486" s="2065"/>
      <c r="R486" s="2065"/>
      <c r="S486" s="2065"/>
      <c r="T486" s="1096">
        <f t="shared" si="67"/>
        <v>-1279164061</v>
      </c>
      <c r="U486" s="599">
        <v>-12240000</v>
      </c>
      <c r="V486" s="1407">
        <f t="shared" si="64"/>
        <v>-1279</v>
      </c>
      <c r="W486" s="599">
        <f t="shared" si="68"/>
        <v>-12</v>
      </c>
      <c r="X486" s="620"/>
      <c r="Y486" s="621"/>
      <c r="Z486" s="1096">
        <f t="shared" si="69"/>
        <v>-1279164061</v>
      </c>
      <c r="AA486" s="882">
        <f t="shared" si="70"/>
        <v>-1279</v>
      </c>
    </row>
    <row r="487" spans="1:27" ht="27" hidden="1" customHeight="1">
      <c r="A487" s="583"/>
      <c r="B487" s="583">
        <v>1001</v>
      </c>
      <c r="C487" s="581">
        <v>17</v>
      </c>
      <c r="D487" s="582" t="s">
        <v>979</v>
      </c>
      <c r="E487" s="1138" t="s">
        <v>980</v>
      </c>
      <c r="F487" s="1826">
        <v>-1415801035</v>
      </c>
      <c r="G487" s="2075"/>
      <c r="H487" s="2065"/>
      <c r="I487" s="2065"/>
      <c r="J487" s="2065"/>
      <c r="K487" s="2065"/>
      <c r="L487" s="2065"/>
      <c r="M487" s="2065"/>
      <c r="N487" s="2065"/>
      <c r="O487" s="2066"/>
      <c r="P487" s="2066"/>
      <c r="Q487" s="2065"/>
      <c r="R487" s="2065"/>
      <c r="S487" s="2065"/>
      <c r="T487" s="1096">
        <f t="shared" si="67"/>
        <v>-1415801035</v>
      </c>
      <c r="U487" s="599">
        <v>0</v>
      </c>
      <c r="V487" s="1407">
        <f t="shared" si="64"/>
        <v>-1416</v>
      </c>
      <c r="W487" s="599">
        <f t="shared" si="68"/>
        <v>0</v>
      </c>
      <c r="X487" s="620"/>
      <c r="Y487" s="621"/>
      <c r="Z487" s="1096">
        <f t="shared" si="69"/>
        <v>-1415801035</v>
      </c>
      <c r="AA487" s="882">
        <f t="shared" si="70"/>
        <v>-1416</v>
      </c>
    </row>
    <row r="488" spans="1:27" ht="27" hidden="1" customHeight="1">
      <c r="A488" s="583"/>
      <c r="B488" s="583">
        <v>1001</v>
      </c>
      <c r="C488" s="581">
        <v>17</v>
      </c>
      <c r="D488" s="582" t="s">
        <v>275</v>
      </c>
      <c r="E488" s="1138" t="s">
        <v>844</v>
      </c>
      <c r="F488" s="1826"/>
      <c r="G488" s="2075"/>
      <c r="H488" s="2065"/>
      <c r="I488" s="2065"/>
      <c r="J488" s="2065"/>
      <c r="K488" s="2065"/>
      <c r="L488" s="2065"/>
      <c r="M488" s="2065"/>
      <c r="N488" s="2065"/>
      <c r="O488" s="2066"/>
      <c r="P488" s="2066"/>
      <c r="Q488" s="2065"/>
      <c r="R488" s="2065"/>
      <c r="S488" s="2065"/>
      <c r="T488" s="1096">
        <f t="shared" si="67"/>
        <v>0</v>
      </c>
      <c r="U488" s="599">
        <v>0</v>
      </c>
      <c r="V488" s="1407">
        <f t="shared" si="64"/>
        <v>0</v>
      </c>
      <c r="W488" s="599">
        <f t="shared" si="68"/>
        <v>0</v>
      </c>
      <c r="X488" s="620"/>
      <c r="Y488" s="621"/>
      <c r="Z488" s="1096">
        <f t="shared" si="69"/>
        <v>0</v>
      </c>
      <c r="AA488" s="882">
        <f t="shared" si="70"/>
        <v>0</v>
      </c>
    </row>
    <row r="489" spans="1:27" ht="27" hidden="1" customHeight="1">
      <c r="A489" s="583"/>
      <c r="B489" s="583">
        <v>1001</v>
      </c>
      <c r="C489" s="581">
        <v>17</v>
      </c>
      <c r="D489" s="582" t="s">
        <v>1737</v>
      </c>
      <c r="E489" s="1138" t="s">
        <v>1738</v>
      </c>
      <c r="F489" s="1826"/>
      <c r="G489" s="2075"/>
      <c r="H489" s="2065"/>
      <c r="I489" s="2065"/>
      <c r="J489" s="2065"/>
      <c r="K489" s="2065"/>
      <c r="L489" s="2065"/>
      <c r="M489" s="2065"/>
      <c r="N489" s="2065"/>
      <c r="O489" s="2066"/>
      <c r="P489" s="2066"/>
      <c r="Q489" s="2065"/>
      <c r="R489" s="2065"/>
      <c r="S489" s="2065"/>
      <c r="T489" s="1096">
        <f t="shared" si="67"/>
        <v>0</v>
      </c>
      <c r="U489" s="599">
        <v>0</v>
      </c>
      <c r="V489" s="1407">
        <f t="shared" si="64"/>
        <v>0</v>
      </c>
      <c r="W489" s="599">
        <f t="shared" si="68"/>
        <v>0</v>
      </c>
      <c r="X489" s="620"/>
      <c r="Y489" s="621"/>
      <c r="Z489" s="1096">
        <f t="shared" si="69"/>
        <v>0</v>
      </c>
      <c r="AA489" s="882">
        <f t="shared" si="70"/>
        <v>0</v>
      </c>
    </row>
    <row r="490" spans="1:27" ht="27" hidden="1" customHeight="1">
      <c r="A490" s="583"/>
      <c r="B490" s="583">
        <v>1001</v>
      </c>
      <c r="C490" s="581">
        <v>17</v>
      </c>
      <c r="D490" s="582" t="s">
        <v>985</v>
      </c>
      <c r="E490" s="1138" t="s">
        <v>986</v>
      </c>
      <c r="F490" s="1830">
        <v>-669340752</v>
      </c>
      <c r="G490" s="2091"/>
      <c r="H490" s="604"/>
      <c r="I490" s="604"/>
      <c r="J490" s="604"/>
      <c r="K490" s="604"/>
      <c r="L490" s="604"/>
      <c r="M490" s="604"/>
      <c r="N490" s="604"/>
      <c r="O490" s="2093"/>
      <c r="P490" s="2093"/>
      <c r="Q490" s="604"/>
      <c r="R490" s="604"/>
      <c r="S490" s="604"/>
      <c r="T490" s="1096">
        <f t="shared" si="67"/>
        <v>-669340752</v>
      </c>
      <c r="U490" s="599">
        <v>-669340752</v>
      </c>
      <c r="V490" s="1407">
        <f t="shared" si="64"/>
        <v>-669</v>
      </c>
      <c r="W490" s="599">
        <f t="shared" si="68"/>
        <v>-669</v>
      </c>
      <c r="X490" s="620"/>
      <c r="Y490" s="621"/>
      <c r="Z490" s="1096">
        <f t="shared" si="69"/>
        <v>-669340752</v>
      </c>
      <c r="AA490" s="882">
        <f t="shared" si="70"/>
        <v>-669</v>
      </c>
    </row>
    <row r="491" spans="1:27" ht="27" hidden="1" customHeight="1">
      <c r="A491" s="583"/>
      <c r="B491" s="583">
        <v>1001</v>
      </c>
      <c r="C491" s="581">
        <v>17</v>
      </c>
      <c r="D491" s="582" t="s">
        <v>1074</v>
      </c>
      <c r="E491" s="1138" t="s">
        <v>1075</v>
      </c>
      <c r="F491" s="1826"/>
      <c r="G491" s="2075"/>
      <c r="H491" s="2065"/>
      <c r="I491" s="2065"/>
      <c r="J491" s="2065"/>
      <c r="K491" s="2065"/>
      <c r="L491" s="2065"/>
      <c r="M491" s="2065"/>
      <c r="N491" s="2065"/>
      <c r="O491" s="2066"/>
      <c r="P491" s="2066"/>
      <c r="Q491" s="2065"/>
      <c r="R491" s="2065"/>
      <c r="S491" s="2065"/>
      <c r="T491" s="1096">
        <f t="shared" si="67"/>
        <v>0</v>
      </c>
      <c r="U491" s="599">
        <v>0</v>
      </c>
      <c r="V491" s="1407">
        <f t="shared" si="64"/>
        <v>0</v>
      </c>
      <c r="W491" s="599">
        <f t="shared" si="68"/>
        <v>0</v>
      </c>
      <c r="X491" s="620"/>
      <c r="Y491" s="621"/>
      <c r="Z491" s="1096">
        <f t="shared" si="69"/>
        <v>0</v>
      </c>
      <c r="AA491" s="882">
        <f t="shared" si="70"/>
        <v>0</v>
      </c>
    </row>
    <row r="492" spans="1:27" ht="27" hidden="1" customHeight="1">
      <c r="A492" s="583"/>
      <c r="B492" s="583">
        <v>1001</v>
      </c>
      <c r="C492" s="581">
        <v>17</v>
      </c>
      <c r="D492" s="582" t="s">
        <v>1241</v>
      </c>
      <c r="E492" s="1138" t="s">
        <v>1242</v>
      </c>
      <c r="F492" s="1826"/>
      <c r="G492" s="2075"/>
      <c r="H492" s="2065"/>
      <c r="I492" s="2065"/>
      <c r="J492" s="2065"/>
      <c r="K492" s="2065"/>
      <c r="L492" s="2065"/>
      <c r="M492" s="2065"/>
      <c r="N492" s="2065"/>
      <c r="O492" s="2066"/>
      <c r="P492" s="2066"/>
      <c r="Q492" s="2065"/>
      <c r="R492" s="2065"/>
      <c r="S492" s="2065"/>
      <c r="T492" s="1096">
        <f t="shared" si="67"/>
        <v>0</v>
      </c>
      <c r="U492" s="599">
        <v>0</v>
      </c>
      <c r="V492" s="1407">
        <f t="shared" ref="V492:V524" si="71">ROUND((T492/1000000),0)</f>
        <v>0</v>
      </c>
      <c r="W492" s="599">
        <f t="shared" si="68"/>
        <v>0</v>
      </c>
      <c r="X492" s="620"/>
      <c r="Y492" s="621"/>
      <c r="Z492" s="1096">
        <f t="shared" si="69"/>
        <v>0</v>
      </c>
      <c r="AA492" s="882">
        <f t="shared" si="70"/>
        <v>0</v>
      </c>
    </row>
    <row r="493" spans="1:27" ht="27" hidden="1" customHeight="1">
      <c r="A493" s="2062"/>
      <c r="B493" s="2062">
        <v>1001</v>
      </c>
      <c r="C493" s="2063">
        <v>17</v>
      </c>
      <c r="D493" s="2073" t="s">
        <v>2392</v>
      </c>
      <c r="E493" s="2074" t="s">
        <v>2393</v>
      </c>
      <c r="F493" s="2075">
        <v>-5422518740</v>
      </c>
      <c r="G493" s="2075"/>
      <c r="H493" s="2065"/>
      <c r="I493" s="2065"/>
      <c r="J493" s="2065"/>
      <c r="K493" s="2065"/>
      <c r="L493" s="2065"/>
      <c r="M493" s="2065"/>
      <c r="N493" s="2065"/>
      <c r="O493" s="2066"/>
      <c r="P493" s="2066"/>
      <c r="Q493" s="2065"/>
      <c r="R493" s="2065"/>
      <c r="S493" s="2065"/>
      <c r="T493" s="1096">
        <f t="shared" si="67"/>
        <v>-5422518740</v>
      </c>
      <c r="U493" s="2065"/>
      <c r="V493" s="1407">
        <f t="shared" si="71"/>
        <v>-5423</v>
      </c>
      <c r="W493" s="2065"/>
      <c r="X493" s="2067"/>
      <c r="Y493" s="2068"/>
      <c r="Z493" s="1096">
        <f t="shared" si="69"/>
        <v>-5422518740</v>
      </c>
      <c r="AA493" s="882">
        <f t="shared" si="70"/>
        <v>-5423</v>
      </c>
    </row>
    <row r="494" spans="1:27" ht="27" hidden="1" customHeight="1">
      <c r="A494" s="583"/>
      <c r="B494" s="583">
        <v>1001</v>
      </c>
      <c r="C494" s="581">
        <v>17</v>
      </c>
      <c r="D494" s="582" t="s">
        <v>1076</v>
      </c>
      <c r="E494" s="1138" t="s">
        <v>1077</v>
      </c>
      <c r="F494" s="1826"/>
      <c r="G494" s="2075"/>
      <c r="H494" s="2065"/>
      <c r="I494" s="2065"/>
      <c r="J494" s="2065"/>
      <c r="K494" s="2065"/>
      <c r="L494" s="2065"/>
      <c r="M494" s="2065"/>
      <c r="N494" s="2065"/>
      <c r="O494" s="2066"/>
      <c r="P494" s="2066"/>
      <c r="Q494" s="2065"/>
      <c r="R494" s="2065"/>
      <c r="S494" s="2065"/>
      <c r="T494" s="1096">
        <f t="shared" si="67"/>
        <v>0</v>
      </c>
      <c r="U494" s="599">
        <v>0</v>
      </c>
      <c r="V494" s="1407">
        <f t="shared" si="71"/>
        <v>0</v>
      </c>
      <c r="W494" s="599">
        <f t="shared" si="68"/>
        <v>0</v>
      </c>
      <c r="X494" s="620"/>
      <c r="Y494" s="621"/>
      <c r="Z494" s="1096">
        <f t="shared" si="69"/>
        <v>0</v>
      </c>
      <c r="AA494" s="882">
        <f t="shared" si="70"/>
        <v>0</v>
      </c>
    </row>
    <row r="495" spans="1:27" ht="27" hidden="1" customHeight="1">
      <c r="A495" s="583"/>
      <c r="B495" s="583">
        <v>1001</v>
      </c>
      <c r="C495" s="581">
        <v>17</v>
      </c>
      <c r="D495" s="582" t="s">
        <v>1609</v>
      </c>
      <c r="E495" s="1138" t="s">
        <v>1610</v>
      </c>
      <c r="F495" s="1830">
        <v>-4551234</v>
      </c>
      <c r="G495" s="2075"/>
      <c r="H495" s="2094"/>
      <c r="I495" s="2065"/>
      <c r="J495" s="2065"/>
      <c r="K495" s="2080"/>
      <c r="L495" s="2065"/>
      <c r="M495" s="2065"/>
      <c r="N495" s="2065"/>
      <c r="O495" s="2066"/>
      <c r="P495" s="2066"/>
      <c r="Q495" s="2065"/>
      <c r="R495" s="2065"/>
      <c r="S495" s="2065"/>
      <c r="T495" s="1096">
        <f t="shared" si="67"/>
        <v>-4551234</v>
      </c>
      <c r="U495" s="599">
        <v>-4551234</v>
      </c>
      <c r="V495" s="1407">
        <f t="shared" si="71"/>
        <v>-5</v>
      </c>
      <c r="W495" s="599">
        <f t="shared" si="68"/>
        <v>-5</v>
      </c>
      <c r="X495" s="620"/>
      <c r="Y495" s="621"/>
      <c r="Z495" s="1096">
        <f t="shared" si="69"/>
        <v>-4551234</v>
      </c>
      <c r="AA495" s="882">
        <f t="shared" si="70"/>
        <v>-5</v>
      </c>
    </row>
    <row r="496" spans="1:27" ht="27" hidden="1" customHeight="1">
      <c r="A496" s="583"/>
      <c r="B496" s="583">
        <v>1001</v>
      </c>
      <c r="C496" s="581">
        <v>17</v>
      </c>
      <c r="D496" s="582" t="s">
        <v>1243</v>
      </c>
      <c r="E496" s="1138" t="s">
        <v>1244</v>
      </c>
      <c r="F496" s="1826">
        <v>-331650838</v>
      </c>
      <c r="G496" s="2075"/>
      <c r="H496" s="2065"/>
      <c r="I496" s="2065"/>
      <c r="J496" s="2065"/>
      <c r="K496" s="2065"/>
      <c r="L496" s="2065"/>
      <c r="M496" s="2065"/>
      <c r="N496" s="2065"/>
      <c r="O496" s="2066"/>
      <c r="P496" s="2066"/>
      <c r="Q496" s="2065"/>
      <c r="R496" s="2065"/>
      <c r="S496" s="2065"/>
      <c r="T496" s="1096">
        <f t="shared" si="67"/>
        <v>-331650838</v>
      </c>
      <c r="U496" s="599">
        <v>-357341734</v>
      </c>
      <c r="V496" s="1407">
        <f t="shared" si="71"/>
        <v>-332</v>
      </c>
      <c r="W496" s="599">
        <f t="shared" si="68"/>
        <v>-357</v>
      </c>
      <c r="X496" s="620"/>
      <c r="Y496" s="621"/>
      <c r="Z496" s="1096">
        <f t="shared" si="69"/>
        <v>-331650838</v>
      </c>
      <c r="AA496" s="882">
        <f t="shared" si="70"/>
        <v>-332</v>
      </c>
    </row>
    <row r="497" spans="1:27" ht="27" hidden="1" customHeight="1">
      <c r="A497" s="583"/>
      <c r="B497" s="583">
        <v>428</v>
      </c>
      <c r="C497" s="581">
        <v>11</v>
      </c>
      <c r="D497" s="582" t="s">
        <v>1246</v>
      </c>
      <c r="E497" s="1138" t="s">
        <v>1245</v>
      </c>
      <c r="F497" s="1830">
        <v>89403809</v>
      </c>
      <c r="G497" s="2075"/>
      <c r="H497" s="2065"/>
      <c r="I497" s="2080"/>
      <c r="J497" s="2065"/>
      <c r="K497" s="2065"/>
      <c r="L497" s="2065"/>
      <c r="M497" s="2065"/>
      <c r="N497" s="2065"/>
      <c r="O497" s="2066"/>
      <c r="P497" s="2066"/>
      <c r="Q497" s="2065"/>
      <c r="R497" s="2065"/>
      <c r="S497" s="2065"/>
      <c r="T497" s="1096">
        <f t="shared" si="67"/>
        <v>89403809</v>
      </c>
      <c r="U497" s="599">
        <v>-38734635</v>
      </c>
      <c r="V497" s="1407">
        <f t="shared" si="71"/>
        <v>89</v>
      </c>
      <c r="W497" s="599">
        <f t="shared" si="68"/>
        <v>-39</v>
      </c>
      <c r="X497" s="620"/>
      <c r="Y497" s="621"/>
      <c r="Z497" s="1096">
        <f t="shared" si="69"/>
        <v>89403809</v>
      </c>
      <c r="AA497" s="882">
        <f t="shared" si="70"/>
        <v>89</v>
      </c>
    </row>
    <row r="498" spans="1:27" ht="27" hidden="1" customHeight="1">
      <c r="A498" s="583"/>
      <c r="B498" s="583">
        <v>401</v>
      </c>
      <c r="C498" s="581">
        <v>11</v>
      </c>
      <c r="D498" s="582" t="s">
        <v>881</v>
      </c>
      <c r="E498" s="1138" t="s">
        <v>880</v>
      </c>
      <c r="F498" s="1829">
        <v>23782848658</v>
      </c>
      <c r="G498" s="2077"/>
      <c r="H498" s="2094">
        <v>-5178699804</v>
      </c>
      <c r="I498" s="2065">
        <v>-3629218107</v>
      </c>
      <c r="J498" s="2065"/>
      <c r="K498" s="2080"/>
      <c r="L498" s="2065"/>
      <c r="M498" s="2065"/>
      <c r="N498" s="2065"/>
      <c r="O498" s="2066"/>
      <c r="P498" s="2066"/>
      <c r="Q498" s="2065"/>
      <c r="R498" s="2065"/>
      <c r="S498" s="2065"/>
      <c r="T498" s="1981">
        <f t="shared" si="67"/>
        <v>14974930747</v>
      </c>
      <c r="U498" s="599">
        <v>5919806076</v>
      </c>
      <c r="V498" s="1407">
        <f t="shared" si="71"/>
        <v>14975</v>
      </c>
      <c r="W498" s="599">
        <f t="shared" si="68"/>
        <v>5920</v>
      </c>
      <c r="X498" s="620"/>
      <c r="Y498" s="621"/>
      <c r="Z498" s="1096">
        <f t="shared" si="69"/>
        <v>14974930747</v>
      </c>
      <c r="AA498" s="882">
        <f t="shared" si="70"/>
        <v>14975</v>
      </c>
    </row>
    <row r="499" spans="1:27" ht="27" hidden="1" customHeight="1">
      <c r="A499" s="583"/>
      <c r="B499" s="583">
        <v>1001</v>
      </c>
      <c r="C499" s="581">
        <v>17</v>
      </c>
      <c r="D499" s="582" t="s">
        <v>1740</v>
      </c>
      <c r="E499" s="1138" t="s">
        <v>2394</v>
      </c>
      <c r="F499" s="1826">
        <v>-1642059049</v>
      </c>
      <c r="G499" s="2075"/>
      <c r="H499" s="2065"/>
      <c r="I499" s="2065"/>
      <c r="J499" s="2065"/>
      <c r="K499" s="2065"/>
      <c r="L499" s="2065"/>
      <c r="M499" s="2065"/>
      <c r="N499" s="2065"/>
      <c r="O499" s="2066"/>
      <c r="P499" s="2066"/>
      <c r="Q499" s="2065"/>
      <c r="R499" s="2065"/>
      <c r="S499" s="2065"/>
      <c r="T499" s="1096">
        <f t="shared" si="67"/>
        <v>-1642059049</v>
      </c>
      <c r="U499" s="599">
        <v>0</v>
      </c>
      <c r="V499" s="1407">
        <f t="shared" si="71"/>
        <v>-1642</v>
      </c>
      <c r="W499" s="599">
        <f t="shared" si="68"/>
        <v>0</v>
      </c>
      <c r="X499" s="620"/>
      <c r="Y499" s="621"/>
      <c r="Z499" s="1096">
        <f t="shared" si="69"/>
        <v>-1642059049</v>
      </c>
      <c r="AA499" s="882">
        <f t="shared" si="70"/>
        <v>-1642</v>
      </c>
    </row>
    <row r="500" spans="1:27" ht="27" hidden="1" customHeight="1">
      <c r="A500" s="583"/>
      <c r="B500" s="583">
        <v>1001</v>
      </c>
      <c r="C500" s="581">
        <v>17</v>
      </c>
      <c r="D500" s="582" t="s">
        <v>888</v>
      </c>
      <c r="E500" s="1138" t="s">
        <v>887</v>
      </c>
      <c r="F500" s="1826"/>
      <c r="G500" s="2075"/>
      <c r="H500" s="2065"/>
      <c r="I500" s="2065"/>
      <c r="J500" s="2065"/>
      <c r="K500" s="2065"/>
      <c r="L500" s="2065"/>
      <c r="M500" s="2065"/>
      <c r="N500" s="2065"/>
      <c r="O500" s="2066"/>
      <c r="P500" s="2066"/>
      <c r="Q500" s="2065"/>
      <c r="R500" s="2065"/>
      <c r="S500" s="2065"/>
      <c r="T500" s="1096">
        <f t="shared" si="67"/>
        <v>0</v>
      </c>
      <c r="U500" s="599">
        <v>0</v>
      </c>
      <c r="V500" s="1407">
        <f t="shared" si="71"/>
        <v>0</v>
      </c>
      <c r="W500" s="599">
        <f t="shared" si="68"/>
        <v>0</v>
      </c>
      <c r="X500" s="620"/>
      <c r="Y500" s="621"/>
      <c r="Z500" s="1096">
        <f t="shared" si="69"/>
        <v>0</v>
      </c>
      <c r="AA500" s="882">
        <f t="shared" si="70"/>
        <v>0</v>
      </c>
    </row>
    <row r="501" spans="1:27" ht="27" hidden="1" customHeight="1">
      <c r="A501" s="583"/>
      <c r="B501" s="583">
        <v>1001</v>
      </c>
      <c r="C501" s="581">
        <v>17</v>
      </c>
      <c r="D501" s="582" t="s">
        <v>493</v>
      </c>
      <c r="E501" s="1138" t="s">
        <v>891</v>
      </c>
      <c r="F501" s="1830"/>
      <c r="G501" s="2075"/>
      <c r="H501" s="2065"/>
      <c r="I501" s="2065"/>
      <c r="J501" s="2065"/>
      <c r="K501" s="2065"/>
      <c r="L501" s="2065"/>
      <c r="M501" s="2065"/>
      <c r="N501" s="2065"/>
      <c r="O501" s="2066"/>
      <c r="P501" s="2066"/>
      <c r="Q501" s="2065"/>
      <c r="R501" s="2065"/>
      <c r="S501" s="2065"/>
      <c r="T501" s="1096">
        <f t="shared" si="67"/>
        <v>0</v>
      </c>
      <c r="U501" s="599">
        <v>0</v>
      </c>
      <c r="V501" s="1407">
        <f t="shared" si="71"/>
        <v>0</v>
      </c>
      <c r="W501" s="599">
        <f t="shared" si="68"/>
        <v>0</v>
      </c>
      <c r="X501" s="620"/>
      <c r="Y501" s="621"/>
      <c r="Z501" s="1096">
        <f t="shared" si="69"/>
        <v>0</v>
      </c>
      <c r="AA501" s="882">
        <f t="shared" si="70"/>
        <v>0</v>
      </c>
    </row>
    <row r="502" spans="1:27" ht="27" hidden="1" customHeight="1">
      <c r="A502" s="583"/>
      <c r="B502" s="583">
        <v>1001</v>
      </c>
      <c r="C502" s="581">
        <v>17</v>
      </c>
      <c r="D502" s="582" t="s">
        <v>1671</v>
      </c>
      <c r="E502" s="1138" t="s">
        <v>1672</v>
      </c>
      <c r="F502" s="1826"/>
      <c r="G502" s="2075"/>
      <c r="H502" s="2065"/>
      <c r="I502" s="2065"/>
      <c r="J502" s="2065"/>
      <c r="K502" s="2065"/>
      <c r="L502" s="2065"/>
      <c r="M502" s="2065"/>
      <c r="N502" s="2065"/>
      <c r="O502" s="2066"/>
      <c r="P502" s="2066"/>
      <c r="Q502" s="2065"/>
      <c r="R502" s="2065"/>
      <c r="S502" s="2065"/>
      <c r="T502" s="1096">
        <f t="shared" si="67"/>
        <v>0</v>
      </c>
      <c r="U502" s="599">
        <v>0</v>
      </c>
      <c r="V502" s="1407">
        <f t="shared" si="71"/>
        <v>0</v>
      </c>
      <c r="W502" s="599">
        <f t="shared" si="68"/>
        <v>0</v>
      </c>
      <c r="X502" s="620"/>
      <c r="Y502" s="621"/>
      <c r="Z502" s="1096">
        <f t="shared" si="69"/>
        <v>0</v>
      </c>
      <c r="AA502" s="882">
        <f t="shared" si="70"/>
        <v>0</v>
      </c>
    </row>
    <row r="503" spans="1:27" ht="27" hidden="1" customHeight="1">
      <c r="A503" s="583"/>
      <c r="B503" s="583">
        <v>1001</v>
      </c>
      <c r="C503" s="581">
        <v>17</v>
      </c>
      <c r="D503" s="582" t="s">
        <v>560</v>
      </c>
      <c r="E503" s="1138" t="s">
        <v>1181</v>
      </c>
      <c r="F503" s="1826">
        <v>-5339223536</v>
      </c>
      <c r="G503" s="2075"/>
      <c r="H503" s="2094"/>
      <c r="I503" s="2065"/>
      <c r="J503" s="2065"/>
      <c r="K503" s="2065"/>
      <c r="L503" s="2065"/>
      <c r="M503" s="2065"/>
      <c r="N503" s="2065"/>
      <c r="O503" s="2066"/>
      <c r="P503" s="2066"/>
      <c r="Q503" s="2065"/>
      <c r="R503" s="2065"/>
      <c r="S503" s="2065"/>
      <c r="T503" s="1096">
        <f t="shared" si="67"/>
        <v>-5339223536</v>
      </c>
      <c r="U503" s="599">
        <v>-4005578509</v>
      </c>
      <c r="V503" s="1407">
        <f t="shared" si="71"/>
        <v>-5339</v>
      </c>
      <c r="W503" s="599">
        <f t="shared" si="68"/>
        <v>-4006</v>
      </c>
      <c r="X503" s="620"/>
      <c r="Y503" s="621"/>
      <c r="Z503" s="1096">
        <f t="shared" si="69"/>
        <v>-5339223536</v>
      </c>
      <c r="AA503" s="882">
        <f t="shared" si="70"/>
        <v>-5339</v>
      </c>
    </row>
    <row r="504" spans="1:27" ht="27" hidden="1" customHeight="1">
      <c r="A504" s="583"/>
      <c r="B504" s="583">
        <v>1001</v>
      </c>
      <c r="C504" s="581">
        <v>17</v>
      </c>
      <c r="D504" s="582" t="s">
        <v>116</v>
      </c>
      <c r="E504" s="1138" t="s">
        <v>1268</v>
      </c>
      <c r="F504" s="1830">
        <v>-4000000</v>
      </c>
      <c r="G504" s="2075"/>
      <c r="H504" s="2065"/>
      <c r="I504" s="2065"/>
      <c r="J504" s="2065"/>
      <c r="K504" s="2065"/>
      <c r="L504" s="2065"/>
      <c r="M504" s="2065"/>
      <c r="N504" s="2065"/>
      <c r="O504" s="2066"/>
      <c r="P504" s="2066"/>
      <c r="Q504" s="2065"/>
      <c r="R504" s="2065"/>
      <c r="S504" s="2065"/>
      <c r="T504" s="1096">
        <f t="shared" si="67"/>
        <v>-4000000</v>
      </c>
      <c r="U504" s="599">
        <v>-41200000</v>
      </c>
      <c r="V504" s="1407">
        <f t="shared" si="71"/>
        <v>-4</v>
      </c>
      <c r="W504" s="599">
        <f t="shared" si="68"/>
        <v>-41</v>
      </c>
      <c r="X504" s="620"/>
      <c r="Y504" s="621"/>
      <c r="Z504" s="1096">
        <f t="shared" si="69"/>
        <v>-4000000</v>
      </c>
      <c r="AA504" s="882">
        <f t="shared" si="70"/>
        <v>-4</v>
      </c>
    </row>
    <row r="505" spans="1:27" ht="27" hidden="1" customHeight="1">
      <c r="A505" s="583"/>
      <c r="B505" s="583">
        <v>1001</v>
      </c>
      <c r="C505" s="581">
        <v>17</v>
      </c>
      <c r="D505" s="1825" t="s">
        <v>485</v>
      </c>
      <c r="E505" s="1138" t="s">
        <v>899</v>
      </c>
      <c r="F505" s="1830">
        <v>-379488845</v>
      </c>
      <c r="G505" s="2091">
        <v>-4590000</v>
      </c>
      <c r="H505" s="2311">
        <v>-930000</v>
      </c>
      <c r="I505" s="604">
        <v>385008845</v>
      </c>
      <c r="J505" s="604"/>
      <c r="K505" s="604"/>
      <c r="L505" s="2136"/>
      <c r="M505" s="2136"/>
      <c r="N505" s="604"/>
      <c r="O505" s="2093"/>
      <c r="P505" s="2093"/>
      <c r="Q505" s="604"/>
      <c r="R505" s="604"/>
      <c r="S505" s="604"/>
      <c r="T505" s="1096">
        <f t="shared" si="67"/>
        <v>0</v>
      </c>
      <c r="U505" s="599">
        <v>0</v>
      </c>
      <c r="V505" s="1407">
        <f t="shared" si="71"/>
        <v>0</v>
      </c>
      <c r="W505" s="599">
        <f t="shared" si="68"/>
        <v>0</v>
      </c>
      <c r="X505" s="620"/>
      <c r="Y505" s="621"/>
      <c r="Z505" s="1096">
        <f t="shared" si="69"/>
        <v>0</v>
      </c>
      <c r="AA505" s="882">
        <f t="shared" si="70"/>
        <v>0</v>
      </c>
    </row>
    <row r="506" spans="1:27" ht="27" hidden="1" customHeight="1">
      <c r="A506" s="583"/>
      <c r="B506" s="583">
        <v>1001</v>
      </c>
      <c r="C506" s="581">
        <v>17</v>
      </c>
      <c r="D506" s="1825" t="s">
        <v>485</v>
      </c>
      <c r="E506" s="1138" t="s">
        <v>899</v>
      </c>
      <c r="F506" s="1826"/>
      <c r="G506" s="2075"/>
      <c r="H506" s="2065"/>
      <c r="I506" s="2065"/>
      <c r="J506" s="2065"/>
      <c r="K506" s="2065"/>
      <c r="L506" s="2065"/>
      <c r="M506" s="2065"/>
      <c r="N506" s="2065"/>
      <c r="O506" s="2066"/>
      <c r="P506" s="2066"/>
      <c r="Q506" s="2065"/>
      <c r="R506" s="2065"/>
      <c r="S506" s="2065"/>
      <c r="T506" s="1096">
        <f t="shared" si="67"/>
        <v>0</v>
      </c>
      <c r="U506" s="599">
        <v>0</v>
      </c>
      <c r="V506" s="1407">
        <f t="shared" si="71"/>
        <v>0</v>
      </c>
      <c r="W506" s="599">
        <f t="shared" si="68"/>
        <v>0</v>
      </c>
      <c r="X506" s="620"/>
      <c r="Y506" s="621"/>
      <c r="Z506" s="1096">
        <f t="shared" si="69"/>
        <v>0</v>
      </c>
      <c r="AA506" s="882">
        <f t="shared" si="70"/>
        <v>0</v>
      </c>
    </row>
    <row r="507" spans="1:27" ht="27" hidden="1" customHeight="1">
      <c r="A507" s="583"/>
      <c r="B507" s="583">
        <v>302</v>
      </c>
      <c r="C507" s="581">
        <v>14</v>
      </c>
      <c r="D507" s="582" t="s">
        <v>26</v>
      </c>
      <c r="E507" s="1138" t="s">
        <v>27</v>
      </c>
      <c r="F507" s="1829">
        <v>1100235000</v>
      </c>
      <c r="G507" s="2075">
        <v>-235000</v>
      </c>
      <c r="H507" s="2065"/>
      <c r="I507" s="2065"/>
      <c r="J507" s="2066"/>
      <c r="K507" s="2065"/>
      <c r="L507" s="2065"/>
      <c r="M507" s="2065"/>
      <c r="N507" s="2065"/>
      <c r="O507" s="2066"/>
      <c r="P507" s="2066"/>
      <c r="Q507" s="2065"/>
      <c r="R507" s="2065"/>
      <c r="S507" s="2065"/>
      <c r="T507" s="1096">
        <f t="shared" si="67"/>
        <v>1100000000</v>
      </c>
      <c r="U507" s="599">
        <v>1120000000</v>
      </c>
      <c r="V507" s="1407">
        <f t="shared" si="71"/>
        <v>1100</v>
      </c>
      <c r="W507" s="599">
        <f t="shared" si="68"/>
        <v>1120</v>
      </c>
      <c r="X507" s="620"/>
      <c r="Y507" s="621"/>
      <c r="Z507" s="1096">
        <f t="shared" si="69"/>
        <v>1100000000</v>
      </c>
      <c r="AA507" s="882">
        <f t="shared" si="70"/>
        <v>1100</v>
      </c>
    </row>
    <row r="508" spans="1:27" ht="27" hidden="1" customHeight="1">
      <c r="A508" s="583"/>
      <c r="B508" s="583">
        <v>302</v>
      </c>
      <c r="C508" s="581">
        <v>14</v>
      </c>
      <c r="D508" s="582" t="s">
        <v>851</v>
      </c>
      <c r="E508" s="1138" t="s">
        <v>852</v>
      </c>
      <c r="F508" s="1826"/>
      <c r="G508" s="2075"/>
      <c r="H508" s="2065"/>
      <c r="I508" s="2065"/>
      <c r="J508" s="2066"/>
      <c r="K508" s="2065"/>
      <c r="L508" s="2065"/>
      <c r="M508" s="2065"/>
      <c r="N508" s="2065"/>
      <c r="O508" s="2066"/>
      <c r="P508" s="2066"/>
      <c r="Q508" s="2065"/>
      <c r="R508" s="2065"/>
      <c r="S508" s="2065"/>
      <c r="T508" s="1096">
        <f t="shared" si="67"/>
        <v>0</v>
      </c>
      <c r="U508" s="599">
        <v>0</v>
      </c>
      <c r="V508" s="1407">
        <f t="shared" si="71"/>
        <v>0</v>
      </c>
      <c r="W508" s="599">
        <f t="shared" si="68"/>
        <v>0</v>
      </c>
      <c r="X508" s="620"/>
      <c r="Y508" s="621"/>
      <c r="Z508" s="1096">
        <f t="shared" si="69"/>
        <v>0</v>
      </c>
      <c r="AA508" s="882">
        <f t="shared" si="70"/>
        <v>0</v>
      </c>
    </row>
    <row r="509" spans="1:27" ht="27" hidden="1" customHeight="1">
      <c r="A509" s="583"/>
      <c r="B509" s="583">
        <v>303</v>
      </c>
      <c r="C509" s="581">
        <v>14</v>
      </c>
      <c r="D509" s="582" t="s">
        <v>28</v>
      </c>
      <c r="E509" s="1138" t="s">
        <v>29</v>
      </c>
      <c r="F509" s="1829">
        <v>-120830901</v>
      </c>
      <c r="G509" s="2075">
        <v>82870900</v>
      </c>
      <c r="H509" s="2065">
        <v>1</v>
      </c>
      <c r="I509" s="2065">
        <v>93020000</v>
      </c>
      <c r="J509" s="2066"/>
      <c r="K509" s="2065">
        <v>-77410000</v>
      </c>
      <c r="L509" s="2065"/>
      <c r="M509" s="2065"/>
      <c r="N509" s="2065"/>
      <c r="O509" s="2066"/>
      <c r="P509" s="2066"/>
      <c r="Q509" s="2065"/>
      <c r="R509" s="2065"/>
      <c r="S509" s="2065"/>
      <c r="T509" s="1096">
        <f t="shared" si="67"/>
        <v>-22350000</v>
      </c>
      <c r="U509" s="599">
        <v>0</v>
      </c>
      <c r="V509" s="1407">
        <f t="shared" si="71"/>
        <v>-22</v>
      </c>
      <c r="W509" s="599">
        <f t="shared" si="68"/>
        <v>0</v>
      </c>
      <c r="X509" s="620"/>
      <c r="Y509" s="621"/>
      <c r="Z509" s="1096">
        <f t="shared" si="69"/>
        <v>-22350000</v>
      </c>
      <c r="AA509" s="882">
        <f t="shared" si="70"/>
        <v>-22</v>
      </c>
    </row>
    <row r="510" spans="1:27" ht="27" hidden="1" customHeight="1">
      <c r="A510" s="583"/>
      <c r="B510" s="583">
        <v>406</v>
      </c>
      <c r="C510" s="581">
        <v>11</v>
      </c>
      <c r="D510" s="582" t="s">
        <v>1340</v>
      </c>
      <c r="E510" s="1138" t="s">
        <v>1341</v>
      </c>
      <c r="F510" s="1829">
        <v>12115607</v>
      </c>
      <c r="G510" s="2075"/>
      <c r="H510" s="2065"/>
      <c r="I510" s="2065"/>
      <c r="J510" s="2065"/>
      <c r="K510" s="2065"/>
      <c r="L510" s="2065"/>
      <c r="M510" s="2065"/>
      <c r="N510" s="2065"/>
      <c r="O510" s="2066"/>
      <c r="P510" s="2066"/>
      <c r="Q510" s="2065"/>
      <c r="R510" s="2065"/>
      <c r="S510" s="2065"/>
      <c r="T510" s="1096">
        <f t="shared" si="67"/>
        <v>12115607</v>
      </c>
      <c r="U510" s="599">
        <v>12115607</v>
      </c>
      <c r="V510" s="1407">
        <f t="shared" si="71"/>
        <v>12</v>
      </c>
      <c r="W510" s="599">
        <f t="shared" si="68"/>
        <v>12</v>
      </c>
      <c r="X510" s="620"/>
      <c r="Y510" s="621"/>
      <c r="Z510" s="1096">
        <f t="shared" si="69"/>
        <v>12115607</v>
      </c>
      <c r="AA510" s="882">
        <f t="shared" si="70"/>
        <v>12</v>
      </c>
    </row>
    <row r="511" spans="1:27" ht="27" hidden="1" customHeight="1">
      <c r="A511" s="583"/>
      <c r="B511" s="583">
        <v>301</v>
      </c>
      <c r="C511" s="581">
        <v>14</v>
      </c>
      <c r="D511" s="582" t="s">
        <v>1155</v>
      </c>
      <c r="E511" s="1138" t="s">
        <v>1156</v>
      </c>
      <c r="F511" s="1829">
        <v>422986568191</v>
      </c>
      <c r="G511" s="2078">
        <v>-367933291836</v>
      </c>
      <c r="H511" s="2065">
        <v>-27057184156</v>
      </c>
      <c r="I511" s="2065">
        <v>21977728</v>
      </c>
      <c r="J511" s="2066">
        <v>-28030512827</v>
      </c>
      <c r="K511" s="2065">
        <v>12442900</v>
      </c>
      <c r="L511" s="2065"/>
      <c r="M511" s="2065"/>
      <c r="N511" s="2065"/>
      <c r="O511" s="2066"/>
      <c r="P511" s="2066"/>
      <c r="Q511" s="2065"/>
      <c r="R511" s="2065"/>
      <c r="S511" s="2065"/>
      <c r="T511" s="1096">
        <f t="shared" si="67"/>
        <v>0</v>
      </c>
      <c r="U511" s="599">
        <v>0</v>
      </c>
      <c r="V511" s="1407">
        <f t="shared" si="71"/>
        <v>0</v>
      </c>
      <c r="W511" s="599">
        <f t="shared" si="68"/>
        <v>0</v>
      </c>
      <c r="X511" s="620"/>
      <c r="Y511" s="621"/>
      <c r="Z511" s="1096">
        <f t="shared" si="69"/>
        <v>0</v>
      </c>
      <c r="AA511" s="882">
        <f t="shared" si="70"/>
        <v>0</v>
      </c>
    </row>
    <row r="512" spans="1:27" ht="27" hidden="1" customHeight="1">
      <c r="A512" s="583"/>
      <c r="B512" s="583">
        <v>301</v>
      </c>
      <c r="C512" s="581">
        <v>14</v>
      </c>
      <c r="D512" s="582" t="s">
        <v>1157</v>
      </c>
      <c r="E512" s="1138" t="s">
        <v>1156</v>
      </c>
      <c r="F512" s="1830">
        <v>-423008545919</v>
      </c>
      <c r="G512" s="2078">
        <v>367933291836</v>
      </c>
      <c r="H512" s="2065">
        <v>27057184156</v>
      </c>
      <c r="I512" s="2065"/>
      <c r="J512" s="2066">
        <v>28030512827</v>
      </c>
      <c r="K512" s="2065">
        <v>-12442900</v>
      </c>
      <c r="L512" s="2065"/>
      <c r="M512" s="2065"/>
      <c r="N512" s="2065"/>
      <c r="O512" s="2066"/>
      <c r="P512" s="2066"/>
      <c r="Q512" s="2065"/>
      <c r="R512" s="2065"/>
      <c r="S512" s="2065"/>
      <c r="T512" s="1096">
        <f t="shared" si="67"/>
        <v>0</v>
      </c>
      <c r="U512" s="599">
        <v>0</v>
      </c>
      <c r="V512" s="1407">
        <f t="shared" si="71"/>
        <v>0</v>
      </c>
      <c r="W512" s="599">
        <f t="shared" si="68"/>
        <v>0</v>
      </c>
      <c r="X512" s="620"/>
      <c r="Y512" s="621"/>
      <c r="Z512" s="1096">
        <f t="shared" si="69"/>
        <v>0</v>
      </c>
      <c r="AA512" s="882">
        <f t="shared" si="70"/>
        <v>0</v>
      </c>
    </row>
    <row r="513" spans="1:27" ht="27" hidden="1" customHeight="1">
      <c r="A513" s="583">
        <v>3214</v>
      </c>
      <c r="B513" s="583">
        <v>302</v>
      </c>
      <c r="C513" s="581">
        <v>14</v>
      </c>
      <c r="D513" s="582" t="s">
        <v>776</v>
      </c>
      <c r="E513" s="1138" t="s">
        <v>1453</v>
      </c>
      <c r="F513" s="1826"/>
      <c r="G513" s="2075"/>
      <c r="H513" s="2065"/>
      <c r="I513" s="2065"/>
      <c r="J513" s="2066"/>
      <c r="K513" s="2065"/>
      <c r="L513" s="2065"/>
      <c r="M513" s="2065"/>
      <c r="N513" s="2065"/>
      <c r="O513" s="2066"/>
      <c r="P513" s="2066"/>
      <c r="Q513" s="2065"/>
      <c r="R513" s="2065"/>
      <c r="S513" s="2065"/>
      <c r="T513" s="1096">
        <f t="shared" si="67"/>
        <v>0</v>
      </c>
      <c r="U513" s="599">
        <v>0</v>
      </c>
      <c r="V513" s="1407">
        <f t="shared" si="71"/>
        <v>0</v>
      </c>
      <c r="W513" s="599">
        <f t="shared" si="68"/>
        <v>0</v>
      </c>
      <c r="X513" s="620"/>
      <c r="Y513" s="621"/>
      <c r="Z513" s="1096">
        <f t="shared" si="69"/>
        <v>0</v>
      </c>
      <c r="AA513" s="882">
        <f t="shared" si="70"/>
        <v>0</v>
      </c>
    </row>
    <row r="514" spans="1:27" ht="27" hidden="1" customHeight="1">
      <c r="A514" s="583">
        <v>12</v>
      </c>
      <c r="B514" s="583">
        <v>907</v>
      </c>
      <c r="C514" s="581">
        <v>8</v>
      </c>
      <c r="D514" s="582" t="s">
        <v>32</v>
      </c>
      <c r="E514" s="1138" t="s">
        <v>770</v>
      </c>
      <c r="F514" s="1826"/>
      <c r="G514" s="2075"/>
      <c r="H514" s="2065"/>
      <c r="I514" s="2065"/>
      <c r="J514" s="2066"/>
      <c r="K514" s="2065"/>
      <c r="L514" s="2065"/>
      <c r="M514" s="2065"/>
      <c r="N514" s="2065"/>
      <c r="O514" s="2066"/>
      <c r="P514" s="2066"/>
      <c r="Q514" s="2065"/>
      <c r="R514" s="2065"/>
      <c r="S514" s="2065"/>
      <c r="T514" s="1096">
        <f t="shared" si="67"/>
        <v>0</v>
      </c>
      <c r="U514" s="599">
        <v>0</v>
      </c>
      <c r="V514" s="1407">
        <f t="shared" si="71"/>
        <v>0</v>
      </c>
      <c r="W514" s="599">
        <f t="shared" si="68"/>
        <v>0</v>
      </c>
      <c r="X514" s="620"/>
      <c r="Y514" s="621"/>
      <c r="Z514" s="1096">
        <f t="shared" si="69"/>
        <v>0</v>
      </c>
      <c r="AA514" s="882">
        <f t="shared" si="70"/>
        <v>0</v>
      </c>
    </row>
    <row r="515" spans="1:27" ht="27" hidden="1" customHeight="1">
      <c r="A515" s="583">
        <v>3214</v>
      </c>
      <c r="B515" s="583">
        <v>909</v>
      </c>
      <c r="C515" s="581">
        <v>8</v>
      </c>
      <c r="D515" s="582" t="s">
        <v>32</v>
      </c>
      <c r="E515" s="1138" t="s">
        <v>1467</v>
      </c>
      <c r="F515" s="1826"/>
      <c r="G515" s="2075"/>
      <c r="H515" s="2065"/>
      <c r="I515" s="2065"/>
      <c r="J515" s="2066"/>
      <c r="K515" s="2065"/>
      <c r="L515" s="2065"/>
      <c r="M515" s="2065"/>
      <c r="N515" s="2065"/>
      <c r="O515" s="2066"/>
      <c r="P515" s="2066"/>
      <c r="Q515" s="2065"/>
      <c r="R515" s="2065"/>
      <c r="S515" s="2065"/>
      <c r="T515" s="1096">
        <f t="shared" si="67"/>
        <v>0</v>
      </c>
      <c r="U515" s="599">
        <v>0</v>
      </c>
      <c r="V515" s="1407">
        <f t="shared" si="71"/>
        <v>0</v>
      </c>
      <c r="W515" s="599">
        <f t="shared" si="68"/>
        <v>0</v>
      </c>
      <c r="X515" s="620"/>
      <c r="Y515" s="621"/>
      <c r="Z515" s="1096">
        <f t="shared" si="69"/>
        <v>0</v>
      </c>
      <c r="AA515" s="882">
        <f t="shared" si="70"/>
        <v>0</v>
      </c>
    </row>
    <row r="516" spans="1:27" ht="27" hidden="1" customHeight="1">
      <c r="A516" s="583"/>
      <c r="B516" s="583">
        <v>601</v>
      </c>
      <c r="C516" s="581">
        <v>12</v>
      </c>
      <c r="D516" s="582" t="s">
        <v>34</v>
      </c>
      <c r="E516" s="1138" t="s">
        <v>35</v>
      </c>
      <c r="F516" s="1826"/>
      <c r="G516" s="2075"/>
      <c r="H516" s="2065"/>
      <c r="I516" s="2065"/>
      <c r="J516" s="2066"/>
      <c r="K516" s="2065"/>
      <c r="L516" s="2065"/>
      <c r="M516" s="2065"/>
      <c r="N516" s="2065"/>
      <c r="O516" s="2066"/>
      <c r="P516" s="2066"/>
      <c r="Q516" s="2065"/>
      <c r="R516" s="2065"/>
      <c r="S516" s="2065"/>
      <c r="T516" s="1096">
        <f t="shared" si="67"/>
        <v>0</v>
      </c>
      <c r="U516" s="599">
        <v>0</v>
      </c>
      <c r="V516" s="1407">
        <f t="shared" si="71"/>
        <v>0</v>
      </c>
      <c r="W516" s="599">
        <f t="shared" si="68"/>
        <v>0</v>
      </c>
      <c r="X516" s="620"/>
      <c r="Y516" s="621"/>
      <c r="Z516" s="1096">
        <f t="shared" si="69"/>
        <v>0</v>
      </c>
      <c r="AA516" s="882">
        <f t="shared" si="70"/>
        <v>0</v>
      </c>
    </row>
    <row r="517" spans="1:27" ht="27" hidden="1" customHeight="1">
      <c r="A517" s="583"/>
      <c r="B517" s="583">
        <v>301</v>
      </c>
      <c r="C517" s="581">
        <v>14</v>
      </c>
      <c r="D517" s="582" t="s">
        <v>36</v>
      </c>
      <c r="E517" s="1138" t="s">
        <v>37</v>
      </c>
      <c r="F517" s="1829">
        <v>41980129902</v>
      </c>
      <c r="G517" s="2078">
        <v>6200000</v>
      </c>
      <c r="H517" s="2065"/>
      <c r="I517" s="2065"/>
      <c r="J517" s="2066"/>
      <c r="K517" s="2065"/>
      <c r="L517" s="2065"/>
      <c r="M517" s="2065"/>
      <c r="N517" s="2065"/>
      <c r="O517" s="2066"/>
      <c r="P517" s="2066"/>
      <c r="Q517" s="2065"/>
      <c r="R517" s="2065"/>
      <c r="S517" s="2065"/>
      <c r="T517" s="1096">
        <f t="shared" si="67"/>
        <v>41986329902</v>
      </c>
      <c r="U517" s="599">
        <v>2013171759</v>
      </c>
      <c r="V517" s="1407">
        <f t="shared" si="71"/>
        <v>41986</v>
      </c>
      <c r="W517" s="599">
        <f t="shared" si="68"/>
        <v>2013</v>
      </c>
      <c r="X517" s="620"/>
      <c r="Y517" s="621"/>
      <c r="Z517" s="1096">
        <f t="shared" ref="Z517:Z549" si="72">T517+Y517-X517</f>
        <v>41986329902</v>
      </c>
      <c r="AA517" s="882">
        <f t="shared" ref="AA517:AA549" si="73">ROUND((Z517/1000000),0)</f>
        <v>41986</v>
      </c>
    </row>
    <row r="518" spans="1:27" ht="27" hidden="1" customHeight="1">
      <c r="A518" s="583"/>
      <c r="B518" s="583">
        <v>301</v>
      </c>
      <c r="C518" s="581">
        <v>14</v>
      </c>
      <c r="D518" s="582" t="s">
        <v>1744</v>
      </c>
      <c r="E518" s="1138" t="s">
        <v>1745</v>
      </c>
      <c r="F518" s="1829">
        <v>1388006043442</v>
      </c>
      <c r="G518" s="2075"/>
      <c r="H518" s="2065"/>
      <c r="I518" s="2065"/>
      <c r="J518" s="2066"/>
      <c r="K518" s="2065"/>
      <c r="L518" s="2065"/>
      <c r="M518" s="2065"/>
      <c r="N518" s="2065"/>
      <c r="O518" s="2066"/>
      <c r="P518" s="2066"/>
      <c r="Q518" s="2065"/>
      <c r="R518" s="2065"/>
      <c r="S518" s="2065"/>
      <c r="T518" s="1096">
        <f t="shared" si="67"/>
        <v>1388006043442</v>
      </c>
      <c r="U518" s="599">
        <v>395270729337</v>
      </c>
      <c r="V518" s="1407">
        <f t="shared" si="71"/>
        <v>1388006</v>
      </c>
      <c r="W518" s="599">
        <f t="shared" si="68"/>
        <v>395271</v>
      </c>
      <c r="X518" s="620"/>
      <c r="Y518" s="621"/>
      <c r="Z518" s="1096">
        <f t="shared" si="72"/>
        <v>1388006043442</v>
      </c>
      <c r="AA518" s="882">
        <f t="shared" si="73"/>
        <v>1388006</v>
      </c>
    </row>
    <row r="519" spans="1:27" ht="27" hidden="1" customHeight="1">
      <c r="A519" s="583"/>
      <c r="B519" s="583">
        <v>301</v>
      </c>
      <c r="C519" s="581">
        <v>14</v>
      </c>
      <c r="D519" s="582" t="s">
        <v>2137</v>
      </c>
      <c r="E519" s="1138" t="s">
        <v>1820</v>
      </c>
      <c r="F519" s="1829">
        <v>179432515003</v>
      </c>
      <c r="G519" s="2091"/>
      <c r="H519" s="604"/>
      <c r="I519" s="604"/>
      <c r="J519" s="604"/>
      <c r="K519" s="604"/>
      <c r="L519" s="604"/>
      <c r="M519" s="604"/>
      <c r="N519" s="604"/>
      <c r="O519" s="2093"/>
      <c r="P519" s="2093"/>
      <c r="Q519" s="604"/>
      <c r="R519" s="604"/>
      <c r="S519" s="604"/>
      <c r="T519" s="1096">
        <f t="shared" si="67"/>
        <v>179432515003</v>
      </c>
      <c r="U519" s="599">
        <v>664750000</v>
      </c>
      <c r="V519" s="1407">
        <f t="shared" si="71"/>
        <v>179433</v>
      </c>
      <c r="W519" s="599">
        <f t="shared" si="68"/>
        <v>665</v>
      </c>
      <c r="X519" s="620"/>
      <c r="Y519" s="621"/>
      <c r="Z519" s="1096">
        <f t="shared" si="72"/>
        <v>179432515003</v>
      </c>
      <c r="AA519" s="882">
        <f t="shared" si="73"/>
        <v>179433</v>
      </c>
    </row>
    <row r="520" spans="1:27" ht="27" hidden="1" customHeight="1">
      <c r="A520" s="583"/>
      <c r="B520" s="583">
        <v>301</v>
      </c>
      <c r="C520" s="581">
        <v>14</v>
      </c>
      <c r="D520" s="582" t="s">
        <v>1637</v>
      </c>
      <c r="E520" s="1138" t="s">
        <v>37</v>
      </c>
      <c r="F520" s="1826"/>
      <c r="G520" s="2075"/>
      <c r="H520" s="2065"/>
      <c r="I520" s="2065"/>
      <c r="J520" s="2066"/>
      <c r="K520" s="2065"/>
      <c r="L520" s="2065"/>
      <c r="M520" s="2065"/>
      <c r="N520" s="2065"/>
      <c r="O520" s="2066"/>
      <c r="P520" s="2066"/>
      <c r="Q520" s="2065"/>
      <c r="R520" s="2065"/>
      <c r="S520" s="2065"/>
      <c r="T520" s="1096">
        <f t="shared" si="67"/>
        <v>0</v>
      </c>
      <c r="U520" s="599">
        <v>0</v>
      </c>
      <c r="V520" s="1407">
        <f t="shared" si="71"/>
        <v>0</v>
      </c>
      <c r="W520" s="599">
        <f t="shared" si="68"/>
        <v>0</v>
      </c>
      <c r="X520" s="620"/>
      <c r="Y520" s="621"/>
      <c r="Z520" s="1096">
        <f t="shared" si="72"/>
        <v>0</v>
      </c>
      <c r="AA520" s="882">
        <f t="shared" si="73"/>
        <v>0</v>
      </c>
    </row>
    <row r="521" spans="1:27" ht="27" hidden="1" customHeight="1">
      <c r="A521" s="583"/>
      <c r="B521" s="583">
        <v>301</v>
      </c>
      <c r="C521" s="581">
        <v>14</v>
      </c>
      <c r="D521" s="582" t="s">
        <v>38</v>
      </c>
      <c r="E521" s="1138" t="s">
        <v>624</v>
      </c>
      <c r="F521" s="1826"/>
      <c r="G521" s="2075"/>
      <c r="H521" s="2065"/>
      <c r="I521" s="2065"/>
      <c r="J521" s="2066"/>
      <c r="K521" s="2065"/>
      <c r="L521" s="2065"/>
      <c r="M521" s="2065"/>
      <c r="N521" s="2065"/>
      <c r="O521" s="2066"/>
      <c r="P521" s="2066"/>
      <c r="Q521" s="2065"/>
      <c r="R521" s="2065"/>
      <c r="S521" s="2065"/>
      <c r="T521" s="1096">
        <f t="shared" si="67"/>
        <v>0</v>
      </c>
      <c r="U521" s="599">
        <v>0</v>
      </c>
      <c r="V521" s="1407">
        <f t="shared" si="71"/>
        <v>0</v>
      </c>
      <c r="W521" s="599">
        <f t="shared" si="68"/>
        <v>0</v>
      </c>
      <c r="X521" s="620"/>
      <c r="Y521" s="621"/>
      <c r="Z521" s="1096">
        <f t="shared" si="72"/>
        <v>0</v>
      </c>
      <c r="AA521" s="882">
        <f t="shared" si="73"/>
        <v>0</v>
      </c>
    </row>
    <row r="522" spans="1:27" ht="27" hidden="1" customHeight="1">
      <c r="A522" s="583"/>
      <c r="B522" s="583"/>
      <c r="C522" s="581">
        <v>6</v>
      </c>
      <c r="D522" s="582" t="s">
        <v>734</v>
      </c>
      <c r="E522" s="1138" t="s">
        <v>736</v>
      </c>
      <c r="F522" s="1829">
        <v>49334476694032</v>
      </c>
      <c r="G522" s="2078">
        <v>4472295394464</v>
      </c>
      <c r="H522" s="2078">
        <v>487903498111</v>
      </c>
      <c r="I522" s="2080">
        <v>1419142167031</v>
      </c>
      <c r="J522" s="2081">
        <v>172393206137</v>
      </c>
      <c r="K522" s="2080">
        <f>1128379240992-2233857400+7883831+122000000-11818182-269651694+1274331700-1333556820+133507798</f>
        <v>1126068080225</v>
      </c>
      <c r="L522" s="2080"/>
      <c r="M522" s="2080"/>
      <c r="N522" s="2080"/>
      <c r="O522" s="2080"/>
      <c r="P522" s="2066"/>
      <c r="Q522" s="2065"/>
      <c r="R522" s="2065"/>
      <c r="S522" s="2065"/>
      <c r="T522" s="1096">
        <f t="shared" si="67"/>
        <v>57012279040000</v>
      </c>
      <c r="U522" s="599">
        <v>37436557820441</v>
      </c>
      <c r="V522" s="1407">
        <f t="shared" si="71"/>
        <v>57012279</v>
      </c>
      <c r="W522" s="599">
        <f t="shared" si="68"/>
        <v>37436558</v>
      </c>
      <c r="X522" s="620"/>
      <c r="Y522" s="621"/>
      <c r="Z522" s="1096">
        <f t="shared" si="72"/>
        <v>57012279040000</v>
      </c>
      <c r="AA522" s="882">
        <f t="shared" si="73"/>
        <v>57012279</v>
      </c>
    </row>
    <row r="523" spans="1:27" ht="27" hidden="1" customHeight="1">
      <c r="A523" s="583"/>
      <c r="B523" s="583"/>
      <c r="C523" s="581">
        <v>6</v>
      </c>
      <c r="D523" s="582" t="s">
        <v>1748</v>
      </c>
      <c r="E523" s="1138" t="s">
        <v>1749</v>
      </c>
      <c r="F523" s="1829">
        <v>1222982496</v>
      </c>
      <c r="G523" s="2075"/>
      <c r="H523" s="2078"/>
      <c r="I523" s="2065"/>
      <c r="J523" s="2066"/>
      <c r="K523" s="2065"/>
      <c r="L523" s="2065"/>
      <c r="M523" s="2065"/>
      <c r="N523" s="2065"/>
      <c r="O523" s="2066"/>
      <c r="P523" s="2066"/>
      <c r="Q523" s="2065"/>
      <c r="R523" s="2065"/>
      <c r="S523" s="2065"/>
      <c r="T523" s="1096">
        <f t="shared" si="67"/>
        <v>1222982496</v>
      </c>
      <c r="U523" s="599">
        <v>700000000</v>
      </c>
      <c r="V523" s="1407">
        <f t="shared" si="71"/>
        <v>1223</v>
      </c>
      <c r="W523" s="599">
        <f t="shared" si="68"/>
        <v>700</v>
      </c>
      <c r="X523" s="620"/>
      <c r="Y523" s="621"/>
      <c r="Z523" s="1096">
        <f t="shared" si="72"/>
        <v>1222982496</v>
      </c>
      <c r="AA523" s="882">
        <f t="shared" si="73"/>
        <v>1223</v>
      </c>
    </row>
    <row r="524" spans="1:27" ht="27" hidden="1" customHeight="1">
      <c r="A524" s="583"/>
      <c r="B524" s="583">
        <v>205</v>
      </c>
      <c r="C524" s="581">
        <v>19</v>
      </c>
      <c r="D524" s="582" t="s">
        <v>735</v>
      </c>
      <c r="E524" s="1138" t="s">
        <v>904</v>
      </c>
      <c r="F524" s="1829"/>
      <c r="G524" s="2078"/>
      <c r="H524" s="2078"/>
      <c r="I524" s="2065"/>
      <c r="J524" s="2080"/>
      <c r="K524" s="2080"/>
      <c r="L524" s="2080"/>
      <c r="M524" s="2080"/>
      <c r="N524" s="2065"/>
      <c r="O524" s="2066"/>
      <c r="P524" s="2066"/>
      <c r="Q524" s="2065"/>
      <c r="R524" s="2065"/>
      <c r="S524" s="2065"/>
      <c r="T524" s="1096">
        <f t="shared" si="67"/>
        <v>0</v>
      </c>
      <c r="U524" s="599">
        <v>0</v>
      </c>
      <c r="V524" s="1407">
        <f t="shared" si="71"/>
        <v>0</v>
      </c>
      <c r="W524" s="599">
        <f t="shared" si="68"/>
        <v>0</v>
      </c>
      <c r="X524" s="620"/>
      <c r="Y524" s="621"/>
      <c r="Z524" s="1096">
        <f t="shared" si="72"/>
        <v>0</v>
      </c>
      <c r="AA524" s="882">
        <f t="shared" si="73"/>
        <v>0</v>
      </c>
    </row>
    <row r="525" spans="1:27" ht="27" hidden="1" customHeight="1">
      <c r="A525" s="583"/>
      <c r="B525" s="583">
        <v>202</v>
      </c>
      <c r="C525" s="581">
        <v>7</v>
      </c>
      <c r="D525" s="582" t="s">
        <v>906</v>
      </c>
      <c r="E525" s="1138" t="s">
        <v>905</v>
      </c>
      <c r="F525" s="1830">
        <v>-547094172071</v>
      </c>
      <c r="G525" s="2078">
        <v>-15479499003</v>
      </c>
      <c r="H525" s="2078">
        <v>-22677647146</v>
      </c>
      <c r="I525" s="2080">
        <v>-7746278068</v>
      </c>
      <c r="J525" s="2066"/>
      <c r="K525" s="2080"/>
      <c r="L525" s="2065"/>
      <c r="M525" s="2065"/>
      <c r="N525" s="2065"/>
      <c r="O525" s="2066"/>
      <c r="P525" s="2066"/>
      <c r="Q525" s="2065"/>
      <c r="R525" s="2065"/>
      <c r="S525" s="2065"/>
      <c r="T525" s="1096">
        <f t="shared" si="67"/>
        <v>-592997596288</v>
      </c>
      <c r="U525" s="599">
        <v>-314951079014</v>
      </c>
      <c r="V525" s="1407">
        <f t="shared" ref="V525:V557" si="74">ROUND((T525/1000000),0)</f>
        <v>-592998</v>
      </c>
      <c r="W525" s="599">
        <f t="shared" si="68"/>
        <v>-314951</v>
      </c>
      <c r="X525" s="620"/>
      <c r="Y525" s="621"/>
      <c r="Z525" s="1096">
        <f t="shared" si="72"/>
        <v>-592997596288</v>
      </c>
      <c r="AA525" s="882">
        <f t="shared" si="73"/>
        <v>-592998</v>
      </c>
    </row>
    <row r="526" spans="1:27" ht="27" hidden="1" customHeight="1">
      <c r="A526" s="583"/>
      <c r="B526" s="583">
        <v>406</v>
      </c>
      <c r="C526" s="581">
        <v>11</v>
      </c>
      <c r="D526" s="582" t="s">
        <v>1579</v>
      </c>
      <c r="E526" s="1138" t="s">
        <v>1586</v>
      </c>
      <c r="F526" s="1830">
        <v>2279526</v>
      </c>
      <c r="G526" s="2075"/>
      <c r="H526" s="2065"/>
      <c r="I526" s="2065"/>
      <c r="J526" s="2065"/>
      <c r="K526" s="2065"/>
      <c r="L526" s="2065"/>
      <c r="M526" s="2065"/>
      <c r="N526" s="2065"/>
      <c r="O526" s="2066"/>
      <c r="P526" s="2066"/>
      <c r="Q526" s="2065"/>
      <c r="R526" s="2065"/>
      <c r="S526" s="2065"/>
      <c r="T526" s="1096">
        <f t="shared" ref="T526:T578" si="75">SUM(F526:S526)</f>
        <v>2279526</v>
      </c>
      <c r="U526" s="599">
        <v>2279526</v>
      </c>
      <c r="V526" s="1407">
        <f t="shared" si="74"/>
        <v>2</v>
      </c>
      <c r="W526" s="599">
        <f t="shared" si="68"/>
        <v>2</v>
      </c>
      <c r="X526" s="620"/>
      <c r="Y526" s="621"/>
      <c r="Z526" s="1096">
        <f t="shared" si="72"/>
        <v>2279526</v>
      </c>
      <c r="AA526" s="882">
        <f t="shared" si="73"/>
        <v>2</v>
      </c>
    </row>
    <row r="527" spans="1:27" ht="27" hidden="1" customHeight="1">
      <c r="A527" s="583"/>
      <c r="B527" s="583">
        <v>201</v>
      </c>
      <c r="C527" s="581">
        <v>7</v>
      </c>
      <c r="D527" s="582" t="s">
        <v>738</v>
      </c>
      <c r="E527" s="1138" t="s">
        <v>737</v>
      </c>
      <c r="F527" s="1830">
        <v>-267606500286</v>
      </c>
      <c r="G527" s="2075"/>
      <c r="H527" s="2078"/>
      <c r="I527" s="2065">
        <v>-31031200000</v>
      </c>
      <c r="J527" s="2066"/>
      <c r="K527" s="2065">
        <v>-1671300000</v>
      </c>
      <c r="L527" s="2065"/>
      <c r="M527" s="2065"/>
      <c r="N527" s="2080"/>
      <c r="O527" s="2080"/>
      <c r="P527" s="2066"/>
      <c r="Q527" s="2065"/>
      <c r="R527" s="2065"/>
      <c r="S527" s="2065"/>
      <c r="T527" s="1096">
        <f t="shared" si="75"/>
        <v>-300309000286</v>
      </c>
      <c r="U527" s="599">
        <v>-420857924888</v>
      </c>
      <c r="V527" s="1407">
        <f t="shared" si="74"/>
        <v>-300309</v>
      </c>
      <c r="W527" s="599">
        <f t="shared" si="68"/>
        <v>-420858</v>
      </c>
      <c r="X527" s="620"/>
      <c r="Y527" s="621"/>
      <c r="Z527" s="1096">
        <f t="shared" si="72"/>
        <v>-300309000286</v>
      </c>
      <c r="AA527" s="882">
        <f t="shared" si="73"/>
        <v>-300309</v>
      </c>
    </row>
    <row r="528" spans="1:27" ht="27" hidden="1" customHeight="1">
      <c r="A528" s="583"/>
      <c r="B528" s="583"/>
      <c r="C528" s="581">
        <v>5</v>
      </c>
      <c r="D528" s="582" t="s">
        <v>907</v>
      </c>
      <c r="E528" s="1138" t="s">
        <v>908</v>
      </c>
      <c r="F528" s="1830">
        <v>-17245585600573</v>
      </c>
      <c r="G528" s="2078">
        <v>-11111673239321</v>
      </c>
      <c r="H528" s="2078">
        <v>168811400000</v>
      </c>
      <c r="I528" s="2065"/>
      <c r="J528" s="2066"/>
      <c r="K528" s="2080"/>
      <c r="L528" s="2065">
        <f>-306114968297</f>
        <v>-306114968297</v>
      </c>
      <c r="M528" s="2065"/>
      <c r="N528" s="2065"/>
      <c r="O528" s="2066"/>
      <c r="P528" s="2066"/>
      <c r="Q528" s="2065"/>
      <c r="R528" s="2065"/>
      <c r="S528" s="2065"/>
      <c r="T528" s="1096">
        <f t="shared" si="75"/>
        <v>-28494562408191</v>
      </c>
      <c r="U528" s="599">
        <v>-18806400745468</v>
      </c>
      <c r="V528" s="1407">
        <f t="shared" si="74"/>
        <v>-28494562</v>
      </c>
      <c r="W528" s="599">
        <f t="shared" ref="W528:W576" si="76">ROUND((U528/1000000),0)</f>
        <v>-18806401</v>
      </c>
      <c r="X528" s="620"/>
      <c r="Y528" s="621"/>
      <c r="Z528" s="1096">
        <f t="shared" si="72"/>
        <v>-28494562408191</v>
      </c>
      <c r="AA528" s="882">
        <f t="shared" si="73"/>
        <v>-28494562</v>
      </c>
    </row>
    <row r="529" spans="1:27" ht="27" hidden="1" customHeight="1">
      <c r="A529" s="583"/>
      <c r="B529" s="583"/>
      <c r="C529" s="581">
        <v>5</v>
      </c>
      <c r="D529" s="582" t="s">
        <v>909</v>
      </c>
      <c r="E529" s="1138" t="s">
        <v>910</v>
      </c>
      <c r="F529" s="1830">
        <v>-17325990725425</v>
      </c>
      <c r="G529" s="2078">
        <v>-7882097055961</v>
      </c>
      <c r="H529" s="2078"/>
      <c r="I529" s="2065"/>
      <c r="J529" s="2066">
        <v>210586700030</v>
      </c>
      <c r="K529" s="2080"/>
      <c r="L529" s="2065">
        <f>306114968297+11821936000+25640435400+8266200900-62141700000-108988539830-225791782570-20430864265</f>
        <v>-65509346068</v>
      </c>
      <c r="M529" s="2065"/>
      <c r="N529" s="2065"/>
      <c r="O529" s="2066">
        <v>-24005011115</v>
      </c>
      <c r="P529" s="2066"/>
      <c r="Q529" s="2065"/>
      <c r="R529" s="2065"/>
      <c r="S529" s="2065"/>
      <c r="T529" s="1096">
        <f t="shared" si="75"/>
        <v>-25087015438539</v>
      </c>
      <c r="U529" s="599">
        <v>-18073521312235</v>
      </c>
      <c r="V529" s="1407">
        <f t="shared" si="74"/>
        <v>-25087015</v>
      </c>
      <c r="W529" s="599">
        <f t="shared" si="76"/>
        <v>-18073521</v>
      </c>
      <c r="X529" s="620"/>
      <c r="Y529" s="621"/>
      <c r="Z529" s="1096">
        <f t="shared" si="72"/>
        <v>-25087015438539</v>
      </c>
      <c r="AA529" s="882">
        <f t="shared" si="73"/>
        <v>-25087015</v>
      </c>
    </row>
    <row r="530" spans="1:27" ht="27" hidden="1" customHeight="1">
      <c r="A530" s="583"/>
      <c r="B530" s="583">
        <v>203</v>
      </c>
      <c r="C530" s="581">
        <v>7</v>
      </c>
      <c r="D530" s="582" t="s">
        <v>739</v>
      </c>
      <c r="E530" s="1138" t="s">
        <v>911</v>
      </c>
      <c r="F530" s="1830"/>
      <c r="G530" s="2075"/>
      <c r="H530" s="2078"/>
      <c r="I530" s="2065"/>
      <c r="J530" s="2066"/>
      <c r="K530" s="2065"/>
      <c r="L530" s="2065"/>
      <c r="M530" s="2065"/>
      <c r="N530" s="2065"/>
      <c r="O530" s="2066"/>
      <c r="P530" s="2066"/>
      <c r="Q530" s="2065"/>
      <c r="R530" s="2065"/>
      <c r="S530" s="2065"/>
      <c r="T530" s="1096">
        <f t="shared" si="75"/>
        <v>0</v>
      </c>
      <c r="U530" s="599">
        <v>-99082568</v>
      </c>
      <c r="V530" s="1407">
        <f t="shared" si="74"/>
        <v>0</v>
      </c>
      <c r="W530" s="599">
        <f t="shared" si="76"/>
        <v>-99</v>
      </c>
      <c r="X530" s="620"/>
      <c r="Y530" s="621"/>
      <c r="Z530" s="1096">
        <f t="shared" si="72"/>
        <v>0</v>
      </c>
      <c r="AA530" s="882">
        <f t="shared" si="73"/>
        <v>0</v>
      </c>
    </row>
    <row r="531" spans="1:27" ht="27" hidden="1" customHeight="1">
      <c r="A531" s="583"/>
      <c r="B531" s="583">
        <v>1018</v>
      </c>
      <c r="C531" s="581">
        <v>17</v>
      </c>
      <c r="D531" s="582" t="s">
        <v>556</v>
      </c>
      <c r="E531" s="1138" t="s">
        <v>957</v>
      </c>
      <c r="F531" s="1829">
        <v>53341484406</v>
      </c>
      <c r="G531" s="2077">
        <v>-50053635635</v>
      </c>
      <c r="H531" s="2094">
        <v>-3620992970</v>
      </c>
      <c r="I531" s="2097">
        <v>-659674167</v>
      </c>
      <c r="J531" s="2065"/>
      <c r="K531" s="2065">
        <v>-118307798</v>
      </c>
      <c r="L531" s="2065"/>
      <c r="M531" s="2065"/>
      <c r="N531" s="2065"/>
      <c r="O531" s="2066"/>
      <c r="P531" s="2066"/>
      <c r="Q531" s="2065"/>
      <c r="R531" s="2065"/>
      <c r="S531" s="2065"/>
      <c r="T531" s="1981">
        <f t="shared" si="75"/>
        <v>-1111126164</v>
      </c>
      <c r="U531" s="599">
        <v>88021638</v>
      </c>
      <c r="V531" s="1407">
        <f t="shared" si="74"/>
        <v>-1111</v>
      </c>
      <c r="W531" s="599">
        <f t="shared" si="76"/>
        <v>88</v>
      </c>
      <c r="X531" s="620"/>
      <c r="Y531" s="621"/>
      <c r="Z531" s="1096">
        <f t="shared" si="72"/>
        <v>-1111126164</v>
      </c>
      <c r="AA531" s="882">
        <f t="shared" si="73"/>
        <v>-1111</v>
      </c>
    </row>
    <row r="532" spans="1:27" ht="27" hidden="1" customHeight="1">
      <c r="A532" s="583"/>
      <c r="B532" s="583">
        <v>406</v>
      </c>
      <c r="C532" s="581">
        <v>11</v>
      </c>
      <c r="D532" s="582" t="s">
        <v>1580</v>
      </c>
      <c r="E532" s="1138" t="s">
        <v>1587</v>
      </c>
      <c r="F532" s="1829">
        <v>681134</v>
      </c>
      <c r="G532" s="2075"/>
      <c r="H532" s="2065"/>
      <c r="I532" s="2065"/>
      <c r="J532" s="2065"/>
      <c r="K532" s="2065"/>
      <c r="L532" s="2065"/>
      <c r="M532" s="2065"/>
      <c r="N532" s="2065"/>
      <c r="O532" s="2066"/>
      <c r="P532" s="2066"/>
      <c r="Q532" s="2065"/>
      <c r="R532" s="2065"/>
      <c r="S532" s="2065"/>
      <c r="T532" s="1096">
        <f t="shared" si="75"/>
        <v>681134</v>
      </c>
      <c r="U532" s="599">
        <v>681134</v>
      </c>
      <c r="V532" s="1407">
        <f t="shared" si="74"/>
        <v>1</v>
      </c>
      <c r="W532" s="599">
        <f t="shared" si="76"/>
        <v>1</v>
      </c>
      <c r="X532" s="620"/>
      <c r="Y532" s="621"/>
      <c r="Z532" s="1096">
        <f t="shared" si="72"/>
        <v>681134</v>
      </c>
      <c r="AA532" s="882">
        <f t="shared" si="73"/>
        <v>1</v>
      </c>
    </row>
    <row r="533" spans="1:27" ht="27" hidden="1" customHeight="1">
      <c r="A533" s="583"/>
      <c r="B533" s="583">
        <v>204</v>
      </c>
      <c r="C533" s="581">
        <v>5</v>
      </c>
      <c r="D533" s="582" t="s">
        <v>748</v>
      </c>
      <c r="E533" s="1138" t="s">
        <v>747</v>
      </c>
      <c r="F533" s="1830">
        <v>-88330463630</v>
      </c>
      <c r="G533" s="2078">
        <v>-73204380</v>
      </c>
      <c r="H533" s="2078"/>
      <c r="I533" s="2065">
        <v>-9712783835</v>
      </c>
      <c r="J533" s="2080"/>
      <c r="K533" s="2065">
        <f>48000000+1980000000</f>
        <v>2028000000</v>
      </c>
      <c r="L533" s="2065"/>
      <c r="M533" s="2065"/>
      <c r="N533" s="2065"/>
      <c r="O533" s="2066"/>
      <c r="P533" s="2066"/>
      <c r="Q533" s="2065"/>
      <c r="R533" s="2065"/>
      <c r="S533" s="2065"/>
      <c r="T533" s="1096">
        <f t="shared" si="75"/>
        <v>-96088451845</v>
      </c>
      <c r="U533" s="599">
        <v>-68514200498</v>
      </c>
      <c r="V533" s="1407">
        <f>ROUND((T533/1000000),0)-1</f>
        <v>-96089</v>
      </c>
      <c r="W533" s="599">
        <f t="shared" si="76"/>
        <v>-68514</v>
      </c>
      <c r="X533" s="620"/>
      <c r="Y533" s="621"/>
      <c r="Z533" s="1096">
        <f t="shared" si="72"/>
        <v>-96088451845</v>
      </c>
      <c r="AA533" s="882">
        <f t="shared" si="73"/>
        <v>-96088</v>
      </c>
    </row>
    <row r="534" spans="1:27" ht="27" hidden="1" customHeight="1">
      <c r="A534" s="583"/>
      <c r="B534" s="583"/>
      <c r="C534" s="581">
        <v>19</v>
      </c>
      <c r="D534" s="582" t="s">
        <v>853</v>
      </c>
      <c r="E534" s="1138" t="s">
        <v>1041</v>
      </c>
      <c r="F534" s="1826"/>
      <c r="G534" s="2075"/>
      <c r="H534" s="2065"/>
      <c r="I534" s="2065"/>
      <c r="J534" s="2066"/>
      <c r="K534" s="2065"/>
      <c r="L534" s="2065"/>
      <c r="M534" s="2065"/>
      <c r="N534" s="2065"/>
      <c r="O534" s="2066"/>
      <c r="P534" s="2066"/>
      <c r="Q534" s="2065"/>
      <c r="R534" s="2065"/>
      <c r="S534" s="2065"/>
      <c r="T534" s="1096">
        <f t="shared" si="75"/>
        <v>0</v>
      </c>
      <c r="U534" s="599">
        <v>0</v>
      </c>
      <c r="V534" s="1407">
        <f t="shared" si="74"/>
        <v>0</v>
      </c>
      <c r="W534" s="599">
        <f t="shared" si="76"/>
        <v>0</v>
      </c>
      <c r="X534" s="620"/>
      <c r="Y534" s="621"/>
      <c r="Z534" s="1096">
        <f t="shared" si="72"/>
        <v>0</v>
      </c>
      <c r="AA534" s="882">
        <f t="shared" si="73"/>
        <v>0</v>
      </c>
    </row>
    <row r="535" spans="1:27" ht="27" hidden="1" customHeight="1">
      <c r="A535" s="583"/>
      <c r="B535" s="583"/>
      <c r="C535" s="581">
        <v>19</v>
      </c>
      <c r="D535" s="582" t="s">
        <v>613</v>
      </c>
      <c r="E535" s="1138" t="s">
        <v>614</v>
      </c>
      <c r="F535" s="1829">
        <v>7838045282267</v>
      </c>
      <c r="G535" s="2075"/>
      <c r="H535" s="2065"/>
      <c r="I535" s="2065"/>
      <c r="J535" s="2066"/>
      <c r="K535" s="2065"/>
      <c r="L535" s="2065"/>
      <c r="M535" s="2065"/>
      <c r="N535" s="2065"/>
      <c r="O535" s="2066"/>
      <c r="P535" s="2066"/>
      <c r="Q535" s="2065"/>
      <c r="R535" s="2065"/>
      <c r="S535" s="2065"/>
      <c r="T535" s="1096">
        <f t="shared" si="75"/>
        <v>7838045282267</v>
      </c>
      <c r="U535" s="599">
        <v>7899816913324</v>
      </c>
      <c r="V535" s="1407">
        <f t="shared" si="74"/>
        <v>7838045</v>
      </c>
      <c r="W535" s="599">
        <f t="shared" si="76"/>
        <v>7899817</v>
      </c>
      <c r="X535" s="620"/>
      <c r="Y535" s="621"/>
      <c r="Z535" s="1096">
        <f t="shared" si="72"/>
        <v>7838045282267</v>
      </c>
      <c r="AA535" s="882">
        <f t="shared" si="73"/>
        <v>7838045</v>
      </c>
    </row>
    <row r="536" spans="1:27" ht="27" hidden="1" customHeight="1">
      <c r="A536" s="583"/>
      <c r="B536" s="583">
        <v>401</v>
      </c>
      <c r="C536" s="581">
        <v>11</v>
      </c>
      <c r="D536" s="582" t="s">
        <v>487</v>
      </c>
      <c r="E536" s="1138" t="s">
        <v>663</v>
      </c>
      <c r="F536" s="1826"/>
      <c r="G536" s="2075"/>
      <c r="H536" s="2065"/>
      <c r="I536" s="2065"/>
      <c r="J536" s="2065"/>
      <c r="K536" s="2065"/>
      <c r="L536" s="2065"/>
      <c r="M536" s="2065"/>
      <c r="N536" s="2065"/>
      <c r="O536" s="2066"/>
      <c r="P536" s="2066"/>
      <c r="Q536" s="2065"/>
      <c r="R536" s="2065"/>
      <c r="S536" s="2065"/>
      <c r="T536" s="1096">
        <f t="shared" si="75"/>
        <v>0</v>
      </c>
      <c r="U536" s="599">
        <v>0</v>
      </c>
      <c r="V536" s="1407">
        <f t="shared" si="74"/>
        <v>0</v>
      </c>
      <c r="W536" s="599">
        <f t="shared" si="76"/>
        <v>0</v>
      </c>
      <c r="X536" s="620"/>
      <c r="Y536" s="621"/>
      <c r="Z536" s="1096">
        <f t="shared" si="72"/>
        <v>0</v>
      </c>
      <c r="AA536" s="882">
        <f t="shared" si="73"/>
        <v>0</v>
      </c>
    </row>
    <row r="537" spans="1:27" ht="27" hidden="1" customHeight="1">
      <c r="A537" s="583"/>
      <c r="B537" s="583">
        <v>406</v>
      </c>
      <c r="C537" s="581">
        <v>11</v>
      </c>
      <c r="D537" s="582" t="s">
        <v>1581</v>
      </c>
      <c r="E537" s="1138" t="s">
        <v>1588</v>
      </c>
      <c r="F537" s="1830">
        <v>5567830</v>
      </c>
      <c r="G537" s="2075"/>
      <c r="H537" s="2065"/>
      <c r="I537" s="2065"/>
      <c r="J537" s="2065"/>
      <c r="K537" s="2065"/>
      <c r="L537" s="2065"/>
      <c r="M537" s="2065"/>
      <c r="N537" s="2065"/>
      <c r="O537" s="2066"/>
      <c r="P537" s="2066"/>
      <c r="Q537" s="2065"/>
      <c r="R537" s="2065"/>
      <c r="S537" s="2065"/>
      <c r="T537" s="1096">
        <f t="shared" si="75"/>
        <v>5567830</v>
      </c>
      <c r="U537" s="599">
        <v>5567830</v>
      </c>
      <c r="V537" s="1407">
        <f t="shared" si="74"/>
        <v>6</v>
      </c>
      <c r="W537" s="599">
        <f t="shared" si="76"/>
        <v>6</v>
      </c>
      <c r="X537" s="620"/>
      <c r="Y537" s="621"/>
      <c r="Z537" s="1096">
        <f t="shared" si="72"/>
        <v>5567830</v>
      </c>
      <c r="AA537" s="882">
        <f t="shared" si="73"/>
        <v>6</v>
      </c>
    </row>
    <row r="538" spans="1:27" ht="27" hidden="1" customHeight="1">
      <c r="A538" s="583"/>
      <c r="B538" s="583">
        <v>401</v>
      </c>
      <c r="C538" s="581">
        <v>11</v>
      </c>
      <c r="D538" s="582" t="s">
        <v>847</v>
      </c>
      <c r="E538" s="1138" t="s">
        <v>848</v>
      </c>
      <c r="F538" s="1826"/>
      <c r="G538" s="2075"/>
      <c r="H538" s="2065"/>
      <c r="I538" s="2065"/>
      <c r="J538" s="2065"/>
      <c r="K538" s="2065"/>
      <c r="L538" s="2065"/>
      <c r="M538" s="2065"/>
      <c r="N538" s="2065"/>
      <c r="O538" s="2066"/>
      <c r="P538" s="2066"/>
      <c r="Q538" s="2065"/>
      <c r="R538" s="2065"/>
      <c r="S538" s="2065"/>
      <c r="T538" s="1096">
        <f t="shared" si="75"/>
        <v>0</v>
      </c>
      <c r="U538" s="599">
        <v>0</v>
      </c>
      <c r="V538" s="1407">
        <f t="shared" si="74"/>
        <v>0</v>
      </c>
      <c r="W538" s="599">
        <f t="shared" si="76"/>
        <v>0</v>
      </c>
      <c r="X538" s="620"/>
      <c r="Y538" s="621"/>
      <c r="Z538" s="1096">
        <f t="shared" si="72"/>
        <v>0</v>
      </c>
      <c r="AA538" s="882">
        <f t="shared" si="73"/>
        <v>0</v>
      </c>
    </row>
    <row r="539" spans="1:27" ht="27" hidden="1" customHeight="1">
      <c r="A539" s="583"/>
      <c r="B539" s="583">
        <v>400</v>
      </c>
      <c r="C539" s="581">
        <v>11</v>
      </c>
      <c r="D539" s="582" t="s">
        <v>1334</v>
      </c>
      <c r="E539" s="1138" t="s">
        <v>1611</v>
      </c>
      <c r="F539" s="1829">
        <v>1147100430297</v>
      </c>
      <c r="G539" s="2075"/>
      <c r="H539" s="2065"/>
      <c r="I539" s="2065"/>
      <c r="J539" s="2065"/>
      <c r="K539" s="2065"/>
      <c r="L539" s="2065"/>
      <c r="M539" s="2065"/>
      <c r="N539" s="2065"/>
      <c r="O539" s="2066"/>
      <c r="P539" s="2066"/>
      <c r="Q539" s="2065"/>
      <c r="R539" s="2065"/>
      <c r="S539" s="2065"/>
      <c r="T539" s="1096">
        <f t="shared" si="75"/>
        <v>1147100430297</v>
      </c>
      <c r="U539" s="599">
        <v>884190274456</v>
      </c>
      <c r="V539" s="1407">
        <f t="shared" si="74"/>
        <v>1147100</v>
      </c>
      <c r="W539" s="599">
        <f t="shared" si="76"/>
        <v>884190</v>
      </c>
      <c r="X539" s="620"/>
      <c r="Y539" s="621"/>
      <c r="Z539" s="1096">
        <f t="shared" si="72"/>
        <v>1147100430297</v>
      </c>
      <c r="AA539" s="882">
        <f t="shared" si="73"/>
        <v>1147100</v>
      </c>
    </row>
    <row r="540" spans="1:27" ht="27" hidden="1" customHeight="1">
      <c r="A540" s="2062"/>
      <c r="B540" s="2062">
        <v>1001</v>
      </c>
      <c r="C540" s="2063">
        <v>17</v>
      </c>
      <c r="D540" s="2073" t="s">
        <v>1248</v>
      </c>
      <c r="E540" s="2074" t="s">
        <v>2395</v>
      </c>
      <c r="F540" s="2076">
        <v>-2780656042</v>
      </c>
      <c r="G540" s="2075"/>
      <c r="H540" s="2065"/>
      <c r="I540" s="2065"/>
      <c r="J540" s="2065"/>
      <c r="K540" s="2065"/>
      <c r="L540" s="2065"/>
      <c r="M540" s="2065"/>
      <c r="N540" s="2065"/>
      <c r="O540" s="2066"/>
      <c r="P540" s="2066"/>
      <c r="Q540" s="2065"/>
      <c r="R540" s="2065"/>
      <c r="S540" s="2065"/>
      <c r="T540" s="1096">
        <f t="shared" si="75"/>
        <v>-2780656042</v>
      </c>
      <c r="U540" s="599"/>
      <c r="V540" s="1407">
        <f t="shared" si="74"/>
        <v>-2781</v>
      </c>
      <c r="W540" s="599">
        <f t="shared" si="76"/>
        <v>0</v>
      </c>
      <c r="X540" s="2067"/>
      <c r="Y540" s="2068"/>
      <c r="Z540" s="1096">
        <f t="shared" si="72"/>
        <v>-2780656042</v>
      </c>
      <c r="AA540" s="882">
        <f t="shared" si="73"/>
        <v>-2781</v>
      </c>
    </row>
    <row r="541" spans="1:27" ht="27" hidden="1" customHeight="1">
      <c r="A541" s="583"/>
      <c r="B541" s="583"/>
      <c r="C541" s="581">
        <v>11</v>
      </c>
      <c r="D541" s="582" t="s">
        <v>842</v>
      </c>
      <c r="E541" s="1138" t="s">
        <v>1247</v>
      </c>
      <c r="F541" s="1826"/>
      <c r="G541" s="2075"/>
      <c r="H541" s="2065"/>
      <c r="I541" s="2065"/>
      <c r="J541" s="2065"/>
      <c r="K541" s="2065"/>
      <c r="L541" s="2065"/>
      <c r="M541" s="2065"/>
      <c r="N541" s="2065"/>
      <c r="O541" s="2066"/>
      <c r="P541" s="2066"/>
      <c r="Q541" s="2065"/>
      <c r="R541" s="2065"/>
      <c r="S541" s="2065"/>
      <c r="T541" s="1096">
        <f t="shared" si="75"/>
        <v>0</v>
      </c>
      <c r="U541" s="599">
        <v>0</v>
      </c>
      <c r="V541" s="1407">
        <f t="shared" si="74"/>
        <v>0</v>
      </c>
      <c r="W541" s="599">
        <f t="shared" si="76"/>
        <v>0</v>
      </c>
      <c r="X541" s="620"/>
      <c r="Y541" s="621"/>
      <c r="Z541" s="1096">
        <f t="shared" si="72"/>
        <v>0</v>
      </c>
      <c r="AA541" s="882">
        <f t="shared" si="73"/>
        <v>0</v>
      </c>
    </row>
    <row r="542" spans="1:27" ht="27" hidden="1" customHeight="1">
      <c r="A542" s="583"/>
      <c r="B542" s="583">
        <v>0</v>
      </c>
      <c r="C542" s="581">
        <v>15</v>
      </c>
      <c r="D542" s="582" t="s">
        <v>615</v>
      </c>
      <c r="E542" s="1138" t="s">
        <v>616</v>
      </c>
      <c r="F542" s="599">
        <v>-473188</v>
      </c>
      <c r="G542" s="2075"/>
      <c r="H542" s="2065"/>
      <c r="I542" s="2065"/>
      <c r="J542" s="2066"/>
      <c r="K542" s="2065"/>
      <c r="L542" s="2065"/>
      <c r="M542" s="2065"/>
      <c r="N542" s="2065"/>
      <c r="O542" s="2066"/>
      <c r="P542" s="2066"/>
      <c r="Q542" s="2065"/>
      <c r="R542" s="2065"/>
      <c r="S542" s="2065"/>
      <c r="T542" s="1096">
        <f t="shared" si="75"/>
        <v>-473188</v>
      </c>
      <c r="U542" s="599">
        <v>-473188</v>
      </c>
      <c r="V542" s="1407">
        <f t="shared" si="74"/>
        <v>0</v>
      </c>
      <c r="W542" s="599">
        <f t="shared" si="76"/>
        <v>0</v>
      </c>
      <c r="X542" s="620"/>
      <c r="Y542" s="621"/>
      <c r="Z542" s="1096">
        <f t="shared" si="72"/>
        <v>-473188</v>
      </c>
      <c r="AA542" s="882">
        <f t="shared" si="73"/>
        <v>0</v>
      </c>
    </row>
    <row r="543" spans="1:27" ht="27" hidden="1" customHeight="1">
      <c r="A543" s="583"/>
      <c r="B543" s="583"/>
      <c r="C543" s="581">
        <v>20</v>
      </c>
      <c r="D543" s="1825" t="s">
        <v>617</v>
      </c>
      <c r="E543" s="1138" t="s">
        <v>618</v>
      </c>
      <c r="F543" s="1829">
        <v>5311297304176</v>
      </c>
      <c r="G543" s="2078">
        <v>32688103071</v>
      </c>
      <c r="H543" s="2065"/>
      <c r="I543" s="2065"/>
      <c r="J543" s="2066"/>
      <c r="K543" s="2065"/>
      <c r="L543" s="2065"/>
      <c r="M543" s="2065"/>
      <c r="N543" s="2065"/>
      <c r="O543" s="2066"/>
      <c r="P543" s="2066"/>
      <c r="Q543" s="2065"/>
      <c r="R543" s="2065"/>
      <c r="S543" s="2065"/>
      <c r="T543" s="1096">
        <f t="shared" si="75"/>
        <v>5343985407247</v>
      </c>
      <c r="U543" s="599">
        <v>4055550111128</v>
      </c>
      <c r="V543" s="1407">
        <f t="shared" si="74"/>
        <v>5343985</v>
      </c>
      <c r="W543" s="599">
        <f t="shared" si="76"/>
        <v>4055550</v>
      </c>
      <c r="X543" s="620"/>
      <c r="Y543" s="621"/>
      <c r="Z543" s="1096">
        <f t="shared" si="72"/>
        <v>5343985407247</v>
      </c>
      <c r="AA543" s="882">
        <f t="shared" si="73"/>
        <v>5343985</v>
      </c>
    </row>
    <row r="544" spans="1:27" ht="27" hidden="1" customHeight="1">
      <c r="A544" s="583">
        <v>3214</v>
      </c>
      <c r="B544" s="583"/>
      <c r="C544" s="581">
        <v>20</v>
      </c>
      <c r="D544" s="1825" t="s">
        <v>1204</v>
      </c>
      <c r="E544" s="1138" t="s">
        <v>1205</v>
      </c>
      <c r="F544" s="1826"/>
      <c r="G544" s="2075"/>
      <c r="H544" s="2065"/>
      <c r="I544" s="2065"/>
      <c r="J544" s="2066"/>
      <c r="K544" s="2065"/>
      <c r="L544" s="2065"/>
      <c r="M544" s="2065"/>
      <c r="N544" s="2065"/>
      <c r="O544" s="2080"/>
      <c r="P544" s="2066"/>
      <c r="Q544" s="2065"/>
      <c r="R544" s="2065"/>
      <c r="S544" s="2065"/>
      <c r="T544" s="1096">
        <f t="shared" si="75"/>
        <v>0</v>
      </c>
      <c r="U544" s="599">
        <v>0</v>
      </c>
      <c r="V544" s="1407">
        <f t="shared" si="74"/>
        <v>0</v>
      </c>
      <c r="W544" s="599">
        <f t="shared" si="76"/>
        <v>0</v>
      </c>
      <c r="X544" s="620"/>
      <c r="Y544" s="621"/>
      <c r="Z544" s="1096">
        <f t="shared" si="72"/>
        <v>0</v>
      </c>
      <c r="AA544" s="882">
        <f t="shared" si="73"/>
        <v>0</v>
      </c>
    </row>
    <row r="545" spans="1:27" ht="27" hidden="1" customHeight="1">
      <c r="A545" s="583"/>
      <c r="B545" s="583"/>
      <c r="C545" s="581">
        <v>20</v>
      </c>
      <c r="D545" s="1825" t="s">
        <v>619</v>
      </c>
      <c r="E545" s="1138" t="s">
        <v>620</v>
      </c>
      <c r="F545" s="1830">
        <v>-5311297304176</v>
      </c>
      <c r="G545" s="2078">
        <v>-32688103071</v>
      </c>
      <c r="H545" s="2065"/>
      <c r="I545" s="2065"/>
      <c r="J545" s="2066"/>
      <c r="K545" s="2065"/>
      <c r="L545" s="2065"/>
      <c r="M545" s="2065"/>
      <c r="N545" s="2065"/>
      <c r="O545" s="2066"/>
      <c r="P545" s="2066"/>
      <c r="Q545" s="2065"/>
      <c r="R545" s="2065"/>
      <c r="S545" s="2065"/>
      <c r="T545" s="1096">
        <f t="shared" si="75"/>
        <v>-5343985407247</v>
      </c>
      <c r="U545" s="599">
        <v>-4055550111128</v>
      </c>
      <c r="V545" s="1407">
        <f t="shared" si="74"/>
        <v>-5343985</v>
      </c>
      <c r="W545" s="599">
        <f t="shared" si="76"/>
        <v>-4055550</v>
      </c>
      <c r="X545" s="620"/>
      <c r="Y545" s="621"/>
      <c r="Z545" s="1096">
        <f t="shared" si="72"/>
        <v>-5343985407247</v>
      </c>
      <c r="AA545" s="882">
        <f t="shared" si="73"/>
        <v>-5343985</v>
      </c>
    </row>
    <row r="546" spans="1:27" ht="27" hidden="1" customHeight="1">
      <c r="A546" s="583"/>
      <c r="B546" s="583"/>
      <c r="C546" s="581">
        <v>20</v>
      </c>
      <c r="D546" s="1825" t="s">
        <v>1206</v>
      </c>
      <c r="E546" s="1138" t="s">
        <v>1207</v>
      </c>
      <c r="F546" s="1826"/>
      <c r="G546" s="2075"/>
      <c r="H546" s="2065"/>
      <c r="I546" s="2065"/>
      <c r="J546" s="2066"/>
      <c r="K546" s="2065"/>
      <c r="L546" s="2065"/>
      <c r="M546" s="2065"/>
      <c r="N546" s="2065"/>
      <c r="O546" s="2080"/>
      <c r="P546" s="2066"/>
      <c r="Q546" s="2065"/>
      <c r="R546" s="2065"/>
      <c r="S546" s="2065"/>
      <c r="T546" s="1096">
        <f t="shared" si="75"/>
        <v>0</v>
      </c>
      <c r="U546" s="599">
        <v>0</v>
      </c>
      <c r="V546" s="1407">
        <f t="shared" si="74"/>
        <v>0</v>
      </c>
      <c r="W546" s="599">
        <f t="shared" si="76"/>
        <v>0</v>
      </c>
      <c r="X546" s="620"/>
      <c r="Y546" s="621"/>
      <c r="Z546" s="1096">
        <f t="shared" si="72"/>
        <v>0</v>
      </c>
      <c r="AA546" s="882">
        <f t="shared" si="73"/>
        <v>0</v>
      </c>
    </row>
    <row r="547" spans="1:27" ht="27" hidden="1" customHeight="1">
      <c r="A547" s="583">
        <v>3214</v>
      </c>
      <c r="B547" s="583"/>
      <c r="C547" s="581">
        <v>20</v>
      </c>
      <c r="D547" s="1825" t="s">
        <v>617</v>
      </c>
      <c r="E547" s="1138" t="s">
        <v>1660</v>
      </c>
      <c r="F547" s="1826"/>
      <c r="G547" s="2075"/>
      <c r="H547" s="2065"/>
      <c r="I547" s="2065"/>
      <c r="J547" s="2066"/>
      <c r="K547" s="2065">
        <v>33885932352529</v>
      </c>
      <c r="L547" s="2065"/>
      <c r="M547" s="2065"/>
      <c r="N547" s="2065"/>
      <c r="O547" s="2066"/>
      <c r="P547" s="2066"/>
      <c r="Q547" s="2065"/>
      <c r="R547" s="2065"/>
      <c r="S547" s="2065"/>
      <c r="T547" s="1096">
        <f t="shared" si="75"/>
        <v>33885932352529</v>
      </c>
      <c r="U547" s="599">
        <v>0</v>
      </c>
      <c r="V547" s="1407">
        <f t="shared" si="74"/>
        <v>33885932</v>
      </c>
      <c r="W547" s="599">
        <f t="shared" si="76"/>
        <v>0</v>
      </c>
      <c r="X547" s="620"/>
      <c r="Y547" s="621"/>
      <c r="Z547" s="1096">
        <f t="shared" si="72"/>
        <v>33885932352529</v>
      </c>
      <c r="AA547" s="882">
        <f t="shared" si="73"/>
        <v>33885932</v>
      </c>
    </row>
    <row r="548" spans="1:27" ht="27" hidden="1" customHeight="1">
      <c r="A548" s="583">
        <v>3214</v>
      </c>
      <c r="B548" s="583"/>
      <c r="C548" s="581">
        <v>20</v>
      </c>
      <c r="D548" s="1825" t="s">
        <v>1204</v>
      </c>
      <c r="E548" s="1138" t="s">
        <v>1661</v>
      </c>
      <c r="F548" s="1826"/>
      <c r="G548" s="2075"/>
      <c r="H548" s="2065"/>
      <c r="I548" s="2065"/>
      <c r="J548" s="2066"/>
      <c r="K548" s="2065">
        <f>3612652959949-191356793163</f>
        <v>3421296166786</v>
      </c>
      <c r="L548" s="2065"/>
      <c r="M548" s="2065"/>
      <c r="N548" s="2065"/>
      <c r="O548" s="2066"/>
      <c r="P548" s="2066"/>
      <c r="Q548" s="2065"/>
      <c r="R548" s="2065"/>
      <c r="S548" s="2065"/>
      <c r="T548" s="1096">
        <f t="shared" si="75"/>
        <v>3421296166786</v>
      </c>
      <c r="U548" s="599">
        <v>0</v>
      </c>
      <c r="V548" s="1407">
        <f t="shared" si="74"/>
        <v>3421296</v>
      </c>
      <c r="W548" s="599">
        <f t="shared" si="76"/>
        <v>0</v>
      </c>
      <c r="X548" s="620"/>
      <c r="Y548" s="621"/>
      <c r="Z548" s="1096">
        <f t="shared" si="72"/>
        <v>3421296166786</v>
      </c>
      <c r="AA548" s="882">
        <f t="shared" si="73"/>
        <v>3421296</v>
      </c>
    </row>
    <row r="549" spans="1:27" ht="27" hidden="1" customHeight="1">
      <c r="A549" s="583">
        <v>3214</v>
      </c>
      <c r="B549" s="583"/>
      <c r="C549" s="581">
        <v>20</v>
      </c>
      <c r="D549" s="1825" t="s">
        <v>619</v>
      </c>
      <c r="E549" s="1138" t="s">
        <v>1662</v>
      </c>
      <c r="F549" s="1826"/>
      <c r="G549" s="2075"/>
      <c r="H549" s="2065"/>
      <c r="I549" s="2065"/>
      <c r="J549" s="2066"/>
      <c r="K549" s="2065">
        <v>-33885932352529</v>
      </c>
      <c r="L549" s="2065"/>
      <c r="M549" s="2065"/>
      <c r="N549" s="2065"/>
      <c r="O549" s="2066"/>
      <c r="P549" s="2066"/>
      <c r="Q549" s="2065"/>
      <c r="R549" s="2065"/>
      <c r="S549" s="2065"/>
      <c r="T549" s="1096">
        <f t="shared" si="75"/>
        <v>-33885932352529</v>
      </c>
      <c r="U549" s="599">
        <v>0</v>
      </c>
      <c r="V549" s="1407">
        <f t="shared" si="74"/>
        <v>-33885932</v>
      </c>
      <c r="W549" s="599">
        <f t="shared" si="76"/>
        <v>0</v>
      </c>
      <c r="X549" s="620"/>
      <c r="Y549" s="621"/>
      <c r="Z549" s="1096">
        <f t="shared" si="72"/>
        <v>-33885932352529</v>
      </c>
      <c r="AA549" s="882">
        <f t="shared" si="73"/>
        <v>-33885932</v>
      </c>
    </row>
    <row r="550" spans="1:27" ht="27" hidden="1" customHeight="1">
      <c r="A550" s="583">
        <v>3214</v>
      </c>
      <c r="B550" s="583"/>
      <c r="C550" s="581">
        <v>20</v>
      </c>
      <c r="D550" s="1825" t="s">
        <v>1206</v>
      </c>
      <c r="E550" s="1138" t="s">
        <v>1663</v>
      </c>
      <c r="F550" s="1826"/>
      <c r="G550" s="2075"/>
      <c r="H550" s="2065"/>
      <c r="I550" s="2065"/>
      <c r="J550" s="2066"/>
      <c r="K550" s="2065">
        <f>-3612652959949+191356793163</f>
        <v>-3421296166786</v>
      </c>
      <c r="L550" s="2065"/>
      <c r="M550" s="2065"/>
      <c r="N550" s="2065"/>
      <c r="O550" s="2066"/>
      <c r="P550" s="2066"/>
      <c r="Q550" s="2065"/>
      <c r="R550" s="2065"/>
      <c r="S550" s="2065"/>
      <c r="T550" s="1096">
        <f t="shared" si="75"/>
        <v>-3421296166786</v>
      </c>
      <c r="U550" s="599">
        <v>0</v>
      </c>
      <c r="V550" s="1407">
        <f t="shared" si="74"/>
        <v>-3421296</v>
      </c>
      <c r="W550" s="599">
        <f t="shared" si="76"/>
        <v>0</v>
      </c>
      <c r="X550" s="620"/>
      <c r="Y550" s="621"/>
      <c r="Z550" s="1096">
        <f t="shared" ref="Z550:Z578" si="77">T550+Y550-X550</f>
        <v>-3421296166786</v>
      </c>
      <c r="AA550" s="882">
        <f t="shared" ref="AA550:AA578" si="78">ROUND((Z550/1000000),0)</f>
        <v>-3421296</v>
      </c>
    </row>
    <row r="551" spans="1:27" ht="27" hidden="1" customHeight="1">
      <c r="A551" s="583"/>
      <c r="B551" s="583">
        <v>501</v>
      </c>
      <c r="C551" s="581">
        <v>13</v>
      </c>
      <c r="D551" s="582" t="s">
        <v>1269</v>
      </c>
      <c r="E551" s="1138" t="s">
        <v>1270</v>
      </c>
      <c r="F551" s="1826"/>
      <c r="G551" s="2075"/>
      <c r="H551" s="2065"/>
      <c r="I551" s="2065"/>
      <c r="J551" s="2066"/>
      <c r="K551" s="2065"/>
      <c r="L551" s="2065"/>
      <c r="M551" s="2065"/>
      <c r="N551" s="2065"/>
      <c r="O551" s="2066"/>
      <c r="P551" s="2066"/>
      <c r="Q551" s="2065"/>
      <c r="R551" s="2065"/>
      <c r="S551" s="2065"/>
      <c r="T551" s="1096">
        <f t="shared" si="75"/>
        <v>0</v>
      </c>
      <c r="U551" s="599">
        <v>0</v>
      </c>
      <c r="V551" s="1407">
        <f t="shared" si="74"/>
        <v>0</v>
      </c>
      <c r="W551" s="599">
        <f t="shared" si="76"/>
        <v>0</v>
      </c>
      <c r="X551" s="620"/>
      <c r="Y551" s="621"/>
      <c r="Z551" s="1096">
        <f t="shared" si="77"/>
        <v>0</v>
      </c>
      <c r="AA551" s="882">
        <f t="shared" si="78"/>
        <v>0</v>
      </c>
    </row>
    <row r="552" spans="1:27" ht="27" hidden="1" customHeight="1">
      <c r="A552" s="583"/>
      <c r="B552" s="583">
        <v>406</v>
      </c>
      <c r="C552" s="581">
        <v>11</v>
      </c>
      <c r="D552" s="582" t="s">
        <v>1582</v>
      </c>
      <c r="E552" s="1138" t="s">
        <v>1589</v>
      </c>
      <c r="F552" s="1829">
        <v>10680883</v>
      </c>
      <c r="G552" s="2075"/>
      <c r="H552" s="2065"/>
      <c r="I552" s="2065"/>
      <c r="J552" s="2065"/>
      <c r="K552" s="2065"/>
      <c r="L552" s="2065"/>
      <c r="M552" s="2065"/>
      <c r="N552" s="2065"/>
      <c r="O552" s="2066"/>
      <c r="P552" s="2066"/>
      <c r="Q552" s="2065"/>
      <c r="R552" s="2065"/>
      <c r="S552" s="2065"/>
      <c r="T552" s="1096">
        <f t="shared" si="75"/>
        <v>10680883</v>
      </c>
      <c r="U552" s="599">
        <v>10680883</v>
      </c>
      <c r="V552" s="1407">
        <f t="shared" si="74"/>
        <v>11</v>
      </c>
      <c r="W552" s="599">
        <f t="shared" si="76"/>
        <v>11</v>
      </c>
      <c r="X552" s="620"/>
      <c r="Y552" s="621"/>
      <c r="Z552" s="1096">
        <f t="shared" si="77"/>
        <v>10680883</v>
      </c>
      <c r="AA552" s="882">
        <f t="shared" si="78"/>
        <v>11</v>
      </c>
    </row>
    <row r="553" spans="1:27" ht="27" hidden="1" customHeight="1">
      <c r="A553" s="583"/>
      <c r="B553" s="583">
        <v>406</v>
      </c>
      <c r="C553" s="581">
        <v>11</v>
      </c>
      <c r="D553" s="582" t="s">
        <v>1583</v>
      </c>
      <c r="E553" s="1138" t="s">
        <v>1590</v>
      </c>
      <c r="F553" s="1830">
        <v>9117970</v>
      </c>
      <c r="G553" s="2075"/>
      <c r="H553" s="2065"/>
      <c r="I553" s="2065"/>
      <c r="J553" s="2065"/>
      <c r="K553" s="2065"/>
      <c r="L553" s="2065"/>
      <c r="M553" s="2065"/>
      <c r="N553" s="2065"/>
      <c r="O553" s="2066"/>
      <c r="P553" s="2066"/>
      <c r="Q553" s="2065"/>
      <c r="R553" s="2065"/>
      <c r="S553" s="2065"/>
      <c r="T553" s="1096">
        <f t="shared" si="75"/>
        <v>9117970</v>
      </c>
      <c r="U553" s="599">
        <v>9117970</v>
      </c>
      <c r="V553" s="1407">
        <f t="shared" si="74"/>
        <v>9</v>
      </c>
      <c r="W553" s="599">
        <f t="shared" si="76"/>
        <v>9</v>
      </c>
      <c r="X553" s="620"/>
      <c r="Y553" s="621"/>
      <c r="Z553" s="1096">
        <f t="shared" si="77"/>
        <v>9117970</v>
      </c>
      <c r="AA553" s="882">
        <f t="shared" si="78"/>
        <v>9</v>
      </c>
    </row>
    <row r="554" spans="1:27" ht="27" hidden="1" customHeight="1">
      <c r="A554" s="583"/>
      <c r="B554" s="583">
        <v>406</v>
      </c>
      <c r="C554" s="581">
        <v>11</v>
      </c>
      <c r="D554" s="582" t="s">
        <v>1584</v>
      </c>
      <c r="E554" s="1138" t="s">
        <v>1591</v>
      </c>
      <c r="F554" s="1829">
        <v>1362148</v>
      </c>
      <c r="G554" s="2075"/>
      <c r="H554" s="2065"/>
      <c r="I554" s="2065"/>
      <c r="J554" s="2065"/>
      <c r="K554" s="2065"/>
      <c r="L554" s="2065"/>
      <c r="M554" s="2065"/>
      <c r="N554" s="2065"/>
      <c r="O554" s="2066"/>
      <c r="P554" s="2066"/>
      <c r="Q554" s="2065"/>
      <c r="R554" s="2065"/>
      <c r="S554" s="2065"/>
      <c r="T554" s="1096">
        <f t="shared" si="75"/>
        <v>1362148</v>
      </c>
      <c r="U554" s="599">
        <v>1362148</v>
      </c>
      <c r="V554" s="1407">
        <f t="shared" si="74"/>
        <v>1</v>
      </c>
      <c r="W554" s="599">
        <f t="shared" si="76"/>
        <v>1</v>
      </c>
      <c r="X554" s="620"/>
      <c r="Y554" s="621"/>
      <c r="Z554" s="1096">
        <f t="shared" si="77"/>
        <v>1362148</v>
      </c>
      <c r="AA554" s="882">
        <f t="shared" si="78"/>
        <v>1</v>
      </c>
    </row>
    <row r="555" spans="1:27" ht="27" hidden="1" customHeight="1">
      <c r="A555" s="583"/>
      <c r="B555" s="583">
        <v>406</v>
      </c>
      <c r="C555" s="581">
        <v>11</v>
      </c>
      <c r="D555" s="582" t="s">
        <v>1585</v>
      </c>
      <c r="E555" s="1138" t="s">
        <v>1592</v>
      </c>
      <c r="F555" s="1829">
        <v>6321310</v>
      </c>
      <c r="G555" s="2075"/>
      <c r="H555" s="2065"/>
      <c r="I555" s="2065"/>
      <c r="J555" s="2065"/>
      <c r="K555" s="2065"/>
      <c r="L555" s="2065"/>
      <c r="M555" s="2065"/>
      <c r="N555" s="2065"/>
      <c r="O555" s="2066"/>
      <c r="P555" s="2066"/>
      <c r="Q555" s="2065"/>
      <c r="R555" s="2065"/>
      <c r="S555" s="2065"/>
      <c r="T555" s="1096">
        <f t="shared" si="75"/>
        <v>6321310</v>
      </c>
      <c r="U555" s="599">
        <v>6321310</v>
      </c>
      <c r="V555" s="1407">
        <f t="shared" si="74"/>
        <v>6</v>
      </c>
      <c r="W555" s="599">
        <f t="shared" si="76"/>
        <v>6</v>
      </c>
      <c r="X555" s="620"/>
      <c r="Y555" s="621"/>
      <c r="Z555" s="1096">
        <f t="shared" si="77"/>
        <v>6321310</v>
      </c>
      <c r="AA555" s="882">
        <f t="shared" si="78"/>
        <v>6</v>
      </c>
    </row>
    <row r="556" spans="1:27" ht="27" hidden="1" customHeight="1">
      <c r="A556" s="583"/>
      <c r="B556" s="583">
        <v>501</v>
      </c>
      <c r="C556" s="581">
        <v>13</v>
      </c>
      <c r="D556" s="582" t="s">
        <v>1636</v>
      </c>
      <c r="E556" s="1138" t="s">
        <v>1654</v>
      </c>
      <c r="F556" s="1826"/>
      <c r="G556" s="2075"/>
      <c r="H556" s="2065"/>
      <c r="I556" s="2065"/>
      <c r="J556" s="2066"/>
      <c r="K556" s="2065"/>
      <c r="L556" s="2065"/>
      <c r="M556" s="2065"/>
      <c r="N556" s="2065"/>
      <c r="O556" s="2066"/>
      <c r="P556" s="2066"/>
      <c r="Q556" s="2065"/>
      <c r="R556" s="2065"/>
      <c r="S556" s="2065"/>
      <c r="T556" s="1096">
        <f t="shared" si="75"/>
        <v>0</v>
      </c>
      <c r="U556" s="599">
        <v>0</v>
      </c>
      <c r="V556" s="1407">
        <f t="shared" si="74"/>
        <v>0</v>
      </c>
      <c r="W556" s="599">
        <f t="shared" si="76"/>
        <v>0</v>
      </c>
      <c r="X556" s="620"/>
      <c r="Y556" s="621"/>
      <c r="Z556" s="1096">
        <f t="shared" si="77"/>
        <v>0</v>
      </c>
      <c r="AA556" s="882">
        <f t="shared" si="78"/>
        <v>0</v>
      </c>
    </row>
    <row r="557" spans="1:27" ht="27" hidden="1" customHeight="1">
      <c r="A557" s="583"/>
      <c r="B557" s="583">
        <v>501</v>
      </c>
      <c r="C557" s="581">
        <v>13</v>
      </c>
      <c r="D557" s="582" t="s">
        <v>1613</v>
      </c>
      <c r="E557" s="1138" t="s">
        <v>1615</v>
      </c>
      <c r="F557" s="1826"/>
      <c r="G557" s="2075"/>
      <c r="H557" s="2065"/>
      <c r="I557" s="2065"/>
      <c r="J557" s="2066"/>
      <c r="K557" s="2065"/>
      <c r="L557" s="2065"/>
      <c r="M557" s="2065"/>
      <c r="N557" s="2065"/>
      <c r="O557" s="2066"/>
      <c r="P557" s="2066"/>
      <c r="Q557" s="2065"/>
      <c r="R557" s="2065"/>
      <c r="S557" s="2065"/>
      <c r="T557" s="1096">
        <f t="shared" si="75"/>
        <v>0</v>
      </c>
      <c r="U557" s="599">
        <v>0</v>
      </c>
      <c r="V557" s="1407">
        <f t="shared" si="74"/>
        <v>0</v>
      </c>
      <c r="W557" s="599">
        <f t="shared" si="76"/>
        <v>0</v>
      </c>
      <c r="X557" s="620"/>
      <c r="Y557" s="621"/>
      <c r="Z557" s="1096">
        <f t="shared" si="77"/>
        <v>0</v>
      </c>
      <c r="AA557" s="882">
        <f t="shared" si="78"/>
        <v>0</v>
      </c>
    </row>
    <row r="558" spans="1:27" ht="27" hidden="1" customHeight="1">
      <c r="A558" s="583"/>
      <c r="B558" s="583">
        <v>908</v>
      </c>
      <c r="C558" s="581">
        <v>8</v>
      </c>
      <c r="D558" s="582" t="s">
        <v>1614</v>
      </c>
      <c r="E558" s="1138" t="s">
        <v>1616</v>
      </c>
      <c r="F558" s="1826"/>
      <c r="G558" s="2075"/>
      <c r="H558" s="2065"/>
      <c r="I558" s="2065"/>
      <c r="J558" s="2066"/>
      <c r="K558" s="2065"/>
      <c r="L558" s="2065"/>
      <c r="M558" s="2065"/>
      <c r="N558" s="2065"/>
      <c r="O558" s="2066"/>
      <c r="P558" s="2066"/>
      <c r="Q558" s="2065"/>
      <c r="R558" s="2065"/>
      <c r="S558" s="2065"/>
      <c r="T558" s="1096">
        <f t="shared" si="75"/>
        <v>0</v>
      </c>
      <c r="U558" s="599">
        <v>0</v>
      </c>
      <c r="V558" s="1407">
        <f t="shared" ref="V558:V576" si="79">ROUND((T558/1000000),0)</f>
        <v>0</v>
      </c>
      <c r="W558" s="599">
        <f t="shared" si="76"/>
        <v>0</v>
      </c>
      <c r="X558" s="620"/>
      <c r="Y558" s="621"/>
      <c r="Z558" s="1096">
        <f t="shared" si="77"/>
        <v>0</v>
      </c>
      <c r="AA558" s="882">
        <f t="shared" si="78"/>
        <v>0</v>
      </c>
    </row>
    <row r="559" spans="1:27" ht="27" hidden="1" customHeight="1">
      <c r="A559" s="583"/>
      <c r="B559" s="583">
        <v>501</v>
      </c>
      <c r="C559" s="581">
        <v>13</v>
      </c>
      <c r="D559" s="582" t="s">
        <v>593</v>
      </c>
      <c r="E559" s="1138" t="s">
        <v>1655</v>
      </c>
      <c r="F559" s="1826"/>
      <c r="G559" s="2075"/>
      <c r="H559" s="2065"/>
      <c r="I559" s="2065"/>
      <c r="J559" s="2066"/>
      <c r="K559" s="2065"/>
      <c r="L559" s="2065"/>
      <c r="M559" s="2065"/>
      <c r="N559" s="2065"/>
      <c r="O559" s="2066"/>
      <c r="P559" s="2066"/>
      <c r="Q559" s="2065"/>
      <c r="R559" s="2065"/>
      <c r="S559" s="2065"/>
      <c r="T559" s="1096">
        <f t="shared" si="75"/>
        <v>0</v>
      </c>
      <c r="U559" s="599">
        <v>0</v>
      </c>
      <c r="V559" s="1407">
        <f t="shared" si="79"/>
        <v>0</v>
      </c>
      <c r="W559" s="599">
        <f t="shared" si="76"/>
        <v>0</v>
      </c>
      <c r="X559" s="620"/>
      <c r="Y559" s="621"/>
      <c r="Z559" s="1096">
        <f t="shared" si="77"/>
        <v>0</v>
      </c>
      <c r="AA559" s="882">
        <f t="shared" si="78"/>
        <v>0</v>
      </c>
    </row>
    <row r="560" spans="1:27" ht="27" hidden="1" customHeight="1">
      <c r="A560" s="583"/>
      <c r="B560" s="583">
        <v>501</v>
      </c>
      <c r="C560" s="581">
        <v>13</v>
      </c>
      <c r="D560" s="582" t="s">
        <v>101</v>
      </c>
      <c r="E560" s="1138" t="s">
        <v>102</v>
      </c>
      <c r="F560" s="1826"/>
      <c r="G560" s="2075"/>
      <c r="H560" s="2065"/>
      <c r="I560" s="2065"/>
      <c r="J560" s="2066"/>
      <c r="K560" s="2065"/>
      <c r="L560" s="2065"/>
      <c r="M560" s="2065"/>
      <c r="N560" s="2065"/>
      <c r="O560" s="2066"/>
      <c r="P560" s="2066"/>
      <c r="Q560" s="2065"/>
      <c r="R560" s="2065"/>
      <c r="S560" s="2065"/>
      <c r="T560" s="1096">
        <f t="shared" si="75"/>
        <v>0</v>
      </c>
      <c r="U560" s="599">
        <v>0</v>
      </c>
      <c r="V560" s="1407">
        <f t="shared" si="79"/>
        <v>0</v>
      </c>
      <c r="W560" s="599">
        <f t="shared" si="76"/>
        <v>0</v>
      </c>
      <c r="X560" s="620"/>
      <c r="Y560" s="621"/>
      <c r="Z560" s="1096">
        <f t="shared" si="77"/>
        <v>0</v>
      </c>
      <c r="AA560" s="882">
        <f t="shared" si="78"/>
        <v>0</v>
      </c>
    </row>
    <row r="561" spans="1:27" ht="27" hidden="1" customHeight="1">
      <c r="A561" s="583"/>
      <c r="B561" s="583">
        <v>501</v>
      </c>
      <c r="C561" s="581">
        <v>13</v>
      </c>
      <c r="D561" s="582" t="s">
        <v>1640</v>
      </c>
      <c r="E561" s="1138" t="s">
        <v>1641</v>
      </c>
      <c r="F561" s="1826"/>
      <c r="G561" s="2075"/>
      <c r="H561" s="2065"/>
      <c r="I561" s="2065"/>
      <c r="J561" s="2066"/>
      <c r="K561" s="2065"/>
      <c r="L561" s="2065"/>
      <c r="M561" s="2065"/>
      <c r="N561" s="2065"/>
      <c r="O561" s="2066"/>
      <c r="P561" s="2066"/>
      <c r="Q561" s="2065"/>
      <c r="R561" s="2065"/>
      <c r="S561" s="2065"/>
      <c r="T561" s="1096">
        <f t="shared" si="75"/>
        <v>0</v>
      </c>
      <c r="U561" s="599">
        <v>0</v>
      </c>
      <c r="V561" s="1407">
        <f t="shared" si="79"/>
        <v>0</v>
      </c>
      <c r="W561" s="599">
        <f t="shared" si="76"/>
        <v>0</v>
      </c>
      <c r="X561" s="620"/>
      <c r="Y561" s="621"/>
      <c r="Z561" s="1096">
        <f t="shared" si="77"/>
        <v>0</v>
      </c>
      <c r="AA561" s="882">
        <f t="shared" si="78"/>
        <v>0</v>
      </c>
    </row>
    <row r="562" spans="1:27" ht="27" hidden="1" customHeight="1">
      <c r="A562" s="583"/>
      <c r="B562" s="583">
        <v>501</v>
      </c>
      <c r="C562" s="581">
        <v>13</v>
      </c>
      <c r="D562" s="582" t="s">
        <v>1371</v>
      </c>
      <c r="E562" s="1138" t="s">
        <v>1372</v>
      </c>
      <c r="F562" s="1826"/>
      <c r="G562" s="2075"/>
      <c r="H562" s="2065"/>
      <c r="I562" s="2065"/>
      <c r="J562" s="2066"/>
      <c r="K562" s="2065"/>
      <c r="L562" s="2065"/>
      <c r="M562" s="2065"/>
      <c r="N562" s="2065"/>
      <c r="O562" s="2066"/>
      <c r="P562" s="2066"/>
      <c r="Q562" s="2065"/>
      <c r="R562" s="2065"/>
      <c r="S562" s="2065"/>
      <c r="T562" s="1096">
        <f t="shared" si="75"/>
        <v>0</v>
      </c>
      <c r="U562" s="599">
        <v>0</v>
      </c>
      <c r="V562" s="1407">
        <f t="shared" si="79"/>
        <v>0</v>
      </c>
      <c r="W562" s="599">
        <f t="shared" si="76"/>
        <v>0</v>
      </c>
      <c r="X562" s="620"/>
      <c r="Y562" s="621"/>
      <c r="Z562" s="1096">
        <f t="shared" si="77"/>
        <v>0</v>
      </c>
      <c r="AA562" s="882">
        <f t="shared" si="78"/>
        <v>0</v>
      </c>
    </row>
    <row r="563" spans="1:27" ht="27" hidden="1" customHeight="1">
      <c r="A563" s="583"/>
      <c r="B563" s="583">
        <v>501</v>
      </c>
      <c r="C563" s="581">
        <v>13</v>
      </c>
      <c r="D563" s="582" t="s">
        <v>1617</v>
      </c>
      <c r="E563" s="1138" t="s">
        <v>1623</v>
      </c>
      <c r="F563" s="1826"/>
      <c r="G563" s="2075"/>
      <c r="H563" s="2065"/>
      <c r="I563" s="2065"/>
      <c r="J563" s="2066"/>
      <c r="K563" s="2065"/>
      <c r="L563" s="2065"/>
      <c r="M563" s="2065"/>
      <c r="N563" s="2065"/>
      <c r="O563" s="2066"/>
      <c r="P563" s="2066"/>
      <c r="Q563" s="2065"/>
      <c r="R563" s="2065"/>
      <c r="S563" s="2065"/>
      <c r="T563" s="1096">
        <f t="shared" si="75"/>
        <v>0</v>
      </c>
      <c r="U563" s="599">
        <v>0</v>
      </c>
      <c r="V563" s="1407">
        <f t="shared" si="79"/>
        <v>0</v>
      </c>
      <c r="W563" s="599">
        <f t="shared" si="76"/>
        <v>0</v>
      </c>
      <c r="X563" s="620"/>
      <c r="Y563" s="621"/>
      <c r="Z563" s="1096">
        <f t="shared" si="77"/>
        <v>0</v>
      </c>
      <c r="AA563" s="882">
        <f t="shared" si="78"/>
        <v>0</v>
      </c>
    </row>
    <row r="564" spans="1:27" ht="27" hidden="1" customHeight="1">
      <c r="A564" s="583"/>
      <c r="B564" s="583">
        <v>501</v>
      </c>
      <c r="C564" s="581">
        <v>13</v>
      </c>
      <c r="D564" s="582" t="s">
        <v>1618</v>
      </c>
      <c r="E564" s="1138" t="s">
        <v>1624</v>
      </c>
      <c r="F564" s="1826"/>
      <c r="G564" s="2075"/>
      <c r="H564" s="2065"/>
      <c r="I564" s="2065"/>
      <c r="J564" s="2066"/>
      <c r="K564" s="2065"/>
      <c r="L564" s="2065"/>
      <c r="M564" s="2065"/>
      <c r="N564" s="2065"/>
      <c r="O564" s="2066"/>
      <c r="P564" s="2066"/>
      <c r="Q564" s="2065"/>
      <c r="R564" s="2065"/>
      <c r="S564" s="2065"/>
      <c r="T564" s="1096">
        <f t="shared" si="75"/>
        <v>0</v>
      </c>
      <c r="U564" s="599">
        <v>0</v>
      </c>
      <c r="V564" s="1407">
        <f t="shared" si="79"/>
        <v>0</v>
      </c>
      <c r="W564" s="599">
        <f t="shared" si="76"/>
        <v>0</v>
      </c>
      <c r="X564" s="620"/>
      <c r="Y564" s="621"/>
      <c r="Z564" s="1096">
        <f t="shared" si="77"/>
        <v>0</v>
      </c>
      <c r="AA564" s="882">
        <f t="shared" si="78"/>
        <v>0</v>
      </c>
    </row>
    <row r="565" spans="1:27" ht="27" hidden="1" customHeight="1">
      <c r="A565" s="583"/>
      <c r="B565" s="583">
        <v>501</v>
      </c>
      <c r="C565" s="581">
        <v>13</v>
      </c>
      <c r="D565" s="582" t="s">
        <v>1619</v>
      </c>
      <c r="E565" s="1138" t="s">
        <v>1625</v>
      </c>
      <c r="F565" s="1826"/>
      <c r="G565" s="2075"/>
      <c r="H565" s="2065"/>
      <c r="I565" s="2065"/>
      <c r="J565" s="2066"/>
      <c r="K565" s="2065"/>
      <c r="L565" s="2065"/>
      <c r="M565" s="2065"/>
      <c r="N565" s="2065"/>
      <c r="O565" s="2066"/>
      <c r="P565" s="2066"/>
      <c r="Q565" s="2065"/>
      <c r="R565" s="2065"/>
      <c r="S565" s="2065"/>
      <c r="T565" s="1096">
        <f t="shared" si="75"/>
        <v>0</v>
      </c>
      <c r="U565" s="599">
        <v>0</v>
      </c>
      <c r="V565" s="1407">
        <f t="shared" si="79"/>
        <v>0</v>
      </c>
      <c r="W565" s="599">
        <f t="shared" si="76"/>
        <v>0</v>
      </c>
      <c r="X565" s="620"/>
      <c r="Y565" s="621"/>
      <c r="Z565" s="1096">
        <f t="shared" si="77"/>
        <v>0</v>
      </c>
      <c r="AA565" s="882">
        <f t="shared" si="78"/>
        <v>0</v>
      </c>
    </row>
    <row r="566" spans="1:27" ht="27" hidden="1" customHeight="1">
      <c r="A566" s="583"/>
      <c r="B566" s="583">
        <v>501</v>
      </c>
      <c r="C566" s="581">
        <v>13</v>
      </c>
      <c r="D566" s="582" t="s">
        <v>1620</v>
      </c>
      <c r="E566" s="1138" t="s">
        <v>1626</v>
      </c>
      <c r="F566" s="1826"/>
      <c r="G566" s="2075"/>
      <c r="H566" s="2065"/>
      <c r="I566" s="2065"/>
      <c r="J566" s="2066"/>
      <c r="K566" s="2065"/>
      <c r="L566" s="2065"/>
      <c r="M566" s="2065"/>
      <c r="N566" s="2065"/>
      <c r="O566" s="2066"/>
      <c r="P566" s="2066"/>
      <c r="Q566" s="2065"/>
      <c r="R566" s="2065"/>
      <c r="S566" s="2065"/>
      <c r="T566" s="1096">
        <f t="shared" si="75"/>
        <v>0</v>
      </c>
      <c r="U566" s="599">
        <v>0</v>
      </c>
      <c r="V566" s="1407">
        <f t="shared" si="79"/>
        <v>0</v>
      </c>
      <c r="W566" s="599">
        <f t="shared" si="76"/>
        <v>0</v>
      </c>
      <c r="X566" s="620"/>
      <c r="Y566" s="621"/>
      <c r="Z566" s="1096">
        <f t="shared" si="77"/>
        <v>0</v>
      </c>
      <c r="AA566" s="882">
        <f t="shared" si="78"/>
        <v>0</v>
      </c>
    </row>
    <row r="567" spans="1:27" ht="27" hidden="1" customHeight="1">
      <c r="A567" s="583"/>
      <c r="B567" s="583">
        <v>501</v>
      </c>
      <c r="C567" s="581">
        <v>13</v>
      </c>
      <c r="D567" s="582" t="s">
        <v>1621</v>
      </c>
      <c r="E567" s="1138" t="s">
        <v>1627</v>
      </c>
      <c r="F567" s="1826"/>
      <c r="G567" s="2075"/>
      <c r="H567" s="2065"/>
      <c r="I567" s="2065"/>
      <c r="J567" s="2066"/>
      <c r="K567" s="2065"/>
      <c r="L567" s="2065"/>
      <c r="M567" s="2065"/>
      <c r="N567" s="2065"/>
      <c r="O567" s="2066"/>
      <c r="P567" s="2066"/>
      <c r="Q567" s="2065"/>
      <c r="R567" s="2065"/>
      <c r="S567" s="2065"/>
      <c r="T567" s="1096">
        <f t="shared" si="75"/>
        <v>0</v>
      </c>
      <c r="U567" s="599">
        <v>0</v>
      </c>
      <c r="V567" s="1407">
        <f t="shared" si="79"/>
        <v>0</v>
      </c>
      <c r="W567" s="599">
        <f t="shared" si="76"/>
        <v>0</v>
      </c>
      <c r="X567" s="620"/>
      <c r="Y567" s="621"/>
      <c r="Z567" s="1096">
        <f t="shared" si="77"/>
        <v>0</v>
      </c>
      <c r="AA567" s="882">
        <f t="shared" si="78"/>
        <v>0</v>
      </c>
    </row>
    <row r="568" spans="1:27" ht="27" hidden="1" customHeight="1">
      <c r="A568" s="583"/>
      <c r="B568" s="583">
        <v>406</v>
      </c>
      <c r="C568" s="581">
        <v>17</v>
      </c>
      <c r="D568" s="582" t="s">
        <v>1343</v>
      </c>
      <c r="E568" s="1138" t="s">
        <v>1344</v>
      </c>
      <c r="F568" s="1826"/>
      <c r="G568" s="2075"/>
      <c r="H568" s="2065"/>
      <c r="I568" s="2065"/>
      <c r="J568" s="2065"/>
      <c r="K568" s="2065"/>
      <c r="L568" s="2065"/>
      <c r="M568" s="2065"/>
      <c r="N568" s="2065"/>
      <c r="O568" s="2066"/>
      <c r="P568" s="2066"/>
      <c r="Q568" s="2065"/>
      <c r="R568" s="2065"/>
      <c r="S568" s="2065"/>
      <c r="T568" s="1096">
        <f t="shared" si="75"/>
        <v>0</v>
      </c>
      <c r="U568" s="599">
        <v>0</v>
      </c>
      <c r="V568" s="1407">
        <f t="shared" si="79"/>
        <v>0</v>
      </c>
      <c r="W568" s="599">
        <f t="shared" si="76"/>
        <v>0</v>
      </c>
      <c r="X568" s="620"/>
      <c r="Y568" s="621"/>
      <c r="Z568" s="1096">
        <f t="shared" si="77"/>
        <v>0</v>
      </c>
      <c r="AA568" s="882">
        <f t="shared" si="78"/>
        <v>0</v>
      </c>
    </row>
    <row r="569" spans="1:27" ht="27" hidden="1" customHeight="1">
      <c r="A569" s="583">
        <v>1</v>
      </c>
      <c r="B569" s="583">
        <v>415</v>
      </c>
      <c r="C569" s="581">
        <v>17</v>
      </c>
      <c r="D569" s="582" t="s">
        <v>157</v>
      </c>
      <c r="E569" s="1138" t="s">
        <v>558</v>
      </c>
      <c r="F569" s="1830">
        <v>-28040648374</v>
      </c>
      <c r="G569" s="2309">
        <v>-4533251140</v>
      </c>
      <c r="H569" s="2311"/>
      <c r="I569" s="604">
        <v>-3965356515</v>
      </c>
      <c r="J569" s="2065"/>
      <c r="K569" s="2065">
        <f>32204998368-3633507823</f>
        <v>28571490545</v>
      </c>
      <c r="L569" s="604"/>
      <c r="M569" s="604"/>
      <c r="N569" s="2136"/>
      <c r="O569" s="2093"/>
      <c r="P569" s="2093"/>
      <c r="Q569" s="604"/>
      <c r="R569" s="604"/>
      <c r="S569" s="604"/>
      <c r="T569" s="1096">
        <f t="shared" si="75"/>
        <v>-7967765484</v>
      </c>
      <c r="U569" s="599">
        <v>-10490143608</v>
      </c>
      <c r="V569" s="1407">
        <f t="shared" si="79"/>
        <v>-7968</v>
      </c>
      <c r="W569" s="599">
        <f t="shared" si="76"/>
        <v>-10490</v>
      </c>
      <c r="X569" s="620"/>
      <c r="Y569" s="621"/>
      <c r="Z569" s="1096">
        <f t="shared" si="77"/>
        <v>-7967765484</v>
      </c>
      <c r="AA569" s="882">
        <f t="shared" si="78"/>
        <v>-7968</v>
      </c>
    </row>
    <row r="570" spans="1:27" ht="27" hidden="1" customHeight="1">
      <c r="A570" s="583"/>
      <c r="B570" s="583">
        <v>501</v>
      </c>
      <c r="C570" s="581">
        <v>13</v>
      </c>
      <c r="D570" s="582" t="s">
        <v>1622</v>
      </c>
      <c r="E570" s="1138" t="s">
        <v>1628</v>
      </c>
      <c r="F570" s="1826"/>
      <c r="G570" s="2075"/>
      <c r="H570" s="2065"/>
      <c r="I570" s="2065"/>
      <c r="J570" s="2066"/>
      <c r="K570" s="2065"/>
      <c r="L570" s="2065"/>
      <c r="M570" s="2065"/>
      <c r="N570" s="2065"/>
      <c r="O570" s="2066"/>
      <c r="P570" s="2066"/>
      <c r="Q570" s="2065"/>
      <c r="R570" s="2065"/>
      <c r="S570" s="2065"/>
      <c r="T570" s="1096">
        <f t="shared" si="75"/>
        <v>0</v>
      </c>
      <c r="U570" s="599">
        <v>0</v>
      </c>
      <c r="V570" s="1407">
        <f t="shared" si="79"/>
        <v>0</v>
      </c>
      <c r="W570" s="599">
        <f t="shared" si="76"/>
        <v>0</v>
      </c>
      <c r="X570" s="620"/>
      <c r="Y570" s="621"/>
      <c r="Z570" s="1096">
        <f t="shared" si="77"/>
        <v>0</v>
      </c>
      <c r="AA570" s="882">
        <f t="shared" si="78"/>
        <v>0</v>
      </c>
    </row>
    <row r="571" spans="1:27" ht="27" hidden="1" customHeight="1">
      <c r="A571" s="583"/>
      <c r="B571" s="583">
        <v>501</v>
      </c>
      <c r="C571" s="581">
        <v>13</v>
      </c>
      <c r="D571" s="582" t="s">
        <v>1026</v>
      </c>
      <c r="E571" s="1138" t="s">
        <v>1030</v>
      </c>
      <c r="F571" s="1826"/>
      <c r="G571" s="2075"/>
      <c r="H571" s="2065"/>
      <c r="I571" s="2065"/>
      <c r="J571" s="2066"/>
      <c r="K571" s="2065"/>
      <c r="L571" s="2065"/>
      <c r="M571" s="2065"/>
      <c r="N571" s="2065"/>
      <c r="O571" s="2066"/>
      <c r="P571" s="2066"/>
      <c r="Q571" s="2065"/>
      <c r="R571" s="2065"/>
      <c r="S571" s="2065"/>
      <c r="T571" s="1096">
        <f t="shared" si="75"/>
        <v>0</v>
      </c>
      <c r="U571" s="599">
        <v>0</v>
      </c>
      <c r="V571" s="1407">
        <f t="shared" si="79"/>
        <v>0</v>
      </c>
      <c r="W571" s="599">
        <f t="shared" si="76"/>
        <v>0</v>
      </c>
      <c r="X571" s="620"/>
      <c r="Y571" s="621"/>
      <c r="Z571" s="1096">
        <f t="shared" si="77"/>
        <v>0</v>
      </c>
      <c r="AA571" s="882">
        <f t="shared" si="78"/>
        <v>0</v>
      </c>
    </row>
    <row r="572" spans="1:27" ht="27" hidden="1" customHeight="1">
      <c r="A572" s="583">
        <v>1</v>
      </c>
      <c r="B572" s="583">
        <v>414</v>
      </c>
      <c r="C572" s="581">
        <v>17</v>
      </c>
      <c r="D572" s="582" t="s">
        <v>338</v>
      </c>
      <c r="E572" s="1138" t="s">
        <v>152</v>
      </c>
      <c r="F572" s="1830">
        <v>-40876425690</v>
      </c>
      <c r="G572" s="2077">
        <v>-17100267433</v>
      </c>
      <c r="H572" s="2065">
        <v>10549296058</v>
      </c>
      <c r="I572" s="2065">
        <v>11429700024</v>
      </c>
      <c r="J572" s="2065">
        <v>-61402341540</v>
      </c>
      <c r="K572" s="2080">
        <v>94684773270</v>
      </c>
      <c r="L572" s="2065"/>
      <c r="M572" s="2065"/>
      <c r="N572" s="2080">
        <v>-12443388856</v>
      </c>
      <c r="O572" s="2080"/>
      <c r="P572" s="2066"/>
      <c r="Q572" s="2065"/>
      <c r="R572" s="2065"/>
      <c r="S572" s="2065"/>
      <c r="T572" s="1096">
        <f t="shared" si="75"/>
        <v>-15158654167</v>
      </c>
      <c r="U572" s="599">
        <v>-3393768481</v>
      </c>
      <c r="V572" s="1407">
        <f t="shared" si="79"/>
        <v>-15159</v>
      </c>
      <c r="W572" s="599">
        <f t="shared" si="76"/>
        <v>-3394</v>
      </c>
      <c r="X572" s="620"/>
      <c r="Y572" s="621"/>
      <c r="Z572" s="1096">
        <f t="shared" si="77"/>
        <v>-15158654167</v>
      </c>
      <c r="AA572" s="882">
        <f t="shared" si="78"/>
        <v>-15159</v>
      </c>
    </row>
    <row r="573" spans="1:27" ht="27" hidden="1" customHeight="1">
      <c r="A573" s="583"/>
      <c r="B573" s="583">
        <v>606</v>
      </c>
      <c r="C573" s="581">
        <v>12</v>
      </c>
      <c r="D573" s="582" t="s">
        <v>621</v>
      </c>
      <c r="E573" s="1138" t="s">
        <v>1643</v>
      </c>
      <c r="F573" s="1829">
        <v>1399103480376</v>
      </c>
      <c r="G573" s="2075"/>
      <c r="H573" s="2065"/>
      <c r="I573" s="2065">
        <v>-180000000</v>
      </c>
      <c r="J573" s="2066"/>
      <c r="K573" s="2065"/>
      <c r="L573" s="2065"/>
      <c r="M573" s="2065"/>
      <c r="N573" s="2065"/>
      <c r="O573" s="2066"/>
      <c r="P573" s="2066"/>
      <c r="Q573" s="2065"/>
      <c r="R573" s="2065"/>
      <c r="S573" s="2065"/>
      <c r="T573" s="1096">
        <f t="shared" si="75"/>
        <v>1398923480376</v>
      </c>
      <c r="U573" s="599">
        <v>1094614768431</v>
      </c>
      <c r="V573" s="1407">
        <f t="shared" si="79"/>
        <v>1398923</v>
      </c>
      <c r="W573" s="599">
        <f t="shared" si="76"/>
        <v>1094615</v>
      </c>
      <c r="X573" s="620"/>
      <c r="Y573" s="621"/>
      <c r="Z573" s="1096">
        <f t="shared" si="77"/>
        <v>1398923480376</v>
      </c>
      <c r="AA573" s="882">
        <f t="shared" si="78"/>
        <v>1398923</v>
      </c>
    </row>
    <row r="574" spans="1:27" ht="27" hidden="1" customHeight="1">
      <c r="A574" s="583"/>
      <c r="B574" s="583">
        <v>606</v>
      </c>
      <c r="C574" s="581">
        <v>12</v>
      </c>
      <c r="D574" s="582" t="s">
        <v>623</v>
      </c>
      <c r="E574" s="1138" t="s">
        <v>1644</v>
      </c>
      <c r="F574" s="1830">
        <v>-1399103480376</v>
      </c>
      <c r="G574" s="2075"/>
      <c r="H574" s="2065"/>
      <c r="I574" s="2065">
        <v>180000000</v>
      </c>
      <c r="J574" s="2066"/>
      <c r="K574" s="2065"/>
      <c r="L574" s="2065"/>
      <c r="M574" s="2065"/>
      <c r="N574" s="2065"/>
      <c r="O574" s="2066"/>
      <c r="P574" s="2066"/>
      <c r="Q574" s="2065"/>
      <c r="R574" s="2065"/>
      <c r="S574" s="2065"/>
      <c r="T574" s="1096">
        <f t="shared" si="75"/>
        <v>-1398923480376</v>
      </c>
      <c r="U574" s="599">
        <v>-1094614768431</v>
      </c>
      <c r="V574" s="1407">
        <f t="shared" si="79"/>
        <v>-1398923</v>
      </c>
      <c r="W574" s="599">
        <f t="shared" si="76"/>
        <v>-1094615</v>
      </c>
      <c r="X574" s="620"/>
      <c r="Y574" s="621"/>
      <c r="Z574" s="1096">
        <f t="shared" si="77"/>
        <v>-1398923480376</v>
      </c>
      <c r="AA574" s="882">
        <f t="shared" si="78"/>
        <v>-1398923</v>
      </c>
    </row>
    <row r="575" spans="1:27" ht="27" hidden="1" customHeight="1">
      <c r="A575" s="583">
        <v>3214</v>
      </c>
      <c r="B575" s="583">
        <v>606</v>
      </c>
      <c r="C575" s="581">
        <v>12</v>
      </c>
      <c r="D575" s="582" t="s">
        <v>621</v>
      </c>
      <c r="E575" s="1138" t="s">
        <v>1664</v>
      </c>
      <c r="F575" s="1826"/>
      <c r="G575" s="2075"/>
      <c r="H575" s="2065"/>
      <c r="I575" s="2065"/>
      <c r="J575" s="2066"/>
      <c r="K575" s="2065">
        <v>11163922010837</v>
      </c>
      <c r="L575" s="2080"/>
      <c r="M575" s="2080"/>
      <c r="N575" s="2065"/>
      <c r="O575" s="2066"/>
      <c r="P575" s="2066"/>
      <c r="Q575" s="2065"/>
      <c r="R575" s="2065"/>
      <c r="S575" s="2065"/>
      <c r="T575" s="1096">
        <f t="shared" si="75"/>
        <v>11163922010837</v>
      </c>
      <c r="U575" s="599">
        <v>0</v>
      </c>
      <c r="V575" s="1407">
        <f t="shared" si="79"/>
        <v>11163922</v>
      </c>
      <c r="W575" s="599">
        <f t="shared" si="76"/>
        <v>0</v>
      </c>
      <c r="X575" s="620"/>
      <c r="Y575" s="621"/>
      <c r="Z575" s="1096">
        <f t="shared" si="77"/>
        <v>11163922010837</v>
      </c>
      <c r="AA575" s="882">
        <f t="shared" si="78"/>
        <v>11163922</v>
      </c>
    </row>
    <row r="576" spans="1:27" ht="27" hidden="1" customHeight="1">
      <c r="A576" s="583">
        <v>3214</v>
      </c>
      <c r="B576" s="583">
        <v>606</v>
      </c>
      <c r="C576" s="581">
        <v>12</v>
      </c>
      <c r="D576" s="582" t="s">
        <v>623</v>
      </c>
      <c r="E576" s="1138" t="s">
        <v>1665</v>
      </c>
      <c r="F576" s="1826"/>
      <c r="G576" s="2075"/>
      <c r="H576" s="2065"/>
      <c r="I576" s="2065"/>
      <c r="J576" s="2066"/>
      <c r="K576" s="2065">
        <v>-11163922010837</v>
      </c>
      <c r="L576" s="2080"/>
      <c r="M576" s="2080"/>
      <c r="N576" s="2065"/>
      <c r="O576" s="2066"/>
      <c r="P576" s="2066"/>
      <c r="Q576" s="2065"/>
      <c r="R576" s="2065"/>
      <c r="S576" s="2065"/>
      <c r="T576" s="1096">
        <f>SUM(F576:S576)</f>
        <v>-11163922010837</v>
      </c>
      <c r="U576" s="599">
        <v>0</v>
      </c>
      <c r="V576" s="1407">
        <f t="shared" si="79"/>
        <v>-11163922</v>
      </c>
      <c r="W576" s="599">
        <f t="shared" si="76"/>
        <v>0</v>
      </c>
      <c r="X576" s="620"/>
      <c r="Y576" s="621"/>
      <c r="Z576" s="1096">
        <f t="shared" si="77"/>
        <v>-11163922010837</v>
      </c>
      <c r="AA576" s="882">
        <f t="shared" si="78"/>
        <v>-11163922</v>
      </c>
    </row>
    <row r="577" spans="1:27" ht="27" hidden="1" customHeight="1">
      <c r="A577" s="583"/>
      <c r="B577" s="583">
        <v>501</v>
      </c>
      <c r="C577" s="581">
        <v>13</v>
      </c>
      <c r="D577" s="582" t="s">
        <v>1630</v>
      </c>
      <c r="E577" s="1138" t="s">
        <v>1633</v>
      </c>
      <c r="F577" s="1826"/>
      <c r="G577" s="2075"/>
      <c r="H577" s="2065"/>
      <c r="I577" s="2065"/>
      <c r="J577" s="2066"/>
      <c r="K577" s="2065"/>
      <c r="L577" s="2065"/>
      <c r="M577" s="2065"/>
      <c r="N577" s="2065"/>
      <c r="O577" s="2066"/>
      <c r="P577" s="2066"/>
      <c r="Q577" s="2065"/>
      <c r="R577" s="2065"/>
      <c r="S577" s="2065"/>
      <c r="T577" s="1096">
        <f t="shared" si="75"/>
        <v>0</v>
      </c>
      <c r="U577" s="599">
        <v>0</v>
      </c>
      <c r="V577" s="1407"/>
      <c r="W577" s="599"/>
      <c r="X577" s="620"/>
      <c r="Y577" s="621"/>
      <c r="Z577" s="1096">
        <f t="shared" si="77"/>
        <v>0</v>
      </c>
      <c r="AA577" s="882">
        <f t="shared" si="78"/>
        <v>0</v>
      </c>
    </row>
    <row r="578" spans="1:27" ht="27" hidden="1" customHeight="1">
      <c r="A578" s="583"/>
      <c r="B578" s="583">
        <v>501</v>
      </c>
      <c r="C578" s="581">
        <v>13</v>
      </c>
      <c r="D578" s="582" t="s">
        <v>1631</v>
      </c>
      <c r="E578" s="1138" t="s">
        <v>1634</v>
      </c>
      <c r="F578" s="1826"/>
      <c r="G578" s="2087"/>
      <c r="H578" s="2088"/>
      <c r="I578" s="2088"/>
      <c r="J578" s="2088"/>
      <c r="K578" s="2088"/>
      <c r="L578" s="2088"/>
      <c r="M578" s="2088"/>
      <c r="N578" s="2088"/>
      <c r="O578" s="2089"/>
      <c r="P578" s="2089"/>
      <c r="Q578" s="2088"/>
      <c r="R578" s="2088"/>
      <c r="S578" s="2088"/>
      <c r="T578" s="1096">
        <f t="shared" si="75"/>
        <v>0</v>
      </c>
      <c r="U578" s="599">
        <v>0</v>
      </c>
      <c r="V578" s="1407">
        <f>ROUND((T578/1000000),0)</f>
        <v>0</v>
      </c>
      <c r="W578" s="599">
        <f>ROUND((U578/1000000),0)</f>
        <v>0</v>
      </c>
      <c r="X578" s="620"/>
      <c r="Y578" s="621"/>
      <c r="Z578" s="1096">
        <f t="shared" si="77"/>
        <v>0</v>
      </c>
      <c r="AA578" s="882">
        <f t="shared" si="78"/>
        <v>0</v>
      </c>
    </row>
    <row r="579" spans="1:27" ht="22.5" hidden="1" customHeight="1">
      <c r="C579" s="597"/>
      <c r="D579" s="2071"/>
      <c r="F579" s="1827">
        <f>SUBTOTAL(9,F4:F578)</f>
        <v>-1172138211869</v>
      </c>
      <c r="G579" s="1827">
        <f t="shared" ref="G579:W579" si="80">SUBTOTAL(9,G4:G578)</f>
        <v>-1271174945543</v>
      </c>
      <c r="H579" s="911">
        <f t="shared" si="80"/>
        <v>-88391512752</v>
      </c>
      <c r="I579" s="911">
        <f t="shared" si="80"/>
        <v>-379460861913</v>
      </c>
      <c r="J579" s="911">
        <f t="shared" si="80"/>
        <v>-27019482306</v>
      </c>
      <c r="K579" s="911">
        <f t="shared" si="80"/>
        <v>-1237576415900</v>
      </c>
      <c r="L579" s="911">
        <f t="shared" si="80"/>
        <v>0</v>
      </c>
      <c r="M579" s="2499"/>
      <c r="N579" s="911">
        <f t="shared" si="80"/>
        <v>0</v>
      </c>
      <c r="O579" s="911">
        <f t="shared" si="80"/>
        <v>2484585031896</v>
      </c>
      <c r="P579" s="911">
        <f t="shared" si="80"/>
        <v>0</v>
      </c>
      <c r="Q579" s="911">
        <f t="shared" si="80"/>
        <v>0</v>
      </c>
      <c r="R579" s="911">
        <f t="shared" si="80"/>
        <v>0</v>
      </c>
      <c r="S579" s="911">
        <f t="shared" si="80"/>
        <v>0</v>
      </c>
      <c r="T579" s="1982">
        <f t="shared" si="80"/>
        <v>-1691176398387</v>
      </c>
      <c r="U579" s="1115">
        <f t="shared" si="80"/>
        <v>-2066196970763</v>
      </c>
      <c r="V579" s="1115">
        <f t="shared" si="80"/>
        <v>-1691176</v>
      </c>
      <c r="W579" s="1098">
        <f t="shared" si="80"/>
        <v>-2066197</v>
      </c>
      <c r="Z579" s="1099"/>
      <c r="AA579" s="598"/>
    </row>
    <row r="580" spans="1:27" ht="22.5" hidden="1" customHeight="1">
      <c r="A580" s="2952"/>
      <c r="B580" s="2952"/>
      <c r="C580" s="2952"/>
      <c r="D580" s="2952"/>
      <c r="E580" s="2952"/>
      <c r="F580" s="2954"/>
      <c r="G580" s="2954"/>
      <c r="H580" s="2954"/>
      <c r="I580" s="2954"/>
      <c r="J580" s="2954"/>
      <c r="K580" s="2954"/>
      <c r="L580" s="2954"/>
      <c r="M580" s="2952"/>
      <c r="N580" s="2954"/>
      <c r="O580" s="2954"/>
      <c r="P580" s="2954"/>
      <c r="Q580" s="2954"/>
      <c r="R580" s="2954"/>
      <c r="S580" s="2952"/>
      <c r="T580" s="2952"/>
      <c r="U580" s="2952"/>
      <c r="V580" s="2952"/>
      <c r="W580" s="2952"/>
      <c r="X580" s="910"/>
      <c r="Z580" s="1099"/>
      <c r="AA580" s="598"/>
    </row>
    <row r="581" spans="1:27" ht="19.5" hidden="1" customHeight="1">
      <c r="A581" s="2952"/>
      <c r="B581" s="2952"/>
      <c r="C581" s="2952"/>
      <c r="D581" s="2952"/>
      <c r="E581" s="2952"/>
      <c r="F581" s="2954"/>
      <c r="G581" s="2954"/>
      <c r="H581" s="2954"/>
      <c r="I581" s="2954"/>
      <c r="J581" s="2954"/>
      <c r="K581" s="2954"/>
      <c r="L581" s="2954"/>
      <c r="M581" s="2952"/>
      <c r="N581" s="2954"/>
      <c r="O581" s="2954"/>
      <c r="P581" s="2954"/>
      <c r="Q581" s="2954"/>
      <c r="R581" s="2954"/>
      <c r="S581" s="2952"/>
      <c r="T581" s="2952"/>
      <c r="U581" s="2952"/>
      <c r="V581" s="2952"/>
      <c r="W581" s="2952"/>
      <c r="X581" s="598"/>
      <c r="Y581" s="598"/>
      <c r="Z581" s="1101"/>
      <c r="AA581" s="613"/>
    </row>
    <row r="582" spans="1:27" ht="19.5" hidden="1" customHeight="1">
      <c r="A582" s="2952"/>
      <c r="B582" s="2952"/>
      <c r="C582" s="2952"/>
      <c r="D582" s="2952"/>
      <c r="E582" s="2952"/>
      <c r="F582" s="2954"/>
      <c r="G582" s="2954"/>
      <c r="H582" s="2954"/>
      <c r="I582" s="2954"/>
      <c r="J582" s="2954"/>
      <c r="K582" s="2954"/>
      <c r="L582" s="2954"/>
      <c r="M582" s="2952"/>
      <c r="N582" s="2954"/>
      <c r="O582" s="2954"/>
      <c r="P582" s="2954"/>
      <c r="Q582" s="2954"/>
      <c r="R582" s="2954"/>
      <c r="S582" s="2952"/>
      <c r="T582" s="2952"/>
      <c r="U582" s="2952"/>
      <c r="V582" s="2952"/>
      <c r="W582" s="2952"/>
      <c r="X582" s="598"/>
      <c r="Y582" s="598"/>
      <c r="Z582" s="1101"/>
      <c r="AA582" s="613"/>
    </row>
    <row r="583" spans="1:27" ht="19.5" hidden="1" customHeight="1">
      <c r="A583" s="2952"/>
      <c r="B583" s="2952"/>
      <c r="C583" s="2952"/>
      <c r="D583" s="2952"/>
      <c r="E583" s="2952"/>
      <c r="F583" s="2954"/>
      <c r="G583" s="2954"/>
      <c r="H583" s="2954"/>
      <c r="I583" s="2954"/>
      <c r="J583" s="2954"/>
      <c r="K583" s="2954"/>
      <c r="L583" s="2954"/>
      <c r="M583" s="2952"/>
      <c r="N583" s="2954"/>
      <c r="O583" s="2954"/>
      <c r="P583" s="2954"/>
      <c r="Q583" s="2954"/>
      <c r="R583" s="2954"/>
      <c r="S583" s="2952"/>
      <c r="T583" s="2952"/>
      <c r="U583" s="2952"/>
      <c r="V583" s="2952"/>
      <c r="W583" s="2952"/>
      <c r="X583" s="598"/>
      <c r="Y583" s="598"/>
      <c r="Z583" s="1100"/>
      <c r="AA583" s="612"/>
    </row>
    <row r="584" spans="1:27" ht="19.5" hidden="1" customHeight="1">
      <c r="A584" s="2952"/>
      <c r="B584" s="2952"/>
      <c r="C584" s="2952"/>
      <c r="D584" s="2952"/>
      <c r="E584" s="2952"/>
      <c r="F584" s="2954"/>
      <c r="G584" s="2954"/>
      <c r="H584" s="2954"/>
      <c r="I584" s="2954"/>
      <c r="J584" s="2954"/>
      <c r="K584" s="2954"/>
      <c r="L584" s="2954"/>
      <c r="M584" s="2952"/>
      <c r="N584" s="2954"/>
      <c r="O584" s="2954"/>
      <c r="P584" s="2954"/>
      <c r="Q584" s="2954"/>
      <c r="R584" s="2954"/>
      <c r="S584" s="2952"/>
      <c r="T584" s="2952"/>
      <c r="U584" s="2952"/>
      <c r="V584" s="2952"/>
      <c r="W584" s="2952"/>
      <c r="Z584" s="1101"/>
      <c r="AA584" s="613"/>
    </row>
    <row r="585" spans="1:27" ht="19.5" hidden="1" customHeight="1">
      <c r="A585" s="2952"/>
      <c r="B585" s="2952"/>
      <c r="C585" s="2952"/>
      <c r="D585" s="2952"/>
      <c r="E585" s="2952"/>
      <c r="F585" s="2954"/>
      <c r="G585" s="2954"/>
      <c r="H585" s="2954"/>
      <c r="I585" s="2954"/>
      <c r="J585" s="2954"/>
      <c r="K585" s="2954"/>
      <c r="L585" s="2954"/>
      <c r="M585" s="2952"/>
      <c r="N585" s="2954"/>
      <c r="O585" s="2954"/>
      <c r="P585" s="2954"/>
      <c r="Q585" s="2954"/>
      <c r="R585" s="2954"/>
      <c r="S585" s="2952"/>
      <c r="T585" s="2952"/>
      <c r="U585" s="2952"/>
      <c r="V585" s="2952"/>
      <c r="W585" s="2952"/>
      <c r="Z585" s="1101"/>
      <c r="AA585" s="613"/>
    </row>
    <row r="586" spans="1:27" ht="19.5" hidden="1" customHeight="1">
      <c r="A586" s="2952"/>
      <c r="B586" s="2952"/>
      <c r="C586" s="2952"/>
      <c r="D586" s="2952"/>
      <c r="E586" s="2952"/>
      <c r="F586" s="2954"/>
      <c r="G586" s="2954"/>
      <c r="H586" s="2954"/>
      <c r="I586" s="2954"/>
      <c r="J586" s="2954"/>
      <c r="K586" s="2954"/>
      <c r="L586" s="2954"/>
      <c r="M586" s="2952"/>
      <c r="N586" s="2954"/>
      <c r="O586" s="2954"/>
      <c r="P586" s="2954"/>
      <c r="Q586" s="2954"/>
      <c r="R586" s="2954"/>
      <c r="S586" s="2952"/>
      <c r="T586" s="2952"/>
      <c r="U586" s="2952"/>
      <c r="V586" s="2952"/>
      <c r="W586" s="2952"/>
      <c r="Z586" s="1101"/>
      <c r="AA586" s="613"/>
    </row>
    <row r="587" spans="1:27" ht="19.5" hidden="1" customHeight="1">
      <c r="C587" s="597"/>
      <c r="D587" s="2071"/>
      <c r="J587" s="597" t="s">
        <v>677</v>
      </c>
      <c r="T587" s="1984"/>
      <c r="U587" s="613"/>
      <c r="V587" s="1101"/>
      <c r="W587" s="613"/>
      <c r="Z587" s="1101"/>
      <c r="AA587" s="613"/>
    </row>
    <row r="588" spans="1:27" ht="19.5" hidden="1" customHeight="1">
      <c r="A588" s="2952"/>
      <c r="B588" s="2952"/>
      <c r="C588" s="2952"/>
      <c r="D588" s="2952"/>
      <c r="E588" s="2952"/>
      <c r="F588" s="2953"/>
      <c r="G588" s="2953"/>
      <c r="H588" s="2953"/>
      <c r="I588" s="2953"/>
      <c r="J588" s="2953"/>
      <c r="K588" s="2953"/>
      <c r="L588" s="2953"/>
      <c r="M588" s="2952"/>
      <c r="N588" s="2953"/>
      <c r="O588" s="2953"/>
      <c r="P588" s="2953"/>
      <c r="Q588" s="2953"/>
      <c r="R588" s="2953"/>
      <c r="S588" s="2952"/>
      <c r="T588" s="2952"/>
      <c r="U588" s="2952"/>
      <c r="V588" s="2952"/>
      <c r="W588" s="2952"/>
      <c r="X588" s="2952"/>
      <c r="Y588" s="2952"/>
      <c r="Z588" s="2952"/>
      <c r="AA588" s="2952"/>
    </row>
    <row r="589" spans="1:27" ht="19.5" hidden="1" customHeight="1">
      <c r="A589" s="2952"/>
      <c r="B589" s="2952"/>
      <c r="C589" s="2952"/>
      <c r="D589" s="2952"/>
      <c r="E589" s="2952"/>
      <c r="F589" s="2953"/>
      <c r="G589" s="2953"/>
      <c r="H589" s="2953"/>
      <c r="I589" s="2953"/>
      <c r="J589" s="2953"/>
      <c r="K589" s="2953"/>
      <c r="L589" s="2953"/>
      <c r="M589" s="2952"/>
      <c r="N589" s="2953"/>
      <c r="O589" s="2953"/>
      <c r="P589" s="2953"/>
      <c r="Q589" s="2953"/>
      <c r="R589" s="2953"/>
      <c r="S589" s="2952"/>
      <c r="T589" s="2952"/>
      <c r="U589" s="2952"/>
      <c r="V589" s="2952"/>
      <c r="W589" s="2952"/>
      <c r="X589" s="2952"/>
      <c r="Y589" s="2952"/>
      <c r="Z589" s="2952"/>
      <c r="AA589" s="2952"/>
    </row>
    <row r="590" spans="1:27" ht="19.5" hidden="1" customHeight="1">
      <c r="A590" s="2952"/>
      <c r="B590" s="2952"/>
      <c r="C590" s="2952"/>
      <c r="D590" s="2952"/>
      <c r="E590" s="2952"/>
      <c r="F590" s="2953"/>
      <c r="G590" s="2953"/>
      <c r="H590" s="2953"/>
      <c r="I590" s="2953"/>
      <c r="J590" s="2953"/>
      <c r="K590" s="2953"/>
      <c r="L590" s="2953"/>
      <c r="M590" s="2952"/>
      <c r="N590" s="2953"/>
      <c r="O590" s="2953"/>
      <c r="P590" s="2953"/>
      <c r="Q590" s="2953"/>
      <c r="R590" s="2953"/>
      <c r="S590" s="2952"/>
      <c r="T590" s="2952"/>
      <c r="U590" s="2952"/>
      <c r="V590" s="2952"/>
      <c r="W590" s="2952"/>
      <c r="X590" s="2952"/>
      <c r="Y590" s="2952"/>
      <c r="Z590" s="2952"/>
      <c r="AA590" s="2952"/>
    </row>
    <row r="591" spans="1:27" ht="19.5" hidden="1" customHeight="1">
      <c r="A591" s="2952"/>
      <c r="B591" s="2952"/>
      <c r="C591" s="2952"/>
      <c r="D591" s="2952"/>
      <c r="E591" s="2952"/>
      <c r="F591" s="2953"/>
      <c r="G591" s="2953"/>
      <c r="H591" s="2953"/>
      <c r="I591" s="2953"/>
      <c r="J591" s="2953"/>
      <c r="K591" s="2953"/>
      <c r="L591" s="2953"/>
      <c r="M591" s="2952"/>
      <c r="N591" s="2953"/>
      <c r="O591" s="2953"/>
      <c r="P591" s="2953"/>
      <c r="Q591" s="2953"/>
      <c r="R591" s="2953"/>
      <c r="S591" s="2952"/>
      <c r="T591" s="2952"/>
      <c r="U591" s="2952"/>
      <c r="V591" s="2952"/>
      <c r="W591" s="2952"/>
      <c r="X591" s="2952"/>
      <c r="Y591" s="2952"/>
      <c r="Z591" s="2952"/>
      <c r="AA591" s="2952"/>
    </row>
    <row r="592" spans="1:27" ht="19.5" customHeight="1">
      <c r="C592" s="597"/>
      <c r="D592" s="2071"/>
      <c r="T592" s="1984"/>
      <c r="U592" s="613"/>
      <c r="V592" s="1101"/>
      <c r="W592" s="613"/>
      <c r="Z592" s="1101"/>
      <c r="AA592" s="613"/>
    </row>
    <row r="593" spans="3:27" ht="19.5" customHeight="1">
      <c r="C593" s="597"/>
      <c r="D593" s="2071"/>
      <c r="T593" s="1983"/>
      <c r="U593" s="598"/>
      <c r="V593" s="1099"/>
      <c r="W593" s="598"/>
      <c r="Z593" s="1099"/>
      <c r="AA593" s="598"/>
    </row>
  </sheetData>
  <autoFilter ref="A2:AA591">
    <filterColumn colId="1">
      <filters>
        <filter val="1012"/>
      </filters>
    </filterColumn>
    <sortState ref="A5:AA580">
      <sortCondition descending="1" ref="B1:B566"/>
    </sortState>
  </autoFilter>
  <mergeCells count="26">
    <mergeCell ref="A588:AA591"/>
    <mergeCell ref="A580:W586"/>
    <mergeCell ref="W2:W3"/>
    <mergeCell ref="X2:X3"/>
    <mergeCell ref="Y2:Y3"/>
    <mergeCell ref="Z2:Z3"/>
    <mergeCell ref="AA2:AA3"/>
    <mergeCell ref="V2:V3"/>
    <mergeCell ref="H2:H3"/>
    <mergeCell ref="I2:I3"/>
    <mergeCell ref="J2:J3"/>
    <mergeCell ref="K2:K3"/>
    <mergeCell ref="L2:L3"/>
    <mergeCell ref="N2:N3"/>
    <mergeCell ref="O2:O3"/>
    <mergeCell ref="P2:P3"/>
    <mergeCell ref="Q2:Q3"/>
    <mergeCell ref="T2:T3"/>
    <mergeCell ref="U2:U3"/>
    <mergeCell ref="N1:S1"/>
    <mergeCell ref="G2:G3"/>
    <mergeCell ref="A2:A3"/>
    <mergeCell ref="B2:B3"/>
    <mergeCell ref="C2:C3"/>
    <mergeCell ref="E2:E3"/>
    <mergeCell ref="F2:F3"/>
  </mergeCells>
  <printOptions verticalCentered="1"/>
  <pageMargins left="0" right="0" top="0" bottom="0" header="0" footer="0"/>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9"/>
  <sheetViews>
    <sheetView rightToLeft="1" view="pageBreakPreview" topLeftCell="A22" zoomScale="66" zoomScaleNormal="60" zoomScaleSheetLayoutView="66" zoomScalePageLayoutView="70" workbookViewId="0">
      <selection activeCell="A30" sqref="A30:XFD30"/>
    </sheetView>
  </sheetViews>
  <sheetFormatPr defaultColWidth="1.375" defaultRowHeight="33.75"/>
  <cols>
    <col min="1" max="2" width="3.75" style="353" customWidth="1"/>
    <col min="3" max="3" width="76.875" style="1439" customWidth="1"/>
    <col min="4" max="4" width="8" style="1439" bestFit="1" customWidth="1"/>
    <col min="5" max="5" width="0.625" style="1439" customWidth="1"/>
    <col min="6" max="6" width="19" style="218" customWidth="1"/>
    <col min="7" max="7" width="1.375" style="218" customWidth="1"/>
    <col min="8" max="8" width="20.75" style="218" customWidth="1"/>
    <col min="9" max="9" width="1.25" style="218" customWidth="1"/>
    <col min="10" max="10" width="20.375" style="411" customWidth="1"/>
    <col min="11" max="16384" width="1.375" style="1439"/>
  </cols>
  <sheetData>
    <row r="1" spans="1:15" ht="11.25" customHeight="1"/>
    <row r="2" spans="1:15" s="388" customFormat="1" ht="39.75" customHeight="1">
      <c r="A2" s="1214"/>
      <c r="B2" s="1214"/>
      <c r="C2" s="2981" t="s">
        <v>612</v>
      </c>
      <c r="D2" s="2981"/>
      <c r="E2" s="2981"/>
      <c r="F2" s="2981"/>
      <c r="G2" s="2981"/>
      <c r="H2" s="2981"/>
      <c r="I2" s="2981"/>
      <c r="J2" s="2981"/>
      <c r="K2" s="387"/>
      <c r="L2" s="387"/>
      <c r="M2" s="387"/>
      <c r="N2" s="387"/>
      <c r="O2" s="387"/>
    </row>
    <row r="3" spans="1:15" s="388" customFormat="1" ht="39.75" customHeight="1">
      <c r="A3" s="1214"/>
      <c r="B3" s="1214"/>
      <c r="C3" s="2989" t="s">
        <v>1968</v>
      </c>
      <c r="D3" s="2989"/>
      <c r="E3" s="2989"/>
      <c r="F3" s="2989"/>
      <c r="G3" s="2989"/>
      <c r="H3" s="2989"/>
      <c r="I3" s="2989"/>
      <c r="J3" s="2989"/>
      <c r="K3" s="387"/>
      <c r="L3" s="387"/>
      <c r="M3" s="387"/>
      <c r="N3" s="387"/>
      <c r="O3" s="387"/>
    </row>
    <row r="4" spans="1:15" s="388" customFormat="1" ht="39.75" customHeight="1">
      <c r="A4" s="1214"/>
      <c r="B4" s="1214"/>
      <c r="C4" s="2989" t="str">
        <f>مفروضات!A6</f>
        <v xml:space="preserve"> سال مالي منتهي به 29 اسفند 1401</v>
      </c>
      <c r="D4" s="2989"/>
      <c r="E4" s="2989"/>
      <c r="F4" s="2989"/>
      <c r="G4" s="2989"/>
      <c r="H4" s="2989"/>
      <c r="I4" s="2989"/>
      <c r="J4" s="2989"/>
      <c r="K4" s="387"/>
      <c r="L4" s="387"/>
      <c r="M4" s="387"/>
      <c r="N4" s="387"/>
      <c r="O4" s="387"/>
    </row>
    <row r="5" spans="1:15" ht="42.75" customHeight="1">
      <c r="C5" s="389"/>
      <c r="D5" s="389"/>
      <c r="E5" s="390"/>
      <c r="F5" s="391"/>
      <c r="G5" s="391"/>
      <c r="H5" s="2992" t="s">
        <v>1950</v>
      </c>
      <c r="I5" s="2992"/>
      <c r="J5" s="2992"/>
      <c r="K5" s="390"/>
      <c r="L5" s="390"/>
      <c r="M5" s="390"/>
      <c r="N5" s="390"/>
      <c r="O5" s="390"/>
    </row>
    <row r="6" spans="1:15" ht="42.75" customHeight="1">
      <c r="C6" s="390"/>
      <c r="D6" s="390"/>
      <c r="E6" s="393"/>
      <c r="F6" s="391"/>
      <c r="G6" s="391"/>
      <c r="H6" s="2711"/>
      <c r="I6" s="2711"/>
      <c r="J6" s="2709"/>
      <c r="K6" s="390"/>
      <c r="L6" s="390"/>
      <c r="M6" s="390"/>
      <c r="N6" s="390"/>
      <c r="O6" s="390"/>
    </row>
    <row r="7" spans="1:15" ht="36" customHeight="1">
      <c r="C7" s="756"/>
      <c r="D7" s="834" t="s">
        <v>478</v>
      </c>
      <c r="E7" s="757"/>
      <c r="F7" s="2990" t="str">
        <f>مفروضات!A10</f>
        <v>سال 1401</v>
      </c>
      <c r="G7" s="2990"/>
      <c r="H7" s="2990"/>
      <c r="I7" s="741"/>
      <c r="J7" s="742" t="s">
        <v>2109</v>
      </c>
      <c r="K7" s="390"/>
      <c r="L7" s="390"/>
      <c r="M7" s="390"/>
      <c r="N7" s="390"/>
      <c r="O7" s="390"/>
    </row>
    <row r="8" spans="1:15" ht="31.5" hidden="1" customHeight="1">
      <c r="C8" s="848"/>
      <c r="D8" s="848"/>
      <c r="E8" s="757"/>
      <c r="F8" s="759"/>
      <c r="G8" s="757"/>
      <c r="H8" s="759"/>
      <c r="I8" s="759"/>
      <c r="J8" s="760"/>
      <c r="K8" s="390"/>
      <c r="L8" s="390"/>
      <c r="M8" s="390"/>
      <c r="N8" s="390"/>
      <c r="O8" s="390"/>
    </row>
    <row r="9" spans="1:15" ht="40.5" customHeight="1">
      <c r="C9" s="973" t="s">
        <v>2078</v>
      </c>
      <c r="D9" s="396"/>
      <c r="E9" s="757"/>
      <c r="F9" s="397"/>
      <c r="G9" s="397"/>
      <c r="H9" s="397"/>
      <c r="I9" s="397"/>
      <c r="J9" s="398"/>
      <c r="K9" s="390"/>
      <c r="L9" s="390"/>
      <c r="M9" s="390"/>
      <c r="N9" s="390"/>
      <c r="O9" s="390"/>
    </row>
    <row r="10" spans="1:15" ht="40.5" customHeight="1">
      <c r="C10" s="972" t="s">
        <v>2079</v>
      </c>
      <c r="D10" s="400">
        <v>21</v>
      </c>
      <c r="E10" s="399"/>
      <c r="F10" s="399"/>
      <c r="G10" s="399"/>
      <c r="H10" s="566">
        <f>'27'!K22</f>
        <v>1945436</v>
      </c>
      <c r="I10" s="399"/>
      <c r="J10" s="399">
        <v>570337</v>
      </c>
      <c r="K10" s="390"/>
      <c r="L10" s="390"/>
      <c r="M10" s="390"/>
      <c r="N10" s="390"/>
      <c r="O10" s="390"/>
    </row>
    <row r="11" spans="1:15" ht="40.5" customHeight="1">
      <c r="C11" s="972" t="s">
        <v>2080</v>
      </c>
      <c r="D11" s="400"/>
      <c r="E11" s="399"/>
      <c r="F11" s="399"/>
      <c r="G11" s="399"/>
      <c r="H11" s="561">
        <f>-'21'!H25-24424</f>
        <v>-74424</v>
      </c>
      <c r="I11" s="399"/>
      <c r="J11" s="561">
        <v>-351286</v>
      </c>
      <c r="K11" s="390"/>
      <c r="L11" s="390"/>
      <c r="M11" s="390"/>
      <c r="N11" s="390"/>
      <c r="O11" s="390"/>
    </row>
    <row r="12" spans="1:15" s="1440" customFormat="1" ht="40.5" customHeight="1">
      <c r="A12" s="353"/>
      <c r="B12" s="353"/>
      <c r="C12" s="972" t="s">
        <v>2081</v>
      </c>
      <c r="D12" s="400"/>
      <c r="E12" s="399"/>
      <c r="F12" s="399"/>
      <c r="G12" s="399"/>
      <c r="H12" s="561">
        <f>H10+H11</f>
        <v>1871012</v>
      </c>
      <c r="I12" s="399"/>
      <c r="J12" s="561">
        <f>J10+J11</f>
        <v>219051</v>
      </c>
      <c r="K12" s="390"/>
      <c r="L12" s="390"/>
      <c r="M12" s="390"/>
      <c r="N12" s="390"/>
      <c r="O12" s="390"/>
    </row>
    <row r="13" spans="1:15" ht="48.75" customHeight="1">
      <c r="C13" s="973" t="s">
        <v>2082</v>
      </c>
      <c r="D13" s="743"/>
      <c r="E13" s="399"/>
      <c r="F13" s="399"/>
      <c r="G13" s="399"/>
      <c r="H13" s="1445"/>
      <c r="I13" s="399"/>
      <c r="J13" s="744"/>
      <c r="K13" s="390"/>
      <c r="L13" s="390"/>
      <c r="M13" s="390"/>
      <c r="N13" s="390"/>
      <c r="O13" s="390"/>
    </row>
    <row r="14" spans="1:15" ht="40.5" hidden="1" customHeight="1">
      <c r="C14" s="972" t="s">
        <v>2083</v>
      </c>
      <c r="D14" s="400"/>
      <c r="E14" s="399"/>
      <c r="G14" s="399"/>
      <c r="H14" s="566">
        <f>'12-13'!H104</f>
        <v>0</v>
      </c>
      <c r="I14" s="399"/>
      <c r="J14" s="567"/>
      <c r="K14" s="390"/>
      <c r="L14" s="390"/>
      <c r="M14" s="390"/>
      <c r="N14" s="390"/>
      <c r="O14" s="390"/>
    </row>
    <row r="15" spans="1:15" ht="40.5" customHeight="1">
      <c r="C15" s="972" t="s">
        <v>2084</v>
      </c>
      <c r="D15" s="400"/>
      <c r="E15" s="399"/>
      <c r="G15" s="399"/>
      <c r="H15" s="566">
        <f>-('14'!O15)</f>
        <v>-649179</v>
      </c>
      <c r="I15" s="399"/>
      <c r="J15" s="824">
        <v>-446173</v>
      </c>
      <c r="K15" s="390"/>
      <c r="L15" s="390"/>
      <c r="M15" s="390"/>
      <c r="N15" s="390"/>
      <c r="O15" s="390"/>
    </row>
    <row r="16" spans="1:15" ht="40.5" customHeight="1">
      <c r="C16" s="972" t="s">
        <v>2152</v>
      </c>
      <c r="D16" s="400"/>
      <c r="E16" s="399"/>
      <c r="G16" s="399"/>
      <c r="H16" s="566">
        <f>-'18'!N12</f>
        <v>95</v>
      </c>
      <c r="I16" s="399"/>
      <c r="J16" s="824">
        <v>0</v>
      </c>
      <c r="K16" s="390"/>
      <c r="L16" s="390"/>
      <c r="M16" s="390"/>
      <c r="N16" s="390"/>
      <c r="O16" s="390"/>
    </row>
    <row r="17" spans="1:16" ht="40.5" customHeight="1">
      <c r="C17" s="972" t="s">
        <v>2085</v>
      </c>
      <c r="D17" s="400"/>
      <c r="E17" s="399"/>
      <c r="G17" s="399"/>
      <c r="H17" s="566">
        <f>-'18'!N11</f>
        <v>-161</v>
      </c>
      <c r="I17" s="399"/>
      <c r="J17" s="825">
        <v>-983</v>
      </c>
      <c r="K17" s="401"/>
      <c r="L17" s="401"/>
      <c r="M17" s="401"/>
      <c r="N17" s="401"/>
      <c r="O17" s="401"/>
    </row>
    <row r="18" spans="1:16" ht="40.5" customHeight="1">
      <c r="A18" s="761" t="s">
        <v>2179</v>
      </c>
      <c r="C18" s="743" t="s">
        <v>2223</v>
      </c>
      <c r="D18" s="396"/>
      <c r="E18" s="399"/>
      <c r="F18" s="399"/>
      <c r="G18" s="399"/>
      <c r="H18" s="744">
        <f>SUM(H14:H17)</f>
        <v>-649245</v>
      </c>
      <c r="I18" s="399"/>
      <c r="J18" s="744">
        <f>SUM(J14:J17)</f>
        <v>-447156</v>
      </c>
      <c r="K18" s="401"/>
      <c r="L18" s="401"/>
      <c r="M18" s="401"/>
      <c r="N18" s="401"/>
      <c r="O18" s="401"/>
    </row>
    <row r="19" spans="1:16" s="2295" customFormat="1" ht="40.5" customHeight="1">
      <c r="A19" s="761"/>
      <c r="B19" s="353"/>
      <c r="C19" s="743" t="s">
        <v>2605</v>
      </c>
      <c r="D19" s="396"/>
      <c r="E19" s="399"/>
      <c r="F19" s="399"/>
      <c r="G19" s="399"/>
      <c r="H19" s="399">
        <f>H12+H18</f>
        <v>1221767</v>
      </c>
      <c r="I19" s="399"/>
      <c r="J19" s="399">
        <f>J18+J12</f>
        <v>-228105</v>
      </c>
      <c r="K19" s="401"/>
      <c r="L19" s="401"/>
      <c r="M19" s="401"/>
      <c r="N19" s="401"/>
      <c r="O19" s="401"/>
    </row>
    <row r="20" spans="1:16" s="1440" customFormat="1" ht="40.5" customHeight="1">
      <c r="A20" s="353"/>
      <c r="B20" s="353"/>
      <c r="C20" s="973" t="s">
        <v>2086</v>
      </c>
      <c r="D20" s="396"/>
      <c r="E20" s="399"/>
      <c r="F20" s="399"/>
      <c r="G20" s="399"/>
      <c r="H20" s="399"/>
      <c r="I20" s="399"/>
      <c r="J20" s="399"/>
      <c r="K20" s="401"/>
      <c r="L20" s="401"/>
      <c r="M20" s="401"/>
      <c r="N20" s="401"/>
      <c r="O20" s="401"/>
    </row>
    <row r="21" spans="1:16" s="1440" customFormat="1" ht="40.5" customHeight="1">
      <c r="A21" s="353"/>
      <c r="B21" s="353"/>
      <c r="C21" s="972" t="s">
        <v>2688</v>
      </c>
      <c r="D21" s="396"/>
      <c r="E21" s="399"/>
      <c r="F21" s="399"/>
      <c r="G21" s="399"/>
      <c r="H21" s="561">
        <f>-('19'!J59)</f>
        <v>-10333</v>
      </c>
      <c r="I21" s="399"/>
      <c r="J21" s="561">
        <v>0</v>
      </c>
      <c r="K21" s="401"/>
      <c r="L21" s="401"/>
      <c r="M21" s="401"/>
      <c r="N21" s="401"/>
      <c r="O21" s="401"/>
    </row>
    <row r="22" spans="1:16" ht="42" customHeight="1">
      <c r="C22" s="743" t="s">
        <v>2466</v>
      </c>
      <c r="D22" s="396"/>
      <c r="E22" s="399"/>
      <c r="F22" s="399"/>
      <c r="G22" s="399"/>
      <c r="H22" s="399">
        <f>H19+H21</f>
        <v>1211434</v>
      </c>
      <c r="I22" s="399" t="e">
        <f>I18+#REF!+I10+I33</f>
        <v>#REF!</v>
      </c>
      <c r="J22" s="399">
        <f>J19+J21</f>
        <v>-228105</v>
      </c>
      <c r="K22" s="401"/>
      <c r="L22" s="401"/>
      <c r="M22" s="401"/>
      <c r="N22" s="401"/>
      <c r="O22" s="401"/>
    </row>
    <row r="23" spans="1:16" ht="0.75" hidden="1" customHeight="1">
      <c r="C23" s="973" t="s">
        <v>1446</v>
      </c>
      <c r="D23" s="396"/>
      <c r="E23" s="399"/>
      <c r="F23" s="399"/>
      <c r="G23" s="399"/>
      <c r="H23" s="761"/>
      <c r="I23" s="399"/>
      <c r="J23" s="399"/>
      <c r="K23" s="401"/>
      <c r="L23" s="401"/>
      <c r="M23" s="401"/>
      <c r="N23" s="401"/>
      <c r="O23" s="401"/>
    </row>
    <row r="24" spans="1:16" ht="40.5" hidden="1" customHeight="1">
      <c r="C24" s="848" t="s">
        <v>1701</v>
      </c>
      <c r="D24" s="396"/>
      <c r="E24" s="399"/>
      <c r="F24" s="399"/>
      <c r="G24" s="399"/>
      <c r="H24" s="561">
        <v>0</v>
      </c>
      <c r="I24" s="399"/>
      <c r="J24" s="561">
        <v>0</v>
      </c>
      <c r="K24" s="401"/>
      <c r="L24" s="401"/>
      <c r="M24" s="401"/>
      <c r="N24" s="401"/>
      <c r="O24" s="401"/>
    </row>
    <row r="25" spans="1:16" ht="40.5" hidden="1" customHeight="1">
      <c r="C25" s="743" t="s">
        <v>1780</v>
      </c>
      <c r="D25" s="396"/>
      <c r="E25" s="399"/>
      <c r="F25" s="399"/>
      <c r="G25" s="399"/>
      <c r="H25" s="399">
        <f>SUM(H22:H24)</f>
        <v>1211434</v>
      </c>
      <c r="I25" s="399"/>
      <c r="J25" s="399">
        <v>-3648054</v>
      </c>
      <c r="K25" s="401"/>
      <c r="L25" s="401"/>
      <c r="M25" s="401"/>
      <c r="N25" s="401"/>
      <c r="O25" s="401"/>
    </row>
    <row r="26" spans="1:16" ht="40.5" customHeight="1">
      <c r="C26" s="395" t="s">
        <v>2087</v>
      </c>
      <c r="D26" s="396"/>
      <c r="E26" s="399"/>
      <c r="F26" s="399"/>
      <c r="G26" s="399" t="s">
        <v>2178</v>
      </c>
      <c r="H26" s="561">
        <f>'22'!L30</f>
        <v>399069</v>
      </c>
      <c r="I26" s="399"/>
      <c r="J26" s="561">
        <v>627174</v>
      </c>
      <c r="K26" s="401"/>
      <c r="L26" s="401"/>
      <c r="M26" s="401"/>
      <c r="N26" s="401"/>
      <c r="O26" s="401"/>
    </row>
    <row r="27" spans="1:16" ht="40.5" customHeight="1" thickBot="1">
      <c r="C27" s="395" t="s">
        <v>2088</v>
      </c>
      <c r="D27" s="396"/>
      <c r="E27" s="399"/>
      <c r="F27" s="399"/>
      <c r="G27" s="399"/>
      <c r="H27" s="564">
        <f>SUM(H25:H26)</f>
        <v>1610503</v>
      </c>
      <c r="I27" s="399"/>
      <c r="J27" s="745">
        <v>399069</v>
      </c>
      <c r="K27" s="401"/>
      <c r="L27" s="401"/>
      <c r="M27" s="401"/>
      <c r="N27" s="401"/>
      <c r="O27" s="401"/>
    </row>
    <row r="28" spans="1:16" s="2818" customFormat="1" ht="40.5" customHeight="1" thickTop="1">
      <c r="A28" s="353"/>
      <c r="B28" s="353"/>
      <c r="C28" s="395"/>
      <c r="D28" s="396"/>
      <c r="E28" s="399"/>
      <c r="F28" s="399"/>
      <c r="G28" s="399"/>
      <c r="H28" s="399"/>
      <c r="I28" s="399"/>
      <c r="J28" s="2820"/>
      <c r="K28" s="401"/>
      <c r="L28" s="401"/>
      <c r="M28" s="401"/>
      <c r="N28" s="401"/>
      <c r="O28" s="401"/>
    </row>
    <row r="29" spans="1:16" ht="40.5" customHeight="1">
      <c r="C29" s="743" t="s">
        <v>2089</v>
      </c>
      <c r="D29" s="400">
        <v>22</v>
      </c>
      <c r="E29" s="399"/>
      <c r="F29" s="402"/>
      <c r="G29" s="402"/>
      <c r="H29" s="2821">
        <f>'27'!K26</f>
        <v>72698139</v>
      </c>
      <c r="I29" s="535"/>
      <c r="J29" s="2821">
        <v>29205201</v>
      </c>
      <c r="K29" s="401"/>
      <c r="L29" s="401"/>
      <c r="M29" s="401"/>
      <c r="N29" s="401"/>
      <c r="O29" s="401"/>
    </row>
    <row r="30" spans="1:16" s="386" customFormat="1" ht="83.25" customHeight="1">
      <c r="B30" s="1346">
        <f>-'سود و زیان'!A18</f>
        <v>0</v>
      </c>
      <c r="C30" s="2179"/>
      <c r="D30" s="2180"/>
      <c r="E30" s="1666"/>
      <c r="F30" s="1666"/>
      <c r="G30" s="1666"/>
      <c r="H30" s="2181">
        <f>H27-'22'!J30</f>
        <v>0</v>
      </c>
      <c r="I30" s="2182"/>
      <c r="J30" s="2182">
        <f>J27-'22'!L30</f>
        <v>0</v>
      </c>
      <c r="K30" s="956"/>
      <c r="L30" s="956"/>
      <c r="M30" s="956"/>
      <c r="N30" s="956"/>
      <c r="O30" s="956"/>
    </row>
    <row r="31" spans="1:16" ht="48.75" customHeight="1">
      <c r="C31" s="2991" t="s">
        <v>1501</v>
      </c>
      <c r="D31" s="2991"/>
      <c r="E31" s="2991"/>
      <c r="F31" s="2991"/>
      <c r="G31" s="2991"/>
      <c r="H31" s="2991"/>
      <c r="I31" s="2991"/>
      <c r="J31" s="2991"/>
      <c r="K31" s="390"/>
      <c r="L31" s="390"/>
      <c r="M31" s="390"/>
      <c r="N31" s="1026"/>
      <c r="O31" s="1026"/>
      <c r="P31" s="386"/>
    </row>
    <row r="32" spans="1:16" ht="48.75" customHeight="1">
      <c r="C32" s="1607"/>
      <c r="D32" s="1607"/>
      <c r="E32" s="1607"/>
      <c r="F32" s="1607"/>
      <c r="G32" s="1607"/>
      <c r="H32" s="1607"/>
      <c r="I32" s="1607"/>
      <c r="J32" s="1607"/>
      <c r="K32" s="390"/>
      <c r="L32" s="390"/>
      <c r="M32" s="390"/>
      <c r="N32" s="1026"/>
      <c r="O32" s="1026"/>
      <c r="P32" s="386"/>
    </row>
    <row r="33" spans="3:15" ht="65.25" customHeight="1">
      <c r="C33" s="972"/>
      <c r="D33" s="743"/>
      <c r="E33" s="399"/>
      <c r="G33" s="399"/>
      <c r="H33" s="566"/>
      <c r="I33" s="399"/>
      <c r="J33" s="399"/>
      <c r="K33" s="390"/>
      <c r="L33" s="390"/>
      <c r="M33" s="390"/>
      <c r="N33" s="390"/>
      <c r="O33" s="390"/>
    </row>
    <row r="34" spans="3:15" ht="65.25" customHeight="1">
      <c r="C34" s="1438"/>
      <c r="D34" s="1438"/>
      <c r="E34" s="1438"/>
      <c r="F34" s="1438"/>
      <c r="G34" s="1438"/>
      <c r="H34" s="1153"/>
      <c r="I34" s="1438"/>
      <c r="J34" s="1438"/>
      <c r="K34" s="390"/>
      <c r="L34" s="390"/>
      <c r="M34" s="390"/>
      <c r="N34" s="390"/>
      <c r="O34" s="390"/>
    </row>
    <row r="35" spans="3:15" ht="222.75" customHeight="1">
      <c r="C35" s="2988">
        <v>5</v>
      </c>
      <c r="D35" s="2988"/>
      <c r="E35" s="2988"/>
      <c r="F35" s="2988"/>
      <c r="G35" s="2988"/>
      <c r="H35" s="2988"/>
      <c r="I35" s="2988"/>
      <c r="J35" s="2988"/>
      <c r="K35" s="390"/>
      <c r="L35" s="390"/>
      <c r="M35" s="390"/>
      <c r="N35" s="390"/>
      <c r="O35" s="390"/>
    </row>
    <row r="36" spans="3:15">
      <c r="C36" s="403"/>
      <c r="D36" s="404"/>
      <c r="E36" s="390"/>
      <c r="F36" s="391"/>
      <c r="G36" s="391"/>
      <c r="H36" s="391"/>
      <c r="I36" s="391"/>
      <c r="J36" s="392"/>
      <c r="K36" s="390"/>
      <c r="L36" s="390"/>
      <c r="M36" s="390"/>
      <c r="N36" s="390"/>
      <c r="O36" s="390"/>
    </row>
    <row r="37" spans="3:15" ht="37.5">
      <c r="C37" s="403"/>
      <c r="D37" s="405"/>
      <c r="E37" s="390"/>
      <c r="F37" s="391"/>
      <c r="G37" s="391"/>
      <c r="H37" s="391"/>
      <c r="I37" s="391"/>
      <c r="J37" s="392"/>
      <c r="K37" s="390"/>
      <c r="L37" s="390"/>
      <c r="M37" s="390"/>
      <c r="N37" s="390"/>
      <c r="O37" s="390"/>
    </row>
    <row r="38" spans="3:15">
      <c r="C38" s="390"/>
      <c r="D38" s="390"/>
      <c r="E38" s="390"/>
      <c r="F38" s="391"/>
      <c r="G38" s="391"/>
      <c r="H38" s="391"/>
      <c r="I38" s="391"/>
      <c r="J38" s="392"/>
      <c r="K38" s="390"/>
      <c r="L38" s="390"/>
      <c r="M38" s="390"/>
      <c r="N38" s="390"/>
      <c r="O38" s="390"/>
    </row>
    <row r="39" spans="3:15" ht="56.25" customHeight="1">
      <c r="C39" s="406"/>
      <c r="D39" s="407"/>
      <c r="E39" s="401"/>
      <c r="F39" s="394"/>
      <c r="G39" s="394"/>
      <c r="H39" s="391"/>
      <c r="I39" s="391"/>
      <c r="J39" s="392"/>
      <c r="K39" s="390"/>
      <c r="L39" s="390"/>
      <c r="M39" s="390"/>
      <c r="N39" s="390"/>
      <c r="O39" s="390"/>
    </row>
    <row r="40" spans="3:15">
      <c r="C40" s="406"/>
      <c r="D40" s="407"/>
      <c r="E40" s="401"/>
      <c r="F40" s="394"/>
      <c r="G40" s="394"/>
      <c r="H40" s="391"/>
      <c r="I40" s="391"/>
      <c r="J40" s="392"/>
      <c r="K40" s="390"/>
      <c r="L40" s="390"/>
      <c r="M40" s="390"/>
      <c r="N40" s="390"/>
      <c r="O40" s="390"/>
    </row>
    <row r="41" spans="3:15">
      <c r="C41" s="406"/>
      <c r="D41" s="407"/>
      <c r="E41" s="401"/>
      <c r="F41" s="394"/>
      <c r="G41" s="394"/>
      <c r="H41" s="391"/>
      <c r="I41" s="391"/>
      <c r="J41" s="392"/>
      <c r="K41" s="390"/>
      <c r="L41" s="390"/>
      <c r="M41" s="390"/>
      <c r="N41" s="390"/>
      <c r="O41" s="390"/>
    </row>
    <row r="42" spans="3:15">
      <c r="C42" s="406"/>
      <c r="D42" s="407"/>
      <c r="E42" s="401"/>
      <c r="F42" s="394"/>
      <c r="G42" s="394"/>
      <c r="H42" s="391"/>
      <c r="I42" s="391"/>
      <c r="J42" s="392"/>
      <c r="K42" s="390"/>
      <c r="L42" s="390"/>
      <c r="M42" s="390"/>
      <c r="N42" s="390"/>
      <c r="O42" s="390"/>
    </row>
    <row r="43" spans="3:15">
      <c r="C43" s="406"/>
      <c r="D43" s="407"/>
      <c r="E43" s="401"/>
      <c r="F43" s="394"/>
      <c r="G43" s="394"/>
      <c r="H43" s="391"/>
      <c r="I43" s="391"/>
      <c r="J43" s="392"/>
      <c r="K43" s="390"/>
      <c r="L43" s="390"/>
      <c r="M43" s="390"/>
      <c r="N43" s="390"/>
      <c r="O43" s="390"/>
    </row>
    <row r="44" spans="3:15">
      <c r="C44" s="406"/>
      <c r="D44" s="407"/>
      <c r="E44" s="401"/>
      <c r="F44" s="394"/>
      <c r="G44" s="394"/>
      <c r="H44" s="391"/>
      <c r="I44" s="391"/>
      <c r="J44" s="392"/>
      <c r="K44" s="390"/>
      <c r="L44" s="390"/>
      <c r="M44" s="390"/>
      <c r="N44" s="390"/>
      <c r="O44" s="390"/>
    </row>
    <row r="45" spans="3:15">
      <c r="C45" s="406"/>
      <c r="D45" s="407"/>
      <c r="E45" s="401"/>
      <c r="F45" s="394"/>
      <c r="G45" s="408"/>
      <c r="H45" s="391"/>
      <c r="I45" s="391"/>
      <c r="J45" s="392"/>
      <c r="K45" s="390"/>
      <c r="L45" s="390"/>
      <c r="M45" s="390"/>
      <c r="N45" s="390"/>
      <c r="O45" s="390"/>
    </row>
    <row r="46" spans="3:15">
      <c r="C46" s="406"/>
      <c r="D46" s="407"/>
      <c r="E46" s="401"/>
      <c r="F46" s="394"/>
      <c r="G46" s="408"/>
      <c r="H46" s="391"/>
      <c r="I46" s="391"/>
      <c r="J46" s="392"/>
      <c r="K46" s="390"/>
      <c r="L46" s="390"/>
      <c r="M46" s="390"/>
      <c r="N46" s="390"/>
      <c r="O46" s="390"/>
    </row>
    <row r="47" spans="3:15">
      <c r="C47" s="403"/>
      <c r="D47" s="409"/>
      <c r="E47" s="409"/>
      <c r="F47" s="408"/>
      <c r="G47" s="391"/>
      <c r="H47" s="391"/>
      <c r="I47" s="391"/>
      <c r="J47" s="392"/>
      <c r="K47" s="390"/>
      <c r="L47" s="390"/>
      <c r="M47" s="390"/>
      <c r="N47" s="390"/>
      <c r="O47" s="390"/>
    </row>
    <row r="48" spans="3:15">
      <c r="C48" s="403"/>
      <c r="D48" s="410"/>
      <c r="E48" s="410"/>
      <c r="F48" s="408"/>
      <c r="G48" s="391"/>
      <c r="H48" s="391"/>
      <c r="I48" s="391"/>
      <c r="J48" s="392"/>
      <c r="K48" s="390"/>
      <c r="L48" s="390"/>
      <c r="M48" s="390"/>
      <c r="N48" s="390"/>
      <c r="O48" s="390"/>
    </row>
    <row r="59" spans="10:10">
      <c r="J59" s="411">
        <v>-7717613</v>
      </c>
    </row>
  </sheetData>
  <mergeCells count="7">
    <mergeCell ref="C35:J35"/>
    <mergeCell ref="C2:J2"/>
    <mergeCell ref="C3:J3"/>
    <mergeCell ref="C4:J4"/>
    <mergeCell ref="F7:H7"/>
    <mergeCell ref="C31:J31"/>
    <mergeCell ref="H5:J5"/>
  </mergeCells>
  <printOptions horizontalCentered="1" verticalCentered="1"/>
  <pageMargins left="0" right="0" top="0" bottom="0" header="0" footer="0"/>
  <pageSetup paperSize="9"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40"/>
  <sheetViews>
    <sheetView rightToLeft="1" view="pageBreakPreview" zoomScale="60" zoomScaleNormal="60" workbookViewId="0">
      <selection activeCell="B4" sqref="B4:J4"/>
    </sheetView>
  </sheetViews>
  <sheetFormatPr defaultColWidth="8.75" defaultRowHeight="31.5" customHeight="1"/>
  <cols>
    <col min="1" max="1" width="8.75" style="866"/>
    <col min="2" max="2" width="6.25" customWidth="1"/>
    <col min="3" max="3" width="28.125" customWidth="1"/>
    <col min="4" max="4" width="6.875" customWidth="1"/>
    <col min="5" max="5" width="9.125" customWidth="1"/>
    <col min="6" max="6" width="11" customWidth="1"/>
    <col min="7" max="7" width="5.25" customWidth="1"/>
    <col min="8" max="8" width="19.625" customWidth="1"/>
    <col min="9" max="9" width="21.375" customWidth="1"/>
    <col min="10" max="10" width="33.875" customWidth="1"/>
    <col min="11" max="16384" width="8.75" style="866"/>
  </cols>
  <sheetData>
    <row r="1" spans="2:10" customFormat="1" ht="125.25" customHeight="1">
      <c r="B1" s="2998"/>
      <c r="C1" s="2998"/>
      <c r="D1" s="2998"/>
      <c r="E1" s="2998"/>
      <c r="F1" s="2998"/>
      <c r="G1" s="2998"/>
      <c r="H1" s="2998"/>
      <c r="I1" s="2998"/>
      <c r="J1" s="2998"/>
    </row>
    <row r="2" spans="2:10" customFormat="1" ht="34.5" customHeight="1">
      <c r="B2" s="2999" t="s">
        <v>2338</v>
      </c>
      <c r="C2" s="2999"/>
      <c r="D2" s="2999"/>
      <c r="E2" s="2999"/>
      <c r="F2" s="2999"/>
      <c r="G2" s="2999"/>
      <c r="H2" s="2999"/>
      <c r="I2" s="2999"/>
      <c r="J2" s="2999"/>
    </row>
    <row r="3" spans="2:10" customFormat="1" ht="33" customHeight="1">
      <c r="B3" s="2999" t="s">
        <v>2329</v>
      </c>
      <c r="C3" s="2999"/>
      <c r="D3" s="2999"/>
      <c r="E3" s="2999"/>
      <c r="F3" s="2999"/>
      <c r="G3" s="2999"/>
      <c r="H3" s="2999"/>
      <c r="I3" s="2999"/>
      <c r="J3" s="2999"/>
    </row>
    <row r="4" spans="2:10" customFormat="1" ht="33" customHeight="1">
      <c r="B4" s="2999" t="s">
        <v>2365</v>
      </c>
      <c r="C4" s="2999"/>
      <c r="D4" s="2999"/>
      <c r="E4" s="2999"/>
      <c r="F4" s="2999"/>
      <c r="G4" s="2999"/>
      <c r="H4" s="2999"/>
      <c r="I4" s="2999"/>
      <c r="J4" s="2999"/>
    </row>
    <row r="5" spans="2:10" customFormat="1" ht="60.75" customHeight="1">
      <c r="B5" s="2996" t="s">
        <v>2330</v>
      </c>
      <c r="C5" s="2996"/>
      <c r="D5" s="2996"/>
      <c r="E5" s="2996"/>
      <c r="F5" s="2996"/>
      <c r="G5" s="2996"/>
      <c r="H5" s="2996"/>
      <c r="I5" s="2996"/>
      <c r="J5" s="2996"/>
    </row>
    <row r="6" spans="2:10" customFormat="1" ht="50.25" customHeight="1">
      <c r="B6" s="2996" t="s">
        <v>2331</v>
      </c>
      <c r="C6" s="2996"/>
      <c r="D6" s="2996"/>
      <c r="E6" s="2996"/>
      <c r="F6" s="2996"/>
      <c r="G6" s="2996"/>
      <c r="H6" s="2996"/>
      <c r="I6" s="2996"/>
      <c r="J6" s="2996"/>
    </row>
    <row r="7" spans="2:10" customFormat="1" ht="50.25" customHeight="1">
      <c r="B7" s="2996" t="s">
        <v>2366</v>
      </c>
      <c r="C7" s="2996"/>
      <c r="D7" s="2996"/>
      <c r="E7" s="2996"/>
      <c r="F7" s="2996"/>
      <c r="G7" s="2996"/>
      <c r="H7" s="2996"/>
      <c r="I7" s="2996"/>
      <c r="J7" s="2996"/>
    </row>
    <row r="8" spans="2:10" customFormat="1" ht="50.25" customHeight="1">
      <c r="B8" s="2996" t="s">
        <v>2332</v>
      </c>
      <c r="C8" s="2996"/>
      <c r="D8" s="2996"/>
      <c r="E8" s="2996"/>
      <c r="F8" s="2996"/>
      <c r="G8" s="2996"/>
      <c r="H8" s="2996"/>
      <c r="I8" s="2996"/>
      <c r="J8" s="2996"/>
    </row>
    <row r="9" spans="2:10" customFormat="1" ht="17.25" customHeight="1">
      <c r="B9" s="2480"/>
      <c r="C9" s="372"/>
      <c r="D9" s="372"/>
      <c r="E9" s="372"/>
      <c r="F9" s="372"/>
      <c r="G9" s="372"/>
      <c r="H9" s="372"/>
      <c r="I9" s="372"/>
      <c r="J9" s="372"/>
    </row>
    <row r="10" spans="2:10" customFormat="1" ht="43.5" customHeight="1">
      <c r="B10" s="2481"/>
      <c r="C10" s="976"/>
      <c r="D10" s="976"/>
      <c r="E10" s="976"/>
      <c r="F10" s="976"/>
      <c r="G10" s="976"/>
      <c r="H10" s="2488"/>
      <c r="I10" s="2482"/>
      <c r="J10" s="2487" t="s">
        <v>732</v>
      </c>
    </row>
    <row r="11" spans="2:10" customFormat="1" ht="43.5" customHeight="1">
      <c r="B11" s="2481"/>
      <c r="C11" s="2484" t="s">
        <v>2458</v>
      </c>
      <c r="D11" s="976"/>
      <c r="E11" s="976"/>
      <c r="F11" s="976"/>
      <c r="G11" s="976"/>
      <c r="H11" s="2489"/>
      <c r="I11" s="2481"/>
      <c r="J11" s="2485">
        <v>2</v>
      </c>
    </row>
    <row r="12" spans="2:10" customFormat="1" ht="43.5" customHeight="1">
      <c r="B12" s="2481"/>
      <c r="C12" s="2484" t="s">
        <v>2459</v>
      </c>
      <c r="D12" s="976"/>
      <c r="E12" s="976"/>
      <c r="F12" s="976"/>
      <c r="G12" s="976"/>
      <c r="H12" s="2485"/>
      <c r="I12" s="2481"/>
      <c r="J12" s="2485">
        <v>3</v>
      </c>
    </row>
    <row r="13" spans="2:10" customFormat="1" ht="43.5" customHeight="1">
      <c r="B13" s="2481"/>
      <c r="C13" s="2995" t="s">
        <v>2461</v>
      </c>
      <c r="D13" s="2995"/>
      <c r="E13" s="2995"/>
      <c r="F13" s="976"/>
      <c r="G13" s="976"/>
      <c r="H13" s="2485"/>
      <c r="I13" s="2481"/>
      <c r="J13" s="2485">
        <v>4</v>
      </c>
    </row>
    <row r="14" spans="2:10" customFormat="1" ht="43.5" customHeight="1">
      <c r="B14" s="2481"/>
      <c r="C14" s="2484" t="s">
        <v>2460</v>
      </c>
      <c r="D14" s="976"/>
      <c r="E14" s="976"/>
      <c r="F14" s="976"/>
      <c r="G14" s="976"/>
      <c r="H14" s="2485"/>
      <c r="I14" s="2481"/>
      <c r="J14" s="2485">
        <v>5</v>
      </c>
    </row>
    <row r="15" spans="2:10" customFormat="1" ht="43.5" customHeight="1">
      <c r="B15" s="2481"/>
      <c r="C15" s="2995" t="s">
        <v>2462</v>
      </c>
      <c r="D15" s="2995"/>
      <c r="E15" s="2995"/>
      <c r="F15" s="976"/>
      <c r="G15" s="976"/>
      <c r="H15" s="2486"/>
      <c r="I15" s="2481"/>
      <c r="J15" s="2486" t="s">
        <v>2539</v>
      </c>
    </row>
    <row r="16" spans="2:10" customFormat="1" ht="60.75" customHeight="1">
      <c r="B16" s="2481"/>
      <c r="C16" s="2481"/>
      <c r="D16" s="2481"/>
      <c r="E16" s="2481"/>
      <c r="F16" s="2481"/>
      <c r="G16" s="2481"/>
      <c r="H16" s="2481"/>
      <c r="I16" s="2481"/>
      <c r="J16" s="2481"/>
    </row>
    <row r="17" spans="2:10" customFormat="1" ht="60.75" customHeight="1">
      <c r="B17" s="2996" t="s">
        <v>2594</v>
      </c>
      <c r="C17" s="2996"/>
      <c r="D17" s="2996"/>
      <c r="E17" s="2996"/>
      <c r="F17" s="2996"/>
      <c r="G17" s="2996"/>
      <c r="H17" s="2996"/>
      <c r="I17" s="2996"/>
      <c r="J17" s="2996"/>
    </row>
    <row r="18" spans="2:10" customFormat="1" ht="60.75" customHeight="1">
      <c r="B18" s="2481"/>
      <c r="C18" s="2487" t="s">
        <v>2333</v>
      </c>
      <c r="D18" s="2491"/>
      <c r="E18" s="2997" t="s">
        <v>730</v>
      </c>
      <c r="F18" s="2997"/>
      <c r="G18" s="2997"/>
      <c r="H18" s="2997"/>
      <c r="I18" s="2481"/>
      <c r="J18" s="2483" t="s">
        <v>731</v>
      </c>
    </row>
    <row r="19" spans="2:10" customFormat="1" ht="76.5" customHeight="1">
      <c r="B19" s="2481"/>
      <c r="C19" s="2484" t="s">
        <v>2110</v>
      </c>
      <c r="D19" s="2490"/>
      <c r="E19" s="2993" t="s">
        <v>2334</v>
      </c>
      <c r="F19" s="2993"/>
      <c r="G19" s="2993"/>
      <c r="H19" s="2993"/>
      <c r="I19" s="2481"/>
      <c r="J19" s="2481"/>
    </row>
    <row r="20" spans="2:10" customFormat="1" ht="76.5" customHeight="1">
      <c r="B20" s="2481"/>
      <c r="C20" s="2484" t="s">
        <v>2406</v>
      </c>
      <c r="D20" s="2490"/>
      <c r="E20" s="2993" t="s">
        <v>2470</v>
      </c>
      <c r="F20" s="2993"/>
      <c r="G20" s="2993"/>
      <c r="H20" s="2993"/>
      <c r="I20" s="2481"/>
      <c r="J20" s="2481"/>
    </row>
    <row r="21" spans="2:10" customFormat="1" ht="76.5" customHeight="1">
      <c r="B21" s="2481"/>
      <c r="C21" s="2484" t="s">
        <v>2455</v>
      </c>
      <c r="D21" s="2490"/>
      <c r="E21" s="2993" t="s">
        <v>2469</v>
      </c>
      <c r="F21" s="2993"/>
      <c r="G21" s="2993"/>
      <c r="H21" s="2993"/>
      <c r="I21" s="2481"/>
      <c r="J21" s="2481"/>
    </row>
    <row r="22" spans="2:10" customFormat="1" ht="76.5" customHeight="1">
      <c r="B22" s="2481"/>
      <c r="C22" s="2484" t="s">
        <v>1941</v>
      </c>
      <c r="D22" s="2490"/>
      <c r="E22" s="2993" t="s">
        <v>2335</v>
      </c>
      <c r="F22" s="2993"/>
      <c r="G22" s="2993"/>
      <c r="H22" s="2993"/>
      <c r="I22" s="2481"/>
      <c r="J22" s="2481"/>
    </row>
    <row r="23" spans="2:10" customFormat="1" ht="76.5" customHeight="1">
      <c r="B23" s="2481"/>
      <c r="C23" s="2484" t="s">
        <v>2407</v>
      </c>
      <c r="D23" s="2490"/>
      <c r="E23" s="2993" t="s">
        <v>2412</v>
      </c>
      <c r="F23" s="2993"/>
      <c r="G23" s="2993"/>
      <c r="H23" s="2993"/>
      <c r="I23" s="2481"/>
      <c r="J23" s="2481"/>
    </row>
    <row r="24" spans="2:10" customFormat="1" ht="60.75" customHeight="1">
      <c r="B24" s="2481"/>
      <c r="C24" s="2614" t="s">
        <v>2471</v>
      </c>
      <c r="D24" s="2481"/>
      <c r="E24" s="2993" t="s">
        <v>2472</v>
      </c>
      <c r="F24" s="2993"/>
      <c r="G24" s="2993"/>
      <c r="H24" s="2993"/>
      <c r="I24" s="2481"/>
      <c r="J24" s="2481"/>
    </row>
    <row r="25" spans="2:10" customFormat="1" ht="42" customHeight="1">
      <c r="B25" s="2994" t="s">
        <v>2336</v>
      </c>
      <c r="C25" s="2994"/>
      <c r="D25" s="2994"/>
      <c r="E25" s="2994"/>
      <c r="F25" s="2994"/>
      <c r="G25" s="2994"/>
      <c r="H25" s="2994"/>
      <c r="I25" s="2994"/>
      <c r="J25" s="2994"/>
    </row>
    <row r="26" spans="2:10" customFormat="1" ht="36" customHeight="1">
      <c r="B26" s="2994" t="s">
        <v>2337</v>
      </c>
      <c r="C26" s="2994"/>
      <c r="D26" s="2994"/>
      <c r="E26" s="2994"/>
      <c r="F26" s="2994"/>
      <c r="G26" s="2994"/>
      <c r="H26" s="2994"/>
      <c r="I26" s="2994"/>
      <c r="J26" s="2994"/>
    </row>
    <row r="40" ht="26.25"/>
  </sheetData>
  <mergeCells count="20">
    <mergeCell ref="C13:E13"/>
    <mergeCell ref="B1:J1"/>
    <mergeCell ref="B2:J2"/>
    <mergeCell ref="B3:J3"/>
    <mergeCell ref="B4:J4"/>
    <mergeCell ref="B5:J5"/>
    <mergeCell ref="B6:J6"/>
    <mergeCell ref="B7:J7"/>
    <mergeCell ref="B8:J8"/>
    <mergeCell ref="E22:H22"/>
    <mergeCell ref="E23:H23"/>
    <mergeCell ref="B25:J25"/>
    <mergeCell ref="B26:J26"/>
    <mergeCell ref="C15:E15"/>
    <mergeCell ref="B17:J17"/>
    <mergeCell ref="E18:H18"/>
    <mergeCell ref="E19:H19"/>
    <mergeCell ref="E20:H20"/>
    <mergeCell ref="E21:H21"/>
    <mergeCell ref="E24:H24"/>
  </mergeCells>
  <printOptions horizontalCentered="1" verticalCentered="1"/>
  <pageMargins left="0" right="0" top="0" bottom="0" header="0" footer="0"/>
  <pageSetup paperSize="9" scale="55" orientation="portrait" r:id="rId1"/>
  <headerFooter>
    <oddFooter>&amp;C&amp;"B Koodak,Bold"&amp;18 1</oddFooter>
  </headerFooter>
  <colBreaks count="1" manualBreakCount="1">
    <brk id="16" max="2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5"/>
  <sheetViews>
    <sheetView rightToLeft="1" view="pageBreakPreview" topLeftCell="A13" zoomScale="66" zoomScaleNormal="100" zoomScaleSheetLayoutView="66" zoomScalePageLayoutView="60" workbookViewId="0">
      <selection activeCell="F18" sqref="F18"/>
    </sheetView>
  </sheetViews>
  <sheetFormatPr defaultColWidth="1.25" defaultRowHeight="21"/>
  <cols>
    <col min="1" max="1" width="11.625" style="353" customWidth="1"/>
    <col min="2" max="2" width="50.25" style="151" customWidth="1"/>
    <col min="3" max="3" width="2.625" style="151" customWidth="1"/>
    <col min="4" max="4" width="8.625" style="151" customWidth="1"/>
    <col min="5" max="5" width="1.125" style="151" customWidth="1"/>
    <col min="6" max="6" width="16.625" style="151" customWidth="1"/>
    <col min="7" max="7" width="2.125" style="151" customWidth="1"/>
    <col min="8" max="8" width="20.125" style="151" customWidth="1"/>
    <col min="9" max="9" width="17.625" style="151" customWidth="1"/>
    <col min="10" max="10" width="49" style="151" customWidth="1"/>
    <col min="11" max="11" width="2.625" style="353" customWidth="1"/>
    <col min="12" max="12" width="6.125" style="151" customWidth="1"/>
    <col min="13" max="13" width="2.25" style="353" customWidth="1"/>
    <col min="14" max="14" width="16.625" style="151" customWidth="1"/>
    <col min="15" max="15" width="2" style="151" customWidth="1"/>
    <col min="16" max="16" width="16.875" style="151" customWidth="1"/>
    <col min="17" max="17" width="24.875" style="151" bestFit="1" customWidth="1"/>
    <col min="18" max="18" width="1.25" style="151"/>
    <col min="19" max="19" width="18.125" style="151" customWidth="1"/>
    <col min="20" max="20" width="1.25" style="151"/>
    <col min="21" max="21" width="33.25" style="151" customWidth="1"/>
    <col min="22" max="22" width="1.25" style="151"/>
    <col min="23" max="23" width="16.25" style="151" bestFit="1" customWidth="1"/>
    <col min="24" max="16384" width="1.25" style="151"/>
  </cols>
  <sheetData>
    <row r="1" spans="2:23" ht="41.25" customHeight="1">
      <c r="B1" s="110"/>
    </row>
    <row r="2" spans="2:23" ht="35.25" customHeight="1">
      <c r="B2" s="3000" t="s">
        <v>612</v>
      </c>
      <c r="C2" s="3000"/>
      <c r="D2" s="3000"/>
      <c r="E2" s="3000"/>
      <c r="F2" s="3000"/>
      <c r="G2" s="3000"/>
      <c r="H2" s="3000"/>
      <c r="I2" s="3000"/>
      <c r="J2" s="3000"/>
      <c r="K2" s="3000"/>
      <c r="L2" s="3000"/>
      <c r="M2" s="3000"/>
      <c r="N2" s="3000"/>
      <c r="O2" s="3000"/>
      <c r="P2" s="3000"/>
      <c r="Q2" s="274"/>
      <c r="R2" s="275"/>
      <c r="S2" s="275"/>
      <c r="T2" s="275"/>
      <c r="U2" s="275"/>
      <c r="V2" s="275"/>
      <c r="W2" s="275"/>
    </row>
    <row r="3" spans="2:23" ht="35.25" customHeight="1">
      <c r="B3" s="3000" t="s">
        <v>351</v>
      </c>
      <c r="C3" s="3000"/>
      <c r="D3" s="3000"/>
      <c r="E3" s="3000"/>
      <c r="F3" s="3000"/>
      <c r="G3" s="3000"/>
      <c r="H3" s="3000"/>
      <c r="I3" s="3000"/>
      <c r="J3" s="3000"/>
      <c r="K3" s="3000"/>
      <c r="L3" s="3000"/>
      <c r="M3" s="3000"/>
      <c r="N3" s="3000"/>
      <c r="O3" s="3000"/>
      <c r="P3" s="3000"/>
      <c r="Q3" s="274"/>
      <c r="R3" s="275"/>
      <c r="S3" s="275"/>
      <c r="T3" s="275"/>
      <c r="U3" s="275"/>
      <c r="V3" s="275"/>
      <c r="W3" s="275"/>
    </row>
    <row r="4" spans="2:23" ht="35.25" customHeight="1">
      <c r="B4" s="3000" t="str">
        <f>مفروضات!A4</f>
        <v>در 29 اسفند 1401</v>
      </c>
      <c r="C4" s="3000"/>
      <c r="D4" s="3000"/>
      <c r="E4" s="3000"/>
      <c r="F4" s="3000"/>
      <c r="G4" s="3000"/>
      <c r="H4" s="3000"/>
      <c r="I4" s="3000"/>
      <c r="J4" s="3000"/>
      <c r="K4" s="3000"/>
      <c r="L4" s="3000"/>
      <c r="M4" s="3000"/>
      <c r="N4" s="3000"/>
      <c r="O4" s="3000"/>
      <c r="P4" s="3000"/>
      <c r="Q4" s="274"/>
      <c r="R4" s="275"/>
      <c r="S4" s="275" t="s">
        <v>729</v>
      </c>
      <c r="T4" s="275"/>
      <c r="U4" s="275"/>
      <c r="V4" s="275"/>
      <c r="W4" s="275" t="s">
        <v>728</v>
      </c>
    </row>
    <row r="5" spans="2:23" ht="40.5" customHeight="1">
      <c r="B5" s="739"/>
      <c r="C5" s="739"/>
      <c r="D5" s="739"/>
      <c r="E5" s="739"/>
      <c r="F5" s="739"/>
      <c r="G5" s="739"/>
      <c r="H5" s="739"/>
      <c r="I5" s="739"/>
      <c r="J5" s="739"/>
      <c r="K5" s="888"/>
      <c r="L5" s="739"/>
      <c r="M5" s="888"/>
      <c r="N5" s="739"/>
      <c r="O5" s="739"/>
      <c r="P5" s="739"/>
      <c r="Q5" s="274"/>
      <c r="R5" s="275"/>
      <c r="S5" s="275"/>
      <c r="T5" s="275"/>
      <c r="U5" s="275"/>
      <c r="V5" s="275"/>
      <c r="W5" s="275"/>
    </row>
    <row r="6" spans="2:23" ht="26.25">
      <c r="B6" s="276"/>
      <c r="C6" s="276"/>
      <c r="D6" s="277"/>
      <c r="E6" s="277"/>
      <c r="F6" s="276"/>
      <c r="G6" s="276"/>
      <c r="H6" s="278" t="s">
        <v>1430</v>
      </c>
      <c r="I6" s="279"/>
      <c r="J6" s="279"/>
      <c r="K6" s="891"/>
      <c r="L6" s="280"/>
      <c r="M6" s="891"/>
      <c r="N6" s="281"/>
      <c r="O6" s="279"/>
      <c r="P6" s="278" t="s">
        <v>1431</v>
      </c>
      <c r="Q6" s="276"/>
      <c r="R6" s="277"/>
      <c r="S6" s="276"/>
      <c r="T6" s="276"/>
      <c r="U6" s="276"/>
      <c r="V6" s="276"/>
      <c r="W6" s="282"/>
    </row>
    <row r="7" spans="2:23" ht="27.75" customHeight="1" thickBot="1">
      <c r="B7" s="283" t="s">
        <v>1212</v>
      </c>
      <c r="C7" s="284"/>
      <c r="D7" s="285" t="s">
        <v>478</v>
      </c>
      <c r="E7" s="286"/>
      <c r="F7" s="287" t="str">
        <f>مفروضات!A5</f>
        <v>1401/12/29</v>
      </c>
      <c r="G7" s="288"/>
      <c r="H7" s="287" t="str">
        <f>مفروضات!C5</f>
        <v>1400/12/29</v>
      </c>
      <c r="I7" s="282"/>
      <c r="J7" s="283" t="s">
        <v>1301</v>
      </c>
      <c r="K7" s="892"/>
      <c r="L7" s="285" t="s">
        <v>478</v>
      </c>
      <c r="M7" s="892"/>
      <c r="N7" s="287" t="str">
        <f>مفروضات!A5</f>
        <v>1401/12/29</v>
      </c>
      <c r="O7" s="288"/>
      <c r="P7" s="287" t="str">
        <f>مفروضات!C5</f>
        <v>1400/12/29</v>
      </c>
      <c r="Q7" s="283" t="s">
        <v>81</v>
      </c>
      <c r="R7" s="286"/>
      <c r="S7" s="287" t="s">
        <v>244</v>
      </c>
      <c r="T7" s="288"/>
      <c r="U7" s="283" t="s">
        <v>517</v>
      </c>
      <c r="V7" s="284"/>
      <c r="W7" s="287" t="s">
        <v>244</v>
      </c>
    </row>
    <row r="8" spans="2:23" ht="26.25" customHeight="1">
      <c r="B8" s="289"/>
      <c r="C8" s="289"/>
      <c r="D8" s="290"/>
      <c r="E8" s="290"/>
      <c r="F8" s="291" t="s">
        <v>675</v>
      </c>
      <c r="G8" s="291"/>
      <c r="H8" s="291" t="str">
        <f>F8</f>
        <v>ميليون ريال</v>
      </c>
      <c r="I8" s="291"/>
      <c r="J8" s="291"/>
      <c r="K8" s="893"/>
      <c r="L8" s="291"/>
      <c r="M8" s="893"/>
      <c r="N8" s="292" t="str">
        <f>F8</f>
        <v>ميليون ريال</v>
      </c>
      <c r="O8" s="291"/>
      <c r="P8" s="291" t="str">
        <f>F8</f>
        <v>ميليون ريال</v>
      </c>
      <c r="Q8" s="289"/>
      <c r="R8" s="290"/>
      <c r="S8" s="291" t="s">
        <v>364</v>
      </c>
      <c r="T8" s="291"/>
      <c r="U8" s="291"/>
      <c r="V8" s="291"/>
      <c r="W8" s="291" t="s">
        <v>364</v>
      </c>
    </row>
    <row r="9" spans="2:23" ht="26.25" customHeight="1">
      <c r="B9" s="293" t="s">
        <v>1213</v>
      </c>
      <c r="C9" s="294"/>
      <c r="D9" s="286"/>
      <c r="E9" s="295"/>
      <c r="F9" s="296"/>
      <c r="G9" s="297"/>
      <c r="H9" s="297"/>
      <c r="I9" s="297"/>
      <c r="J9" s="293" t="s">
        <v>862</v>
      </c>
      <c r="K9" s="894"/>
      <c r="L9" s="298"/>
      <c r="M9" s="901"/>
      <c r="N9" s="296"/>
      <c r="O9" s="297"/>
      <c r="P9" s="297"/>
      <c r="Q9" s="293" t="s">
        <v>1213</v>
      </c>
      <c r="R9" s="295"/>
      <c r="S9" s="297"/>
      <c r="T9" s="297"/>
      <c r="U9" s="293" t="s">
        <v>862</v>
      </c>
      <c r="V9" s="294"/>
      <c r="W9" s="297"/>
    </row>
    <row r="10" spans="2:23" ht="26.25" customHeight="1">
      <c r="B10" s="763" t="s">
        <v>365</v>
      </c>
      <c r="C10" s="300"/>
      <c r="D10" s="301">
        <v>3</v>
      </c>
      <c r="E10" s="302"/>
      <c r="F10" s="303">
        <f>'22'!J30</f>
        <v>1610503</v>
      </c>
      <c r="G10" s="304"/>
      <c r="H10" s="305">
        <f>'22'!L30</f>
        <v>399069</v>
      </c>
      <c r="I10" s="300"/>
      <c r="J10" s="763" t="s">
        <v>1324</v>
      </c>
      <c r="K10" s="339"/>
      <c r="L10" s="301">
        <v>10</v>
      </c>
      <c r="M10" s="339"/>
      <c r="N10" s="303">
        <f>'23-24'!N30</f>
        <v>12279461</v>
      </c>
      <c r="O10" s="304"/>
      <c r="P10" s="305">
        <f>'23-24'!P30</f>
        <v>13364627</v>
      </c>
      <c r="Q10" s="299" t="s">
        <v>365</v>
      </c>
      <c r="R10" s="306"/>
      <c r="S10" s="303">
        <f>F10-H10</f>
        <v>1211434</v>
      </c>
      <c r="T10" s="307"/>
      <c r="U10" s="299" t="s">
        <v>1324</v>
      </c>
      <c r="V10" s="307"/>
      <c r="W10" s="303">
        <f>N10-P10</f>
        <v>-1085166</v>
      </c>
    </row>
    <row r="11" spans="2:23" ht="26.25" customHeight="1">
      <c r="B11" s="763" t="s">
        <v>1214</v>
      </c>
      <c r="C11" s="300"/>
      <c r="D11" s="301">
        <v>4</v>
      </c>
      <c r="E11" s="302"/>
      <c r="F11" s="303">
        <f>'19'!J26</f>
        <v>10129833</v>
      </c>
      <c r="G11" s="1184"/>
      <c r="H11" s="305">
        <f>'19'!L26</f>
        <v>6959331</v>
      </c>
      <c r="I11" s="300"/>
      <c r="J11" s="763"/>
      <c r="L11" s="301"/>
      <c r="N11" s="303"/>
      <c r="P11" s="310"/>
      <c r="Q11" s="299" t="s">
        <v>1214</v>
      </c>
      <c r="R11" s="306"/>
      <c r="S11" s="1182">
        <f>F11-H11</f>
        <v>3170502</v>
      </c>
      <c r="T11" s="307"/>
      <c r="U11" s="299" t="s">
        <v>1220</v>
      </c>
      <c r="V11" s="307"/>
      <c r="W11" s="303">
        <f t="shared" ref="W11:W27" si="0">N11-P11</f>
        <v>0</v>
      </c>
    </row>
    <row r="12" spans="2:23" ht="26.25" customHeight="1">
      <c r="B12" s="763" t="s">
        <v>94</v>
      </c>
      <c r="C12" s="300"/>
      <c r="D12" s="301">
        <v>5</v>
      </c>
      <c r="E12" s="302"/>
      <c r="F12" s="303">
        <f>'22'!J11</f>
        <v>4484864</v>
      </c>
      <c r="G12" s="305"/>
      <c r="H12" s="305">
        <f>'22'!L11</f>
        <v>4280630</v>
      </c>
      <c r="I12" s="300"/>
      <c r="J12" s="299"/>
      <c r="L12" s="301"/>
      <c r="N12" s="303"/>
      <c r="P12" s="310"/>
      <c r="Q12" s="299" t="s">
        <v>94</v>
      </c>
      <c r="R12" s="306"/>
      <c r="S12" s="303">
        <f>F12-H12</f>
        <v>204234</v>
      </c>
      <c r="T12" s="308"/>
      <c r="U12" s="299"/>
      <c r="V12" s="307"/>
      <c r="W12" s="303">
        <f t="shared" si="0"/>
        <v>0</v>
      </c>
    </row>
    <row r="13" spans="2:23" ht="26.25" customHeight="1">
      <c r="B13" s="763" t="s">
        <v>1442</v>
      </c>
      <c r="C13" s="300"/>
      <c r="D13" s="301">
        <v>6</v>
      </c>
      <c r="E13" s="302"/>
      <c r="F13" s="303">
        <f>'21'!H19</f>
        <v>457055</v>
      </c>
      <c r="G13" s="303"/>
      <c r="H13" s="303">
        <f>'21'!J19</f>
        <v>317579</v>
      </c>
      <c r="I13" s="300"/>
      <c r="N13" s="255"/>
      <c r="Q13" s="299" t="s">
        <v>1442</v>
      </c>
      <c r="R13" s="306"/>
      <c r="S13" s="303">
        <f>F13-H13</f>
        <v>139476</v>
      </c>
      <c r="T13" s="308"/>
      <c r="V13" s="307"/>
      <c r="W13" s="255">
        <f t="shared" si="0"/>
        <v>0</v>
      </c>
    </row>
    <row r="14" spans="2:23" ht="26.25" customHeight="1">
      <c r="B14" s="299" t="s">
        <v>1215</v>
      </c>
      <c r="C14" s="1031"/>
      <c r="D14" s="312"/>
      <c r="E14" s="313"/>
      <c r="F14" s="314">
        <f>SUM(F10:F13)</f>
        <v>16682255</v>
      </c>
      <c r="G14" s="305"/>
      <c r="H14" s="315">
        <f>SUM(H10:H13)</f>
        <v>11956609</v>
      </c>
      <c r="I14" s="300"/>
      <c r="J14" s="299" t="s">
        <v>1306</v>
      </c>
      <c r="K14" s="339"/>
      <c r="L14" s="316"/>
      <c r="M14" s="899"/>
      <c r="N14" s="314">
        <f>SUM(N10:N11)</f>
        <v>12279461</v>
      </c>
      <c r="O14" s="305"/>
      <c r="P14" s="315">
        <f>SUM(P10:P11)</f>
        <v>13364627</v>
      </c>
      <c r="Q14" s="299" t="s">
        <v>1215</v>
      </c>
      <c r="S14" s="314">
        <f t="shared" ref="S14:S27" si="1">F14-H14</f>
        <v>4725646</v>
      </c>
      <c r="T14" s="308"/>
      <c r="U14" s="299" t="s">
        <v>1306</v>
      </c>
      <c r="V14" s="307"/>
      <c r="W14" s="314">
        <f t="shared" si="0"/>
        <v>-1085166</v>
      </c>
    </row>
    <row r="15" spans="2:23" ht="26.25" customHeight="1">
      <c r="B15" s="317" t="s">
        <v>1216</v>
      </c>
      <c r="C15" s="309"/>
      <c r="D15" s="312"/>
      <c r="E15" s="1039"/>
      <c r="F15" s="303"/>
      <c r="G15" s="305"/>
      <c r="H15" s="305"/>
      <c r="I15" s="300"/>
      <c r="J15" s="317" t="s">
        <v>1302</v>
      </c>
      <c r="K15" s="895"/>
      <c r="L15" s="316"/>
      <c r="M15" s="899"/>
      <c r="N15" s="303"/>
      <c r="O15" s="305"/>
      <c r="P15" s="305"/>
      <c r="Q15" s="317" t="s">
        <v>1216</v>
      </c>
      <c r="R15" s="306"/>
      <c r="S15" s="303">
        <f t="shared" si="1"/>
        <v>0</v>
      </c>
      <c r="T15" s="308"/>
      <c r="U15" s="317" t="s">
        <v>1302</v>
      </c>
      <c r="V15" s="318"/>
      <c r="W15" s="303">
        <f t="shared" si="0"/>
        <v>0</v>
      </c>
    </row>
    <row r="16" spans="2:23" ht="26.25" customHeight="1">
      <c r="B16" s="764" t="s">
        <v>1282</v>
      </c>
      <c r="C16" s="300"/>
      <c r="D16" s="301">
        <v>4</v>
      </c>
      <c r="E16" s="320"/>
      <c r="F16" s="303">
        <f>'20'!N58</f>
        <v>0</v>
      </c>
      <c r="G16" s="321"/>
      <c r="H16" s="321">
        <f>'20'!P58</f>
        <v>0</v>
      </c>
      <c r="I16" s="311"/>
      <c r="J16" s="763" t="s">
        <v>1221</v>
      </c>
      <c r="K16" s="339"/>
      <c r="L16" s="301">
        <v>10</v>
      </c>
      <c r="M16" s="899"/>
      <c r="N16" s="832">
        <f>'25'!M10</f>
        <v>71634887</v>
      </c>
      <c r="O16" s="305"/>
      <c r="P16" s="305">
        <f>'25'!O10</f>
        <v>24870598</v>
      </c>
      <c r="Q16" s="284" t="s">
        <v>1282</v>
      </c>
      <c r="R16" s="306"/>
      <c r="S16" s="303">
        <f t="shared" si="1"/>
        <v>0</v>
      </c>
      <c r="T16" s="308"/>
      <c r="U16" s="299" t="s">
        <v>1221</v>
      </c>
      <c r="V16" s="307"/>
      <c r="W16" s="303">
        <f t="shared" si="0"/>
        <v>46764289</v>
      </c>
    </row>
    <row r="17" spans="1:23" ht="26.25" customHeight="1">
      <c r="B17" s="763" t="s">
        <v>1265</v>
      </c>
      <c r="C17" s="300"/>
      <c r="D17" s="301">
        <v>7</v>
      </c>
      <c r="E17" s="302"/>
      <c r="F17" s="303">
        <f>'18'!L26</f>
        <v>48</v>
      </c>
      <c r="G17" s="305"/>
      <c r="H17" s="305">
        <f>'18'!N26</f>
        <v>48</v>
      </c>
      <c r="I17" s="300"/>
      <c r="J17" s="763" t="s">
        <v>16</v>
      </c>
      <c r="K17" s="339"/>
      <c r="L17" s="301">
        <v>11</v>
      </c>
      <c r="M17" s="899"/>
      <c r="N17" s="303" t="e">
        <f>#REF!</f>
        <v>#REF!</v>
      </c>
      <c r="O17" s="305"/>
      <c r="P17" s="303" t="e">
        <f>#REF!</f>
        <v>#REF!</v>
      </c>
      <c r="Q17" s="299" t="s">
        <v>1265</v>
      </c>
      <c r="R17" s="318"/>
      <c r="S17" s="303">
        <f t="shared" si="1"/>
        <v>0</v>
      </c>
      <c r="T17" s="308"/>
      <c r="U17" s="299" t="s">
        <v>1222</v>
      </c>
      <c r="V17" s="319"/>
      <c r="W17" s="303" t="e">
        <f t="shared" si="0"/>
        <v>#REF!</v>
      </c>
    </row>
    <row r="18" spans="1:23" ht="26.25" customHeight="1">
      <c r="B18" s="763" t="s">
        <v>666</v>
      </c>
      <c r="C18" s="300"/>
      <c r="D18" s="301">
        <v>8</v>
      </c>
      <c r="E18" s="313"/>
      <c r="F18" s="303">
        <f>'18'!L11</f>
        <v>0</v>
      </c>
      <c r="G18" s="305"/>
      <c r="H18" s="305">
        <f>'18'!N11</f>
        <v>161</v>
      </c>
      <c r="I18" s="300"/>
      <c r="Q18" s="299" t="s">
        <v>666</v>
      </c>
      <c r="R18" s="306"/>
      <c r="S18" s="303">
        <f t="shared" si="1"/>
        <v>-161</v>
      </c>
      <c r="T18" s="308"/>
      <c r="U18" s="299" t="s">
        <v>16</v>
      </c>
      <c r="W18" s="303">
        <f t="shared" si="0"/>
        <v>0</v>
      </c>
    </row>
    <row r="19" spans="1:23" ht="26.25" customHeight="1">
      <c r="B19" s="763" t="s">
        <v>1217</v>
      </c>
      <c r="C19" s="300"/>
      <c r="D19" s="301">
        <v>9</v>
      </c>
      <c r="E19" s="313"/>
      <c r="F19" s="303">
        <f>'14'!W32</f>
        <v>92641359</v>
      </c>
      <c r="G19" s="305"/>
      <c r="H19" s="305">
        <f>'14'!W31</f>
        <v>47913845</v>
      </c>
      <c r="I19" s="311"/>
      <c r="J19" s="764" t="s">
        <v>1305</v>
      </c>
      <c r="K19" s="896"/>
      <c r="L19" s="323"/>
      <c r="M19" s="896"/>
      <c r="N19" s="324" t="e">
        <f>SUM(N16:N17)</f>
        <v>#REF!</v>
      </c>
      <c r="O19" s="321"/>
      <c r="P19" s="325" t="e">
        <f>SUM(P16:P17)</f>
        <v>#REF!</v>
      </c>
      <c r="Q19" s="299" t="s">
        <v>1217</v>
      </c>
      <c r="R19" s="322"/>
      <c r="S19" s="303">
        <f t="shared" si="1"/>
        <v>44727514</v>
      </c>
      <c r="T19" s="308"/>
      <c r="U19" s="284" t="s">
        <v>1305</v>
      </c>
      <c r="V19" s="307"/>
      <c r="W19" s="324" t="e">
        <f>N19-P19</f>
        <v>#REF!</v>
      </c>
    </row>
    <row r="20" spans="1:23" ht="26.25" customHeight="1">
      <c r="B20" s="284" t="s">
        <v>1218</v>
      </c>
      <c r="C20" s="307"/>
      <c r="D20" s="301"/>
      <c r="E20" s="320"/>
      <c r="F20" s="314">
        <f>SUM(F16:F19)</f>
        <v>92641407</v>
      </c>
      <c r="G20" s="321"/>
      <c r="H20" s="326">
        <f>SUM(H16:H19)</f>
        <v>47914054</v>
      </c>
      <c r="I20" s="311"/>
      <c r="J20" s="284" t="s">
        <v>1304</v>
      </c>
      <c r="K20" s="896"/>
      <c r="L20" s="323"/>
      <c r="M20" s="896"/>
      <c r="N20" s="314" t="e">
        <f>N19+N14</f>
        <v>#REF!</v>
      </c>
      <c r="O20" s="321"/>
      <c r="P20" s="326" t="e">
        <f>P19+P14</f>
        <v>#REF!</v>
      </c>
      <c r="Q20" s="284" t="s">
        <v>1218</v>
      </c>
      <c r="R20" s="318"/>
      <c r="S20" s="314">
        <f t="shared" si="1"/>
        <v>44727353</v>
      </c>
      <c r="T20" s="308"/>
      <c r="U20" s="284" t="s">
        <v>1304</v>
      </c>
      <c r="V20" s="307"/>
      <c r="W20" s="314" t="e">
        <f>N20-P20</f>
        <v>#REF!</v>
      </c>
    </row>
    <row r="21" spans="1:23" ht="26.25" customHeight="1">
      <c r="I21" s="311"/>
      <c r="J21" s="293" t="s">
        <v>370</v>
      </c>
      <c r="K21" s="897"/>
      <c r="L21" s="312"/>
      <c r="M21" s="897"/>
      <c r="N21" s="303"/>
      <c r="O21" s="321"/>
      <c r="P21" s="321"/>
      <c r="R21" s="318"/>
      <c r="S21" s="151">
        <f t="shared" si="1"/>
        <v>0</v>
      </c>
      <c r="T21" s="308"/>
      <c r="U21" s="293" t="s">
        <v>370</v>
      </c>
      <c r="V21" s="307"/>
      <c r="W21" s="303">
        <f t="shared" si="0"/>
        <v>0</v>
      </c>
    </row>
    <row r="22" spans="1:23" ht="26.25" customHeight="1">
      <c r="F22" s="451"/>
      <c r="I22" s="300"/>
      <c r="J22" s="329" t="s">
        <v>1472</v>
      </c>
      <c r="K22" s="898"/>
      <c r="L22" s="301">
        <v>12</v>
      </c>
      <c r="M22" s="897"/>
      <c r="N22" s="330">
        <f>-'95'!S330</f>
        <v>12000000</v>
      </c>
      <c r="O22" s="331"/>
      <c r="P22" s="330">
        <v>12000000</v>
      </c>
      <c r="R22" s="318"/>
      <c r="S22" s="151">
        <f t="shared" si="1"/>
        <v>0</v>
      </c>
      <c r="T22" s="308"/>
      <c r="U22" s="329" t="s">
        <v>1424</v>
      </c>
      <c r="V22" s="328"/>
      <c r="W22" s="330">
        <f t="shared" si="0"/>
        <v>0</v>
      </c>
    </row>
    <row r="23" spans="1:23" ht="26.25" customHeight="1">
      <c r="B23" s="299"/>
      <c r="C23" s="318"/>
      <c r="D23" s="323"/>
      <c r="E23" s="323"/>
      <c r="F23" s="313"/>
      <c r="G23" s="323"/>
      <c r="H23" s="323"/>
      <c r="I23" s="328"/>
      <c r="J23" s="822" t="s">
        <v>1483</v>
      </c>
      <c r="K23" s="898"/>
      <c r="L23" s="301">
        <v>13</v>
      </c>
      <c r="M23" s="897"/>
      <c r="N23" s="332">
        <v>0.5</v>
      </c>
      <c r="O23" s="331"/>
      <c r="P23" s="332">
        <v>0.5</v>
      </c>
      <c r="Q23" s="318"/>
      <c r="R23" s="306"/>
      <c r="S23" s="821"/>
      <c r="T23" s="308"/>
      <c r="U23" s="822" t="s">
        <v>1483</v>
      </c>
      <c r="V23" s="328"/>
      <c r="W23" s="308">
        <f t="shared" si="0"/>
        <v>0</v>
      </c>
    </row>
    <row r="24" spans="1:23" ht="26.25" customHeight="1">
      <c r="B24" s="284"/>
      <c r="C24" s="307"/>
      <c r="D24" s="333"/>
      <c r="E24" s="334"/>
      <c r="F24" s="305"/>
      <c r="G24" s="321"/>
      <c r="H24" s="321"/>
      <c r="I24" s="307"/>
      <c r="J24" s="764" t="s">
        <v>1223</v>
      </c>
      <c r="K24" s="897"/>
      <c r="L24" s="301">
        <v>13</v>
      </c>
      <c r="M24" s="898"/>
      <c r="N24" s="330">
        <v>2736</v>
      </c>
      <c r="O24" s="331"/>
      <c r="P24" s="330">
        <v>2736</v>
      </c>
      <c r="Q24" s="284"/>
      <c r="R24" s="306"/>
      <c r="S24" s="305">
        <f t="shared" si="1"/>
        <v>0</v>
      </c>
      <c r="T24" s="308"/>
      <c r="U24" s="284" t="s">
        <v>1223</v>
      </c>
      <c r="V24" s="328"/>
      <c r="W24" s="330">
        <f t="shared" si="0"/>
        <v>0</v>
      </c>
    </row>
    <row r="25" spans="1:23" ht="26.25" customHeight="1">
      <c r="B25" s="284"/>
      <c r="C25" s="328"/>
      <c r="D25" s="335"/>
      <c r="E25" s="336"/>
      <c r="F25" s="305"/>
      <c r="G25" s="321"/>
      <c r="H25" s="321"/>
      <c r="I25" s="328"/>
      <c r="J25" s="763" t="s">
        <v>1443</v>
      </c>
      <c r="K25" s="899"/>
      <c r="L25" s="337"/>
      <c r="M25" s="339"/>
      <c r="N25" s="338" t="e">
        <f>'3'!G27</f>
        <v>#REF!</v>
      </c>
      <c r="O25" s="305"/>
      <c r="P25" s="331" t="e">
        <f>'3'!I27</f>
        <v>#REF!</v>
      </c>
      <c r="Q25" s="284"/>
      <c r="R25" s="319"/>
      <c r="S25" s="305">
        <f t="shared" si="1"/>
        <v>0</v>
      </c>
      <c r="T25" s="308"/>
      <c r="U25" s="299" t="s">
        <v>1443</v>
      </c>
      <c r="V25" s="328"/>
      <c r="W25" s="338" t="e">
        <f t="shared" si="0"/>
        <v>#REF!</v>
      </c>
    </row>
    <row r="26" spans="1:23" ht="26.25" customHeight="1">
      <c r="B26" s="284"/>
      <c r="C26" s="339"/>
      <c r="D26" s="340"/>
      <c r="E26" s="340"/>
      <c r="F26" s="305"/>
      <c r="G26" s="341"/>
      <c r="H26" s="341"/>
      <c r="I26" s="328"/>
      <c r="J26" s="284" t="s">
        <v>371</v>
      </c>
      <c r="K26" s="898"/>
      <c r="L26" s="343"/>
      <c r="M26" s="898"/>
      <c r="N26" s="344" t="e">
        <f>SUM(N22:N25)</f>
        <v>#REF!</v>
      </c>
      <c r="O26" s="331"/>
      <c r="P26" s="345" t="e">
        <f>SUM(P22:P25)</f>
        <v>#REF!</v>
      </c>
      <c r="Q26" s="284"/>
      <c r="R26" s="322"/>
      <c r="S26" s="305">
        <f t="shared" si="1"/>
        <v>0</v>
      </c>
      <c r="T26" s="308"/>
      <c r="U26" s="284" t="s">
        <v>371</v>
      </c>
      <c r="V26" s="307"/>
      <c r="W26" s="344" t="e">
        <f t="shared" si="0"/>
        <v>#REF!</v>
      </c>
    </row>
    <row r="27" spans="1:23" ht="26.25" customHeight="1" thickBot="1">
      <c r="B27" s="284" t="s">
        <v>1219</v>
      </c>
      <c r="F27" s="348">
        <f>F20+F14</f>
        <v>109323662</v>
      </c>
      <c r="H27" s="349">
        <f>H20+H14</f>
        <v>59870663</v>
      </c>
      <c r="I27" s="342"/>
      <c r="J27" s="284" t="s">
        <v>1303</v>
      </c>
      <c r="K27" s="898"/>
      <c r="L27" s="350"/>
      <c r="M27" s="897"/>
      <c r="N27" s="351" t="e">
        <f>N26+N20</f>
        <v>#REF!</v>
      </c>
      <c r="O27" s="331"/>
      <c r="P27" s="352" t="e">
        <f>P26+P20</f>
        <v>#REF!</v>
      </c>
      <c r="Q27" s="284" t="s">
        <v>1219</v>
      </c>
      <c r="R27" s="346"/>
      <c r="S27" s="348">
        <f t="shared" si="1"/>
        <v>49452999</v>
      </c>
      <c r="T27" s="308"/>
      <c r="U27" s="284" t="s">
        <v>1303</v>
      </c>
      <c r="V27" s="347"/>
      <c r="W27" s="351" t="e">
        <f t="shared" si="0"/>
        <v>#REF!</v>
      </c>
    </row>
    <row r="28" spans="1:23" ht="42" customHeight="1" thickTop="1">
      <c r="B28" s="353"/>
      <c r="C28" s="353"/>
      <c r="D28" s="353"/>
      <c r="E28" s="353"/>
      <c r="F28" s="353"/>
      <c r="G28" s="353"/>
      <c r="H28" s="353"/>
      <c r="I28" s="353"/>
      <c r="J28" s="354"/>
      <c r="L28" s="353"/>
      <c r="N28" s="1421" t="e">
        <f>F27-N27</f>
        <v>#REF!</v>
      </c>
      <c r="O28" s="1422"/>
      <c r="P28" s="1422" t="e">
        <f>P27-H27</f>
        <v>#REF!</v>
      </c>
      <c r="Q28" s="355"/>
      <c r="R28" s="346"/>
      <c r="S28" s="347"/>
      <c r="T28" s="347"/>
      <c r="U28" s="346"/>
      <c r="V28" s="347"/>
      <c r="W28" s="356"/>
    </row>
    <row r="29" spans="1:23" ht="30.75" customHeight="1">
      <c r="B29" s="3001" t="s">
        <v>1502</v>
      </c>
      <c r="C29" s="3001"/>
      <c r="D29" s="3001"/>
      <c r="E29" s="3001"/>
      <c r="F29" s="3001"/>
      <c r="G29" s="3001"/>
      <c r="H29" s="3001"/>
      <c r="I29" s="3001"/>
      <c r="J29" s="3001"/>
      <c r="K29" s="3001"/>
      <c r="L29" s="3001"/>
      <c r="M29" s="3001"/>
      <c r="N29" s="3001"/>
      <c r="O29" s="3001"/>
      <c r="P29" s="3001"/>
      <c r="Q29" s="355"/>
      <c r="R29" s="346"/>
      <c r="S29" s="347"/>
      <c r="T29" s="347"/>
      <c r="U29" s="346"/>
      <c r="V29" s="347"/>
      <c r="W29" s="356"/>
    </row>
    <row r="30" spans="1:23" ht="26.25" customHeight="1">
      <c r="B30" s="740"/>
      <c r="C30" s="740"/>
      <c r="D30" s="740"/>
      <c r="E30" s="740"/>
      <c r="F30" s="740"/>
      <c r="G30" s="740"/>
      <c r="H30" s="1193" t="e">
        <f>F27-N27</f>
        <v>#REF!</v>
      </c>
      <c r="I30" s="1193" t="e">
        <f>H27-P27</f>
        <v>#REF!</v>
      </c>
      <c r="J30" s="1155"/>
      <c r="K30" s="886"/>
      <c r="L30" s="740"/>
      <c r="M30" s="886"/>
      <c r="N30" s="1196"/>
      <c r="O30" s="740"/>
      <c r="P30" s="740"/>
      <c r="Q30" s="355"/>
      <c r="R30" s="346"/>
      <c r="S30" s="347"/>
      <c r="T30" s="347"/>
      <c r="U30" s="346"/>
      <c r="V30" s="347"/>
      <c r="W30" s="356"/>
    </row>
    <row r="31" spans="1:23" ht="31.5" customHeight="1">
      <c r="B31" s="3002"/>
      <c r="C31" s="3002"/>
      <c r="D31" s="3002"/>
      <c r="E31" s="3002"/>
      <c r="F31" s="3002"/>
      <c r="G31" s="3002"/>
      <c r="H31" s="3002"/>
      <c r="I31" s="3002"/>
      <c r="J31" s="3002"/>
      <c r="K31" s="3002"/>
      <c r="L31" s="3002"/>
      <c r="M31" s="3002"/>
      <c r="N31" s="3002"/>
      <c r="O31" s="3002"/>
      <c r="P31" s="3002"/>
      <c r="Q31" s="355"/>
      <c r="R31" s="346"/>
      <c r="S31" s="347"/>
      <c r="T31" s="347"/>
      <c r="U31" s="346"/>
      <c r="V31" s="347"/>
      <c r="W31" s="356"/>
    </row>
    <row r="32" spans="1:23" ht="35.25" customHeight="1">
      <c r="A32" s="1205">
        <v>2</v>
      </c>
      <c r="B32" s="357"/>
      <c r="C32" s="357"/>
      <c r="D32" s="357"/>
      <c r="E32" s="357"/>
      <c r="F32" s="357"/>
      <c r="G32" s="357"/>
      <c r="H32" s="357"/>
      <c r="J32" s="357"/>
      <c r="K32" s="900"/>
      <c r="L32" s="357"/>
      <c r="M32" s="900"/>
      <c r="N32" s="357"/>
      <c r="O32" s="357"/>
      <c r="P32" s="357"/>
    </row>
    <row r="33" spans="1:21" s="357" customFormat="1" ht="35.25" customHeight="1">
      <c r="A33" s="353"/>
      <c r="D33" s="1033" t="s">
        <v>1709</v>
      </c>
      <c r="K33" s="900"/>
      <c r="M33" s="900"/>
    </row>
    <row r="34" spans="1:21" s="357" customFormat="1" ht="35.25" customHeight="1">
      <c r="A34" s="900"/>
      <c r="K34" s="900"/>
      <c r="M34" s="900"/>
    </row>
    <row r="35" spans="1:21" s="357" customFormat="1" ht="35.25" customHeight="1">
      <c r="A35" s="900"/>
      <c r="K35" s="900"/>
      <c r="M35" s="900"/>
      <c r="O35" s="730" t="s">
        <v>856</v>
      </c>
      <c r="P35" s="731"/>
      <c r="Q35" s="731"/>
      <c r="R35" s="327"/>
      <c r="S35" s="327"/>
      <c r="T35" s="359"/>
      <c r="U35" s="358">
        <f>H10</f>
        <v>399069</v>
      </c>
    </row>
    <row r="36" spans="1:21" s="357" customFormat="1" ht="56.25" customHeight="1">
      <c r="A36" s="900"/>
      <c r="K36" s="900"/>
      <c r="M36" s="900"/>
      <c r="O36" s="730" t="str">
        <f>B11</f>
        <v xml:space="preserve"> دريافتني هاي تجاري و غير تجاري</v>
      </c>
      <c r="P36" s="731"/>
      <c r="Q36" s="731"/>
      <c r="R36" s="327"/>
      <c r="S36" s="327"/>
      <c r="T36" s="359"/>
      <c r="U36" s="360">
        <f>-S11</f>
        <v>-3170502</v>
      </c>
    </row>
    <row r="37" spans="1:21" s="357" customFormat="1" ht="35.25" customHeight="1">
      <c r="A37" s="900"/>
      <c r="K37" s="900"/>
      <c r="M37" s="900"/>
      <c r="O37" s="730" t="str">
        <f>B12</f>
        <v>موجودي مواد و كالا</v>
      </c>
      <c r="P37" s="731"/>
      <c r="Q37" s="731"/>
      <c r="R37" s="327"/>
      <c r="S37" s="327"/>
      <c r="T37" s="359"/>
      <c r="U37" s="361">
        <f>-S12</f>
        <v>-204234</v>
      </c>
    </row>
    <row r="38" spans="1:21" s="357" customFormat="1" ht="35.25" customHeight="1">
      <c r="A38" s="900"/>
      <c r="K38" s="900"/>
      <c r="M38" s="900"/>
      <c r="O38" s="730" t="str">
        <f>B13</f>
        <v xml:space="preserve"> پيش پرداخت ها</v>
      </c>
      <c r="P38" s="731"/>
      <c r="Q38" s="731"/>
      <c r="R38" s="327"/>
      <c r="S38" s="327"/>
      <c r="T38" s="359"/>
      <c r="U38" s="361">
        <f>S13</f>
        <v>139476</v>
      </c>
    </row>
    <row r="39" spans="1:21" s="357" customFormat="1" ht="35.25" customHeight="1">
      <c r="A39" s="900"/>
      <c r="K39" s="900"/>
      <c r="M39" s="900"/>
      <c r="O39" s="730" t="s">
        <v>1299</v>
      </c>
      <c r="P39" s="731"/>
      <c r="Q39" s="731"/>
      <c r="R39" s="327"/>
      <c r="S39" s="327"/>
      <c r="T39" s="359"/>
      <c r="U39" s="362">
        <f>-S18</f>
        <v>161</v>
      </c>
    </row>
    <row r="40" spans="1:21" s="357" customFormat="1" ht="35.25" customHeight="1">
      <c r="A40" s="900"/>
      <c r="K40" s="900"/>
      <c r="M40" s="900"/>
      <c r="O40" s="730" t="str">
        <f>B17</f>
        <v>سرمايه گذاري هاي بلند مدت</v>
      </c>
      <c r="P40" s="731"/>
      <c r="Q40" s="731"/>
      <c r="R40" s="327"/>
      <c r="S40" s="327"/>
      <c r="T40" s="359"/>
      <c r="U40" s="361">
        <f>-S19</f>
        <v>-44727514</v>
      </c>
    </row>
    <row r="41" spans="1:21" s="357" customFormat="1" ht="35.25" customHeight="1">
      <c r="A41" s="900"/>
      <c r="K41" s="900"/>
      <c r="M41" s="900"/>
      <c r="O41" s="730" t="str">
        <f>B18</f>
        <v>دارايي هاي نامشهود</v>
      </c>
      <c r="P41" s="731"/>
      <c r="Q41" s="731"/>
      <c r="R41" s="327"/>
      <c r="S41" s="327"/>
      <c r="T41" s="359"/>
      <c r="U41" s="361">
        <f>-S20</f>
        <v>-44727353</v>
      </c>
    </row>
    <row r="42" spans="1:21" s="357" customFormat="1" ht="35.25" customHeight="1">
      <c r="A42" s="900"/>
      <c r="K42" s="900"/>
      <c r="M42" s="900"/>
      <c r="O42" s="730" t="str">
        <f>B19</f>
        <v>دارايي هاي ثابت مشهود</v>
      </c>
      <c r="P42" s="731"/>
      <c r="Q42" s="731"/>
      <c r="R42" s="327"/>
      <c r="S42" s="327"/>
      <c r="T42" s="359"/>
      <c r="U42" s="361">
        <f>-S21</f>
        <v>0</v>
      </c>
    </row>
    <row r="43" spans="1:21" s="357" customFormat="1" ht="35.25" customHeight="1">
      <c r="A43" s="900"/>
      <c r="K43" s="900"/>
      <c r="M43" s="900"/>
      <c r="O43" s="730" t="str">
        <f>B16</f>
        <v>دريافتني هاي بلند مدت</v>
      </c>
      <c r="P43" s="327"/>
      <c r="Q43" s="731"/>
      <c r="R43" s="327"/>
      <c r="S43" s="327"/>
      <c r="T43" s="359"/>
      <c r="U43" s="361">
        <f>-S18</f>
        <v>161</v>
      </c>
    </row>
    <row r="44" spans="1:21" s="357" customFormat="1" ht="35.25" customHeight="1">
      <c r="A44" s="900"/>
      <c r="K44" s="900"/>
      <c r="M44" s="900"/>
      <c r="O44" s="730" t="str">
        <f>B20</f>
        <v>جمع دارايي هاي غير جاري</v>
      </c>
      <c r="P44" s="327"/>
      <c r="Q44" s="327"/>
      <c r="R44" s="327"/>
      <c r="S44" s="327"/>
      <c r="T44" s="359"/>
      <c r="U44" s="361"/>
    </row>
    <row r="45" spans="1:21" s="357" customFormat="1" ht="35.25" customHeight="1">
      <c r="A45" s="900"/>
      <c r="B45" s="151"/>
      <c r="C45" s="151"/>
      <c r="D45" s="151"/>
      <c r="E45" s="151"/>
      <c r="F45" s="151"/>
      <c r="G45" s="151"/>
      <c r="H45" s="151"/>
      <c r="J45" s="151"/>
      <c r="K45" s="353"/>
      <c r="L45" s="151"/>
      <c r="M45" s="353"/>
      <c r="N45" s="151"/>
      <c r="O45" s="730" t="str">
        <f>J10</f>
        <v xml:space="preserve"> پرداختني هاي غير تجاري</v>
      </c>
      <c r="P45" s="327"/>
      <c r="Q45" s="327"/>
      <c r="R45" s="327"/>
      <c r="S45" s="327"/>
      <c r="T45" s="359"/>
      <c r="U45" s="361">
        <f>W10</f>
        <v>-1085166</v>
      </c>
    </row>
    <row r="46" spans="1:21" ht="35.25" customHeight="1">
      <c r="A46" s="900"/>
      <c r="O46" s="730" t="s">
        <v>1208</v>
      </c>
      <c r="P46" s="327"/>
      <c r="Q46" s="327"/>
      <c r="R46" s="327"/>
      <c r="S46" s="327"/>
      <c r="T46" s="359"/>
      <c r="U46" s="361"/>
    </row>
    <row r="47" spans="1:21" ht="35.25" customHeight="1">
      <c r="O47" s="730" t="str">
        <f>J16</f>
        <v xml:space="preserve"> پرداختني هاي  بلندمدت</v>
      </c>
      <c r="P47" s="327"/>
      <c r="Q47" s="327"/>
      <c r="R47" s="327"/>
      <c r="S47" s="327"/>
      <c r="T47" s="359"/>
      <c r="U47" s="361">
        <f>W16</f>
        <v>46764289</v>
      </c>
    </row>
    <row r="48" spans="1:21" ht="35.25" customHeight="1">
      <c r="O48" s="730" t="str">
        <f>J17</f>
        <v xml:space="preserve">ذخيره مزاياي پايان خدمت كاركنان  </v>
      </c>
      <c r="P48" s="327"/>
      <c r="Q48" s="327"/>
      <c r="R48" s="327"/>
      <c r="S48" s="327"/>
      <c r="T48" s="359"/>
      <c r="U48" s="361" t="e">
        <f>W19</f>
        <v>#REF!</v>
      </c>
    </row>
    <row r="49" spans="10:21" ht="26.25">
      <c r="O49" s="730" t="str">
        <f>J25</f>
        <v>(زيان )انباشته</v>
      </c>
      <c r="P49" s="327"/>
      <c r="Q49" s="327"/>
      <c r="R49" s="327"/>
      <c r="S49" s="327"/>
      <c r="T49" s="359"/>
      <c r="U49" s="361" t="e">
        <f>W26</f>
        <v>#REF!</v>
      </c>
    </row>
    <row r="50" spans="10:21" ht="26.25">
      <c r="O50" s="730" t="s">
        <v>857</v>
      </c>
      <c r="P50" s="731"/>
      <c r="Q50" s="731"/>
      <c r="R50" s="327"/>
      <c r="S50" s="327"/>
      <c r="T50" s="359"/>
      <c r="U50" s="358" t="e">
        <f>SUM(U35:U49)</f>
        <v>#REF!</v>
      </c>
    </row>
    <row r="51" spans="10:21" ht="26.25">
      <c r="Q51" s="728"/>
      <c r="R51" s="728"/>
      <c r="S51" s="728"/>
      <c r="T51" s="728"/>
    </row>
    <row r="52" spans="10:21" ht="33.75">
      <c r="U52" s="363" t="e">
        <f>U50-F10</f>
        <v>#REF!</v>
      </c>
    </row>
    <row r="55" spans="10:21">
      <c r="J55" s="151">
        <v>-7717613</v>
      </c>
    </row>
  </sheetData>
  <mergeCells count="5">
    <mergeCell ref="B2:P2"/>
    <mergeCell ref="B3:P3"/>
    <mergeCell ref="B4:P4"/>
    <mergeCell ref="B29:P29"/>
    <mergeCell ref="B31:P31"/>
  </mergeCells>
  <printOptions horizontalCentered="1"/>
  <pageMargins left="0" right="0.31496062992125984" top="0.39370078740157483" bottom="0.35433070866141736" header="0.35433070866141736" footer="0.19685039370078741"/>
  <pageSetup paperSize="9" scale="55" orientation="landscape" r:id="rId1"/>
  <headerFooter>
    <oddFooter>&amp;C&amp;"B Koodak,Bold"&amp;18 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55"/>
  <sheetViews>
    <sheetView rightToLeft="1" view="pageBreakPreview" zoomScale="66" zoomScaleNormal="90" zoomScaleSheetLayoutView="66" workbookViewId="0">
      <selection activeCell="G28" sqref="G28"/>
    </sheetView>
  </sheetViews>
  <sheetFormatPr defaultColWidth="1.375" defaultRowHeight="21"/>
  <cols>
    <col min="1" max="1" width="52.75" style="353" bestFit="1" customWidth="1"/>
    <col min="2" max="2" width="14.125" style="151" customWidth="1"/>
    <col min="3" max="3" width="7.75" style="151" customWidth="1"/>
    <col min="4" max="4" width="2.625" style="151" customWidth="1"/>
    <col min="5" max="5" width="21.25" style="151" customWidth="1"/>
    <col min="6" max="6" width="2.875" style="151" customWidth="1"/>
    <col min="7" max="7" width="22" style="151" customWidth="1"/>
    <col min="8" max="8" width="2.625" style="151" customWidth="1"/>
    <col min="9" max="9" width="21.625" style="151" customWidth="1"/>
    <col min="10" max="10" width="23.875" style="151" customWidth="1"/>
    <col min="11" max="11" width="3" style="151" customWidth="1"/>
    <col min="12" max="16384" width="1.375" style="151"/>
  </cols>
  <sheetData>
    <row r="1" spans="1:10" s="183" customFormat="1" ht="41.25" customHeight="1">
      <c r="A1" s="3003" t="s">
        <v>612</v>
      </c>
      <c r="B1" s="3003"/>
      <c r="C1" s="3003"/>
      <c r="D1" s="3003"/>
      <c r="E1" s="3003"/>
      <c r="F1" s="3003"/>
      <c r="G1" s="3003"/>
      <c r="H1" s="3003"/>
      <c r="I1" s="3003"/>
    </row>
    <row r="2" spans="1:10" s="183" customFormat="1" ht="41.25" customHeight="1">
      <c r="A2" s="3003" t="s">
        <v>526</v>
      </c>
      <c r="B2" s="3003"/>
      <c r="C2" s="3003"/>
      <c r="D2" s="3003"/>
      <c r="E2" s="3003"/>
      <c r="F2" s="3003"/>
      <c r="G2" s="3003"/>
      <c r="H2" s="3003"/>
      <c r="I2" s="3003"/>
    </row>
    <row r="3" spans="1:10" s="183" customFormat="1" ht="41.25" customHeight="1">
      <c r="A3" s="3003" t="str">
        <f>مفروضات!A6</f>
        <v xml:space="preserve"> سال مالي منتهي به 29 اسفند 1401</v>
      </c>
      <c r="B3" s="3003"/>
      <c r="C3" s="3003"/>
      <c r="D3" s="3003"/>
      <c r="E3" s="3003"/>
      <c r="F3" s="3003"/>
      <c r="G3" s="3003"/>
      <c r="H3" s="3003"/>
      <c r="I3" s="3003"/>
    </row>
    <row r="4" spans="1:10" ht="27.75" customHeight="1">
      <c r="A4" s="1206"/>
      <c r="B4" s="550"/>
      <c r="C4" s="550"/>
      <c r="D4" s="550"/>
      <c r="E4" s="550"/>
      <c r="F4" s="550"/>
      <c r="G4" s="550"/>
      <c r="H4" s="550"/>
      <c r="I4" s="550"/>
    </row>
    <row r="5" spans="1:10" ht="30.75" customHeight="1">
      <c r="A5" s="1207"/>
      <c r="B5" s="552"/>
      <c r="C5" s="553"/>
      <c r="D5" s="554"/>
      <c r="E5" s="551"/>
      <c r="F5" s="551"/>
      <c r="G5" s="551"/>
      <c r="H5" s="551"/>
      <c r="I5" s="278" t="s">
        <v>1431</v>
      </c>
    </row>
    <row r="6" spans="1:10" ht="31.5" customHeight="1">
      <c r="A6" s="1208" t="s">
        <v>397</v>
      </c>
      <c r="B6" s="555"/>
      <c r="C6" s="746" t="s">
        <v>478</v>
      </c>
      <c r="D6" s="747"/>
      <c r="E6" s="3004" t="str">
        <f>مفروضات!A10</f>
        <v>سال 1401</v>
      </c>
      <c r="F6" s="3004"/>
      <c r="G6" s="3004"/>
      <c r="H6" s="748"/>
      <c r="I6" s="749" t="str">
        <f>مفروضات!C10</f>
        <v>سال 1400</v>
      </c>
    </row>
    <row r="7" spans="1:10" ht="31.5" customHeight="1">
      <c r="A7" s="1208"/>
      <c r="B7" s="555"/>
      <c r="C7" s="750"/>
      <c r="D7" s="748"/>
      <c r="E7" s="751" t="s">
        <v>675</v>
      </c>
      <c r="F7" s="751"/>
      <c r="G7" s="751" t="s">
        <v>675</v>
      </c>
      <c r="H7" s="751"/>
      <c r="I7" s="751" t="s">
        <v>675</v>
      </c>
    </row>
    <row r="8" spans="1:10">
      <c r="A8" s="1209"/>
      <c r="B8" s="556"/>
      <c r="C8" s="557"/>
      <c r="D8" s="558"/>
      <c r="E8" s="559"/>
      <c r="F8" s="559"/>
      <c r="G8" s="559"/>
      <c r="H8" s="559"/>
      <c r="I8" s="559"/>
    </row>
    <row r="9" spans="1:10" ht="39" customHeight="1">
      <c r="A9" s="1210" t="s">
        <v>1224</v>
      </c>
      <c r="B9" s="752"/>
      <c r="C9" s="560" t="s">
        <v>1772</v>
      </c>
      <c r="D9" s="399"/>
      <c r="E9" s="399"/>
      <c r="F9" s="399"/>
      <c r="G9" s="399">
        <f>'10'!K33</f>
        <v>53677666</v>
      </c>
      <c r="H9" s="399"/>
      <c r="I9" s="399">
        <f>'10'!R33</f>
        <v>36948436.252734989</v>
      </c>
    </row>
    <row r="10" spans="1:10" ht="39" customHeight="1">
      <c r="A10" s="1210" t="s">
        <v>1225</v>
      </c>
      <c r="B10" s="399"/>
      <c r="C10" s="560" t="s">
        <v>1707</v>
      </c>
      <c r="D10" s="399"/>
      <c r="E10" s="399"/>
      <c r="F10" s="399"/>
      <c r="G10" s="568">
        <f>J10</f>
        <v>-20674457</v>
      </c>
      <c r="H10" s="399"/>
      <c r="I10" s="561">
        <f>-'11'!N30</f>
        <v>-33153294</v>
      </c>
      <c r="J10" s="1221">
        <f>-('98'!U444+'98'!U503+'98'!U504)</f>
        <v>-20674457</v>
      </c>
    </row>
    <row r="11" spans="1:10" ht="39" customHeight="1">
      <c r="A11" s="1210" t="s">
        <v>225</v>
      </c>
      <c r="B11" s="399"/>
      <c r="C11" s="560"/>
      <c r="D11" s="399"/>
      <c r="E11" s="399"/>
      <c r="F11" s="399"/>
      <c r="G11" s="399">
        <f>SUM(G9:G10)</f>
        <v>33003209</v>
      </c>
      <c r="H11" s="399"/>
      <c r="I11" s="399">
        <f>SUM(I9:I10)</f>
        <v>3795142.2527349889</v>
      </c>
    </row>
    <row r="12" spans="1:10" ht="39" customHeight="1">
      <c r="A12" s="1210" t="s">
        <v>1555</v>
      </c>
      <c r="B12" s="399"/>
      <c r="C12" s="560" t="s">
        <v>1707</v>
      </c>
      <c r="D12" s="399"/>
      <c r="E12" s="573"/>
      <c r="F12" s="399"/>
      <c r="G12" s="566">
        <v>0</v>
      </c>
      <c r="H12" s="399"/>
      <c r="I12" s="561">
        <f>-'11'!Z30</f>
        <v>-4283964</v>
      </c>
    </row>
    <row r="13" spans="1:10" ht="39" customHeight="1">
      <c r="A13" s="1210" t="s">
        <v>1801</v>
      </c>
      <c r="B13" s="753"/>
      <c r="C13" s="560"/>
      <c r="D13" s="399"/>
      <c r="E13" s="399"/>
      <c r="F13" s="399"/>
      <c r="G13" s="1146">
        <f>SUM(G11:G12)</f>
        <v>33003209</v>
      </c>
      <c r="H13" s="562"/>
      <c r="I13" s="562">
        <f>SUM(I11:I12)</f>
        <v>-488821.74726501107</v>
      </c>
    </row>
    <row r="14" spans="1:10" ht="39" customHeight="1">
      <c r="A14" s="1210" t="s">
        <v>1226</v>
      </c>
      <c r="B14" s="399"/>
      <c r="C14" s="560" t="s">
        <v>1283</v>
      </c>
      <c r="D14" s="399"/>
      <c r="E14" s="399"/>
      <c r="F14" s="399"/>
      <c r="G14" s="561">
        <f>'12-13'!H106</f>
        <v>893307</v>
      </c>
      <c r="H14" s="561" t="e">
        <f>#REF!</f>
        <v>#REF!</v>
      </c>
      <c r="I14" s="561">
        <f>'12-13'!J106</f>
        <v>735908</v>
      </c>
    </row>
    <row r="15" spans="1:10" ht="39" customHeight="1">
      <c r="A15" s="1210" t="s">
        <v>1778</v>
      </c>
      <c r="B15" s="399"/>
      <c r="C15" s="560"/>
      <c r="D15" s="399"/>
      <c r="E15" s="1038"/>
      <c r="F15" s="399"/>
      <c r="G15" s="399">
        <f>SUM(G13:G14)</f>
        <v>33896516</v>
      </c>
      <c r="H15" s="399"/>
      <c r="I15" s="399">
        <f>SUM(I13:I14)</f>
        <v>247086.25273498893</v>
      </c>
    </row>
    <row r="16" spans="1:10" ht="39" customHeight="1">
      <c r="A16" s="1210" t="s">
        <v>783</v>
      </c>
      <c r="B16" s="399"/>
      <c r="C16" s="560"/>
      <c r="D16" s="399"/>
      <c r="E16" s="399"/>
      <c r="F16" s="399"/>
      <c r="G16" s="399">
        <f>-G15*25%</f>
        <v>-8474129</v>
      </c>
      <c r="H16" s="399"/>
      <c r="I16" s="399"/>
    </row>
    <row r="17" spans="1:16" ht="39" customHeight="1" thickBot="1">
      <c r="A17" s="1210" t="s">
        <v>1841</v>
      </c>
      <c r="B17" s="399"/>
      <c r="C17" s="560"/>
      <c r="D17" s="399"/>
      <c r="E17" s="399"/>
      <c r="F17" s="399"/>
      <c r="G17" s="563">
        <f>G15+G16</f>
        <v>25422387</v>
      </c>
      <c r="H17" s="399"/>
      <c r="I17" s="564">
        <f>SUM(I15:I16)</f>
        <v>247086.25273498893</v>
      </c>
    </row>
    <row r="18" spans="1:16" ht="34.5" customHeight="1" thickTop="1">
      <c r="A18" s="1211"/>
      <c r="B18" s="399"/>
      <c r="C18" s="560"/>
      <c r="D18" s="399"/>
      <c r="E18" s="399"/>
      <c r="F18" s="399"/>
      <c r="G18" s="399"/>
      <c r="H18" s="399"/>
      <c r="I18" s="399"/>
    </row>
    <row r="19" spans="1:16" ht="39" customHeight="1">
      <c r="A19" s="3005" t="s">
        <v>1055</v>
      </c>
      <c r="B19" s="3005"/>
      <c r="C19" s="3005"/>
      <c r="D19" s="3005"/>
      <c r="E19" s="3005"/>
      <c r="F19" s="3005"/>
      <c r="G19" s="3005"/>
      <c r="H19" s="3005"/>
      <c r="I19" s="3005"/>
    </row>
    <row r="20" spans="1:16" ht="31.5" customHeight="1">
      <c r="A20" s="1211"/>
      <c r="B20" s="399"/>
      <c r="C20" s="560"/>
      <c r="D20" s="399"/>
      <c r="E20" s="399"/>
      <c r="F20" s="399"/>
      <c r="G20" s="399"/>
      <c r="H20" s="399"/>
      <c r="I20" s="399"/>
    </row>
    <row r="21" spans="1:16" ht="38.25" customHeight="1" thickBot="1">
      <c r="A21" s="1210" t="s">
        <v>1841</v>
      </c>
      <c r="B21" s="754"/>
      <c r="C21" s="560"/>
      <c r="D21" s="399"/>
      <c r="E21" s="399"/>
      <c r="F21" s="399"/>
      <c r="G21" s="399">
        <f>G17</f>
        <v>25422387</v>
      </c>
      <c r="H21" s="399"/>
      <c r="I21" s="399">
        <f>I17</f>
        <v>247086.25273498893</v>
      </c>
    </row>
    <row r="22" spans="1:16" ht="3" hidden="1" customHeight="1" thickBot="1">
      <c r="A22" s="1210" t="s">
        <v>1542</v>
      </c>
      <c r="B22" s="754"/>
      <c r="C22" s="560"/>
      <c r="D22" s="399"/>
      <c r="E22" s="399"/>
      <c r="F22" s="399"/>
      <c r="G22" s="561">
        <f>G16*2</f>
        <v>-16948258</v>
      </c>
      <c r="H22" s="399"/>
      <c r="I22" s="561">
        <v>0</v>
      </c>
    </row>
    <row r="23" spans="1:16" ht="39" hidden="1" customHeight="1" thickBot="1">
      <c r="A23" s="1210" t="s">
        <v>1779</v>
      </c>
      <c r="B23" s="754"/>
      <c r="C23" s="1095"/>
      <c r="D23" s="399"/>
      <c r="E23" s="399"/>
      <c r="F23" s="399"/>
      <c r="G23" s="1187">
        <f>G21+G22</f>
        <v>8474129</v>
      </c>
      <c r="H23" s="565"/>
      <c r="I23" s="399">
        <f>I21+I22</f>
        <v>247086.25273498893</v>
      </c>
    </row>
    <row r="24" spans="1:16" ht="39" customHeight="1">
      <c r="A24" s="1210" t="s">
        <v>1504</v>
      </c>
      <c r="B24" s="754"/>
      <c r="C24" s="560"/>
      <c r="D24" s="399"/>
      <c r="E24" s="566">
        <v>-2528744</v>
      </c>
      <c r="F24" s="399"/>
      <c r="G24" s="399"/>
      <c r="H24" s="399"/>
      <c r="I24" s="970">
        <v>-1358826</v>
      </c>
    </row>
    <row r="25" spans="1:16" ht="39" customHeight="1" thickBot="1">
      <c r="A25" s="1210" t="s">
        <v>1051</v>
      </c>
      <c r="B25" s="754"/>
      <c r="C25" s="560" t="s">
        <v>1284</v>
      </c>
      <c r="D25" s="399"/>
      <c r="E25" s="568" t="e">
        <f>#REF!</f>
        <v>#REF!</v>
      </c>
      <c r="F25" s="399"/>
      <c r="G25" s="399"/>
      <c r="H25" s="399"/>
      <c r="I25" s="971" t="e">
        <f>#REF!</f>
        <v>#REF!</v>
      </c>
    </row>
    <row r="26" spans="1:16" s="110" customFormat="1" ht="39" customHeight="1">
      <c r="A26" s="1210" t="s">
        <v>1325</v>
      </c>
      <c r="B26" s="754"/>
      <c r="C26" s="560"/>
      <c r="D26" s="399"/>
      <c r="E26" s="399"/>
      <c r="F26" s="399"/>
      <c r="G26" s="399" t="e">
        <f>SUM(E24:E25)</f>
        <v>#REF!</v>
      </c>
      <c r="H26" s="399"/>
      <c r="I26" s="399" t="e">
        <f>I25+I24</f>
        <v>#REF!</v>
      </c>
    </row>
    <row r="27" spans="1:16" s="110" customFormat="1" ht="39" customHeight="1" thickBot="1">
      <c r="A27" s="1210" t="s">
        <v>1503</v>
      </c>
      <c r="B27" s="399"/>
      <c r="C27" s="560"/>
      <c r="D27" s="399"/>
      <c r="E27" s="399"/>
      <c r="F27" s="399"/>
      <c r="G27" s="564" t="e">
        <f>G21+G26</f>
        <v>#REF!</v>
      </c>
      <c r="H27" s="399"/>
      <c r="I27" s="564" t="e">
        <f>I26+I22+I21</f>
        <v>#REF!</v>
      </c>
      <c r="K27" s="569"/>
    </row>
    <row r="28" spans="1:16" ht="24.75" customHeight="1" thickTop="1">
      <c r="A28" s="1157"/>
      <c r="B28" s="1151"/>
      <c r="C28" s="1152"/>
      <c r="D28" s="1151"/>
      <c r="E28" s="1157"/>
      <c r="F28" s="1157"/>
      <c r="G28" s="1157"/>
      <c r="H28" s="1157"/>
      <c r="I28" s="1157" t="e">
        <f>I27-G26</f>
        <v>#REF!</v>
      </c>
      <c r="J28" s="353"/>
      <c r="K28" s="451"/>
      <c r="N28" s="386"/>
      <c r="O28" s="386"/>
      <c r="P28" s="386"/>
    </row>
    <row r="29" spans="1:16" ht="37.5" customHeight="1">
      <c r="A29" s="3006" t="s">
        <v>1800</v>
      </c>
      <c r="B29" s="3006"/>
      <c r="C29" s="3006"/>
      <c r="D29" s="3006"/>
      <c r="E29" s="3006"/>
      <c r="F29" s="3006"/>
      <c r="G29" s="3006"/>
      <c r="H29" s="3006"/>
      <c r="I29" s="3006"/>
      <c r="J29" s="755"/>
      <c r="N29" s="386"/>
      <c r="O29" s="386"/>
      <c r="P29" s="386"/>
    </row>
    <row r="30" spans="1:16" ht="23.25" customHeight="1">
      <c r="A30" s="570"/>
      <c r="B30" s="570"/>
      <c r="C30" s="570"/>
      <c r="D30" s="570"/>
      <c r="E30" s="570"/>
      <c r="F30" s="570"/>
      <c r="G30" s="570"/>
      <c r="H30" s="570"/>
      <c r="I30" s="570"/>
      <c r="J30" s="353"/>
    </row>
    <row r="31" spans="1:16" ht="28.5" customHeight="1">
      <c r="A31" s="2979" t="s">
        <v>1500</v>
      </c>
      <c r="B31" s="2979"/>
      <c r="C31" s="2979"/>
      <c r="D31" s="2979"/>
      <c r="E31" s="2979"/>
      <c r="F31" s="2979"/>
      <c r="G31" s="2979"/>
      <c r="H31" s="2979"/>
      <c r="I31" s="2979"/>
    </row>
    <row r="32" spans="1:16" ht="28.5" customHeight="1">
      <c r="A32" s="1212"/>
      <c r="B32" s="853"/>
      <c r="C32" s="853"/>
      <c r="D32" s="853"/>
      <c r="E32" s="853"/>
      <c r="F32" s="853"/>
      <c r="G32" s="853"/>
      <c r="H32" s="853"/>
      <c r="I32" s="853"/>
    </row>
    <row r="33" spans="1:10" ht="28.5" customHeight="1">
      <c r="A33" s="1212"/>
      <c r="B33" s="853"/>
      <c r="C33" s="853"/>
      <c r="D33" s="1034"/>
      <c r="E33" s="853"/>
      <c r="F33" s="853"/>
      <c r="G33" s="853"/>
      <c r="H33" s="853"/>
      <c r="I33" s="853"/>
    </row>
    <row r="34" spans="1:10" ht="55.5" customHeight="1">
      <c r="A34" s="1213"/>
      <c r="B34" s="571"/>
      <c r="C34" s="572"/>
      <c r="D34" s="573"/>
      <c r="E34" s="573"/>
      <c r="F34" s="573"/>
      <c r="G34" s="573"/>
      <c r="H34" s="573"/>
      <c r="I34" s="573"/>
    </row>
    <row r="35" spans="1:10" ht="39.75">
      <c r="A35" s="2980"/>
      <c r="B35" s="2980"/>
      <c r="C35" s="2980"/>
      <c r="D35" s="2980"/>
      <c r="E35" s="2980"/>
      <c r="F35" s="2980"/>
      <c r="G35" s="2980"/>
      <c r="H35" s="2980"/>
      <c r="I35" s="2980"/>
      <c r="J35" s="762"/>
    </row>
    <row r="36" spans="1:10" ht="33.75">
      <c r="E36" s="399"/>
    </row>
    <row r="37" spans="1:10" ht="33.75">
      <c r="E37" s="399"/>
    </row>
    <row r="38" spans="1:10" ht="33.75">
      <c r="E38" s="399"/>
    </row>
    <row r="40" spans="1:10" ht="37.5">
      <c r="E40" s="357"/>
    </row>
    <row r="41" spans="1:10" ht="37.5">
      <c r="E41" s="574"/>
    </row>
    <row r="42" spans="1:10">
      <c r="B42" s="1147"/>
    </row>
    <row r="55" spans="10:10">
      <c r="J55" s="151">
        <v>-7717613</v>
      </c>
    </row>
  </sheetData>
  <mergeCells count="8">
    <mergeCell ref="A35:I35"/>
    <mergeCell ref="A1:I1"/>
    <mergeCell ref="A2:I2"/>
    <mergeCell ref="A3:I3"/>
    <mergeCell ref="A31:I31"/>
    <mergeCell ref="E6:G6"/>
    <mergeCell ref="A19:I19"/>
    <mergeCell ref="A29:I29"/>
  </mergeCells>
  <printOptions horizontalCentered="1" verticalCentered="1"/>
  <pageMargins left="0" right="0.59055118110236227" top="0.35433070866141736" bottom="0.36" header="0.51181102362204722" footer="0.2"/>
  <pageSetup paperSize="9" scale="59" orientation="portrait" r:id="rId1"/>
  <headerFooter>
    <oddFooter>&amp;C&amp;"B Koodak,Bold"&amp;18 3</oddFooter>
  </headerFooter>
  <ignoredErrors>
    <ignoredError sqref="C14:C15 C25 C9:C1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P57"/>
  <sheetViews>
    <sheetView rightToLeft="1" view="pageBreakPreview" topLeftCell="A13" zoomScale="66" zoomScaleNormal="60" zoomScaleSheetLayoutView="66" zoomScalePageLayoutView="70" workbookViewId="0">
      <selection activeCell="F17" sqref="F17"/>
    </sheetView>
  </sheetViews>
  <sheetFormatPr defaultColWidth="1.375" defaultRowHeight="33.75"/>
  <cols>
    <col min="1" max="1" width="6.25" style="353" customWidth="1"/>
    <col min="2" max="2" width="77.125" style="151" customWidth="1"/>
    <col min="3" max="3" width="0.625" style="151" customWidth="1"/>
    <col min="4" max="4" width="4.75" style="151" customWidth="1"/>
    <col min="5" max="5" width="0.625" style="151" customWidth="1"/>
    <col min="6" max="6" width="19" style="218" customWidth="1"/>
    <col min="7" max="7" width="1.375" style="218" customWidth="1"/>
    <col min="8" max="8" width="23.375" style="218" customWidth="1"/>
    <col min="9" max="9" width="1.25" style="218" customWidth="1"/>
    <col min="10" max="10" width="19.625" style="411" customWidth="1"/>
    <col min="11" max="16384" width="1.375" style="151"/>
  </cols>
  <sheetData>
    <row r="2" spans="1:15" s="388" customFormat="1" ht="43.5" customHeight="1">
      <c r="A2" s="1214"/>
      <c r="B2" s="3003" t="s">
        <v>612</v>
      </c>
      <c r="C2" s="3003"/>
      <c r="D2" s="3003"/>
      <c r="E2" s="3003"/>
      <c r="F2" s="3003"/>
      <c r="G2" s="3003"/>
      <c r="H2" s="3003"/>
      <c r="I2" s="3003"/>
      <c r="J2" s="3003"/>
      <c r="K2" s="387"/>
      <c r="L2" s="387"/>
      <c r="M2" s="387"/>
      <c r="N2" s="387"/>
      <c r="O2" s="387"/>
    </row>
    <row r="3" spans="1:15" s="388" customFormat="1" ht="43.5" customHeight="1">
      <c r="A3" s="1214"/>
      <c r="B3" s="3007" t="s">
        <v>631</v>
      </c>
      <c r="C3" s="3007"/>
      <c r="D3" s="3007"/>
      <c r="E3" s="3007"/>
      <c r="F3" s="3007"/>
      <c r="G3" s="3007"/>
      <c r="H3" s="3007"/>
      <c r="I3" s="3007"/>
      <c r="J3" s="3007"/>
      <c r="K3" s="387"/>
      <c r="L3" s="387"/>
      <c r="M3" s="387"/>
      <c r="N3" s="387"/>
      <c r="O3" s="387"/>
    </row>
    <row r="4" spans="1:15" s="388" customFormat="1" ht="43.5" customHeight="1">
      <c r="A4" s="1214"/>
      <c r="B4" s="3007" t="str">
        <f>مفروضات!A6</f>
        <v xml:space="preserve"> سال مالي منتهي به 29 اسفند 1401</v>
      </c>
      <c r="C4" s="3007"/>
      <c r="D4" s="3007"/>
      <c r="E4" s="3007"/>
      <c r="F4" s="3007"/>
      <c r="G4" s="3007"/>
      <c r="H4" s="3007"/>
      <c r="I4" s="3007"/>
      <c r="J4" s="3007"/>
      <c r="K4" s="387"/>
      <c r="L4" s="387"/>
      <c r="M4" s="387"/>
      <c r="N4" s="387"/>
      <c r="O4" s="387"/>
    </row>
    <row r="5" spans="1:15" ht="44.25" customHeight="1">
      <c r="B5" s="389"/>
      <c r="C5" s="389"/>
      <c r="D5" s="389"/>
      <c r="E5" s="390"/>
      <c r="F5" s="391"/>
      <c r="G5" s="391"/>
      <c r="H5" s="391"/>
      <c r="I5" s="391"/>
      <c r="J5" s="392"/>
      <c r="K5" s="390"/>
      <c r="L5" s="390"/>
      <c r="M5" s="390"/>
      <c r="N5" s="390"/>
      <c r="O5" s="390"/>
    </row>
    <row r="6" spans="1:15" ht="39" customHeight="1">
      <c r="B6" s="390"/>
      <c r="C6" s="390"/>
      <c r="D6" s="390"/>
      <c r="E6" s="393"/>
      <c r="F6" s="391"/>
      <c r="G6" s="391"/>
      <c r="H6" s="391"/>
      <c r="I6" s="391"/>
      <c r="J6" s="278"/>
      <c r="K6" s="390"/>
      <c r="L6" s="390"/>
      <c r="M6" s="390"/>
      <c r="N6" s="390"/>
      <c r="O6" s="390"/>
    </row>
    <row r="7" spans="1:15" ht="40.5" customHeight="1">
      <c r="B7" s="756"/>
      <c r="C7" s="756"/>
      <c r="D7" s="834" t="s">
        <v>478</v>
      </c>
      <c r="E7" s="757"/>
      <c r="F7" s="2990" t="str">
        <f>مفروضات!A10</f>
        <v>سال 1401</v>
      </c>
      <c r="G7" s="2990"/>
      <c r="H7" s="2990"/>
      <c r="I7" s="741"/>
      <c r="J7" s="742" t="str">
        <f>مفروضات!C10</f>
        <v>سال 1400</v>
      </c>
      <c r="K7" s="390"/>
      <c r="L7" s="390"/>
      <c r="M7" s="390"/>
      <c r="N7" s="390"/>
      <c r="O7" s="390"/>
    </row>
    <row r="8" spans="1:15" ht="40.5" customHeight="1">
      <c r="B8" s="758"/>
      <c r="C8" s="758"/>
      <c r="D8" s="758"/>
      <c r="E8" s="757"/>
      <c r="F8" s="759" t="s">
        <v>675</v>
      </c>
      <c r="G8" s="757"/>
      <c r="H8" s="759" t="str">
        <f>F8</f>
        <v>ميليون ريال</v>
      </c>
      <c r="I8" s="759"/>
      <c r="J8" s="760" t="str">
        <f>F8</f>
        <v>ميليون ريال</v>
      </c>
      <c r="K8" s="390"/>
      <c r="L8" s="390"/>
      <c r="M8" s="390"/>
      <c r="N8" s="390"/>
      <c r="O8" s="390"/>
    </row>
    <row r="9" spans="1:15" ht="40.5" customHeight="1">
      <c r="B9" s="973" t="s">
        <v>1445</v>
      </c>
      <c r="C9" s="396"/>
      <c r="D9" s="396"/>
      <c r="E9" s="757"/>
      <c r="F9" s="397"/>
      <c r="G9" s="397"/>
      <c r="H9" s="397"/>
      <c r="I9" s="397"/>
      <c r="J9" s="398"/>
      <c r="K9" s="390"/>
      <c r="L9" s="390"/>
      <c r="M9" s="390"/>
      <c r="N9" s="390"/>
      <c r="O9" s="390"/>
    </row>
    <row r="10" spans="1:15" ht="40.5" customHeight="1">
      <c r="B10" s="972" t="s">
        <v>1444</v>
      </c>
      <c r="C10" s="396"/>
      <c r="D10" s="400">
        <v>18</v>
      </c>
      <c r="E10" s="399"/>
      <c r="F10" s="399"/>
      <c r="G10" s="399"/>
      <c r="H10" s="566" t="e">
        <f>#REF!</f>
        <v>#REF!</v>
      </c>
      <c r="I10" s="399"/>
      <c r="J10" s="399" t="e">
        <f>#REF!</f>
        <v>#REF!</v>
      </c>
      <c r="K10" s="390"/>
      <c r="L10" s="390"/>
      <c r="M10" s="390"/>
      <c r="N10" s="390"/>
      <c r="O10" s="390"/>
    </row>
    <row r="11" spans="1:15" ht="48.75" customHeight="1">
      <c r="B11" s="973" t="s">
        <v>1280</v>
      </c>
      <c r="C11" s="743"/>
      <c r="D11" s="743"/>
      <c r="E11" s="399"/>
      <c r="F11" s="399"/>
      <c r="G11" s="399"/>
      <c r="H11" s="566"/>
      <c r="I11" s="399"/>
      <c r="J11" s="399"/>
      <c r="K11" s="390"/>
      <c r="L11" s="390"/>
      <c r="M11" s="390"/>
      <c r="N11" s="390"/>
      <c r="O11" s="390"/>
    </row>
    <row r="12" spans="1:15" ht="40.5" customHeight="1">
      <c r="B12" s="972" t="s">
        <v>1307</v>
      </c>
      <c r="C12" s="743"/>
      <c r="D12" s="743"/>
      <c r="E12" s="399"/>
      <c r="G12" s="399"/>
      <c r="H12" s="566">
        <f>-'20'!N10</f>
        <v>0</v>
      </c>
      <c r="I12" s="399"/>
      <c r="J12" s="399">
        <v>-15000</v>
      </c>
      <c r="K12" s="390"/>
      <c r="L12" s="390"/>
      <c r="M12" s="390"/>
      <c r="N12" s="390"/>
      <c r="O12" s="390"/>
    </row>
    <row r="13" spans="1:15" ht="40.5" customHeight="1">
      <c r="B13" s="973" t="s">
        <v>709</v>
      </c>
      <c r="C13" s="396"/>
      <c r="D13" s="396"/>
      <c r="E13" s="399"/>
      <c r="F13" s="399"/>
      <c r="G13" s="399"/>
      <c r="H13" s="1321"/>
      <c r="I13" s="399"/>
      <c r="J13" s="399"/>
      <c r="K13" s="390"/>
      <c r="L13" s="390"/>
      <c r="M13" s="390"/>
      <c r="N13" s="390"/>
      <c r="O13" s="390"/>
    </row>
    <row r="14" spans="1:15" ht="46.5" customHeight="1">
      <c r="B14" s="972" t="s">
        <v>634</v>
      </c>
      <c r="C14" s="1030"/>
      <c r="D14" s="400"/>
      <c r="E14" s="399"/>
      <c r="F14" s="399"/>
      <c r="G14" s="399"/>
      <c r="H14" s="566"/>
      <c r="I14" s="399"/>
      <c r="J14" s="399">
        <v>-111712</v>
      </c>
      <c r="K14" s="390"/>
      <c r="L14" s="390"/>
      <c r="M14" s="390"/>
      <c r="N14" s="390"/>
      <c r="O14" s="390"/>
    </row>
    <row r="15" spans="1:15" ht="40.5" customHeight="1">
      <c r="B15" s="973" t="s">
        <v>1449</v>
      </c>
      <c r="C15" s="396"/>
      <c r="D15" s="396"/>
      <c r="E15" s="1038"/>
      <c r="F15" s="402"/>
      <c r="G15" s="399"/>
      <c r="H15" s="399"/>
      <c r="I15" s="399"/>
      <c r="J15" s="399"/>
      <c r="K15" s="390"/>
      <c r="L15" s="390"/>
      <c r="M15" s="390"/>
      <c r="N15" s="390"/>
      <c r="O15" s="390"/>
    </row>
    <row r="16" spans="1:15" ht="40.5" customHeight="1">
      <c r="B16" s="972" t="s">
        <v>1448</v>
      </c>
      <c r="C16" s="396"/>
      <c r="D16" s="400"/>
      <c r="E16" s="399"/>
      <c r="F16" s="399"/>
      <c r="G16" s="399"/>
      <c r="H16" s="761"/>
      <c r="I16" s="399"/>
      <c r="J16" s="567">
        <v>-2435578</v>
      </c>
      <c r="K16" s="390"/>
      <c r="L16" s="390"/>
      <c r="M16" s="390"/>
      <c r="N16" s="390"/>
      <c r="O16" s="390"/>
    </row>
    <row r="17" spans="1:16" ht="40.5" customHeight="1">
      <c r="B17" s="972" t="s">
        <v>1700</v>
      </c>
      <c r="C17" s="396"/>
      <c r="D17" s="400"/>
      <c r="E17" s="399"/>
      <c r="F17" s="566" t="e">
        <f>-'18'!#REF!</f>
        <v>#REF!</v>
      </c>
      <c r="G17" s="399"/>
      <c r="H17" s="399"/>
      <c r="I17" s="399"/>
      <c r="J17" s="824">
        <v>-1247</v>
      </c>
      <c r="K17" s="390"/>
      <c r="L17" s="390"/>
      <c r="M17" s="390"/>
      <c r="N17" s="390"/>
      <c r="O17" s="390"/>
    </row>
    <row r="18" spans="1:16" s="1397" customFormat="1" ht="40.5" customHeight="1">
      <c r="A18" s="353"/>
      <c r="B18" s="972" t="s">
        <v>1842</v>
      </c>
      <c r="C18" s="396"/>
      <c r="D18" s="400"/>
      <c r="E18" s="399"/>
      <c r="F18" s="566" t="e">
        <f>-'18'!#REF!</f>
        <v>#REF!</v>
      </c>
      <c r="G18" s="399"/>
      <c r="H18" s="399"/>
      <c r="I18" s="399"/>
      <c r="J18" s="824">
        <v>20</v>
      </c>
      <c r="K18" s="390"/>
      <c r="L18" s="390"/>
      <c r="M18" s="390"/>
      <c r="N18" s="390"/>
      <c r="O18" s="390"/>
    </row>
    <row r="19" spans="1:16" ht="40.5" customHeight="1">
      <c r="B19" s="972" t="s">
        <v>1520</v>
      </c>
      <c r="C19" s="396"/>
      <c r="D19" s="400"/>
      <c r="E19" s="399"/>
      <c r="F19" s="568" t="e">
        <f>#REF!</f>
        <v>#REF!</v>
      </c>
      <c r="G19" s="399"/>
      <c r="H19" s="399"/>
      <c r="I19" s="399"/>
      <c r="J19" s="825">
        <v>165697</v>
      </c>
      <c r="K19" s="401"/>
      <c r="L19" s="401"/>
      <c r="M19" s="401"/>
      <c r="N19" s="401"/>
      <c r="O19" s="401"/>
    </row>
    <row r="20" spans="1:16" ht="40.5" customHeight="1">
      <c r="B20" s="743" t="s">
        <v>1447</v>
      </c>
      <c r="C20" s="396"/>
      <c r="D20" s="396"/>
      <c r="E20" s="399"/>
      <c r="F20" s="399"/>
      <c r="G20" s="399"/>
      <c r="H20" s="561" t="e">
        <f>SUM(F16:F19)</f>
        <v>#REF!</v>
      </c>
      <c r="I20" s="399"/>
      <c r="J20" s="744">
        <f>SUM(J16:J19)</f>
        <v>-2271108</v>
      </c>
      <c r="K20" s="401"/>
      <c r="L20" s="401"/>
      <c r="M20" s="401"/>
      <c r="N20" s="401"/>
      <c r="O20" s="401"/>
    </row>
    <row r="21" spans="1:16" ht="40.5" customHeight="1">
      <c r="B21" s="743" t="s">
        <v>1851</v>
      </c>
      <c r="C21" s="396"/>
      <c r="D21" s="396"/>
      <c r="E21" s="399"/>
      <c r="F21" s="399"/>
      <c r="G21" s="399"/>
      <c r="H21" s="399" t="e">
        <f>H20+H14+H12+H10</f>
        <v>#REF!</v>
      </c>
      <c r="I21" s="399">
        <f>I20+I14+I10+I12</f>
        <v>0</v>
      </c>
      <c r="J21" s="399" t="e">
        <f>J20+J14+J10+J12</f>
        <v>#REF!</v>
      </c>
      <c r="K21" s="401"/>
      <c r="L21" s="401"/>
      <c r="M21" s="401"/>
      <c r="N21" s="401"/>
      <c r="O21" s="401"/>
    </row>
    <row r="22" spans="1:16" ht="0.75" customHeight="1">
      <c r="B22" s="973" t="s">
        <v>1446</v>
      </c>
      <c r="C22" s="396"/>
      <c r="D22" s="396"/>
      <c r="E22" s="399"/>
      <c r="F22" s="399"/>
      <c r="G22" s="399"/>
      <c r="H22" s="761"/>
      <c r="I22" s="399"/>
      <c r="J22" s="399"/>
      <c r="K22" s="401"/>
      <c r="L22" s="401"/>
      <c r="M22" s="401"/>
      <c r="N22" s="401"/>
      <c r="O22" s="401"/>
    </row>
    <row r="23" spans="1:16" ht="40.5" hidden="1" customHeight="1">
      <c r="B23" s="848" t="s">
        <v>1701</v>
      </c>
      <c r="C23" s="396"/>
      <c r="D23" s="396"/>
      <c r="E23" s="399"/>
      <c r="F23" s="399"/>
      <c r="G23" s="399"/>
      <c r="H23" s="561">
        <v>0</v>
      </c>
      <c r="I23" s="399"/>
      <c r="J23" s="561">
        <v>0</v>
      </c>
      <c r="K23" s="401"/>
      <c r="L23" s="401"/>
      <c r="M23" s="401"/>
      <c r="N23" s="401"/>
      <c r="O23" s="401"/>
    </row>
    <row r="24" spans="1:16" ht="40.5" hidden="1" customHeight="1">
      <c r="B24" s="743" t="s">
        <v>1780</v>
      </c>
      <c r="C24" s="1094" t="s">
        <v>1730</v>
      </c>
      <c r="D24" s="396"/>
      <c r="E24" s="399"/>
      <c r="F24" s="399"/>
      <c r="G24" s="399"/>
      <c r="H24" s="399" t="e">
        <f>SUM(H21:H23)</f>
        <v>#REF!</v>
      </c>
      <c r="I24" s="399"/>
      <c r="J24" s="399" t="e">
        <f>J23+J21</f>
        <v>#REF!</v>
      </c>
      <c r="K24" s="401"/>
      <c r="L24" s="401"/>
      <c r="M24" s="401"/>
      <c r="N24" s="401"/>
      <c r="O24" s="401"/>
    </row>
    <row r="25" spans="1:16" ht="40.5" customHeight="1">
      <c r="B25" s="395" t="s">
        <v>1781</v>
      </c>
      <c r="C25" s="396"/>
      <c r="D25" s="396"/>
      <c r="E25" s="399"/>
      <c r="F25" s="399"/>
      <c r="G25" s="399"/>
      <c r="H25" s="561">
        <f>'22'!L30</f>
        <v>399069</v>
      </c>
      <c r="I25" s="399"/>
      <c r="J25" s="561">
        <v>151538</v>
      </c>
      <c r="K25" s="401"/>
      <c r="L25" s="401"/>
      <c r="M25" s="401"/>
      <c r="N25" s="401"/>
      <c r="O25" s="401"/>
    </row>
    <row r="26" spans="1:16" ht="40.5" customHeight="1" thickBot="1">
      <c r="B26" s="395" t="s">
        <v>1782</v>
      </c>
      <c r="C26" s="396"/>
      <c r="D26" s="396"/>
      <c r="E26" s="399"/>
      <c r="F26" s="399"/>
      <c r="G26" s="399"/>
      <c r="H26" s="745" t="e">
        <f>SUM(H24:H25)</f>
        <v>#REF!</v>
      </c>
      <c r="I26" s="399"/>
      <c r="J26" s="745" t="e">
        <f>SUM(J24:J25)</f>
        <v>#REF!</v>
      </c>
      <c r="K26" s="401"/>
      <c r="L26" s="401"/>
      <c r="M26" s="401"/>
      <c r="N26" s="401"/>
      <c r="O26" s="401"/>
    </row>
    <row r="27" spans="1:16" ht="40.5" customHeight="1" thickTop="1" thickBot="1">
      <c r="B27" s="743" t="s">
        <v>1521</v>
      </c>
      <c r="C27" s="396"/>
      <c r="D27" s="400">
        <v>19</v>
      </c>
      <c r="E27" s="399"/>
      <c r="F27" s="402"/>
      <c r="G27" s="402"/>
      <c r="H27" s="852" t="e">
        <f>'29'!#REF!</f>
        <v>#REF!</v>
      </c>
      <c r="I27" s="535"/>
      <c r="J27" s="852" t="e">
        <f>'29'!#REF!</f>
        <v>#REF!</v>
      </c>
      <c r="K27" s="401"/>
      <c r="L27" s="401"/>
      <c r="M27" s="401"/>
      <c r="N27" s="401"/>
      <c r="O27" s="401"/>
    </row>
    <row r="28" spans="1:16" ht="40.5" customHeight="1" thickTop="1">
      <c r="B28" s="1148"/>
      <c r="C28" s="1149"/>
      <c r="D28" s="1149"/>
      <c r="E28" s="1150"/>
      <c r="F28" s="1150"/>
      <c r="G28" s="1150"/>
      <c r="H28" s="1423" t="e">
        <f>H26-'22'!J30</f>
        <v>#REF!</v>
      </c>
      <c r="I28" s="1423"/>
      <c r="J28" s="1423" t="e">
        <f>J26-'22'!L30</f>
        <v>#REF!</v>
      </c>
      <c r="K28" s="401"/>
      <c r="L28" s="401"/>
      <c r="M28" s="401"/>
      <c r="N28" s="956"/>
      <c r="O28" s="956"/>
      <c r="P28" s="386"/>
    </row>
    <row r="29" spans="1:16" ht="48.75" customHeight="1">
      <c r="B29" s="3008" t="s">
        <v>1501</v>
      </c>
      <c r="C29" s="3008"/>
      <c r="D29" s="3008"/>
      <c r="E29" s="3008"/>
      <c r="F29" s="3008"/>
      <c r="G29" s="3008"/>
      <c r="H29" s="3008"/>
      <c r="I29" s="3008"/>
      <c r="J29" s="3008"/>
      <c r="K29" s="390"/>
      <c r="L29" s="390"/>
      <c r="M29" s="390"/>
      <c r="N29" s="1026"/>
      <c r="O29" s="1026"/>
      <c r="P29" s="386"/>
    </row>
    <row r="30" spans="1:16" s="1402" customFormat="1" ht="48.75" customHeight="1">
      <c r="A30" s="353"/>
      <c r="B30" s="1401"/>
      <c r="C30" s="1401"/>
      <c r="D30" s="1401"/>
      <c r="E30" s="1401"/>
      <c r="F30" s="1401"/>
      <c r="G30" s="1401"/>
      <c r="H30" s="1401"/>
      <c r="I30" s="1401"/>
      <c r="J30" s="1401"/>
      <c r="K30" s="390"/>
      <c r="L30" s="390"/>
      <c r="M30" s="390"/>
      <c r="N30" s="1026"/>
      <c r="O30" s="1026"/>
      <c r="P30" s="386"/>
    </row>
    <row r="31" spans="1:16" s="1402" customFormat="1" ht="48.75" customHeight="1">
      <c r="A31" s="353"/>
      <c r="B31" s="1401"/>
      <c r="C31" s="1401"/>
      <c r="D31" s="1401"/>
      <c r="E31" s="1401"/>
      <c r="F31" s="1401"/>
      <c r="G31" s="1401"/>
      <c r="H31" s="1401"/>
      <c r="I31" s="1401"/>
      <c r="J31" s="1401"/>
      <c r="K31" s="390"/>
      <c r="L31" s="390"/>
      <c r="M31" s="390"/>
      <c r="N31" s="1026"/>
      <c r="O31" s="1026"/>
      <c r="P31" s="386"/>
    </row>
    <row r="32" spans="1:16" ht="39" customHeight="1">
      <c r="B32" s="854"/>
      <c r="C32" s="854"/>
      <c r="D32" s="854"/>
      <c r="E32" s="854"/>
      <c r="F32" s="854"/>
      <c r="G32" s="854"/>
      <c r="H32" s="1153"/>
      <c r="I32" s="854"/>
      <c r="J32" s="854"/>
      <c r="K32" s="390"/>
      <c r="L32" s="390"/>
      <c r="M32" s="390"/>
      <c r="N32" s="390"/>
      <c r="O32" s="390"/>
    </row>
    <row r="33" spans="2:15" ht="52.5" customHeight="1">
      <c r="B33" s="2988">
        <v>4</v>
      </c>
      <c r="C33" s="2988"/>
      <c r="D33" s="2988"/>
      <c r="E33" s="2988"/>
      <c r="F33" s="2988"/>
      <c r="G33" s="2988"/>
      <c r="H33" s="2988"/>
      <c r="I33" s="2988"/>
      <c r="J33" s="2988"/>
      <c r="K33" s="390"/>
      <c r="L33" s="390"/>
      <c r="M33" s="390"/>
      <c r="N33" s="390"/>
      <c r="O33" s="390"/>
    </row>
    <row r="34" spans="2:15">
      <c r="B34" s="403"/>
      <c r="C34" s="404"/>
      <c r="D34" s="404"/>
      <c r="E34" s="390"/>
      <c r="F34" s="391"/>
      <c r="G34" s="391"/>
      <c r="H34" s="391"/>
      <c r="I34" s="391"/>
      <c r="J34" s="392"/>
      <c r="K34" s="390"/>
      <c r="L34" s="390"/>
      <c r="M34" s="390"/>
      <c r="N34" s="390"/>
      <c r="O34" s="390"/>
    </row>
    <row r="35" spans="2:15" ht="37.5">
      <c r="B35" s="403"/>
      <c r="C35" s="405"/>
      <c r="D35" s="405"/>
      <c r="E35" s="390"/>
      <c r="F35" s="391"/>
      <c r="G35" s="391"/>
      <c r="H35" s="391"/>
      <c r="I35" s="391"/>
      <c r="J35" s="392"/>
      <c r="K35" s="390"/>
      <c r="L35" s="390"/>
      <c r="M35" s="390"/>
      <c r="N35" s="390"/>
      <c r="O35" s="390"/>
    </row>
    <row r="36" spans="2:15">
      <c r="B36" s="390"/>
      <c r="C36" s="390"/>
      <c r="D36" s="390"/>
      <c r="E36" s="390"/>
      <c r="F36" s="391"/>
      <c r="G36" s="391"/>
      <c r="H36" s="391"/>
      <c r="I36" s="391"/>
      <c r="J36" s="392"/>
      <c r="K36" s="390"/>
      <c r="L36" s="390"/>
      <c r="M36" s="390"/>
      <c r="N36" s="390"/>
      <c r="O36" s="390"/>
    </row>
    <row r="37" spans="2:15" ht="56.25" customHeight="1">
      <c r="B37" s="406"/>
      <c r="C37" s="406"/>
      <c r="D37" s="407"/>
      <c r="E37" s="401"/>
      <c r="F37" s="394"/>
      <c r="G37" s="394"/>
      <c r="H37" s="391"/>
      <c r="I37" s="391"/>
      <c r="J37" s="392"/>
      <c r="K37" s="390"/>
      <c r="L37" s="390"/>
      <c r="M37" s="390"/>
      <c r="N37" s="390"/>
      <c r="O37" s="390"/>
    </row>
    <row r="38" spans="2:15">
      <c r="B38" s="406"/>
      <c r="C38" s="406"/>
      <c r="D38" s="407"/>
      <c r="E38" s="401"/>
      <c r="F38" s="394"/>
      <c r="G38" s="394"/>
      <c r="H38" s="391"/>
      <c r="I38" s="391"/>
      <c r="J38" s="392"/>
      <c r="K38" s="390"/>
      <c r="L38" s="390"/>
      <c r="M38" s="390"/>
      <c r="N38" s="390"/>
      <c r="O38" s="390"/>
    </row>
    <row r="39" spans="2:15">
      <c r="B39" s="406"/>
      <c r="C39" s="406"/>
      <c r="D39" s="407"/>
      <c r="E39" s="401"/>
      <c r="F39" s="394"/>
      <c r="G39" s="394"/>
      <c r="H39" s="391"/>
      <c r="I39" s="391"/>
      <c r="J39" s="392"/>
      <c r="K39" s="390"/>
      <c r="L39" s="390"/>
      <c r="M39" s="390"/>
      <c r="N39" s="390"/>
      <c r="O39" s="390"/>
    </row>
    <row r="40" spans="2:15">
      <c r="B40" s="406"/>
      <c r="C40" s="406"/>
      <c r="D40" s="407"/>
      <c r="E40" s="401"/>
      <c r="F40" s="394"/>
      <c r="G40" s="394"/>
      <c r="H40" s="391"/>
      <c r="I40" s="391"/>
      <c r="J40" s="392"/>
      <c r="K40" s="390"/>
      <c r="L40" s="390"/>
      <c r="M40" s="390"/>
      <c r="N40" s="390"/>
      <c r="O40" s="390"/>
    </row>
    <row r="41" spans="2:15">
      <c r="B41" s="406"/>
      <c r="C41" s="406"/>
      <c r="D41" s="407"/>
      <c r="E41" s="401"/>
      <c r="F41" s="394"/>
      <c r="G41" s="394"/>
      <c r="H41" s="391"/>
      <c r="I41" s="391"/>
      <c r="J41" s="392"/>
      <c r="K41" s="390"/>
      <c r="L41" s="390"/>
      <c r="M41" s="390"/>
      <c r="N41" s="390"/>
      <c r="O41" s="390"/>
    </row>
    <row r="42" spans="2:15">
      <c r="B42" s="406"/>
      <c r="C42" s="406"/>
      <c r="D42" s="407"/>
      <c r="E42" s="401"/>
      <c r="F42" s="394"/>
      <c r="G42" s="394"/>
      <c r="H42" s="391"/>
      <c r="I42" s="391"/>
      <c r="J42" s="392"/>
      <c r="K42" s="390"/>
      <c r="L42" s="390"/>
      <c r="M42" s="390"/>
      <c r="N42" s="390"/>
      <c r="O42" s="390"/>
    </row>
    <row r="43" spans="2:15">
      <c r="B43" s="406"/>
      <c r="C43" s="406"/>
      <c r="D43" s="407"/>
      <c r="E43" s="401"/>
      <c r="F43" s="394"/>
      <c r="G43" s="408"/>
      <c r="H43" s="391"/>
      <c r="I43" s="391"/>
      <c r="J43" s="392"/>
      <c r="K43" s="390"/>
      <c r="L43" s="390"/>
      <c r="M43" s="390"/>
      <c r="N43" s="390"/>
      <c r="O43" s="390"/>
    </row>
    <row r="44" spans="2:15">
      <c r="B44" s="406"/>
      <c r="C44" s="406"/>
      <c r="D44" s="407"/>
      <c r="E44" s="401"/>
      <c r="F44" s="394"/>
      <c r="G44" s="408"/>
      <c r="H44" s="391"/>
      <c r="I44" s="391"/>
      <c r="J44" s="392"/>
      <c r="K44" s="390"/>
      <c r="L44" s="390"/>
      <c r="M44" s="390"/>
      <c r="N44" s="390"/>
      <c r="O44" s="390"/>
    </row>
    <row r="45" spans="2:15">
      <c r="B45" s="403"/>
      <c r="C45" s="403"/>
      <c r="D45" s="409"/>
      <c r="E45" s="409"/>
      <c r="F45" s="408"/>
      <c r="G45" s="391"/>
      <c r="H45" s="391"/>
      <c r="I45" s="391"/>
      <c r="J45" s="392"/>
      <c r="K45" s="390"/>
      <c r="L45" s="390"/>
      <c r="M45" s="390"/>
      <c r="N45" s="390"/>
      <c r="O45" s="390"/>
    </row>
    <row r="46" spans="2:15">
      <c r="B46" s="403"/>
      <c r="C46" s="403"/>
      <c r="D46" s="410"/>
      <c r="E46" s="410"/>
      <c r="F46" s="408"/>
      <c r="G46" s="391"/>
      <c r="H46" s="391"/>
      <c r="I46" s="391"/>
      <c r="J46" s="392"/>
      <c r="K46" s="390"/>
      <c r="L46" s="390"/>
      <c r="M46" s="390"/>
      <c r="N46" s="390"/>
      <c r="O46" s="390"/>
    </row>
    <row r="57" spans="10:10">
      <c r="J57" s="411">
        <v>-7717613</v>
      </c>
    </row>
  </sheetData>
  <mergeCells count="6">
    <mergeCell ref="B33:J33"/>
    <mergeCell ref="B2:J2"/>
    <mergeCell ref="B3:J3"/>
    <mergeCell ref="B4:J4"/>
    <mergeCell ref="F7:H7"/>
    <mergeCell ref="B29:J29"/>
  </mergeCells>
  <printOptions horizontalCentered="1" verticalCentered="1"/>
  <pageMargins left="0.15748031496062992" right="0" top="0.17" bottom="0.19685039370078741" header="0.3" footer="0.23622047244094491"/>
  <pageSetup paperSize="9"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R59"/>
  <sheetViews>
    <sheetView rightToLeft="1" view="pageBreakPreview" topLeftCell="A42" zoomScale="70" zoomScaleNormal="49" zoomScaleSheetLayoutView="70" workbookViewId="0">
      <selection activeCell="G42" sqref="G42"/>
    </sheetView>
  </sheetViews>
  <sheetFormatPr defaultColWidth="1.375" defaultRowHeight="21"/>
  <cols>
    <col min="1" max="1" width="5.375" style="890" customWidth="1"/>
    <col min="2" max="2" width="5.5" style="890" customWidth="1"/>
    <col min="3" max="3" width="8.75" style="170" customWidth="1"/>
    <col min="4" max="4" width="27" style="170" customWidth="1"/>
    <col min="5" max="5" width="12.625" style="170" customWidth="1"/>
    <col min="6" max="6" width="1.75" style="170" customWidth="1"/>
    <col min="7" max="7" width="16.5" style="723" customWidth="1"/>
    <col min="8" max="8" width="2.25" style="170" customWidth="1"/>
    <col min="9" max="9" width="13.625" style="170" customWidth="1"/>
    <col min="10" max="10" width="2.25" style="170" customWidth="1"/>
    <col min="11" max="11" width="18.25" style="724" customWidth="1"/>
    <col min="12" max="12" width="0.25" style="170" customWidth="1"/>
    <col min="13" max="13" width="3.375" style="170" customWidth="1"/>
    <col min="14" max="14" width="20.125" style="725" customWidth="1"/>
    <col min="15" max="15" width="2.125" style="181" customWidth="1"/>
    <col min="16" max="16" width="14.125" style="170" customWidth="1"/>
    <col min="17" max="17" width="2" style="170" customWidth="1"/>
    <col min="18" max="18" width="19.25" style="724" customWidth="1"/>
    <col min="19" max="16384" width="1.375" style="170"/>
  </cols>
  <sheetData>
    <row r="1" spans="1:18" s="659" customFormat="1" ht="29.25" customHeight="1">
      <c r="A1" s="3017" t="s">
        <v>612</v>
      </c>
      <c r="B1" s="3017"/>
      <c r="C1" s="3017"/>
      <c r="D1" s="3017"/>
      <c r="E1" s="3017"/>
      <c r="F1" s="3017"/>
      <c r="G1" s="3017"/>
      <c r="H1" s="3017"/>
      <c r="I1" s="3017"/>
      <c r="J1" s="3017"/>
      <c r="K1" s="3017"/>
      <c r="L1" s="3017"/>
      <c r="M1" s="3017"/>
      <c r="N1" s="3017"/>
      <c r="O1" s="3017"/>
      <c r="P1" s="3017"/>
      <c r="Q1" s="3017"/>
      <c r="R1" s="3017"/>
    </row>
    <row r="2" spans="1:18" s="659" customFormat="1" ht="29.25" customHeight="1">
      <c r="A2" s="3018" t="str">
        <f>مفروضات!A2</f>
        <v>يادداشت هاي توضيحي صورت هاي مالي</v>
      </c>
      <c r="B2" s="3018"/>
      <c r="C2" s="3018"/>
      <c r="D2" s="3018"/>
      <c r="E2" s="3018"/>
      <c r="F2" s="3018"/>
      <c r="G2" s="3018"/>
      <c r="H2" s="3018"/>
      <c r="I2" s="3018"/>
      <c r="J2" s="3018"/>
      <c r="K2" s="3018"/>
      <c r="L2" s="3018"/>
      <c r="M2" s="3018"/>
      <c r="N2" s="3018"/>
      <c r="O2" s="3018"/>
      <c r="P2" s="3018"/>
      <c r="Q2" s="3018"/>
      <c r="R2" s="3018"/>
    </row>
    <row r="3" spans="1:18" s="659" customFormat="1" ht="28.5" customHeight="1">
      <c r="A3" s="3018" t="str">
        <f>مفروضات!A3</f>
        <v xml:space="preserve"> سال مالي منتهي به 29 اسفند 1401</v>
      </c>
      <c r="B3" s="3018"/>
      <c r="C3" s="3018"/>
      <c r="D3" s="3018"/>
      <c r="E3" s="3018"/>
      <c r="F3" s="3018"/>
      <c r="G3" s="3018"/>
      <c r="H3" s="3018"/>
      <c r="I3" s="3018"/>
      <c r="J3" s="3018"/>
      <c r="K3" s="3018"/>
      <c r="L3" s="3018"/>
      <c r="M3" s="3018"/>
      <c r="N3" s="3018"/>
      <c r="O3" s="3018"/>
      <c r="P3" s="3018"/>
      <c r="Q3" s="3018"/>
      <c r="R3" s="3018"/>
    </row>
    <row r="4" spans="1:18" ht="40.5" customHeight="1">
      <c r="A4" s="1104"/>
      <c r="B4" s="2814" t="s">
        <v>1987</v>
      </c>
      <c r="C4" s="1987" t="s">
        <v>2049</v>
      </c>
      <c r="D4" s="661"/>
      <c r="E4" s="661"/>
      <c r="F4" s="661"/>
      <c r="G4" s="661"/>
      <c r="H4" s="661"/>
      <c r="I4" s="661"/>
      <c r="J4" s="660"/>
      <c r="K4" s="662"/>
      <c r="L4" s="660"/>
      <c r="M4" s="660"/>
      <c r="N4" s="664"/>
      <c r="O4" s="663"/>
      <c r="P4" s="660" t="s">
        <v>1315</v>
      </c>
      <c r="Q4" s="660"/>
      <c r="R4" s="2117" t="s">
        <v>1950</v>
      </c>
    </row>
    <row r="5" spans="1:18" ht="3" customHeight="1">
      <c r="A5" s="1105"/>
      <c r="B5" s="1222"/>
      <c r="C5" s="661"/>
      <c r="D5" s="661"/>
      <c r="E5" s="831"/>
      <c r="F5" s="831"/>
      <c r="G5" s="3020"/>
      <c r="H5" s="3020"/>
      <c r="I5" s="3020"/>
      <c r="J5" s="3020"/>
      <c r="K5" s="3020"/>
      <c r="L5" s="660"/>
      <c r="M5" s="660"/>
      <c r="N5" s="664"/>
      <c r="O5" s="663"/>
      <c r="P5" s="660"/>
      <c r="Q5" s="660"/>
      <c r="R5" s="662"/>
    </row>
    <row r="6" spans="1:18" ht="20.25" customHeight="1" thickBot="1">
      <c r="A6" s="1106"/>
      <c r="B6" s="1223"/>
      <c r="C6" s="665"/>
      <c r="D6" s="666"/>
      <c r="E6" s="831"/>
      <c r="F6" s="831"/>
      <c r="G6" s="3015">
        <v>1401</v>
      </c>
      <c r="H6" s="3015"/>
      <c r="I6" s="3015"/>
      <c r="J6" s="3015"/>
      <c r="K6" s="3015"/>
      <c r="L6" s="667"/>
      <c r="M6" s="831"/>
      <c r="N6" s="3015">
        <v>1400</v>
      </c>
      <c r="O6" s="3015"/>
      <c r="P6" s="3015"/>
      <c r="Q6" s="3015"/>
      <c r="R6" s="3015"/>
    </row>
    <row r="7" spans="1:18" ht="23.25" customHeight="1">
      <c r="A7" s="1106"/>
      <c r="C7" s="665"/>
      <c r="E7" s="878" t="s">
        <v>2447</v>
      </c>
      <c r="F7" s="2613"/>
      <c r="G7" s="878" t="s">
        <v>1548</v>
      </c>
      <c r="H7" s="831"/>
      <c r="I7" s="878" t="s">
        <v>2463</v>
      </c>
      <c r="J7" s="831"/>
      <c r="K7" s="878" t="s">
        <v>2194</v>
      </c>
      <c r="L7" s="667"/>
      <c r="M7" s="873"/>
      <c r="N7" s="878" t="s">
        <v>1548</v>
      </c>
      <c r="O7" s="831"/>
      <c r="P7" s="878" t="s">
        <v>781</v>
      </c>
      <c r="Q7" s="831"/>
      <c r="R7" s="877" t="s">
        <v>2194</v>
      </c>
    </row>
    <row r="8" spans="1:18" ht="28.5" customHeight="1">
      <c r="A8" s="1107" t="s">
        <v>630</v>
      </c>
      <c r="D8" s="661"/>
      <c r="E8" s="2613"/>
      <c r="F8" s="2613"/>
      <c r="G8" s="876"/>
      <c r="H8" s="874"/>
      <c r="J8" s="874"/>
      <c r="K8" s="875" t="s">
        <v>1561</v>
      </c>
      <c r="L8" s="874"/>
      <c r="M8" s="876"/>
      <c r="N8" s="876"/>
      <c r="O8" s="875"/>
      <c r="P8" s="875" t="s">
        <v>1561</v>
      </c>
      <c r="Q8" s="671"/>
      <c r="R8" s="873"/>
    </row>
    <row r="9" spans="1:18" ht="29.25" customHeight="1">
      <c r="A9" s="1107"/>
      <c r="C9" s="692" t="s">
        <v>1455</v>
      </c>
      <c r="D9" s="675"/>
      <c r="E9" s="2594"/>
      <c r="F9" s="2594"/>
      <c r="G9" s="670"/>
      <c r="H9" s="674"/>
      <c r="I9" s="672"/>
      <c r="J9" s="671"/>
      <c r="K9" s="673"/>
      <c r="L9" s="671"/>
      <c r="M9" s="674"/>
      <c r="N9" s="674"/>
      <c r="O9" s="672"/>
      <c r="P9" s="672"/>
      <c r="Q9" s="671"/>
      <c r="R9" s="673"/>
    </row>
    <row r="10" spans="1:18" ht="31.5" customHeight="1">
      <c r="A10" s="1107"/>
      <c r="C10" s="669"/>
      <c r="D10" s="675" t="s">
        <v>1539</v>
      </c>
      <c r="E10" s="2602" t="s">
        <v>2448</v>
      </c>
      <c r="F10" s="2602"/>
      <c r="G10" s="676">
        <v>20578641</v>
      </c>
      <c r="H10" s="677"/>
      <c r="I10" s="682">
        <v>417.85</v>
      </c>
      <c r="J10" s="671"/>
      <c r="K10" s="679">
        <f>G10*I10/1000</f>
        <v>8598785.1418500002</v>
      </c>
      <c r="L10" s="671"/>
      <c r="M10" s="680"/>
      <c r="N10" s="676">
        <v>19543718</v>
      </c>
      <c r="O10" s="672"/>
      <c r="P10" s="682">
        <v>281.7</v>
      </c>
      <c r="Q10" s="671"/>
      <c r="R10" s="679">
        <v>5505465.3605999993</v>
      </c>
    </row>
    <row r="11" spans="1:18" ht="31.5" customHeight="1">
      <c r="A11" s="1107"/>
      <c r="C11" s="669"/>
      <c r="D11" s="675" t="s">
        <v>152</v>
      </c>
      <c r="E11" s="2602" t="s">
        <v>2448</v>
      </c>
      <c r="F11" s="2602"/>
      <c r="G11" s="676">
        <v>13511374</v>
      </c>
      <c r="H11" s="677"/>
      <c r="I11" s="682">
        <v>417.85</v>
      </c>
      <c r="J11" s="671"/>
      <c r="K11" s="679">
        <f t="shared" ref="K11:K14" si="0">G11*I11/1000</f>
        <v>5645727.6259000003</v>
      </c>
      <c r="L11" s="671"/>
      <c r="M11" s="680"/>
      <c r="N11" s="676">
        <v>12877332</v>
      </c>
      <c r="O11" s="672"/>
      <c r="P11" s="682">
        <v>281.7</v>
      </c>
      <c r="Q11" s="859"/>
      <c r="R11" s="679">
        <v>3627544.4243999994</v>
      </c>
    </row>
    <row r="12" spans="1:18" ht="31.5" customHeight="1">
      <c r="A12" s="1107"/>
      <c r="C12" s="669"/>
      <c r="D12" s="2592" t="s">
        <v>1708</v>
      </c>
      <c r="E12" s="2602" t="s">
        <v>2448</v>
      </c>
      <c r="F12" s="2602"/>
      <c r="G12" s="676">
        <v>14438650</v>
      </c>
      <c r="H12" s="677"/>
      <c r="I12" s="682">
        <v>417.85</v>
      </c>
      <c r="J12" s="671"/>
      <c r="K12" s="679">
        <f t="shared" si="0"/>
        <v>6033189.9024999999</v>
      </c>
      <c r="L12" s="671"/>
      <c r="M12" s="680"/>
      <c r="N12" s="676">
        <v>15027893</v>
      </c>
      <c r="O12" s="672"/>
      <c r="P12" s="682">
        <v>281.7</v>
      </c>
      <c r="Q12" s="859"/>
      <c r="R12" s="679">
        <v>4233357.4580999995</v>
      </c>
    </row>
    <row r="13" spans="1:18" ht="31.5" customHeight="1">
      <c r="A13" s="1107"/>
      <c r="C13" s="182"/>
      <c r="D13" s="675" t="s">
        <v>1419</v>
      </c>
      <c r="E13" s="2602" t="s">
        <v>2448</v>
      </c>
      <c r="F13" s="2602"/>
      <c r="G13" s="676">
        <v>9229281</v>
      </c>
      <c r="H13" s="677"/>
      <c r="I13" s="682">
        <v>417.85</v>
      </c>
      <c r="J13" s="671"/>
      <c r="K13" s="679">
        <f t="shared" si="0"/>
        <v>3856455.0658500004</v>
      </c>
      <c r="L13" s="671"/>
      <c r="M13" s="680"/>
      <c r="N13" s="676">
        <v>8708792</v>
      </c>
      <c r="O13" s="672"/>
      <c r="P13" s="682">
        <v>281.7</v>
      </c>
      <c r="Q13" s="859"/>
      <c r="R13" s="679">
        <v>2453266.7064</v>
      </c>
    </row>
    <row r="14" spans="1:18" ht="31.5" customHeight="1">
      <c r="A14" s="1107"/>
      <c r="C14" s="669"/>
      <c r="D14" s="675" t="s">
        <v>558</v>
      </c>
      <c r="E14" s="2602" t="s">
        <v>2448</v>
      </c>
      <c r="F14" s="2602"/>
      <c r="G14" s="676">
        <v>6151094</v>
      </c>
      <c r="H14" s="677"/>
      <c r="I14" s="682">
        <v>417.85</v>
      </c>
      <c r="J14" s="671"/>
      <c r="K14" s="679">
        <f t="shared" si="0"/>
        <v>2570234.6279000002</v>
      </c>
      <c r="L14" s="671"/>
      <c r="M14" s="680"/>
      <c r="N14" s="676">
        <v>6466071</v>
      </c>
      <c r="O14" s="672"/>
      <c r="P14" s="682">
        <v>281.7</v>
      </c>
      <c r="Q14" s="859"/>
      <c r="R14" s="679">
        <v>1821492.2006999997</v>
      </c>
    </row>
    <row r="15" spans="1:18" ht="31.5" customHeight="1">
      <c r="A15" s="1107"/>
      <c r="C15" s="669"/>
      <c r="D15" s="675" t="s">
        <v>528</v>
      </c>
      <c r="E15" s="2602" t="s">
        <v>2448</v>
      </c>
      <c r="F15" s="2602"/>
      <c r="G15" s="676">
        <v>3011875</v>
      </c>
      <c r="H15" s="677"/>
      <c r="I15" s="682">
        <v>417.85</v>
      </c>
      <c r="J15" s="671"/>
      <c r="K15" s="679">
        <f>G15*I15/1000</f>
        <v>1258511.96875</v>
      </c>
      <c r="L15" s="671"/>
      <c r="M15" s="680"/>
      <c r="N15" s="676">
        <v>2961176</v>
      </c>
      <c r="O15" s="672"/>
      <c r="P15" s="682">
        <v>281.7</v>
      </c>
      <c r="Q15" s="859"/>
      <c r="R15" s="679">
        <v>834163.27919999987</v>
      </c>
    </row>
    <row r="16" spans="1:18" ht="31.5" customHeight="1">
      <c r="A16" s="1107"/>
      <c r="C16" s="669"/>
      <c r="D16" s="675" t="s">
        <v>159</v>
      </c>
      <c r="E16" s="2602" t="s">
        <v>2448</v>
      </c>
      <c r="F16" s="2602"/>
      <c r="G16" s="683">
        <v>1272367</v>
      </c>
      <c r="H16" s="677"/>
      <c r="I16" s="682">
        <v>417.85</v>
      </c>
      <c r="J16" s="671"/>
      <c r="K16" s="679">
        <f>G16*I16/1000-1</f>
        <v>531657.55095000006</v>
      </c>
      <c r="L16" s="671"/>
      <c r="M16" s="680"/>
      <c r="N16" s="683">
        <v>1175405</v>
      </c>
      <c r="O16" s="672"/>
      <c r="P16" s="682">
        <v>281.7</v>
      </c>
      <c r="Q16" s="859"/>
      <c r="R16" s="679">
        <f>331112.5885</f>
        <v>331112.58850000001</v>
      </c>
    </row>
    <row r="17" spans="1:18" ht="24" customHeight="1">
      <c r="A17" s="1107"/>
      <c r="B17" s="1224"/>
      <c r="C17" s="669"/>
      <c r="D17" s="669"/>
      <c r="E17" s="661"/>
      <c r="F17" s="661"/>
      <c r="G17" s="685">
        <f>SUM(G10:G16)</f>
        <v>68193282</v>
      </c>
      <c r="H17" s="677"/>
      <c r="I17" s="859"/>
      <c r="J17" s="671"/>
      <c r="K17" s="686">
        <f>-'1401'!V528</f>
        <v>28494562</v>
      </c>
      <c r="L17" s="671"/>
      <c r="M17" s="680"/>
      <c r="N17" s="817">
        <f>SUM(N10:N16)</f>
        <v>66760387</v>
      </c>
      <c r="O17" s="672"/>
      <c r="P17" s="859"/>
      <c r="Q17" s="671"/>
      <c r="R17" s="686">
        <f>SUM(R10:R16)</f>
        <v>18806402.017899998</v>
      </c>
    </row>
    <row r="18" spans="1:18" ht="36" customHeight="1">
      <c r="A18" s="2198" t="s">
        <v>2181</v>
      </c>
      <c r="B18" s="1224"/>
      <c r="C18" s="692" t="s">
        <v>1402</v>
      </c>
      <c r="E18" s="661"/>
      <c r="F18" s="661"/>
      <c r="G18" s="687"/>
      <c r="H18" s="677"/>
      <c r="I18" s="859"/>
      <c r="J18" s="671"/>
      <c r="K18" s="679"/>
      <c r="L18" s="671"/>
      <c r="M18" s="680"/>
      <c r="N18" s="681"/>
      <c r="O18" s="672"/>
      <c r="P18" s="682"/>
      <c r="Q18" s="671"/>
      <c r="R18" s="679"/>
    </row>
    <row r="19" spans="1:18" ht="26.25" customHeight="1">
      <c r="A19" s="1107"/>
      <c r="D19" s="2591" t="s">
        <v>1845</v>
      </c>
      <c r="E19" s="2602" t="s">
        <v>2448</v>
      </c>
      <c r="F19" s="2602"/>
      <c r="G19" s="676">
        <v>50917423</v>
      </c>
      <c r="H19" s="677"/>
      <c r="I19" s="2528">
        <v>395</v>
      </c>
      <c r="J19" s="671"/>
      <c r="K19" s="679">
        <f>G19*I19/1000</f>
        <v>20112382.085000001</v>
      </c>
      <c r="L19" s="671"/>
      <c r="M19" s="680"/>
      <c r="N19" s="676">
        <v>48659094</v>
      </c>
      <c r="O19" s="677"/>
      <c r="P19" s="859">
        <v>300</v>
      </c>
      <c r="Q19" s="671"/>
      <c r="R19" s="679">
        <v>14597728.199999999</v>
      </c>
    </row>
    <row r="20" spans="1:18" ht="26.25" customHeight="1">
      <c r="A20" s="1107"/>
      <c r="D20" s="2591" t="s">
        <v>1758</v>
      </c>
      <c r="E20" s="2602" t="s">
        <v>2448</v>
      </c>
      <c r="F20" s="2602"/>
      <c r="G20" s="676">
        <v>11699492</v>
      </c>
      <c r="H20" s="677"/>
      <c r="I20" s="2528">
        <v>395</v>
      </c>
      <c r="J20" s="671"/>
      <c r="K20" s="679">
        <f>G20*I20/1000</f>
        <v>4621299.34</v>
      </c>
      <c r="L20" s="671"/>
      <c r="M20" s="680"/>
      <c r="N20" s="676">
        <v>10587126</v>
      </c>
      <c r="O20" s="677"/>
      <c r="P20" s="859">
        <v>300</v>
      </c>
      <c r="Q20" s="671"/>
      <c r="R20" s="679">
        <v>3176137.8</v>
      </c>
    </row>
    <row r="21" spans="1:18" ht="24" hidden="1" customHeight="1">
      <c r="A21" s="1107"/>
      <c r="D21" s="2591" t="s">
        <v>1759</v>
      </c>
      <c r="E21" s="2590"/>
      <c r="F21" s="2590"/>
      <c r="G21" s="676">
        <v>0</v>
      </c>
      <c r="H21" s="677"/>
      <c r="I21" s="2528"/>
      <c r="J21" s="671"/>
      <c r="K21" s="679">
        <v>0</v>
      </c>
      <c r="L21" s="671"/>
      <c r="M21" s="680"/>
      <c r="N21" s="676" t="s">
        <v>713</v>
      </c>
      <c r="O21" s="677"/>
      <c r="P21" s="859">
        <v>0</v>
      </c>
      <c r="Q21" s="671"/>
      <c r="R21" s="679">
        <v>0</v>
      </c>
    </row>
    <row r="22" spans="1:18" ht="26.25" hidden="1" customHeight="1">
      <c r="A22" s="1107"/>
      <c r="D22" s="2591" t="s">
        <v>1837</v>
      </c>
      <c r="E22" s="2590"/>
      <c r="F22" s="2590"/>
      <c r="G22" s="676"/>
      <c r="H22" s="677"/>
      <c r="I22" s="2528">
        <v>395</v>
      </c>
      <c r="J22" s="671"/>
      <c r="K22" s="679"/>
      <c r="L22" s="671"/>
      <c r="M22" s="680"/>
      <c r="N22" s="676"/>
      <c r="O22" s="677"/>
      <c r="P22" s="859">
        <v>180</v>
      </c>
      <c r="Q22" s="671"/>
      <c r="R22" s="679"/>
    </row>
    <row r="23" spans="1:18" ht="26.25" hidden="1" customHeight="1">
      <c r="A23" s="1107"/>
      <c r="D23" s="2591" t="s">
        <v>1846</v>
      </c>
      <c r="E23" s="2590"/>
      <c r="F23" s="2590"/>
      <c r="G23" s="676"/>
      <c r="H23" s="677"/>
      <c r="I23" s="2528">
        <v>395</v>
      </c>
      <c r="J23" s="671"/>
      <c r="K23" s="679"/>
      <c r="L23" s="671"/>
      <c r="M23" s="680"/>
      <c r="N23" s="676"/>
      <c r="O23" s="677"/>
      <c r="P23" s="859">
        <v>180</v>
      </c>
      <c r="Q23" s="671"/>
      <c r="R23" s="679"/>
    </row>
    <row r="24" spans="1:18" ht="32.25" customHeight="1">
      <c r="A24" s="1107"/>
      <c r="C24" s="1092"/>
      <c r="D24" s="2592" t="s">
        <v>1794</v>
      </c>
      <c r="E24" s="2593" t="s">
        <v>2443</v>
      </c>
      <c r="F24" s="2593"/>
      <c r="G24" s="676">
        <v>8856</v>
      </c>
      <c r="H24" s="677"/>
      <c r="I24" s="2603">
        <v>3160733</v>
      </c>
      <c r="J24" s="671"/>
      <c r="K24" s="679">
        <f>I24*G24/1000000+1</f>
        <v>27992.451448</v>
      </c>
      <c r="L24" s="671"/>
      <c r="M24" s="680"/>
      <c r="N24" s="676">
        <v>48595</v>
      </c>
      <c r="O24" s="677"/>
      <c r="P24" s="2603">
        <v>2789000</v>
      </c>
      <c r="Q24" s="2603"/>
      <c r="R24" s="679">
        <v>135530.040935</v>
      </c>
    </row>
    <row r="25" spans="1:18" ht="32.25" customHeight="1">
      <c r="A25" s="1107"/>
      <c r="D25" s="2592" t="s">
        <v>1795</v>
      </c>
      <c r="E25" s="2593" t="s">
        <v>2443</v>
      </c>
      <c r="F25" s="2593"/>
      <c r="G25" s="676">
        <v>39640</v>
      </c>
      <c r="H25" s="677"/>
      <c r="I25" s="2603">
        <v>1948049</v>
      </c>
      <c r="J25" s="671"/>
      <c r="K25" s="679">
        <f>I25*G25/1000000</f>
        <v>77220.662360000002</v>
      </c>
      <c r="L25" s="671"/>
      <c r="M25" s="680"/>
      <c r="N25" s="676">
        <v>70202</v>
      </c>
      <c r="O25" s="677"/>
      <c r="P25" s="2603">
        <v>1229000</v>
      </c>
      <c r="Q25" s="2603"/>
      <c r="R25" s="679">
        <v>86275.013099999996</v>
      </c>
    </row>
    <row r="26" spans="1:18" ht="32.25" hidden="1" customHeight="1">
      <c r="A26" s="1107"/>
      <c r="D26" s="2592" t="s">
        <v>2102</v>
      </c>
      <c r="E26" s="2593" t="s">
        <v>2443</v>
      </c>
      <c r="F26" s="2593"/>
      <c r="G26" s="676">
        <v>0</v>
      </c>
      <c r="H26" s="677"/>
      <c r="I26" s="2603"/>
      <c r="J26" s="671"/>
      <c r="K26" s="679">
        <v>0</v>
      </c>
      <c r="L26" s="671"/>
      <c r="M26" s="680"/>
      <c r="N26" s="676" t="s">
        <v>713</v>
      </c>
      <c r="O26" s="677"/>
      <c r="P26" s="2603">
        <v>0</v>
      </c>
      <c r="Q26" s="2603"/>
      <c r="R26" s="679">
        <v>0</v>
      </c>
    </row>
    <row r="27" spans="1:18" ht="32.25" customHeight="1">
      <c r="A27" s="1107"/>
      <c r="D27" s="2592" t="s">
        <v>2103</v>
      </c>
      <c r="E27" s="2593" t="s">
        <v>2443</v>
      </c>
      <c r="F27" s="2593"/>
      <c r="G27" s="676">
        <v>39842</v>
      </c>
      <c r="H27" s="677"/>
      <c r="I27" s="2603">
        <v>2765896</v>
      </c>
      <c r="J27" s="671"/>
      <c r="K27" s="679">
        <f>I27*G27/1000000</f>
        <v>110198.82843199999</v>
      </c>
      <c r="L27" s="671"/>
      <c r="M27" s="680"/>
      <c r="N27" s="676">
        <v>58411</v>
      </c>
      <c r="O27" s="677"/>
      <c r="P27" s="2603">
        <v>1333000</v>
      </c>
      <c r="Q27" s="2603"/>
      <c r="R27" s="679">
        <v>77850.180800000002</v>
      </c>
    </row>
    <row r="28" spans="1:18" ht="32.25" customHeight="1">
      <c r="A28" s="1107"/>
      <c r="D28" s="2592" t="s">
        <v>2411</v>
      </c>
      <c r="E28" s="2602" t="s">
        <v>2448</v>
      </c>
      <c r="F28" s="2602"/>
      <c r="G28" s="2529">
        <v>21.916</v>
      </c>
      <c r="H28" s="677"/>
      <c r="I28" s="2528">
        <v>395</v>
      </c>
      <c r="J28" s="671"/>
      <c r="K28" s="679">
        <f>I28*G28+1</f>
        <v>8657.82</v>
      </c>
      <c r="L28" s="671"/>
      <c r="M28" s="680"/>
      <c r="N28" s="1295">
        <v>0</v>
      </c>
      <c r="O28" s="1295"/>
      <c r="P28" s="1295"/>
      <c r="Q28" s="1295"/>
      <c r="R28" s="1295">
        <v>0</v>
      </c>
    </row>
    <row r="29" spans="1:18" ht="32.25" customHeight="1">
      <c r="A29" s="1107"/>
      <c r="D29" s="2592" t="s">
        <v>2444</v>
      </c>
      <c r="E29" s="2602" t="s">
        <v>2448</v>
      </c>
      <c r="F29" s="2602"/>
      <c r="G29" s="2529">
        <v>327.25</v>
      </c>
      <c r="H29" s="677"/>
      <c r="I29" s="2528">
        <v>395</v>
      </c>
      <c r="J29" s="671"/>
      <c r="K29" s="679">
        <f>G29*I29</f>
        <v>129263.75</v>
      </c>
      <c r="L29" s="671"/>
      <c r="M29" s="680"/>
      <c r="N29" s="1295">
        <v>0</v>
      </c>
      <c r="O29" s="1295"/>
      <c r="P29" s="1295"/>
      <c r="Q29" s="1295"/>
      <c r="R29" s="1295">
        <v>0</v>
      </c>
    </row>
    <row r="30" spans="1:18" ht="28.5" customHeight="1">
      <c r="A30" s="1107"/>
      <c r="B30" s="1225"/>
      <c r="C30" s="690"/>
      <c r="D30" s="1834"/>
      <c r="E30" s="690"/>
      <c r="F30" s="2611"/>
      <c r="G30" s="691">
        <f>SUM(G19:G29)</f>
        <v>62705602.166000001</v>
      </c>
      <c r="H30" s="677"/>
      <c r="I30" s="678"/>
      <c r="J30" s="671"/>
      <c r="K30" s="686">
        <f>-'1401'!V529</f>
        <v>25087015</v>
      </c>
      <c r="L30" s="671"/>
      <c r="M30" s="680"/>
      <c r="N30" s="816">
        <f>SUM(N19:N29)</f>
        <v>59423428</v>
      </c>
      <c r="O30" s="952"/>
      <c r="P30" s="953"/>
      <c r="Q30" s="954"/>
      <c r="R30" s="686">
        <f>SUM(R19:R27)</f>
        <v>18073521.234834995</v>
      </c>
    </row>
    <row r="31" spans="1:18" ht="27.75" customHeight="1" thickBot="1">
      <c r="A31" s="1107"/>
      <c r="C31" s="692"/>
      <c r="D31" s="688"/>
      <c r="E31" s="690"/>
      <c r="F31" s="2611"/>
      <c r="G31" s="693">
        <f>G30+G17</f>
        <v>130898884.16600001</v>
      </c>
      <c r="H31" s="694"/>
      <c r="I31" s="695"/>
      <c r="J31" s="671"/>
      <c r="K31" s="696">
        <f>K17+K30</f>
        <v>53581577</v>
      </c>
      <c r="L31" s="671"/>
      <c r="M31" s="689"/>
      <c r="N31" s="693">
        <f>N17+N30</f>
        <v>126183815</v>
      </c>
      <c r="O31" s="672"/>
      <c r="P31" s="672"/>
      <c r="Q31" s="671"/>
      <c r="R31" s="696">
        <f>R30+R17-1</f>
        <v>36879922.252734989</v>
      </c>
    </row>
    <row r="32" spans="1:18" ht="29.25" customHeight="1" thickTop="1">
      <c r="A32" s="1107"/>
      <c r="C32" s="692" t="s">
        <v>1456</v>
      </c>
      <c r="D32" s="669"/>
      <c r="E32" s="668"/>
      <c r="F32" s="668"/>
      <c r="G32" s="726"/>
      <c r="H32" s="177"/>
      <c r="I32" s="177"/>
      <c r="J32" s="177"/>
      <c r="K32" s="684">
        <f>N55</f>
        <v>96089</v>
      </c>
      <c r="L32" s="177"/>
      <c r="M32" s="177"/>
      <c r="N32" s="697"/>
      <c r="O32" s="177"/>
      <c r="P32" s="177"/>
      <c r="Q32" s="177"/>
      <c r="R32" s="684">
        <v>68514</v>
      </c>
    </row>
    <row r="33" spans="1:18" ht="26.25" customHeight="1" thickBot="1">
      <c r="A33" s="1107"/>
      <c r="B33" s="1226"/>
      <c r="C33" s="698"/>
      <c r="D33" s="698"/>
      <c r="E33" s="668"/>
      <c r="F33" s="668"/>
      <c r="G33" s="177"/>
      <c r="H33" s="177"/>
      <c r="I33" s="177"/>
      <c r="J33" s="177"/>
      <c r="K33" s="699">
        <f>SUM(K31:K32)</f>
        <v>53677666</v>
      </c>
      <c r="L33" s="177"/>
      <c r="M33" s="177"/>
      <c r="N33" s="697"/>
      <c r="O33" s="177"/>
      <c r="P33" s="177"/>
      <c r="Q33" s="177"/>
      <c r="R33" s="699">
        <f>(R32+R31)</f>
        <v>36948436.252734989</v>
      </c>
    </row>
    <row r="34" spans="1:18" ht="20.25" customHeight="1" thickTop="1">
      <c r="A34" s="1103"/>
      <c r="B34" s="3010"/>
      <c r="C34" s="3011"/>
      <c r="D34" s="3011"/>
      <c r="E34" s="3011"/>
      <c r="F34" s="3011"/>
      <c r="G34" s="3011"/>
      <c r="H34" s="3011"/>
      <c r="I34" s="3011"/>
      <c r="J34" s="3011"/>
      <c r="K34" s="3011"/>
      <c r="L34" s="3011"/>
      <c r="M34" s="3011"/>
      <c r="N34" s="3011"/>
      <c r="O34" s="3011"/>
      <c r="P34" s="3011"/>
      <c r="Q34" s="3011"/>
      <c r="R34" s="3011"/>
    </row>
    <row r="35" spans="1:18" ht="154.5" customHeight="1">
      <c r="B35" s="1227"/>
      <c r="C35" s="700" t="s">
        <v>1988</v>
      </c>
      <c r="D35" s="3012" t="s">
        <v>2689</v>
      </c>
      <c r="E35" s="3012"/>
      <c r="F35" s="3012"/>
      <c r="G35" s="3012"/>
      <c r="H35" s="3012"/>
      <c r="I35" s="3012"/>
      <c r="J35" s="3012"/>
      <c r="K35" s="3012"/>
      <c r="L35" s="3012"/>
      <c r="M35" s="3012"/>
      <c r="N35" s="3012"/>
      <c r="O35" s="3012"/>
      <c r="P35" s="3012"/>
      <c r="Q35" s="3012"/>
      <c r="R35" s="3012"/>
    </row>
    <row r="36" spans="1:18" ht="27.75" customHeight="1">
      <c r="B36" s="1227"/>
      <c r="C36" s="1722" t="s">
        <v>1989</v>
      </c>
      <c r="D36" s="3019" t="s">
        <v>2016</v>
      </c>
      <c r="E36" s="3019"/>
      <c r="F36" s="2612"/>
      <c r="G36" s="1720"/>
      <c r="H36" s="1720"/>
      <c r="I36" s="1720"/>
      <c r="J36" s="1720"/>
      <c r="K36" s="1720"/>
      <c r="L36" s="1720"/>
      <c r="M36" s="1720"/>
      <c r="N36" s="1720"/>
      <c r="O36" s="1720"/>
      <c r="P36" s="1720"/>
      <c r="Q36" s="1720"/>
      <c r="R36" s="1720" t="s">
        <v>1950</v>
      </c>
    </row>
    <row r="37" spans="1:18" ht="28.5" customHeight="1" thickBot="1">
      <c r="B37" s="1227"/>
      <c r="C37" s="1722"/>
      <c r="D37" s="1723"/>
      <c r="E37" s="1723"/>
      <c r="F37" s="2612"/>
      <c r="G37" s="3015">
        <v>1401</v>
      </c>
      <c r="H37" s="3015"/>
      <c r="I37" s="3015"/>
      <c r="J37" s="3015"/>
      <c r="K37" s="3015"/>
      <c r="L37" s="1720"/>
      <c r="M37" s="1720"/>
      <c r="N37" s="3016">
        <v>1400</v>
      </c>
      <c r="O37" s="3016"/>
      <c r="P37" s="3016"/>
      <c r="Q37" s="3016"/>
      <c r="R37" s="3016"/>
    </row>
    <row r="38" spans="1:18" ht="28.5" customHeight="1">
      <c r="B38" s="1227"/>
      <c r="C38" s="1722"/>
      <c r="D38" s="1723"/>
      <c r="E38" s="1723"/>
      <c r="F38" s="2612"/>
      <c r="G38" s="1726" t="s">
        <v>2018</v>
      </c>
      <c r="H38" s="1727"/>
      <c r="I38" s="3014" t="s">
        <v>2019</v>
      </c>
      <c r="J38" s="3014"/>
      <c r="K38" s="3014"/>
      <c r="L38" s="1721"/>
      <c r="M38" s="1721"/>
      <c r="N38" s="1726" t="s">
        <v>2018</v>
      </c>
      <c r="O38" s="1727"/>
      <c r="P38" s="3014" t="s">
        <v>2019</v>
      </c>
      <c r="Q38" s="3014"/>
      <c r="R38" s="3014"/>
    </row>
    <row r="39" spans="1:18" ht="28.5" customHeight="1">
      <c r="B39" s="1227"/>
      <c r="C39" s="1722"/>
      <c r="D39" s="1729"/>
      <c r="E39" s="1729"/>
      <c r="F39" s="2612"/>
      <c r="G39" s="873"/>
      <c r="H39" s="1730"/>
      <c r="I39" s="1730"/>
      <c r="J39" s="1730"/>
      <c r="K39" s="1730"/>
      <c r="L39" s="1721"/>
      <c r="M39" s="1721"/>
      <c r="N39" s="873"/>
      <c r="O39" s="1730"/>
      <c r="P39" s="1730"/>
      <c r="Q39" s="1730"/>
      <c r="R39" s="1730"/>
    </row>
    <row r="40" spans="1:18" ht="31.5" customHeight="1">
      <c r="B40" s="1227"/>
      <c r="C40" s="700"/>
      <c r="D40" s="1720" t="s">
        <v>1524</v>
      </c>
      <c r="E40" s="1720"/>
      <c r="F40" s="2610"/>
      <c r="G40" s="676">
        <f>K12+K13+K19+K20+K21+K29</f>
        <v>34752590.143350005</v>
      </c>
      <c r="H40" s="1720"/>
      <c r="I40" s="1720"/>
      <c r="J40" s="1720"/>
      <c r="K40" s="1724">
        <f>G40/G42*100</f>
        <v>64.859215060965653</v>
      </c>
      <c r="L40" s="1720"/>
      <c r="M40" s="1720"/>
      <c r="N40" s="676">
        <v>24791603</v>
      </c>
      <c r="O40" s="1720"/>
      <c r="P40" s="1720"/>
      <c r="Q40" s="1720"/>
      <c r="R40" s="1724">
        <v>67.22</v>
      </c>
    </row>
    <row r="41" spans="1:18" ht="30" customHeight="1">
      <c r="B41" s="1227"/>
      <c r="C41" s="700"/>
      <c r="D41" s="1720" t="s">
        <v>2017</v>
      </c>
      <c r="E41" s="1720"/>
      <c r="F41" s="2610"/>
      <c r="G41" s="676">
        <f>K27+K26+K25+K24+K15+K14+K11+K10+K28+K16</f>
        <v>18828986.677589998</v>
      </c>
      <c r="H41" s="1720"/>
      <c r="I41" s="1720"/>
      <c r="J41" s="1720"/>
      <c r="K41" s="1724">
        <f>G41/G42*100</f>
        <v>35.140784939034333</v>
      </c>
      <c r="L41" s="1720"/>
      <c r="M41" s="1720"/>
      <c r="N41" s="676">
        <v>12088319</v>
      </c>
      <c r="O41" s="1720"/>
      <c r="P41" s="1720"/>
      <c r="Q41" s="1720"/>
      <c r="R41" s="1724">
        <v>32.78</v>
      </c>
    </row>
    <row r="42" spans="1:18" ht="34.5" customHeight="1" thickBot="1">
      <c r="B42" s="1227"/>
      <c r="C42" s="700"/>
      <c r="D42" s="1719"/>
      <c r="E42" s="1719"/>
      <c r="F42" s="2610"/>
      <c r="G42" s="1728">
        <f>SUM(G40:G41)</f>
        <v>53581576.820940003</v>
      </c>
      <c r="H42" s="1719"/>
      <c r="I42" s="1719"/>
      <c r="J42" s="1719"/>
      <c r="K42" s="1725"/>
      <c r="L42" s="1719"/>
      <c r="M42" s="1719"/>
      <c r="N42" s="1728">
        <f>SUM(N40:N41)</f>
        <v>36879922</v>
      </c>
      <c r="O42" s="1719"/>
      <c r="P42" s="1719"/>
      <c r="Q42" s="1719"/>
      <c r="R42" s="1725"/>
    </row>
    <row r="43" spans="1:18" s="597" customFormat="1" ht="41.25" customHeight="1" thickTop="1">
      <c r="A43" s="1731"/>
      <c r="B43" s="1732"/>
      <c r="C43" s="669" t="s">
        <v>1990</v>
      </c>
      <c r="D43" s="3013" t="s">
        <v>1512</v>
      </c>
      <c r="E43" s="3013"/>
      <c r="F43" s="3013"/>
      <c r="G43" s="3013"/>
      <c r="H43" s="3013"/>
      <c r="I43" s="3013"/>
      <c r="J43" s="3013"/>
      <c r="K43" s="3013"/>
      <c r="L43" s="3013"/>
      <c r="M43" s="3013"/>
      <c r="N43" s="3013"/>
      <c r="O43" s="3013"/>
      <c r="P43" s="3013"/>
      <c r="Q43" s="3013"/>
      <c r="R43" s="3013"/>
    </row>
    <row r="44" spans="1:18" ht="21.75" customHeight="1">
      <c r="A44" s="1109"/>
      <c r="B44" s="1108"/>
      <c r="C44" s="701"/>
      <c r="D44" s="701"/>
      <c r="E44" s="701"/>
      <c r="F44" s="701"/>
      <c r="G44" s="702"/>
      <c r="H44" s="701"/>
      <c r="I44" s="701"/>
      <c r="J44" s="702"/>
      <c r="K44" s="703"/>
      <c r="L44" s="704"/>
      <c r="M44" s="523"/>
      <c r="N44" s="2124"/>
      <c r="O44" s="705"/>
      <c r="Q44" s="706"/>
      <c r="R44" s="2117" t="s">
        <v>1950</v>
      </c>
    </row>
    <row r="45" spans="1:18" ht="18.75" customHeight="1">
      <c r="A45" s="1110"/>
      <c r="B45" s="1228"/>
      <c r="C45" s="707"/>
      <c r="D45" s="707"/>
      <c r="E45" s="707"/>
      <c r="F45" s="707"/>
      <c r="G45" s="708"/>
      <c r="H45" s="707"/>
      <c r="I45" s="707"/>
      <c r="J45" s="708"/>
      <c r="K45" s="709"/>
      <c r="L45" s="710"/>
      <c r="M45" s="710"/>
      <c r="N45" s="2125">
        <v>1401</v>
      </c>
      <c r="O45" s="711"/>
      <c r="Q45" s="707"/>
      <c r="R45" s="2125">
        <v>1400</v>
      </c>
    </row>
    <row r="46" spans="1:18" ht="25.5" customHeight="1">
      <c r="A46" s="1111"/>
      <c r="B46" s="1229"/>
      <c r="C46" s="712"/>
      <c r="D46" s="713" t="s">
        <v>1535</v>
      </c>
      <c r="E46" s="712"/>
      <c r="F46" s="712"/>
      <c r="G46" s="714"/>
      <c r="H46" s="712"/>
      <c r="I46" s="712"/>
      <c r="J46" s="712"/>
      <c r="K46" s="712"/>
      <c r="L46" s="715"/>
      <c r="M46" s="177"/>
      <c r="N46" s="679">
        <v>23671</v>
      </c>
      <c r="O46" s="716"/>
      <c r="Q46" s="717"/>
      <c r="R46" s="679">
        <v>15548</v>
      </c>
    </row>
    <row r="47" spans="1:18" ht="25.5" customHeight="1">
      <c r="A47" s="1111"/>
      <c r="B47" s="1229"/>
      <c r="C47" s="712"/>
      <c r="D47" s="713" t="s">
        <v>1538</v>
      </c>
      <c r="E47" s="712"/>
      <c r="F47" s="712"/>
      <c r="G47" s="714"/>
      <c r="H47" s="712"/>
      <c r="I47" s="712"/>
      <c r="J47" s="712"/>
      <c r="K47" s="712"/>
      <c r="L47" s="715"/>
      <c r="M47" s="177"/>
      <c r="N47" s="679">
        <v>17867</v>
      </c>
      <c r="O47" s="716"/>
      <c r="Q47" s="717"/>
      <c r="R47" s="679">
        <v>9268</v>
      </c>
    </row>
    <row r="48" spans="1:18" ht="25.5" customHeight="1">
      <c r="A48" s="1111"/>
      <c r="B48" s="1229"/>
      <c r="C48" s="712"/>
      <c r="D48" s="713" t="s">
        <v>2597</v>
      </c>
      <c r="E48" s="712"/>
      <c r="F48" s="712"/>
      <c r="G48" s="714"/>
      <c r="H48" s="712"/>
      <c r="I48" s="712"/>
      <c r="J48" s="712"/>
      <c r="K48" s="712"/>
      <c r="L48" s="714"/>
      <c r="M48" s="177"/>
      <c r="N48" s="679">
        <v>16079</v>
      </c>
      <c r="O48" s="716"/>
      <c r="Q48" s="717"/>
      <c r="R48" s="679">
        <v>10318</v>
      </c>
    </row>
    <row r="49" spans="1:18" ht="25.5" customHeight="1">
      <c r="A49" s="1111"/>
      <c r="B49" s="1229"/>
      <c r="C49" s="712"/>
      <c r="D49" s="713" t="s">
        <v>1549</v>
      </c>
      <c r="E49" s="712"/>
      <c r="F49" s="712"/>
      <c r="G49" s="714"/>
      <c r="H49" s="712"/>
      <c r="I49" s="712"/>
      <c r="J49" s="712"/>
      <c r="K49" s="712"/>
      <c r="L49" s="715"/>
      <c r="M49" s="177"/>
      <c r="N49" s="679">
        <v>8186</v>
      </c>
      <c r="O49" s="716"/>
      <c r="Q49" s="717"/>
      <c r="R49" s="679">
        <v>7214</v>
      </c>
    </row>
    <row r="50" spans="1:18" ht="25.5" customHeight="1">
      <c r="A50" s="1111"/>
      <c r="B50" s="1229"/>
      <c r="C50" s="712"/>
      <c r="D50" s="713" t="s">
        <v>1760</v>
      </c>
      <c r="E50" s="712"/>
      <c r="F50" s="712"/>
      <c r="G50" s="714"/>
      <c r="H50" s="712"/>
      <c r="I50" s="712"/>
      <c r="J50" s="712"/>
      <c r="K50" s="958"/>
      <c r="L50" s="715"/>
      <c r="M50" s="177"/>
      <c r="N50" s="679">
        <v>9533</v>
      </c>
      <c r="O50" s="716"/>
      <c r="Q50" s="717"/>
      <c r="R50" s="679">
        <v>3255</v>
      </c>
    </row>
    <row r="51" spans="1:18" ht="25.5" customHeight="1">
      <c r="A51" s="1111"/>
      <c r="B51" s="1229"/>
      <c r="C51" s="712"/>
      <c r="D51" s="713" t="s">
        <v>1537</v>
      </c>
      <c r="E51" s="712"/>
      <c r="F51" s="712"/>
      <c r="G51" s="714"/>
      <c r="H51" s="712"/>
      <c r="I51" s="712"/>
      <c r="J51" s="712"/>
      <c r="K51" s="712"/>
      <c r="L51" s="715"/>
      <c r="M51" s="177"/>
      <c r="N51" s="679">
        <v>2849</v>
      </c>
      <c r="O51" s="716"/>
      <c r="Q51" s="717"/>
      <c r="R51" s="679">
        <v>2370</v>
      </c>
    </row>
    <row r="52" spans="1:18" ht="25.5" customHeight="1">
      <c r="A52" s="1111"/>
      <c r="B52" s="1229"/>
      <c r="C52" s="712"/>
      <c r="D52" s="713" t="s">
        <v>1536</v>
      </c>
      <c r="E52" s="712"/>
      <c r="F52" s="712"/>
      <c r="G52" s="714"/>
      <c r="H52" s="712"/>
      <c r="I52" s="712"/>
      <c r="J52" s="712"/>
      <c r="K52" s="712"/>
      <c r="L52" s="714"/>
      <c r="M52" s="177"/>
      <c r="N52" s="679">
        <v>4062</v>
      </c>
      <c r="O52" s="716"/>
      <c r="Q52" s="717"/>
      <c r="R52" s="679">
        <v>3795</v>
      </c>
    </row>
    <row r="53" spans="1:18" ht="25.5" customHeight="1">
      <c r="A53" s="1111"/>
      <c r="B53" s="1229"/>
      <c r="C53" s="712"/>
      <c r="D53" s="713" t="s">
        <v>1831</v>
      </c>
      <c r="E53" s="712"/>
      <c r="F53" s="712"/>
      <c r="G53" s="714"/>
      <c r="H53" s="712"/>
      <c r="I53" s="712"/>
      <c r="J53" s="712"/>
      <c r="K53" s="712"/>
      <c r="L53" s="714"/>
      <c r="M53" s="177"/>
      <c r="N53" s="679">
        <v>10456</v>
      </c>
      <c r="O53" s="716"/>
      <c r="Q53" s="717"/>
      <c r="R53" s="679">
        <v>10266</v>
      </c>
    </row>
    <row r="54" spans="1:18" ht="25.5" customHeight="1">
      <c r="A54" s="1111"/>
      <c r="B54" s="1229"/>
      <c r="C54" s="712"/>
      <c r="D54" s="713" t="s">
        <v>673</v>
      </c>
      <c r="E54" s="712"/>
      <c r="F54" s="712"/>
      <c r="G54" s="718"/>
      <c r="H54" s="715"/>
      <c r="I54" s="712"/>
      <c r="J54" s="712"/>
      <c r="K54" s="712"/>
      <c r="L54" s="715"/>
      <c r="M54" s="177"/>
      <c r="N54" s="679">
        <v>3386</v>
      </c>
      <c r="O54" s="716"/>
      <c r="Q54" s="717"/>
      <c r="R54" s="679">
        <v>6480</v>
      </c>
    </row>
    <row r="55" spans="1:18" ht="25.5" customHeight="1" thickBot="1">
      <c r="A55" s="1112"/>
      <c r="B55" s="1111"/>
      <c r="C55" s="712"/>
      <c r="D55" s="712"/>
      <c r="E55" s="712"/>
      <c r="F55" s="712"/>
      <c r="G55" s="719"/>
      <c r="H55" s="720"/>
      <c r="I55" s="712"/>
      <c r="J55" s="714"/>
      <c r="K55" s="1835"/>
      <c r="L55" s="715"/>
      <c r="M55" s="721"/>
      <c r="N55" s="722">
        <f>-'1401'!V533</f>
        <v>96089</v>
      </c>
      <c r="O55" s="716"/>
      <c r="Q55" s="717"/>
      <c r="R55" s="722">
        <f>SUM(R46:R54)</f>
        <v>68514</v>
      </c>
    </row>
    <row r="56" spans="1:18" ht="20.25" customHeight="1" thickTop="1">
      <c r="A56" s="1112"/>
      <c r="B56" s="1111"/>
      <c r="C56" s="712"/>
      <c r="D56" s="712"/>
      <c r="E56" s="712"/>
      <c r="F56" s="712"/>
      <c r="G56" s="719"/>
      <c r="H56" s="720"/>
      <c r="I56" s="712"/>
      <c r="J56" s="714"/>
      <c r="K56" s="712"/>
      <c r="L56" s="715"/>
      <c r="M56" s="721"/>
      <c r="N56" s="721"/>
      <c r="O56" s="716"/>
      <c r="Q56" s="717"/>
      <c r="R56" s="721"/>
    </row>
    <row r="57" spans="1:18" ht="28.5" customHeight="1">
      <c r="A57" s="1112"/>
      <c r="B57" s="170"/>
      <c r="C57" s="700" t="s">
        <v>2101</v>
      </c>
      <c r="D57" s="717" t="s">
        <v>1840</v>
      </c>
      <c r="E57" s="712"/>
      <c r="F57" s="712"/>
      <c r="G57" s="719"/>
      <c r="H57" s="720"/>
      <c r="I57" s="712"/>
      <c r="J57" s="714"/>
      <c r="K57" s="712"/>
      <c r="L57" s="715"/>
      <c r="M57" s="721"/>
      <c r="N57" s="721"/>
      <c r="O57" s="716"/>
      <c r="Q57" s="717"/>
      <c r="R57" s="721"/>
    </row>
    <row r="58" spans="1:18" ht="78.75" customHeight="1">
      <c r="A58" s="3009">
        <v>10</v>
      </c>
      <c r="B58" s="3009"/>
      <c r="C58" s="3009"/>
      <c r="D58" s="3009"/>
      <c r="E58" s="3009"/>
      <c r="F58" s="3009"/>
      <c r="G58" s="3009"/>
      <c r="H58" s="3009"/>
      <c r="I58" s="3009"/>
      <c r="J58" s="3009"/>
      <c r="K58" s="3009"/>
      <c r="L58" s="3009"/>
      <c r="M58" s="3009"/>
      <c r="N58" s="3009"/>
      <c r="O58" s="3009"/>
      <c r="P58" s="3009"/>
      <c r="Q58" s="3009"/>
      <c r="R58" s="3009"/>
    </row>
    <row r="59" spans="1:18" ht="39.75">
      <c r="C59" s="1129"/>
      <c r="D59" s="1129"/>
      <c r="E59" s="1129"/>
      <c r="F59" s="2609"/>
      <c r="G59" s="1129"/>
      <c r="H59" s="1129"/>
      <c r="I59" s="1129"/>
      <c r="J59" s="1129"/>
      <c r="K59" s="1129"/>
      <c r="L59" s="1129"/>
    </row>
  </sheetData>
  <mergeCells count="15">
    <mergeCell ref="A1:R1"/>
    <mergeCell ref="A2:R2"/>
    <mergeCell ref="A3:R3"/>
    <mergeCell ref="N6:R6"/>
    <mergeCell ref="D36:E36"/>
    <mergeCell ref="G6:K6"/>
    <mergeCell ref="G5:K5"/>
    <mergeCell ref="A58:R58"/>
    <mergeCell ref="B34:R34"/>
    <mergeCell ref="D35:R35"/>
    <mergeCell ref="D43:R43"/>
    <mergeCell ref="I38:K38"/>
    <mergeCell ref="P38:R38"/>
    <mergeCell ref="G37:K37"/>
    <mergeCell ref="N37:R37"/>
  </mergeCells>
  <printOptions horizontalCentered="1" verticalCentered="1"/>
  <pageMargins left="0.19685039370078741" right="0.15748031496062992" top="0.19685039370078741" bottom="0" header="0.15748031496062992" footer="0.19685039370078741"/>
  <pageSetup paperSize="9"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N62"/>
  <sheetViews>
    <sheetView rightToLeft="1" tabSelected="1" view="pageBreakPreview" topLeftCell="A16" zoomScale="57" zoomScaleNormal="62" zoomScaleSheetLayoutView="57" workbookViewId="0">
      <selection activeCell="H29" sqref="H29"/>
    </sheetView>
  </sheetViews>
  <sheetFormatPr defaultColWidth="0.5" defaultRowHeight="21"/>
  <cols>
    <col min="1" max="1" width="5.125" style="353" customWidth="1"/>
    <col min="2" max="2" width="9.125" style="353" customWidth="1"/>
    <col min="3" max="3" width="34.375" style="151" customWidth="1"/>
    <col min="4" max="4" width="31.75" style="151" bestFit="1" customWidth="1"/>
    <col min="5" max="5" width="1.5" style="151" customWidth="1"/>
    <col min="6" max="6" width="14.625" style="151" bestFit="1" customWidth="1"/>
    <col min="7" max="7" width="1.5" style="151" customWidth="1"/>
    <col min="8" max="8" width="19.25" style="151" bestFit="1" customWidth="1"/>
    <col min="9" max="9" width="1.25" style="151" customWidth="1"/>
    <col min="10" max="10" width="19.75" style="151" hidden="1" customWidth="1"/>
    <col min="11" max="11" width="3.25" style="151" hidden="1" customWidth="1"/>
    <col min="12" max="12" width="18.75" style="151" hidden="1" customWidth="1"/>
    <col min="13" max="13" width="1.5" style="151" hidden="1" customWidth="1"/>
    <col min="14" max="14" width="19.25" style="151" hidden="1" customWidth="1"/>
    <col min="15" max="15" width="4.75" style="151" customWidth="1"/>
    <col min="16" max="16" width="17.25" style="151" customWidth="1"/>
    <col min="17" max="17" width="0.875" style="151" customWidth="1"/>
    <col min="18" max="18" width="19" style="151" bestFit="1" customWidth="1"/>
    <col min="19" max="19" width="1.875" style="151" customWidth="1"/>
    <col min="20" max="20" width="19" style="151" customWidth="1"/>
    <col min="21" max="21" width="1.25" style="151" customWidth="1"/>
    <col min="22" max="22" width="19.75" style="151" customWidth="1"/>
    <col min="23" max="23" width="2.375" style="151" customWidth="1"/>
    <col min="24" max="24" width="19" style="151" customWidth="1"/>
    <col min="25" max="25" width="0.875" style="151" customWidth="1"/>
    <col min="26" max="26" width="21" style="151" customWidth="1"/>
    <col min="27" max="27" width="2.75" style="151" customWidth="1"/>
    <col min="28" max="42" width="0.5" style="151"/>
    <col min="43" max="43" width="19.875" style="151" customWidth="1"/>
    <col min="44" max="16384" width="0.5" style="151"/>
  </cols>
  <sheetData>
    <row r="1" spans="1:39" s="150" customFormat="1" ht="42.75" customHeight="1">
      <c r="A1" s="3025" t="s">
        <v>612</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149"/>
      <c r="AB1" s="149"/>
      <c r="AC1" s="149"/>
      <c r="AD1" s="149"/>
      <c r="AE1" s="149"/>
      <c r="AF1" s="149"/>
      <c r="AG1" s="149"/>
      <c r="AH1" s="149"/>
      <c r="AI1" s="149"/>
      <c r="AJ1" s="149"/>
      <c r="AK1" s="149"/>
      <c r="AL1" s="149"/>
      <c r="AM1" s="149"/>
    </row>
    <row r="2" spans="1:39" s="150" customFormat="1" ht="42.75" customHeight="1">
      <c r="A2" s="3025" t="str">
        <f>مفروضات!A2</f>
        <v>يادداشت هاي توضيحي صورت هاي مالي</v>
      </c>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149"/>
      <c r="AB2" s="149"/>
      <c r="AC2" s="149"/>
      <c r="AD2" s="149"/>
      <c r="AE2" s="149"/>
      <c r="AF2" s="149"/>
      <c r="AG2" s="149"/>
      <c r="AH2" s="149"/>
      <c r="AI2" s="149"/>
      <c r="AJ2" s="149"/>
      <c r="AK2" s="149"/>
      <c r="AL2" s="149"/>
      <c r="AM2" s="149"/>
    </row>
    <row r="3" spans="1:39" s="150" customFormat="1" ht="42.75" customHeight="1">
      <c r="A3" s="3025" t="str">
        <f>مفروضات!A3</f>
        <v xml:space="preserve"> سال مالي منتهي به 29 اسفند 1401</v>
      </c>
      <c r="B3" s="3025"/>
      <c r="C3" s="3025"/>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149"/>
      <c r="AB3" s="149"/>
      <c r="AC3" s="149"/>
      <c r="AD3" s="149"/>
      <c r="AE3" s="149"/>
      <c r="AF3" s="149"/>
      <c r="AG3" s="149"/>
      <c r="AH3" s="149"/>
      <c r="AI3" s="149"/>
      <c r="AJ3" s="149"/>
      <c r="AK3" s="149"/>
      <c r="AL3" s="149"/>
      <c r="AM3" s="149"/>
    </row>
    <row r="4" spans="1:39" s="150" customFormat="1" ht="42.75" customHeight="1">
      <c r="A4" s="888"/>
      <c r="B4" s="1663" t="s">
        <v>1991</v>
      </c>
      <c r="C4" s="547"/>
      <c r="D4" s="547"/>
      <c r="E4" s="547"/>
      <c r="F4" s="547"/>
      <c r="G4" s="547"/>
      <c r="H4" s="547"/>
      <c r="I4" s="547"/>
      <c r="J4" s="547"/>
      <c r="K4" s="547"/>
      <c r="L4" s="547"/>
      <c r="M4" s="1165"/>
      <c r="N4" s="1165"/>
      <c r="O4" s="1165"/>
      <c r="P4" s="1165"/>
      <c r="Q4" s="1165"/>
      <c r="R4" s="1165"/>
      <c r="S4" s="1165"/>
      <c r="T4" s="1165"/>
      <c r="U4" s="1165"/>
      <c r="V4" s="1165"/>
      <c r="W4" s="1165"/>
      <c r="X4" s="1165"/>
      <c r="Y4" s="1165"/>
      <c r="Z4" s="2114" t="s">
        <v>1950</v>
      </c>
      <c r="AA4" s="149"/>
      <c r="AB4" s="149"/>
      <c r="AC4" s="149"/>
      <c r="AD4" s="149"/>
      <c r="AE4" s="149"/>
      <c r="AF4" s="149"/>
      <c r="AG4" s="149"/>
      <c r="AH4" s="149"/>
      <c r="AI4" s="149"/>
      <c r="AJ4" s="149"/>
      <c r="AK4" s="149"/>
      <c r="AL4" s="149"/>
      <c r="AM4" s="149"/>
    </row>
    <row r="5" spans="1:39" s="150" customFormat="1" ht="6" customHeight="1">
      <c r="A5" s="888"/>
      <c r="B5" s="1239"/>
      <c r="C5" s="547"/>
      <c r="D5" s="547"/>
      <c r="E5" s="547"/>
      <c r="F5" s="547"/>
      <c r="G5" s="547"/>
      <c r="H5" s="547"/>
      <c r="I5" s="547"/>
      <c r="J5" s="547"/>
      <c r="K5" s="547"/>
      <c r="L5" s="547"/>
      <c r="M5" s="1165"/>
      <c r="N5" s="1165"/>
      <c r="O5" s="1165"/>
      <c r="P5" s="1165"/>
      <c r="Q5" s="1165"/>
      <c r="R5" s="1165"/>
      <c r="S5" s="1165"/>
      <c r="T5" s="1165"/>
      <c r="U5" s="1165"/>
      <c r="V5" s="1165"/>
      <c r="W5" s="1165"/>
      <c r="X5" s="1165"/>
      <c r="Y5" s="1165"/>
      <c r="Z5" s="1165"/>
      <c r="AA5" s="149"/>
      <c r="AB5" s="149"/>
      <c r="AC5" s="149"/>
      <c r="AD5" s="149"/>
      <c r="AE5" s="149"/>
      <c r="AF5" s="149"/>
      <c r="AG5" s="149"/>
      <c r="AH5" s="149"/>
      <c r="AI5" s="149"/>
      <c r="AJ5" s="149"/>
      <c r="AK5" s="149"/>
      <c r="AL5" s="149"/>
      <c r="AM5" s="149"/>
    </row>
    <row r="6" spans="1:39" s="150" customFormat="1" ht="35.25" customHeight="1" thickBot="1">
      <c r="A6" s="888"/>
      <c r="B6" s="888"/>
      <c r="C6" s="1165"/>
      <c r="M6" s="1165"/>
      <c r="N6" s="1165"/>
      <c r="O6" s="1165"/>
      <c r="P6" s="1165"/>
      <c r="Q6" s="1165"/>
      <c r="R6" s="3027">
        <v>1401</v>
      </c>
      <c r="S6" s="3027"/>
      <c r="T6" s="3027"/>
      <c r="U6" s="3027"/>
      <c r="V6" s="3027"/>
      <c r="W6" s="3027"/>
      <c r="X6" s="3027"/>
      <c r="Y6" s="1179"/>
      <c r="Z6" s="1177">
        <v>1400</v>
      </c>
      <c r="AA6" s="149"/>
      <c r="AB6" s="149"/>
      <c r="AC6" s="149"/>
      <c r="AD6" s="149"/>
      <c r="AE6" s="149"/>
      <c r="AF6" s="149"/>
      <c r="AG6" s="149"/>
      <c r="AH6" s="149"/>
      <c r="AI6" s="149"/>
      <c r="AJ6" s="149"/>
      <c r="AK6" s="149"/>
      <c r="AL6" s="149"/>
      <c r="AM6" s="149"/>
    </row>
    <row r="7" spans="1:39" s="150" customFormat="1" ht="59.25" customHeight="1">
      <c r="A7" s="888"/>
      <c r="B7" s="888"/>
      <c r="C7" s="1165"/>
      <c r="Q7" s="1165"/>
      <c r="R7" s="1174" t="s">
        <v>1786</v>
      </c>
      <c r="S7" s="1171"/>
      <c r="T7" s="1174" t="s">
        <v>1787</v>
      </c>
      <c r="U7" s="1172"/>
      <c r="V7" s="1174" t="s">
        <v>865</v>
      </c>
      <c r="W7" s="1173"/>
      <c r="X7" s="1181" t="s">
        <v>1788</v>
      </c>
      <c r="Y7" s="827"/>
      <c r="Z7" s="1181" t="s">
        <v>1789</v>
      </c>
      <c r="AA7" s="149"/>
      <c r="AB7" s="149"/>
      <c r="AC7" s="149"/>
      <c r="AD7" s="149"/>
      <c r="AE7" s="149"/>
      <c r="AF7" s="149"/>
      <c r="AG7" s="149"/>
      <c r="AH7" s="149"/>
      <c r="AI7" s="149"/>
      <c r="AJ7" s="149"/>
      <c r="AK7" s="149"/>
      <c r="AL7" s="149"/>
      <c r="AM7" s="149"/>
    </row>
    <row r="8" spans="1:39" s="150" customFormat="1" ht="29.25" customHeight="1">
      <c r="A8" s="888"/>
      <c r="B8" s="888"/>
      <c r="C8" s="1165"/>
      <c r="O8" s="1165"/>
      <c r="P8" s="1165"/>
      <c r="Q8" s="1165"/>
      <c r="R8" s="1175"/>
      <c r="S8" s="1175"/>
      <c r="T8" s="1175"/>
      <c r="U8" s="1175"/>
      <c r="V8" s="1175"/>
      <c r="W8" s="1170"/>
      <c r="X8" s="1175"/>
      <c r="Y8" s="1165"/>
      <c r="Z8" s="1165"/>
      <c r="AA8" s="149"/>
      <c r="AB8" s="149"/>
      <c r="AC8" s="149"/>
      <c r="AD8" s="149"/>
      <c r="AE8" s="149"/>
      <c r="AF8" s="149"/>
      <c r="AG8" s="149"/>
      <c r="AH8" s="149"/>
      <c r="AI8" s="149"/>
      <c r="AJ8" s="149"/>
      <c r="AK8" s="149"/>
      <c r="AL8" s="149"/>
      <c r="AM8" s="149"/>
    </row>
    <row r="9" spans="1:39" s="150" customFormat="1" ht="9.75" customHeight="1">
      <c r="A9" s="888"/>
      <c r="B9" s="888"/>
      <c r="M9" s="1165"/>
      <c r="N9" s="1165"/>
      <c r="O9" s="1165"/>
      <c r="P9" s="1165"/>
      <c r="Q9" s="1165"/>
      <c r="R9" s="1176"/>
      <c r="S9" s="1165"/>
      <c r="T9" s="1165"/>
      <c r="U9" s="1165"/>
      <c r="V9" s="1165"/>
      <c r="W9" s="1165"/>
      <c r="X9" s="1165"/>
      <c r="Y9" s="1165"/>
      <c r="Z9" s="1165"/>
      <c r="AA9" s="149"/>
      <c r="AB9" s="149"/>
      <c r="AC9" s="149"/>
      <c r="AD9" s="149"/>
      <c r="AE9" s="149"/>
      <c r="AF9" s="149"/>
      <c r="AG9" s="149"/>
      <c r="AH9" s="149"/>
      <c r="AI9" s="149"/>
      <c r="AJ9" s="149"/>
      <c r="AK9" s="149"/>
      <c r="AL9" s="149"/>
      <c r="AM9" s="149"/>
    </row>
    <row r="10" spans="1:39" s="150" customFormat="1" ht="43.5" customHeight="1">
      <c r="A10" s="888"/>
      <c r="B10" s="888"/>
      <c r="C10" s="3028" t="s">
        <v>1813</v>
      </c>
      <c r="D10" s="3028"/>
      <c r="E10" s="3028"/>
      <c r="M10" s="1165"/>
      <c r="Q10" s="1165"/>
      <c r="R10" s="647">
        <f>'10'!K31</f>
        <v>53581577</v>
      </c>
      <c r="S10" s="647"/>
      <c r="T10" s="647">
        <f>D30</f>
        <v>51114118</v>
      </c>
      <c r="U10" s="647"/>
      <c r="V10" s="647">
        <f>R10-T10</f>
        <v>2467459</v>
      </c>
      <c r="W10" s="1165"/>
      <c r="X10" s="647">
        <f>V10/R10*100</f>
        <v>4.6050510980667845</v>
      </c>
      <c r="Y10" s="1165"/>
      <c r="Z10" s="647">
        <v>10</v>
      </c>
      <c r="AA10" s="149"/>
      <c r="AB10" s="149"/>
      <c r="AC10" s="149"/>
      <c r="AD10" s="149"/>
      <c r="AE10" s="149"/>
      <c r="AF10" s="149"/>
      <c r="AG10" s="149"/>
      <c r="AH10" s="149"/>
      <c r="AI10" s="149"/>
      <c r="AJ10" s="149"/>
      <c r="AK10" s="149"/>
      <c r="AL10" s="149"/>
      <c r="AM10" s="149"/>
    </row>
    <row r="11" spans="1:39" s="150" customFormat="1" ht="37.5" customHeight="1" thickBot="1">
      <c r="A11" s="888"/>
      <c r="B11" s="888"/>
      <c r="C11" s="3028" t="s">
        <v>1814</v>
      </c>
      <c r="D11" s="3028"/>
      <c r="E11" s="3028"/>
      <c r="M11" s="1165"/>
      <c r="Q11" s="1165"/>
      <c r="R11" s="647">
        <f>'10'!K32</f>
        <v>96089</v>
      </c>
      <c r="S11" s="647"/>
      <c r="T11" s="647">
        <f>F30</f>
        <v>95140</v>
      </c>
      <c r="U11" s="647"/>
      <c r="V11" s="647">
        <f>R11-T11</f>
        <v>949</v>
      </c>
      <c r="W11" s="1165"/>
      <c r="X11" s="647">
        <f>V11/R11*100</f>
        <v>0.9876260550114998</v>
      </c>
      <c r="Y11" s="1165"/>
      <c r="Z11" s="647">
        <v>1</v>
      </c>
      <c r="AA11" s="149"/>
      <c r="AB11" s="149"/>
      <c r="AC11" s="149"/>
      <c r="AD11" s="149"/>
      <c r="AE11" s="149"/>
      <c r="AF11" s="149"/>
      <c r="AG11" s="149"/>
      <c r="AH11" s="149"/>
      <c r="AI11" s="149"/>
      <c r="AJ11" s="149"/>
      <c r="AK11" s="149"/>
      <c r="AL11" s="149"/>
      <c r="AM11" s="149"/>
    </row>
    <row r="12" spans="1:39" s="150" customFormat="1" ht="36" customHeight="1" thickBot="1">
      <c r="A12" s="888"/>
      <c r="B12" s="888"/>
      <c r="C12" s="1178"/>
      <c r="M12" s="1165"/>
      <c r="N12" s="1165"/>
      <c r="O12" s="1165"/>
      <c r="P12" s="1165"/>
      <c r="Q12" s="1165"/>
      <c r="R12" s="1185">
        <f>SUM(R10:R11)</f>
        <v>53677666</v>
      </c>
      <c r="S12" s="647"/>
      <c r="T12" s="1185">
        <f>SUM(T10:T11)</f>
        <v>51209258</v>
      </c>
      <c r="U12" s="647"/>
      <c r="V12" s="1185">
        <f>R12-T12</f>
        <v>2468408</v>
      </c>
      <c r="W12" s="1165"/>
      <c r="X12" s="647"/>
      <c r="Y12" s="647"/>
      <c r="Z12" s="647"/>
      <c r="AA12" s="149"/>
      <c r="AB12" s="149"/>
      <c r="AC12" s="149"/>
      <c r="AD12" s="149"/>
      <c r="AE12" s="149"/>
      <c r="AF12" s="149"/>
      <c r="AG12" s="149"/>
      <c r="AH12" s="149"/>
      <c r="AI12" s="149"/>
      <c r="AJ12" s="149"/>
      <c r="AK12" s="149"/>
      <c r="AL12" s="149"/>
      <c r="AM12" s="149"/>
    </row>
    <row r="13" spans="1:39" s="150" customFormat="1" ht="30.75" customHeight="1" thickTop="1">
      <c r="A13" s="888"/>
      <c r="B13" s="888"/>
      <c r="C13" s="1178"/>
      <c r="D13" s="1178"/>
      <c r="E13" s="1166"/>
      <c r="F13" s="1178"/>
      <c r="G13" s="1165"/>
      <c r="H13" s="1165"/>
      <c r="I13" s="1165"/>
      <c r="J13" s="1165"/>
      <c r="K13" s="1165"/>
      <c r="L13" s="1165"/>
      <c r="M13" s="1165"/>
      <c r="N13" s="1165"/>
      <c r="O13" s="1165"/>
      <c r="P13" s="1165"/>
      <c r="Q13" s="1165"/>
      <c r="R13" s="1165"/>
      <c r="S13" s="1165"/>
      <c r="T13" s="1165"/>
      <c r="U13" s="1165"/>
      <c r="V13" s="1165"/>
      <c r="W13" s="1165"/>
      <c r="X13" s="1165"/>
      <c r="Y13" s="1165"/>
      <c r="Z13" s="1165"/>
      <c r="AA13" s="149"/>
      <c r="AB13" s="149"/>
      <c r="AC13" s="149"/>
      <c r="AD13" s="149"/>
      <c r="AE13" s="149"/>
      <c r="AF13" s="149"/>
      <c r="AG13" s="149"/>
      <c r="AH13" s="149"/>
      <c r="AI13" s="149"/>
      <c r="AJ13" s="149"/>
      <c r="AK13" s="149"/>
      <c r="AL13" s="149"/>
      <c r="AM13" s="149"/>
    </row>
    <row r="14" spans="1:39" s="150" customFormat="1" ht="17.25" customHeight="1">
      <c r="A14" s="888"/>
      <c r="B14" s="888"/>
      <c r="C14" s="1166"/>
      <c r="D14" s="1166"/>
      <c r="E14" s="1166"/>
      <c r="F14" s="1166"/>
      <c r="G14" s="1165"/>
      <c r="H14" s="1165"/>
      <c r="I14" s="1165"/>
      <c r="J14" s="1165"/>
      <c r="K14" s="1165"/>
      <c r="L14" s="1165"/>
      <c r="M14" s="1165"/>
      <c r="N14" s="1165"/>
      <c r="O14" s="1165"/>
      <c r="P14" s="1165"/>
      <c r="Q14" s="1165"/>
      <c r="R14" s="1165"/>
      <c r="S14" s="1165"/>
      <c r="T14" s="1165"/>
      <c r="U14" s="1165"/>
      <c r="V14" s="1165"/>
      <c r="W14" s="1165"/>
      <c r="X14" s="1165"/>
      <c r="Y14" s="1165"/>
      <c r="Z14" s="1165"/>
      <c r="AA14" s="149"/>
      <c r="AB14" s="149"/>
      <c r="AC14" s="149"/>
      <c r="AD14" s="149"/>
      <c r="AE14" s="149"/>
      <c r="AF14" s="149"/>
      <c r="AG14" s="149"/>
      <c r="AH14" s="149"/>
      <c r="AI14" s="149"/>
      <c r="AJ14" s="149"/>
      <c r="AK14" s="149"/>
      <c r="AL14" s="149"/>
      <c r="AM14" s="149"/>
    </row>
    <row r="15" spans="1:39" ht="51.75" customHeight="1">
      <c r="B15" s="2815" t="s">
        <v>1992</v>
      </c>
      <c r="C15" s="547" t="s">
        <v>1556</v>
      </c>
      <c r="D15" s="154"/>
      <c r="E15" s="152"/>
      <c r="F15" s="152"/>
      <c r="G15" s="152"/>
      <c r="H15" s="152"/>
      <c r="I15" s="152"/>
      <c r="J15" s="152"/>
      <c r="K15" s="152"/>
      <c r="L15" s="152"/>
      <c r="M15" s="152"/>
      <c r="N15" s="152"/>
      <c r="O15" s="152"/>
      <c r="P15" s="152"/>
      <c r="Q15" s="152"/>
      <c r="R15" s="3456">
        <f>T24-1116218</f>
        <v>235829</v>
      </c>
      <c r="S15" s="152"/>
      <c r="T15" s="152"/>
      <c r="U15" s="152"/>
      <c r="V15" s="152"/>
      <c r="W15" s="152"/>
      <c r="X15" s="152"/>
      <c r="Y15" s="152"/>
      <c r="Z15" s="152"/>
      <c r="AA15" s="152"/>
      <c r="AB15" s="152"/>
      <c r="AC15" s="152"/>
      <c r="AD15" s="152"/>
      <c r="AE15" s="152"/>
      <c r="AF15" s="152"/>
      <c r="AG15" s="152"/>
      <c r="AH15" s="152"/>
      <c r="AI15" s="152"/>
      <c r="AJ15" s="153"/>
      <c r="AK15" s="153"/>
      <c r="AL15" s="153"/>
      <c r="AM15" s="153"/>
    </row>
    <row r="16" spans="1:39" ht="29.25" customHeight="1">
      <c r="C16" s="155"/>
      <c r="D16" s="828"/>
      <c r="E16" s="829"/>
      <c r="F16" s="829"/>
      <c r="G16" s="829"/>
      <c r="H16" s="829"/>
      <c r="I16" s="829"/>
      <c r="J16" s="829"/>
      <c r="K16" s="829"/>
      <c r="L16" s="829"/>
      <c r="M16" s="829"/>
      <c r="N16" s="829"/>
      <c r="O16" s="155"/>
      <c r="P16" s="155"/>
      <c r="Q16" s="155"/>
      <c r="R16" s="155"/>
      <c r="S16" s="155"/>
      <c r="T16" s="156"/>
      <c r="U16" s="156"/>
      <c r="V16" s="155"/>
      <c r="W16" s="156"/>
      <c r="X16" s="155"/>
      <c r="Y16" s="3026" t="s">
        <v>1423</v>
      </c>
      <c r="Z16" s="3026"/>
      <c r="AA16" s="156"/>
      <c r="AB16" s="156"/>
      <c r="AC16" s="155"/>
      <c r="AD16" s="155"/>
      <c r="AE16" s="155"/>
      <c r="AF16" s="155"/>
      <c r="AG16" s="155"/>
      <c r="AH16" s="155"/>
      <c r="AI16" s="155"/>
      <c r="AJ16" s="156"/>
      <c r="AK16" s="156"/>
      <c r="AL16" s="156"/>
      <c r="AM16" s="156"/>
    </row>
    <row r="17" spans="1:40" ht="29.25" customHeight="1" thickBot="1">
      <c r="C17" s="641"/>
      <c r="D17" s="3022" t="s">
        <v>1285</v>
      </c>
      <c r="E17" s="3022"/>
      <c r="F17" s="3022"/>
      <c r="G17" s="3022"/>
      <c r="H17" s="3022"/>
      <c r="I17" s="3022"/>
      <c r="J17" s="3022"/>
      <c r="K17" s="3022"/>
      <c r="L17" s="3022"/>
      <c r="M17" s="3022"/>
      <c r="N17" s="3022"/>
      <c r="O17" s="642"/>
      <c r="P17" s="3022" t="s">
        <v>1557</v>
      </c>
      <c r="Q17" s="3022"/>
      <c r="R17" s="3022"/>
      <c r="S17" s="3022"/>
      <c r="T17" s="3022"/>
      <c r="U17" s="3022"/>
      <c r="V17" s="3022"/>
      <c r="W17" s="3022"/>
      <c r="X17" s="3022"/>
      <c r="Y17" s="3022"/>
      <c r="Z17" s="3022"/>
      <c r="AA17" s="155"/>
      <c r="AB17" s="155"/>
      <c r="AC17" s="155"/>
      <c r="AD17" s="155"/>
      <c r="AE17" s="155"/>
      <c r="AF17" s="155"/>
      <c r="AG17" s="155"/>
      <c r="AH17" s="155"/>
      <c r="AI17" s="155"/>
      <c r="AJ17" s="156"/>
      <c r="AK17" s="156"/>
      <c r="AL17" s="156"/>
      <c r="AM17" s="156"/>
    </row>
    <row r="18" spans="1:40" ht="30.75" customHeight="1" thickBot="1">
      <c r="A18" s="761" t="s">
        <v>2181</v>
      </c>
      <c r="C18" s="643"/>
      <c r="D18" s="3023">
        <v>1401</v>
      </c>
      <c r="E18" s="3023"/>
      <c r="F18" s="3023"/>
      <c r="G18" s="3023"/>
      <c r="H18" s="3023"/>
      <c r="J18" s="3023">
        <v>1400</v>
      </c>
      <c r="K18" s="3023"/>
      <c r="L18" s="3023"/>
      <c r="M18" s="3023"/>
      <c r="N18" s="3023"/>
      <c r="O18" s="646"/>
      <c r="P18" s="3023">
        <f>D18</f>
        <v>1401</v>
      </c>
      <c r="Q18" s="3023"/>
      <c r="R18" s="3023"/>
      <c r="S18" s="3023"/>
      <c r="T18" s="3023"/>
      <c r="V18" s="3023">
        <f>J18</f>
        <v>1400</v>
      </c>
      <c r="W18" s="3023"/>
      <c r="X18" s="3023"/>
      <c r="Y18" s="3023">
        <f>T18</f>
        <v>0</v>
      </c>
      <c r="Z18" s="3023"/>
      <c r="AA18" s="155"/>
      <c r="AB18" s="155"/>
      <c r="AC18" s="155"/>
      <c r="AD18" s="155"/>
      <c r="AE18" s="155"/>
      <c r="AF18" s="155"/>
      <c r="AG18" s="155"/>
      <c r="AH18" s="155"/>
      <c r="AI18" s="155"/>
      <c r="AJ18" s="156"/>
      <c r="AK18" s="156"/>
      <c r="AL18" s="156"/>
      <c r="AM18" s="156"/>
    </row>
    <row r="19" spans="1:40" ht="44.25" customHeight="1">
      <c r="C19" s="643"/>
      <c r="D19" s="1180" t="s">
        <v>1792</v>
      </c>
      <c r="E19" s="827"/>
      <c r="F19" s="844" t="s">
        <v>672</v>
      </c>
      <c r="G19" s="644"/>
      <c r="H19" s="844" t="s">
        <v>679</v>
      </c>
      <c r="J19" s="1180" t="s">
        <v>1791</v>
      </c>
      <c r="K19" s="827"/>
      <c r="L19" s="844" t="s">
        <v>672</v>
      </c>
      <c r="M19" s="644"/>
      <c r="N19" s="844" t="s">
        <v>679</v>
      </c>
      <c r="O19" s="645"/>
      <c r="P19" s="1180" t="s">
        <v>1790</v>
      </c>
      <c r="Q19" s="827"/>
      <c r="R19" s="844" t="s">
        <v>672</v>
      </c>
      <c r="S19" s="644"/>
      <c r="T19" s="844" t="s">
        <v>679</v>
      </c>
      <c r="U19" s="830"/>
      <c r="V19" s="1180" t="s">
        <v>1792</v>
      </c>
      <c r="W19" s="827"/>
      <c r="X19" s="844" t="s">
        <v>672</v>
      </c>
      <c r="Y19" s="644"/>
      <c r="Z19" s="844" t="s">
        <v>679</v>
      </c>
      <c r="AA19" s="155"/>
      <c r="AB19" s="155"/>
      <c r="AC19" s="155"/>
      <c r="AD19" s="155"/>
      <c r="AE19" s="155"/>
      <c r="AF19" s="155"/>
      <c r="AG19" s="155"/>
      <c r="AH19" s="155"/>
      <c r="AI19" s="155"/>
      <c r="AJ19" s="156"/>
      <c r="AK19" s="156"/>
      <c r="AL19" s="156"/>
      <c r="AM19" s="156"/>
    </row>
    <row r="20" spans="1:40" ht="39.950000000000003" customHeight="1">
      <c r="C20" s="154" t="s">
        <v>1320</v>
      </c>
      <c r="D20" s="176">
        <v>2764163</v>
      </c>
      <c r="E20" s="648"/>
      <c r="F20" s="647">
        <v>5248</v>
      </c>
      <c r="G20" s="648"/>
      <c r="H20" s="3455">
        <f>F20+D20</f>
        <v>2769411</v>
      </c>
      <c r="J20" s="176">
        <v>2049242</v>
      </c>
      <c r="K20" s="648"/>
      <c r="L20" s="647">
        <v>6630</v>
      </c>
      <c r="M20" s="648"/>
      <c r="N20" s="648">
        <v>2055872</v>
      </c>
      <c r="O20" s="648"/>
      <c r="P20" s="176">
        <v>140793</v>
      </c>
      <c r="Q20" s="648"/>
      <c r="R20" s="647">
        <v>10015</v>
      </c>
      <c r="S20" s="647"/>
      <c r="T20" s="3455">
        <f>R20+P20</f>
        <v>150808</v>
      </c>
      <c r="U20" s="648"/>
      <c r="V20" s="176">
        <v>72799</v>
      </c>
      <c r="W20" s="648"/>
      <c r="X20" s="647">
        <v>14310</v>
      </c>
      <c r="Y20" s="647"/>
      <c r="Z20" s="648">
        <v>87109</v>
      </c>
      <c r="AA20" s="648"/>
      <c r="AB20" s="158"/>
      <c r="AC20" s="158"/>
      <c r="AD20" s="158"/>
      <c r="AE20" s="158"/>
      <c r="AF20" s="158"/>
      <c r="AG20" s="158"/>
      <c r="AH20" s="158"/>
      <c r="AI20" s="159"/>
      <c r="AJ20" s="159"/>
      <c r="AK20" s="160"/>
      <c r="AL20" s="160"/>
      <c r="AM20" s="160"/>
      <c r="AN20" s="160"/>
    </row>
    <row r="21" spans="1:40" ht="39.950000000000003" customHeight="1">
      <c r="C21" s="649" t="s">
        <v>1308</v>
      </c>
      <c r="D21" s="647">
        <v>2579329</v>
      </c>
      <c r="E21" s="648"/>
      <c r="F21" s="647">
        <v>8184</v>
      </c>
      <c r="G21" s="648"/>
      <c r="H21" s="3455">
        <f t="shared" ref="H21:H26" si="0">F21+D21</f>
        <v>2587513</v>
      </c>
      <c r="J21" s="647">
        <v>2172051</v>
      </c>
      <c r="K21" s="648"/>
      <c r="L21" s="647">
        <v>8190</v>
      </c>
      <c r="M21" s="648"/>
      <c r="N21" s="648">
        <v>2180241</v>
      </c>
      <c r="O21" s="648"/>
      <c r="P21" s="176">
        <v>392031</v>
      </c>
      <c r="Q21" s="648"/>
      <c r="R21" s="647">
        <v>33894</v>
      </c>
      <c r="S21" s="647"/>
      <c r="T21" s="3455">
        <f t="shared" ref="T21:T26" si="1">R21+P21</f>
        <v>425925</v>
      </c>
      <c r="U21" s="648"/>
      <c r="V21" s="176">
        <v>348372</v>
      </c>
      <c r="W21" s="648"/>
      <c r="X21" s="647">
        <v>63984</v>
      </c>
      <c r="Y21" s="647"/>
      <c r="Z21" s="648">
        <v>412356</v>
      </c>
      <c r="AA21" s="648"/>
      <c r="AB21" s="158"/>
      <c r="AC21" s="158"/>
      <c r="AD21" s="158"/>
      <c r="AE21" s="158"/>
      <c r="AF21" s="158"/>
      <c r="AG21" s="158"/>
      <c r="AH21" s="158"/>
      <c r="AI21" s="159"/>
      <c r="AJ21" s="159"/>
      <c r="AK21" s="160"/>
      <c r="AL21" s="160"/>
      <c r="AM21" s="160"/>
      <c r="AN21" s="160"/>
    </row>
    <row r="22" spans="1:40" ht="39.950000000000003" customHeight="1">
      <c r="C22" s="649" t="s">
        <v>1321</v>
      </c>
      <c r="D22" s="647">
        <v>11907456</v>
      </c>
      <c r="E22" s="648"/>
      <c r="F22" s="647">
        <v>30281</v>
      </c>
      <c r="G22" s="648"/>
      <c r="H22" s="3455">
        <f t="shared" si="0"/>
        <v>11937737</v>
      </c>
      <c r="J22" s="647">
        <v>8562537</v>
      </c>
      <c r="K22" s="648"/>
      <c r="L22" s="647">
        <v>29061</v>
      </c>
      <c r="M22" s="648"/>
      <c r="N22" s="648">
        <v>8591598</v>
      </c>
      <c r="O22" s="648"/>
      <c r="P22" s="176">
        <v>1571902</v>
      </c>
      <c r="Q22" s="648"/>
      <c r="R22" s="647">
        <v>110075</v>
      </c>
      <c r="S22" s="647"/>
      <c r="T22" s="3455">
        <f t="shared" si="1"/>
        <v>1681977</v>
      </c>
      <c r="U22" s="648"/>
      <c r="V22" s="176">
        <v>1146983</v>
      </c>
      <c r="W22" s="648"/>
      <c r="X22" s="647">
        <v>201851</v>
      </c>
      <c r="Y22" s="647"/>
      <c r="Z22" s="648">
        <v>1348834</v>
      </c>
      <c r="AA22" s="648"/>
      <c r="AB22" s="158"/>
      <c r="AC22" s="158"/>
      <c r="AD22" s="158"/>
      <c r="AE22" s="158"/>
      <c r="AF22" s="158"/>
      <c r="AG22" s="158"/>
      <c r="AH22" s="158"/>
      <c r="AI22" s="159"/>
      <c r="AJ22" s="159"/>
      <c r="AK22" s="160"/>
      <c r="AL22" s="160"/>
      <c r="AM22" s="160"/>
      <c r="AN22" s="160"/>
    </row>
    <row r="23" spans="1:40" ht="39.950000000000003" customHeight="1">
      <c r="C23" s="649" t="s">
        <v>1322</v>
      </c>
      <c r="D23" s="647">
        <v>6607886</v>
      </c>
      <c r="E23" s="648"/>
      <c r="F23" s="647">
        <v>270</v>
      </c>
      <c r="G23" s="648"/>
      <c r="H23" s="3455">
        <f t="shared" si="0"/>
        <v>6608156</v>
      </c>
      <c r="J23" s="647">
        <v>5181830</v>
      </c>
      <c r="K23" s="648"/>
      <c r="L23" s="647">
        <v>255</v>
      </c>
      <c r="M23" s="648"/>
      <c r="N23" s="648">
        <v>5182085</v>
      </c>
      <c r="O23" s="648"/>
      <c r="P23" s="176">
        <v>1135362</v>
      </c>
      <c r="Q23" s="648"/>
      <c r="R23" s="647">
        <v>1147</v>
      </c>
      <c r="S23" s="647"/>
      <c r="T23" s="3455">
        <f t="shared" si="1"/>
        <v>1136509</v>
      </c>
      <c r="U23" s="648"/>
      <c r="V23" s="176">
        <v>908493</v>
      </c>
      <c r="W23" s="648"/>
      <c r="X23" s="647">
        <v>1262</v>
      </c>
      <c r="Y23" s="647"/>
      <c r="Z23" s="648">
        <v>909755</v>
      </c>
      <c r="AA23" s="648"/>
      <c r="AB23" s="158"/>
      <c r="AC23" s="158"/>
      <c r="AD23" s="158"/>
      <c r="AE23" s="158"/>
      <c r="AF23" s="158"/>
      <c r="AG23" s="158"/>
      <c r="AH23" s="158"/>
      <c r="AI23" s="159"/>
      <c r="AJ23" s="159"/>
      <c r="AK23" s="160"/>
      <c r="AL23" s="160"/>
      <c r="AM23" s="160"/>
      <c r="AN23" s="160"/>
    </row>
    <row r="24" spans="1:40" ht="39.950000000000003" customHeight="1">
      <c r="C24" s="649" t="s">
        <v>1316</v>
      </c>
      <c r="D24" s="647">
        <v>13854393</v>
      </c>
      <c r="E24" s="648"/>
      <c r="F24" s="647">
        <v>42550</v>
      </c>
      <c r="G24" s="648"/>
      <c r="H24" s="3455">
        <f t="shared" si="0"/>
        <v>13896943</v>
      </c>
      <c r="J24" s="647">
        <v>8678855</v>
      </c>
      <c r="K24" s="648"/>
      <c r="L24" s="647">
        <v>14988</v>
      </c>
      <c r="M24" s="648"/>
      <c r="N24" s="648">
        <v>8693843</v>
      </c>
      <c r="O24" s="648"/>
      <c r="P24" s="176">
        <v>1107145</v>
      </c>
      <c r="Q24" s="648"/>
      <c r="R24" s="647">
        <v>244902</v>
      </c>
      <c r="S24" s="647"/>
      <c r="T24" s="3455">
        <f t="shared" si="1"/>
        <v>1352047</v>
      </c>
      <c r="U24" s="648"/>
      <c r="V24" s="176">
        <v>557338</v>
      </c>
      <c r="W24" s="648"/>
      <c r="X24" s="647">
        <v>80665</v>
      </c>
      <c r="Y24" s="647"/>
      <c r="Z24" s="648">
        <v>638003</v>
      </c>
      <c r="AA24" s="648"/>
      <c r="AB24" s="158"/>
      <c r="AC24" s="158"/>
      <c r="AD24" s="158"/>
      <c r="AE24" s="158"/>
      <c r="AF24" s="158"/>
      <c r="AG24" s="158"/>
      <c r="AH24" s="158"/>
      <c r="AI24" s="159"/>
      <c r="AJ24" s="159"/>
      <c r="AK24" s="160"/>
      <c r="AL24" s="160"/>
      <c r="AM24" s="160"/>
      <c r="AN24" s="160"/>
    </row>
    <row r="25" spans="1:40" ht="39.950000000000003" customHeight="1">
      <c r="C25" s="649" t="s">
        <v>1317</v>
      </c>
      <c r="D25" s="647">
        <v>3341287</v>
      </c>
      <c r="E25" s="648"/>
      <c r="F25" s="647">
        <v>4417</v>
      </c>
      <c r="G25" s="648" t="s">
        <v>2178</v>
      </c>
      <c r="H25" s="3455">
        <f t="shared" si="0"/>
        <v>3345704</v>
      </c>
      <c r="J25" s="647">
        <v>1535682</v>
      </c>
      <c r="K25" s="648"/>
      <c r="L25" s="647">
        <v>3939</v>
      </c>
      <c r="M25" s="648"/>
      <c r="N25" s="648">
        <v>1539621</v>
      </c>
      <c r="O25" s="648"/>
      <c r="P25" s="176">
        <v>79898</v>
      </c>
      <c r="Q25" s="648"/>
      <c r="R25" s="647">
        <v>71724</v>
      </c>
      <c r="S25" s="647"/>
      <c r="T25" s="3455">
        <f t="shared" si="1"/>
        <v>151622</v>
      </c>
      <c r="U25" s="648"/>
      <c r="V25" s="176">
        <v>113046</v>
      </c>
      <c r="W25" s="648"/>
      <c r="X25" s="647">
        <v>106350</v>
      </c>
      <c r="Y25" s="647"/>
      <c r="Z25" s="648">
        <v>219396</v>
      </c>
      <c r="AA25" s="648"/>
      <c r="AB25" s="158"/>
      <c r="AC25" s="158"/>
      <c r="AD25" s="158"/>
      <c r="AE25" s="158"/>
      <c r="AF25" s="158"/>
      <c r="AG25" s="158"/>
      <c r="AH25" s="158"/>
      <c r="AI25" s="159"/>
      <c r="AJ25" s="159"/>
      <c r="AK25" s="160"/>
      <c r="AL25" s="160"/>
      <c r="AM25" s="160"/>
      <c r="AN25" s="160"/>
    </row>
    <row r="26" spans="1:40" ht="39.950000000000003" customHeight="1">
      <c r="C26" s="649" t="s">
        <v>1318</v>
      </c>
      <c r="D26" s="647">
        <v>878156</v>
      </c>
      <c r="E26" s="1036"/>
      <c r="F26" s="647">
        <v>0</v>
      </c>
      <c r="G26" s="648"/>
      <c r="H26" s="3455">
        <f t="shared" si="0"/>
        <v>878156</v>
      </c>
      <c r="J26" s="647">
        <v>241411</v>
      </c>
      <c r="K26" s="648"/>
      <c r="L26" s="647">
        <v>106</v>
      </c>
      <c r="M26" s="648"/>
      <c r="N26" s="648">
        <v>241517</v>
      </c>
      <c r="O26" s="648"/>
      <c r="P26" s="176">
        <v>239537</v>
      </c>
      <c r="Q26" s="648"/>
      <c r="R26" s="647">
        <v>0</v>
      </c>
      <c r="S26" s="647"/>
      <c r="T26" s="3455">
        <f t="shared" si="1"/>
        <v>239537</v>
      </c>
      <c r="U26" s="648"/>
      <c r="V26" s="176">
        <v>56894</v>
      </c>
      <c r="W26" s="648"/>
      <c r="X26" s="647"/>
      <c r="Y26" s="647"/>
      <c r="Z26" s="648">
        <v>56894</v>
      </c>
      <c r="AA26" s="648"/>
      <c r="AB26" s="158"/>
      <c r="AC26" s="158"/>
      <c r="AD26" s="159"/>
      <c r="AE26" s="158"/>
      <c r="AF26" s="158"/>
      <c r="AG26" s="158"/>
      <c r="AH26" s="158"/>
      <c r="AI26" s="158"/>
      <c r="AJ26" s="158"/>
      <c r="AK26" s="160"/>
      <c r="AL26" s="160"/>
      <c r="AM26" s="160"/>
      <c r="AN26" s="160"/>
    </row>
    <row r="27" spans="1:40" ht="39.950000000000003" customHeight="1">
      <c r="C27" s="649" t="s">
        <v>1319</v>
      </c>
      <c r="D27" s="647">
        <v>9247126</v>
      </c>
      <c r="E27" s="648"/>
      <c r="F27" s="647">
        <v>4200</v>
      </c>
      <c r="G27" s="648"/>
      <c r="H27" s="3455">
        <f>F27+D27</f>
        <v>9251326</v>
      </c>
      <c r="J27" s="647">
        <v>4683426</v>
      </c>
      <c r="K27" s="648"/>
      <c r="L27" s="647">
        <v>4428</v>
      </c>
      <c r="M27" s="648"/>
      <c r="N27" s="648">
        <v>4687854</v>
      </c>
      <c r="O27" s="648"/>
      <c r="P27" s="176">
        <f>890703</f>
        <v>890703</v>
      </c>
      <c r="Q27" s="648"/>
      <c r="R27" s="647">
        <v>10945</v>
      </c>
      <c r="S27" s="647"/>
      <c r="T27" s="3455">
        <f>R27+P27</f>
        <v>901648</v>
      </c>
      <c r="U27" s="648"/>
      <c r="V27" s="176">
        <v>624956</v>
      </c>
      <c r="W27" s="648"/>
      <c r="X27" s="647">
        <v>5789</v>
      </c>
      <c r="Y27" s="647"/>
      <c r="Z27" s="648">
        <v>630745</v>
      </c>
      <c r="AA27" s="648"/>
      <c r="AB27" s="158"/>
      <c r="AC27" s="158"/>
      <c r="AD27" s="158"/>
      <c r="AE27" s="158"/>
      <c r="AF27" s="158"/>
      <c r="AG27" s="158"/>
      <c r="AH27" s="158"/>
      <c r="AI27" s="159"/>
      <c r="AJ27" s="159"/>
      <c r="AK27" s="160"/>
      <c r="AL27" s="160"/>
      <c r="AM27" s="160"/>
      <c r="AN27" s="160"/>
    </row>
    <row r="28" spans="1:40" ht="39.950000000000003" customHeight="1">
      <c r="C28" s="650"/>
      <c r="D28" s="651">
        <f>SUM(D20:D27)</f>
        <v>51179796</v>
      </c>
      <c r="E28" s="648"/>
      <c r="F28" s="651">
        <f>SUM(F20:F27)</f>
        <v>95150</v>
      </c>
      <c r="G28" s="648"/>
      <c r="H28" s="652">
        <f>SUM(H20:H27)</f>
        <v>51274946</v>
      </c>
      <c r="J28" s="651">
        <f>SUM(J20:J27)</f>
        <v>33105034</v>
      </c>
      <c r="L28" s="651">
        <f>SUM(L20:L27)</f>
        <v>67597</v>
      </c>
      <c r="M28" s="648"/>
      <c r="N28" s="652">
        <f>SUM(N20:N27)</f>
        <v>33172631</v>
      </c>
      <c r="O28" s="648"/>
      <c r="P28" s="651">
        <f>SUM(P20:P27)</f>
        <v>5557371</v>
      </c>
      <c r="Q28" s="648"/>
      <c r="R28" s="651">
        <f>SUM(R20:R27)</f>
        <v>482702</v>
      </c>
      <c r="S28" s="651"/>
      <c r="T28" s="652">
        <f>SUM(T20:T27)</f>
        <v>6040073</v>
      </c>
      <c r="U28" s="652"/>
      <c r="V28" s="915">
        <f>SUM(V20:V27)</f>
        <v>3828881</v>
      </c>
      <c r="W28" s="648"/>
      <c r="X28" s="651">
        <f>SUM(X20:X27)</f>
        <v>474211</v>
      </c>
      <c r="Z28" s="652">
        <f>SUM(Z20:Z27)</f>
        <v>4303092</v>
      </c>
      <c r="AA28" s="648"/>
      <c r="AB28" s="162"/>
      <c r="AC28" s="158"/>
      <c r="AD28" s="158"/>
      <c r="AE28" s="158"/>
      <c r="AF28" s="158"/>
      <c r="AG28" s="158"/>
      <c r="AH28" s="158"/>
      <c r="AI28" s="159"/>
      <c r="AJ28" s="159"/>
      <c r="AK28" s="160"/>
      <c r="AL28" s="160"/>
      <c r="AM28" s="160"/>
      <c r="AN28" s="160"/>
    </row>
    <row r="29" spans="1:40" ht="39.950000000000003" customHeight="1">
      <c r="C29" s="649" t="s">
        <v>1704</v>
      </c>
      <c r="D29" s="647">
        <v>-65678</v>
      </c>
      <c r="E29" s="648"/>
      <c r="F29" s="647">
        <v>-10</v>
      </c>
      <c r="G29" s="648"/>
      <c r="H29" s="648">
        <f>F29+D29</f>
        <v>-65688</v>
      </c>
      <c r="J29" s="647">
        <v>-19337</v>
      </c>
      <c r="K29" s="648"/>
      <c r="L29" s="647">
        <v>0</v>
      </c>
      <c r="M29" s="648"/>
      <c r="N29" s="648">
        <f>J29+L29</f>
        <v>-19337</v>
      </c>
      <c r="O29" s="648"/>
      <c r="P29" s="176">
        <v>-147661</v>
      </c>
      <c r="Q29" s="648"/>
      <c r="R29" s="647">
        <v>-88168</v>
      </c>
      <c r="S29" s="647"/>
      <c r="T29" s="3455">
        <f>P29+R29</f>
        <v>-235829</v>
      </c>
      <c r="U29" s="648"/>
      <c r="V29" s="647">
        <v>-17213</v>
      </c>
      <c r="W29" s="648"/>
      <c r="X29" s="647">
        <v>-1915</v>
      </c>
      <c r="Y29" s="647"/>
      <c r="Z29" s="648">
        <v>-19128</v>
      </c>
      <c r="AA29" s="648"/>
      <c r="AB29" s="159"/>
      <c r="AC29" s="158"/>
      <c r="AD29" s="158"/>
      <c r="AE29" s="158"/>
      <c r="AF29" s="158"/>
      <c r="AG29" s="158"/>
      <c r="AH29" s="158"/>
      <c r="AI29" s="158"/>
      <c r="AJ29" s="159"/>
      <c r="AK29" s="160"/>
      <c r="AL29" s="160"/>
      <c r="AM29" s="160"/>
      <c r="AN29" s="160"/>
    </row>
    <row r="30" spans="1:40" ht="39.950000000000003" customHeight="1" thickBot="1">
      <c r="C30" s="653"/>
      <c r="D30" s="654">
        <f>SUM(D28:D29)</f>
        <v>51114118</v>
      </c>
      <c r="E30" s="648"/>
      <c r="F30" s="654">
        <f>SUM(F28:F29)</f>
        <v>95140</v>
      </c>
      <c r="G30" s="648"/>
      <c r="H30" s="929">
        <f>SUM(H28:H29)</f>
        <v>51209258</v>
      </c>
      <c r="J30" s="654">
        <f>SUM(J28:J29)</f>
        <v>33085697</v>
      </c>
      <c r="L30" s="654">
        <f>SUM(L28:L29)</f>
        <v>67597</v>
      </c>
      <c r="M30" s="648"/>
      <c r="N30" s="654">
        <f>SUM(N28:N29)+0</f>
        <v>33153294</v>
      </c>
      <c r="O30" s="648"/>
      <c r="P30" s="654">
        <f>SUM(P28:P29)</f>
        <v>5409710</v>
      </c>
      <c r="Q30" s="654">
        <f>SUM(Q28:Q29)</f>
        <v>0</v>
      </c>
      <c r="R30" s="654">
        <f>SUM(R28:R29)</f>
        <v>394534</v>
      </c>
      <c r="S30" s="648"/>
      <c r="T30" s="929">
        <f>SUM(T28:T29)</f>
        <v>5804244</v>
      </c>
      <c r="U30" s="648"/>
      <c r="V30" s="654">
        <f>SUM(V28:V29)</f>
        <v>3811668</v>
      </c>
      <c r="W30" s="648"/>
      <c r="X30" s="654">
        <f>SUM(X28:X29)</f>
        <v>472296</v>
      </c>
      <c r="Z30" s="654">
        <f>SUM(Z28:Z29)</f>
        <v>4283964</v>
      </c>
      <c r="AA30" s="648"/>
      <c r="AB30" s="163"/>
      <c r="AC30" s="158"/>
      <c r="AD30" s="162"/>
      <c r="AE30" s="158"/>
      <c r="AF30" s="162"/>
      <c r="AG30" s="158"/>
      <c r="AH30" s="162"/>
      <c r="AI30" s="159"/>
      <c r="AJ30" s="159"/>
      <c r="AK30" s="160"/>
      <c r="AL30" s="160"/>
      <c r="AM30" s="160"/>
      <c r="AN30" s="160"/>
    </row>
    <row r="31" spans="1:40" ht="45" customHeight="1" thickTop="1">
      <c r="C31" s="164"/>
      <c r="D31" s="160"/>
      <c r="E31" s="160"/>
      <c r="F31" s="165"/>
      <c r="G31" s="959"/>
      <c r="H31" s="959"/>
      <c r="I31" s="386"/>
      <c r="J31" s="959"/>
      <c r="K31" s="386"/>
      <c r="L31" s="959"/>
      <c r="M31" s="959"/>
      <c r="N31" s="959">
        <f>9598760</f>
        <v>9598760</v>
      </c>
      <c r="O31" s="959"/>
      <c r="P31" s="959"/>
      <c r="Q31" s="959"/>
      <c r="R31" s="959"/>
      <c r="S31" s="959"/>
      <c r="T31" s="959"/>
      <c r="U31" s="959"/>
      <c r="V31" s="959">
        <v>1608044</v>
      </c>
      <c r="W31" s="959"/>
      <c r="X31" s="959"/>
      <c r="Y31" s="386"/>
      <c r="Z31" s="959">
        <v>1608044</v>
      </c>
      <c r="AA31" s="159"/>
      <c r="AB31" s="159"/>
      <c r="AC31" s="159"/>
      <c r="AD31" s="159"/>
      <c r="AE31" s="159"/>
      <c r="AF31" s="159"/>
      <c r="AG31" s="159"/>
      <c r="AH31" s="159"/>
      <c r="AI31" s="159"/>
      <c r="AJ31" s="160"/>
      <c r="AK31" s="160"/>
      <c r="AL31" s="160"/>
      <c r="AM31" s="160"/>
    </row>
    <row r="32" spans="1:40" s="386" customFormat="1" ht="33" customHeight="1">
      <c r="A32" s="353"/>
      <c r="C32" s="3024" t="s">
        <v>2483</v>
      </c>
      <c r="D32" s="3024"/>
      <c r="E32" s="3024"/>
      <c r="F32" s="3024"/>
      <c r="G32" s="3024"/>
      <c r="H32" s="3024"/>
      <c r="I32" s="3024"/>
      <c r="J32" s="3024"/>
      <c r="K32" s="3024"/>
      <c r="L32" s="3024"/>
      <c r="M32" s="3024"/>
      <c r="N32" s="3024"/>
      <c r="O32" s="3024"/>
      <c r="P32" s="3024"/>
      <c r="Q32" s="3024"/>
      <c r="R32" s="3024"/>
      <c r="S32" s="3024"/>
      <c r="T32" s="3024"/>
      <c r="U32" s="3024"/>
      <c r="V32" s="3024"/>
    </row>
    <row r="33" spans="3:38" ht="97.5" customHeight="1">
      <c r="C33" s="3021">
        <v>11</v>
      </c>
      <c r="D33" s="3021"/>
      <c r="E33" s="3021"/>
      <c r="F33" s="3021"/>
      <c r="G33" s="3021"/>
      <c r="H33" s="3021"/>
      <c r="I33" s="3021"/>
      <c r="J33" s="3021"/>
      <c r="K33" s="3021"/>
      <c r="L33" s="3021"/>
      <c r="M33" s="3021"/>
      <c r="N33" s="3021"/>
      <c r="O33" s="3021"/>
      <c r="P33" s="3021"/>
      <c r="Q33" s="3021"/>
      <c r="R33" s="3021"/>
      <c r="S33" s="3021"/>
      <c r="T33" s="3021"/>
      <c r="U33" s="3021"/>
      <c r="V33" s="3021"/>
      <c r="W33" s="3021"/>
      <c r="X33" s="3021"/>
      <c r="Y33" s="3021"/>
      <c r="Z33" s="3021"/>
      <c r="AA33" s="168"/>
      <c r="AB33" s="168"/>
      <c r="AC33" s="168"/>
      <c r="AD33" s="168"/>
      <c r="AE33" s="168"/>
      <c r="AF33" s="168"/>
      <c r="AG33" s="168"/>
      <c r="AH33" s="168"/>
      <c r="AI33" s="168"/>
      <c r="AJ33" s="168"/>
      <c r="AK33" s="168"/>
      <c r="AL33" s="168"/>
    </row>
    <row r="36" spans="3:38">
      <c r="N36" s="386"/>
      <c r="O36" s="386"/>
      <c r="P36" s="386"/>
    </row>
    <row r="37" spans="3:38">
      <c r="N37" s="386"/>
      <c r="O37" s="386"/>
      <c r="P37" s="386"/>
    </row>
    <row r="41" spans="3:38" ht="37.5">
      <c r="H41" s="357">
        <f>1352047-1116218</f>
        <v>235829</v>
      </c>
    </row>
    <row r="62" spans="10:10">
      <c r="J62" s="151">
        <v>-7717613</v>
      </c>
    </row>
  </sheetData>
  <mergeCells count="15">
    <mergeCell ref="A1:Z1"/>
    <mergeCell ref="A2:Z2"/>
    <mergeCell ref="A3:Z3"/>
    <mergeCell ref="Y16:Z16"/>
    <mergeCell ref="R6:X6"/>
    <mergeCell ref="C10:E10"/>
    <mergeCell ref="C11:E11"/>
    <mergeCell ref="C33:Z33"/>
    <mergeCell ref="D17:N17"/>
    <mergeCell ref="P17:Z17"/>
    <mergeCell ref="D18:H18"/>
    <mergeCell ref="J18:N18"/>
    <mergeCell ref="P18:T18"/>
    <mergeCell ref="V18:Z18"/>
    <mergeCell ref="C32:V32"/>
  </mergeCells>
  <printOptions horizontalCentered="1" verticalCentered="1"/>
  <pageMargins left="0" right="0" top="0.31496062992125984" bottom="0.15748031496062992" header="0.15748031496062992" footer="0.15748031496062992"/>
  <pageSetup paperSize="9" scale="4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I108"/>
  <sheetViews>
    <sheetView rightToLeft="1" view="pageBreakPreview" topLeftCell="A41" zoomScale="66" zoomScaleNormal="47" zoomScaleSheetLayoutView="66" workbookViewId="0">
      <selection activeCell="H35" sqref="H35"/>
    </sheetView>
  </sheetViews>
  <sheetFormatPr defaultColWidth="1.375" defaultRowHeight="21"/>
  <cols>
    <col min="1" max="1" width="9.625" style="386" customWidth="1"/>
    <col min="2" max="2" width="2.625" style="353" customWidth="1"/>
    <col min="3" max="3" width="7.75" style="151" customWidth="1"/>
    <col min="4" max="4" width="9" style="151" customWidth="1"/>
    <col min="5" max="5" width="72.25" style="151" customWidth="1"/>
    <col min="6" max="6" width="17.125" style="151" customWidth="1"/>
    <col min="7" max="7" width="7.375" style="151" customWidth="1"/>
    <col min="8" max="8" width="16.75" style="223" customWidth="1"/>
    <col min="9" max="9" width="2.125" style="223" customWidth="1"/>
    <col min="10" max="10" width="26" style="223" customWidth="1"/>
    <col min="11" max="13" width="1.375" style="151"/>
    <col min="14" max="14" width="14.875" style="151" customWidth="1"/>
    <col min="15" max="16384" width="1.375" style="151"/>
  </cols>
  <sheetData>
    <row r="1" spans="1:11" s="183" customFormat="1" ht="24.75" customHeight="1">
      <c r="A1" s="3031" t="s">
        <v>612</v>
      </c>
      <c r="B1" s="3031"/>
      <c r="C1" s="3031"/>
      <c r="D1" s="3031"/>
      <c r="E1" s="3031"/>
      <c r="F1" s="3031"/>
      <c r="G1" s="3031"/>
      <c r="H1" s="3031"/>
      <c r="I1" s="3031"/>
      <c r="J1" s="3031"/>
      <c r="K1" s="3031"/>
    </row>
    <row r="2" spans="1:11" s="183" customFormat="1" ht="24" customHeight="1">
      <c r="A2" s="3031" t="str">
        <f>مفروضات!A2</f>
        <v>يادداشت هاي توضيحي صورت هاي مالي</v>
      </c>
      <c r="B2" s="3031"/>
      <c r="C2" s="3031"/>
      <c r="D2" s="3031"/>
      <c r="E2" s="3031"/>
      <c r="F2" s="3031"/>
      <c r="G2" s="3031"/>
      <c r="H2" s="3031"/>
      <c r="I2" s="3031"/>
      <c r="J2" s="3031"/>
      <c r="K2" s="3031"/>
    </row>
    <row r="3" spans="1:11" s="183" customFormat="1" ht="29.25" customHeight="1">
      <c r="A3" s="3031" t="str">
        <f>مفروضات!A3</f>
        <v xml:space="preserve"> سال مالي منتهي به 29 اسفند 1401</v>
      </c>
      <c r="B3" s="3031"/>
      <c r="C3" s="3031"/>
      <c r="D3" s="3031"/>
      <c r="E3" s="3031"/>
      <c r="F3" s="3031"/>
      <c r="G3" s="3031"/>
      <c r="H3" s="3031"/>
      <c r="I3" s="3031"/>
      <c r="J3" s="3031"/>
      <c r="K3" s="3031"/>
    </row>
    <row r="4" spans="1:11" ht="8.25" customHeight="1">
      <c r="C4" s="184"/>
      <c r="D4" s="184"/>
      <c r="E4" s="185"/>
      <c r="F4" s="185"/>
      <c r="G4" s="186"/>
      <c r="H4" s="187"/>
      <c r="I4" s="188"/>
      <c r="J4" s="187"/>
    </row>
    <row r="5" spans="1:11" ht="28.5" customHeight="1">
      <c r="C5" s="189" t="s">
        <v>1441</v>
      </c>
      <c r="D5" s="632" t="s">
        <v>1404</v>
      </c>
      <c r="E5" s="190"/>
      <c r="F5" s="190"/>
      <c r="G5" s="191"/>
      <c r="H5" s="3029" t="s">
        <v>1950</v>
      </c>
      <c r="I5" s="3029"/>
      <c r="J5" s="3029"/>
    </row>
    <row r="6" spans="1:11" ht="42" customHeight="1">
      <c r="C6" s="193"/>
      <c r="D6" s="193"/>
      <c r="E6" s="194"/>
      <c r="F6" s="194"/>
      <c r="G6" s="191"/>
      <c r="H6" s="1800">
        <v>1401</v>
      </c>
      <c r="I6" s="196"/>
      <c r="J6" s="195">
        <v>1400</v>
      </c>
    </row>
    <row r="7" spans="1:11" ht="24.75" hidden="1" customHeight="1">
      <c r="C7" s="193"/>
      <c r="D7" s="193"/>
      <c r="E7" s="194"/>
      <c r="F7" s="194"/>
      <c r="G7" s="197"/>
      <c r="H7" s="198"/>
      <c r="I7" s="196"/>
      <c r="J7" s="198"/>
    </row>
    <row r="8" spans="1:11" ht="24.75" customHeight="1">
      <c r="C8" s="193"/>
      <c r="D8" s="193"/>
      <c r="E8" s="220" t="s">
        <v>1203</v>
      </c>
      <c r="F8" s="199"/>
      <c r="G8" s="200"/>
      <c r="H8" s="177">
        <v>814614</v>
      </c>
      <c r="I8" s="201"/>
      <c r="J8" s="177">
        <v>818990</v>
      </c>
    </row>
    <row r="9" spans="1:11" ht="24.75" customHeight="1">
      <c r="C9" s="193"/>
      <c r="D9" s="193"/>
      <c r="E9" s="220" t="s">
        <v>725</v>
      </c>
      <c r="F9" s="199"/>
      <c r="G9" s="200"/>
      <c r="H9" s="157">
        <v>143101</v>
      </c>
      <c r="I9" s="202"/>
      <c r="J9" s="157">
        <v>119943</v>
      </c>
    </row>
    <row r="10" spans="1:11" ht="24.75" customHeight="1">
      <c r="C10" s="193"/>
      <c r="D10" s="193"/>
      <c r="E10" s="220" t="s">
        <v>721</v>
      </c>
      <c r="F10" s="199"/>
      <c r="G10" s="200"/>
      <c r="H10" s="177">
        <v>393890</v>
      </c>
      <c r="I10" s="202"/>
      <c r="J10" s="177">
        <v>148278</v>
      </c>
    </row>
    <row r="11" spans="1:11" ht="24.75" customHeight="1">
      <c r="C11" s="193"/>
      <c r="D11" s="193"/>
      <c r="E11" s="220" t="s">
        <v>722</v>
      </c>
      <c r="F11" s="199"/>
      <c r="G11" s="200"/>
      <c r="H11" s="157">
        <v>356540</v>
      </c>
      <c r="I11" s="201"/>
      <c r="J11" s="157">
        <v>229101</v>
      </c>
    </row>
    <row r="12" spans="1:11" ht="24.75" customHeight="1">
      <c r="C12" s="193"/>
      <c r="D12" s="193"/>
      <c r="E12" s="220" t="s">
        <v>723</v>
      </c>
      <c r="F12" s="199"/>
      <c r="G12" s="200"/>
      <c r="H12" s="177">
        <v>159407</v>
      </c>
      <c r="I12" s="202"/>
      <c r="J12" s="177">
        <v>142794</v>
      </c>
    </row>
    <row r="13" spans="1:11" ht="24.75" customHeight="1">
      <c r="C13" s="193"/>
      <c r="D13" s="193"/>
      <c r="E13" s="220" t="s">
        <v>724</v>
      </c>
      <c r="F13" s="199"/>
      <c r="G13" s="200"/>
      <c r="H13" s="157">
        <v>84887</v>
      </c>
      <c r="I13" s="202"/>
      <c r="J13" s="157">
        <v>59262</v>
      </c>
    </row>
    <row r="14" spans="1:11" s="2819" customFormat="1" ht="24.75" customHeight="1">
      <c r="A14" s="386"/>
      <c r="B14" s="353"/>
      <c r="C14" s="193"/>
      <c r="D14" s="193"/>
      <c r="E14" s="220" t="s">
        <v>2620</v>
      </c>
      <c r="F14" s="199"/>
      <c r="G14" s="200"/>
      <c r="H14" s="157">
        <v>150061</v>
      </c>
      <c r="I14" s="202"/>
      <c r="J14" s="157">
        <v>56650</v>
      </c>
    </row>
    <row r="15" spans="1:11" s="2819" customFormat="1" ht="24.75" customHeight="1">
      <c r="A15" s="386"/>
      <c r="B15" s="353"/>
      <c r="C15" s="193"/>
      <c r="D15" s="193"/>
      <c r="E15" s="220" t="s">
        <v>2621</v>
      </c>
      <c r="F15" s="199"/>
      <c r="G15" s="200"/>
      <c r="H15" s="157">
        <v>141447</v>
      </c>
      <c r="I15" s="202"/>
      <c r="J15" s="157">
        <v>66034</v>
      </c>
    </row>
    <row r="16" spans="1:11" s="2819" customFormat="1" ht="24.75" customHeight="1">
      <c r="A16" s="386"/>
      <c r="B16" s="353"/>
      <c r="C16" s="193"/>
      <c r="D16" s="193"/>
      <c r="E16" s="220" t="s">
        <v>2622</v>
      </c>
      <c r="F16" s="199"/>
      <c r="G16" s="200"/>
      <c r="H16" s="157">
        <v>113633</v>
      </c>
      <c r="I16" s="202"/>
      <c r="J16" s="157">
        <v>78698</v>
      </c>
    </row>
    <row r="17" spans="1:16" ht="24.75" customHeight="1">
      <c r="C17" s="1028"/>
      <c r="D17" s="193"/>
      <c r="E17" s="220" t="s">
        <v>674</v>
      </c>
      <c r="F17" s="199"/>
      <c r="G17" s="200"/>
      <c r="H17" s="1347">
        <v>562639</v>
      </c>
      <c r="I17" s="202"/>
      <c r="J17" s="1347">
        <v>423231</v>
      </c>
    </row>
    <row r="18" spans="1:16" ht="24.75" customHeight="1">
      <c r="C18" s="193"/>
      <c r="D18" s="193"/>
      <c r="E18" s="200"/>
      <c r="F18" s="204"/>
      <c r="G18" s="194"/>
      <c r="H18" s="157">
        <f>H20-H19</f>
        <v>2920219</v>
      </c>
      <c r="I18" s="157">
        <f>SUM(I8:I17)</f>
        <v>0</v>
      </c>
      <c r="J18" s="157">
        <f>SUM(J8:J17)</f>
        <v>2142981</v>
      </c>
    </row>
    <row r="19" spans="1:16" ht="24.75" customHeight="1">
      <c r="C19" s="193"/>
      <c r="D19" s="193"/>
      <c r="E19" s="213" t="s">
        <v>1558</v>
      </c>
      <c r="F19" s="199"/>
      <c r="G19" s="200"/>
      <c r="H19" s="157">
        <f>-'11'!T20</f>
        <v>-150808</v>
      </c>
      <c r="I19" s="2127"/>
      <c r="J19" s="157">
        <f>-'11'!Z20</f>
        <v>-87109</v>
      </c>
    </row>
    <row r="20" spans="1:16" ht="26.25" customHeight="1" thickBot="1">
      <c r="C20" s="193"/>
      <c r="D20" s="193"/>
      <c r="E20" s="206"/>
      <c r="F20" s="206"/>
      <c r="G20" s="194"/>
      <c r="H20" s="207">
        <f>'11'!H20</f>
        <v>2769411</v>
      </c>
      <c r="I20" s="157">
        <f>'11'!I20</f>
        <v>0</v>
      </c>
      <c r="J20" s="207">
        <f>SUM(J18:J19)</f>
        <v>2055872</v>
      </c>
    </row>
    <row r="21" spans="1:16" s="1572" customFormat="1" ht="26.25" customHeight="1" thickTop="1">
      <c r="A21" s="761" t="s">
        <v>2183</v>
      </c>
      <c r="B21" s="353"/>
      <c r="C21" s="189" t="s">
        <v>2690</v>
      </c>
      <c r="D21" s="193" t="s">
        <v>2691</v>
      </c>
      <c r="E21" s="206"/>
      <c r="F21" s="206"/>
      <c r="G21" s="194"/>
      <c r="H21" s="157"/>
      <c r="I21" s="205"/>
      <c r="J21" s="157"/>
    </row>
    <row r="22" spans="1:16" ht="27.75" customHeight="1">
      <c r="C22" s="1573"/>
      <c r="D22" s="917"/>
      <c r="E22" s="3035"/>
      <c r="F22" s="3036"/>
      <c r="G22" s="3036"/>
      <c r="H22" s="3036"/>
      <c r="I22" s="3036"/>
      <c r="J22" s="3036"/>
      <c r="K22" s="3036"/>
    </row>
    <row r="23" spans="1:16" ht="27" customHeight="1">
      <c r="C23" s="189" t="s">
        <v>2092</v>
      </c>
      <c r="D23" s="632" t="s">
        <v>1405</v>
      </c>
      <c r="E23" s="208"/>
      <c r="F23" s="208"/>
      <c r="G23" s="197"/>
      <c r="H23" s="3029" t="s">
        <v>1950</v>
      </c>
      <c r="I23" s="3029"/>
      <c r="J23" s="3029"/>
    </row>
    <row r="24" spans="1:16" ht="40.5" customHeight="1">
      <c r="C24" s="193"/>
      <c r="D24" s="193"/>
      <c r="E24" s="200"/>
      <c r="F24" s="200"/>
      <c r="G24" s="191"/>
      <c r="H24" s="195">
        <v>1401</v>
      </c>
      <c r="I24" s="196"/>
      <c r="J24" s="195">
        <v>1400</v>
      </c>
    </row>
    <row r="25" spans="1:16" ht="22.5" hidden="1" customHeight="1">
      <c r="C25" s="193"/>
      <c r="D25" s="193"/>
      <c r="E25" s="209"/>
      <c r="F25" s="209"/>
      <c r="G25" s="197"/>
      <c r="H25" s="198"/>
      <c r="I25" s="196"/>
      <c r="J25" s="198"/>
    </row>
    <row r="26" spans="1:16" ht="22.5" customHeight="1">
      <c r="C26" s="193"/>
      <c r="D26" s="193"/>
      <c r="E26" s="220" t="s">
        <v>1311</v>
      </c>
      <c r="F26" s="199"/>
      <c r="G26" s="200"/>
      <c r="H26" s="177">
        <v>9029303</v>
      </c>
      <c r="I26" s="202"/>
      <c r="J26" s="177">
        <v>6530590</v>
      </c>
    </row>
    <row r="27" spans="1:16" ht="22.5" customHeight="1">
      <c r="C27" s="1091"/>
      <c r="D27" s="193"/>
      <c r="E27" s="220" t="s">
        <v>2498</v>
      </c>
      <c r="F27" s="199"/>
      <c r="G27" s="200"/>
      <c r="H27" s="177">
        <v>1374253</v>
      </c>
      <c r="I27" s="202"/>
      <c r="J27" s="177">
        <v>1055570</v>
      </c>
    </row>
    <row r="28" spans="1:16" ht="22.5" customHeight="1">
      <c r="C28" s="193"/>
      <c r="D28" s="193"/>
      <c r="E28" s="220" t="s">
        <v>1312</v>
      </c>
      <c r="F28" s="199"/>
      <c r="G28" s="197"/>
      <c r="H28" s="177">
        <v>2816135</v>
      </c>
      <c r="I28" s="210"/>
      <c r="J28" s="177">
        <v>2185172</v>
      </c>
    </row>
    <row r="29" spans="1:16" ht="22.5" customHeight="1">
      <c r="C29" s="193"/>
      <c r="D29" s="193"/>
      <c r="E29" s="220" t="s">
        <v>719</v>
      </c>
      <c r="F29" s="199"/>
      <c r="G29" s="200"/>
      <c r="H29" s="157">
        <v>0</v>
      </c>
      <c r="I29" s="202"/>
      <c r="J29" s="157">
        <v>503</v>
      </c>
    </row>
    <row r="30" spans="1:16" ht="22.5" customHeight="1">
      <c r="C30" s="193"/>
      <c r="D30" s="193"/>
      <c r="E30" s="220" t="s">
        <v>1313</v>
      </c>
      <c r="F30" s="199"/>
      <c r="G30" s="197"/>
      <c r="H30" s="157">
        <v>160474</v>
      </c>
      <c r="I30" s="210"/>
      <c r="J30" s="157">
        <v>74346</v>
      </c>
    </row>
    <row r="31" spans="1:16" ht="22.5" customHeight="1">
      <c r="C31" s="193"/>
      <c r="D31" s="193"/>
      <c r="E31" s="220" t="s">
        <v>1314</v>
      </c>
      <c r="F31" s="199"/>
      <c r="G31" s="200"/>
      <c r="H31" s="157">
        <v>167926</v>
      </c>
      <c r="I31" s="202"/>
      <c r="J31" s="157">
        <v>32481</v>
      </c>
      <c r="N31" s="386"/>
      <c r="O31" s="386"/>
      <c r="P31" s="386"/>
    </row>
    <row r="32" spans="1:16" ht="22.5" customHeight="1">
      <c r="C32" s="193"/>
      <c r="D32" s="193"/>
      <c r="E32" s="220" t="s">
        <v>674</v>
      </c>
      <c r="F32" s="199"/>
      <c r="G32" s="200"/>
      <c r="H32" s="203">
        <v>71623</v>
      </c>
      <c r="I32" s="202"/>
      <c r="J32" s="203">
        <v>61770</v>
      </c>
      <c r="N32" s="386"/>
      <c r="O32" s="386"/>
      <c r="P32" s="386"/>
    </row>
    <row r="33" spans="1:35" ht="22.5" customHeight="1">
      <c r="C33" s="193"/>
      <c r="D33" s="193"/>
      <c r="E33" s="199"/>
      <c r="F33" s="199"/>
      <c r="G33" s="197"/>
      <c r="H33" s="157">
        <f>H35-H34</f>
        <v>13619714</v>
      </c>
      <c r="I33" s="157">
        <f>I35-I34</f>
        <v>0</v>
      </c>
      <c r="J33" s="157">
        <f>SUM(J26:J32)</f>
        <v>9940432</v>
      </c>
    </row>
    <row r="34" spans="1:35" ht="22.5" customHeight="1">
      <c r="C34" s="193"/>
      <c r="D34" s="193"/>
      <c r="E34" s="213" t="s">
        <v>1558</v>
      </c>
      <c r="F34" s="199"/>
      <c r="G34" s="200"/>
      <c r="H34" s="157">
        <f>-'11'!T22</f>
        <v>-1681977</v>
      </c>
      <c r="I34" s="202"/>
      <c r="J34" s="157">
        <v>-1348834</v>
      </c>
    </row>
    <row r="35" spans="1:35" ht="22.5" customHeight="1" thickBot="1">
      <c r="C35" s="193"/>
      <c r="D35" s="193"/>
      <c r="E35" s="206"/>
      <c r="F35" s="206"/>
      <c r="G35" s="194"/>
      <c r="H35" s="207">
        <f>'11'!H22</f>
        <v>11937737</v>
      </c>
      <c r="I35" s="205"/>
      <c r="J35" s="916">
        <f>SUM(J33:J34)</f>
        <v>8591598</v>
      </c>
    </row>
    <row r="36" spans="1:35" ht="22.5" customHeight="1" thickTop="1">
      <c r="C36" s="193"/>
      <c r="D36" s="1032"/>
      <c r="E36" s="206"/>
      <c r="F36" s="206"/>
      <c r="G36" s="194"/>
      <c r="H36" s="157"/>
      <c r="I36" s="205"/>
      <c r="J36" s="157"/>
    </row>
    <row r="37" spans="1:35" s="167" customFormat="1" ht="386.25" customHeight="1">
      <c r="A37" s="1814"/>
      <c r="B37" s="908"/>
      <c r="C37" s="917" t="s">
        <v>2093</v>
      </c>
      <c r="D37" s="3034" t="s">
        <v>2590</v>
      </c>
      <c r="E37" s="3034"/>
      <c r="F37" s="3034"/>
      <c r="G37" s="3034"/>
      <c r="H37" s="3034"/>
      <c r="I37" s="3034"/>
      <c r="J37" s="3034"/>
      <c r="K37" s="211"/>
      <c r="L37" s="211"/>
      <c r="M37" s="211"/>
      <c r="N37" s="211"/>
      <c r="O37" s="211"/>
      <c r="P37" s="211"/>
      <c r="Q37" s="211"/>
      <c r="R37" s="211"/>
      <c r="S37" s="211"/>
      <c r="T37" s="211"/>
      <c r="U37" s="211"/>
      <c r="V37" s="211"/>
      <c r="W37" s="166"/>
      <c r="X37" s="166"/>
      <c r="Y37" s="166"/>
      <c r="Z37" s="166"/>
      <c r="AA37" s="166"/>
      <c r="AB37" s="166"/>
      <c r="AC37" s="166"/>
      <c r="AD37" s="166"/>
      <c r="AE37" s="166"/>
      <c r="AF37" s="166"/>
      <c r="AG37" s="166"/>
      <c r="AH37" s="166"/>
      <c r="AI37" s="166"/>
    </row>
    <row r="38" spans="1:35" ht="30" customHeight="1">
      <c r="C38" s="189" t="s">
        <v>2094</v>
      </c>
      <c r="D38" s="632" t="s">
        <v>1421</v>
      </c>
      <c r="G38" s="197"/>
      <c r="H38" s="3029" t="s">
        <v>1950</v>
      </c>
      <c r="I38" s="3029"/>
      <c r="J38" s="3029"/>
    </row>
    <row r="39" spans="1:35" ht="49.5" customHeight="1">
      <c r="C39" s="193"/>
      <c r="D39" s="193"/>
      <c r="E39" s="200"/>
      <c r="F39" s="200"/>
      <c r="G39" s="191"/>
      <c r="H39" s="195">
        <f>H6</f>
        <v>1401</v>
      </c>
      <c r="I39" s="196"/>
      <c r="J39" s="195">
        <f>J6</f>
        <v>1400</v>
      </c>
    </row>
    <row r="40" spans="1:35" ht="21.75" hidden="1" customHeight="1">
      <c r="C40" s="193"/>
      <c r="D40" s="193"/>
      <c r="E40" s="209"/>
      <c r="F40" s="209"/>
      <c r="G40" s="197"/>
      <c r="H40" s="198"/>
      <c r="I40" s="196"/>
      <c r="J40" s="198"/>
    </row>
    <row r="41" spans="1:35" ht="24" customHeight="1">
      <c r="C41" s="193"/>
      <c r="D41" s="193"/>
      <c r="E41" s="214" t="s">
        <v>1047</v>
      </c>
      <c r="F41" s="214"/>
      <c r="G41" s="215"/>
      <c r="H41" s="177">
        <v>5218281</v>
      </c>
      <c r="I41" s="202"/>
      <c r="J41" s="177">
        <v>3110203</v>
      </c>
    </row>
    <row r="42" spans="1:35" ht="21.75" customHeight="1">
      <c r="C42" s="193"/>
      <c r="D42" s="193"/>
      <c r="E42" s="214" t="s">
        <v>1046</v>
      </c>
      <c r="F42" s="214"/>
      <c r="G42" s="215"/>
      <c r="H42" s="177">
        <v>2894353</v>
      </c>
      <c r="I42" s="202"/>
      <c r="J42" s="177">
        <v>1845499</v>
      </c>
    </row>
    <row r="43" spans="1:35" ht="21.75" customHeight="1">
      <c r="C43" s="193"/>
      <c r="D43" s="193"/>
      <c r="E43" s="214" t="s">
        <v>1048</v>
      </c>
      <c r="F43" s="214"/>
      <c r="G43" s="215"/>
      <c r="H43" s="177">
        <v>1811807</v>
      </c>
      <c r="I43" s="202"/>
      <c r="J43" s="177">
        <v>1212876</v>
      </c>
    </row>
    <row r="44" spans="1:35" ht="21.75" customHeight="1">
      <c r="C44" s="193"/>
      <c r="D44" s="193"/>
      <c r="E44" s="214" t="s">
        <v>720</v>
      </c>
      <c r="F44" s="214"/>
      <c r="G44" s="197"/>
      <c r="H44" s="177">
        <v>2391409</v>
      </c>
      <c r="I44" s="210"/>
      <c r="J44" s="177">
        <v>1293520</v>
      </c>
    </row>
    <row r="45" spans="1:35" s="2819" customFormat="1" ht="21.75" customHeight="1">
      <c r="A45" s="386"/>
      <c r="B45" s="353"/>
      <c r="C45" s="193"/>
      <c r="D45" s="193"/>
      <c r="E45" s="214" t="s">
        <v>2623</v>
      </c>
      <c r="F45" s="214"/>
      <c r="G45" s="197"/>
      <c r="H45" s="177">
        <v>1459597</v>
      </c>
      <c r="I45" s="210"/>
      <c r="J45" s="177">
        <v>945990</v>
      </c>
    </row>
    <row r="46" spans="1:35" s="2819" customFormat="1" ht="21.75" customHeight="1">
      <c r="A46" s="386"/>
      <c r="B46" s="353"/>
      <c r="C46" s="193"/>
      <c r="D46" s="193"/>
      <c r="E46" s="214" t="s">
        <v>2624</v>
      </c>
      <c r="F46" s="214"/>
      <c r="G46" s="197"/>
      <c r="H46" s="177">
        <v>512550</v>
      </c>
      <c r="I46" s="210"/>
      <c r="J46" s="177">
        <v>317238</v>
      </c>
    </row>
    <row r="47" spans="1:35" ht="21.75" customHeight="1">
      <c r="C47" s="193"/>
      <c r="D47" s="193"/>
      <c r="E47" s="214" t="s">
        <v>1776</v>
      </c>
      <c r="F47" s="214"/>
      <c r="G47" s="215"/>
      <c r="H47" s="177">
        <v>755778</v>
      </c>
      <c r="I47" s="210"/>
      <c r="J47" s="177">
        <v>501892</v>
      </c>
    </row>
    <row r="48" spans="1:35" ht="21.75" customHeight="1">
      <c r="C48" s="193"/>
      <c r="D48" s="193"/>
      <c r="E48" s="214" t="s">
        <v>674</v>
      </c>
      <c r="F48" s="214"/>
      <c r="G48" s="215"/>
      <c r="H48" s="1347">
        <v>205215</v>
      </c>
      <c r="I48" s="2127"/>
      <c r="J48" s="1347">
        <v>104628</v>
      </c>
    </row>
    <row r="49" spans="1:35" ht="21.75" customHeight="1">
      <c r="C49" s="193"/>
      <c r="D49" s="193"/>
      <c r="E49" s="214"/>
      <c r="F49" s="214"/>
      <c r="G49" s="197"/>
      <c r="H49" s="161">
        <f>H51-H50</f>
        <v>15248990</v>
      </c>
      <c r="I49" s="157">
        <f>SUM(I41:I48)</f>
        <v>0</v>
      </c>
      <c r="J49" s="161">
        <f>SUM(J41:J48)</f>
        <v>9331846</v>
      </c>
    </row>
    <row r="50" spans="1:35" ht="21.75" customHeight="1">
      <c r="C50" s="193"/>
      <c r="D50" s="193"/>
      <c r="E50" s="213" t="s">
        <v>1558</v>
      </c>
      <c r="F50" s="214"/>
      <c r="G50" s="215"/>
      <c r="H50" s="157">
        <f>-'11'!T24</f>
        <v>-1352047</v>
      </c>
      <c r="I50" s="2127"/>
      <c r="J50" s="157">
        <v>-638003</v>
      </c>
    </row>
    <row r="51" spans="1:35" ht="21.75" customHeight="1" thickBot="1">
      <c r="C51" s="193"/>
      <c r="D51" s="193"/>
      <c r="E51" s="197"/>
      <c r="F51" s="197"/>
      <c r="G51" s="194"/>
      <c r="H51" s="207">
        <f>'11'!H24</f>
        <v>13896943</v>
      </c>
      <c r="I51" s="157">
        <f>'11'!I24</f>
        <v>0</v>
      </c>
      <c r="J51" s="207">
        <f>SUM(J49:J50)</f>
        <v>8693843</v>
      </c>
    </row>
    <row r="52" spans="1:35" ht="24" customHeight="1" thickTop="1">
      <c r="C52" s="193"/>
      <c r="D52" s="193"/>
      <c r="E52" s="197"/>
      <c r="F52" s="197"/>
      <c r="G52" s="194"/>
      <c r="H52" s="157"/>
      <c r="I52" s="205"/>
      <c r="J52" s="157"/>
    </row>
    <row r="53" spans="1:35" s="167" customFormat="1" ht="74.25" customHeight="1">
      <c r="A53" s="1814"/>
      <c r="B53" s="908"/>
      <c r="D53" s="216" t="s">
        <v>2095</v>
      </c>
      <c r="E53" s="3030" t="s">
        <v>2628</v>
      </c>
      <c r="F53" s="3030"/>
      <c r="G53" s="3030"/>
      <c r="H53" s="3030"/>
      <c r="I53" s="3030"/>
      <c r="J53" s="3030"/>
      <c r="K53" s="211"/>
      <c r="L53" s="211"/>
      <c r="M53" s="211"/>
      <c r="N53" s="211"/>
      <c r="O53" s="211"/>
      <c r="P53" s="211"/>
      <c r="Q53" s="211"/>
      <c r="R53" s="211"/>
      <c r="S53" s="211"/>
      <c r="T53" s="211"/>
      <c r="U53" s="211"/>
      <c r="V53" s="211"/>
      <c r="W53" s="166"/>
      <c r="X53" s="166"/>
      <c r="Y53" s="166"/>
      <c r="Z53" s="166"/>
      <c r="AA53" s="166"/>
      <c r="AB53" s="166"/>
      <c r="AC53" s="166"/>
      <c r="AD53" s="166"/>
      <c r="AE53" s="166"/>
      <c r="AF53" s="166"/>
      <c r="AG53" s="166"/>
      <c r="AH53" s="166"/>
      <c r="AI53" s="166"/>
    </row>
    <row r="54" spans="1:35" s="167" customFormat="1" ht="15" customHeight="1">
      <c r="A54" s="1814"/>
      <c r="B54" s="908"/>
      <c r="D54" s="216"/>
      <c r="E54" s="1403"/>
      <c r="F54" s="1403"/>
      <c r="G54" s="1403"/>
      <c r="H54" s="1403"/>
      <c r="I54" s="1403"/>
      <c r="J54" s="1403"/>
      <c r="K54" s="211"/>
      <c r="L54" s="211"/>
      <c r="M54" s="211"/>
      <c r="N54" s="211"/>
      <c r="O54" s="211"/>
      <c r="P54" s="211"/>
      <c r="Q54" s="211"/>
      <c r="R54" s="211"/>
      <c r="S54" s="211"/>
      <c r="T54" s="211"/>
      <c r="U54" s="211"/>
      <c r="V54" s="211"/>
      <c r="W54" s="166"/>
      <c r="X54" s="166"/>
      <c r="Y54" s="166"/>
      <c r="Z54" s="166"/>
      <c r="AA54" s="166"/>
      <c r="AB54" s="166"/>
      <c r="AC54" s="166"/>
      <c r="AD54" s="166"/>
      <c r="AE54" s="166"/>
      <c r="AF54" s="166"/>
      <c r="AG54" s="166"/>
      <c r="AH54" s="166"/>
      <c r="AI54" s="166"/>
    </row>
    <row r="55" spans="1:35" s="218" customFormat="1" ht="120.75" customHeight="1">
      <c r="A55" s="1815"/>
      <c r="B55" s="909"/>
      <c r="C55" s="3021">
        <v>12</v>
      </c>
      <c r="D55" s="3021"/>
      <c r="E55" s="3021"/>
      <c r="F55" s="3021"/>
      <c r="G55" s="3021"/>
      <c r="H55" s="3021"/>
      <c r="I55" s="3021"/>
      <c r="J55" s="3021"/>
    </row>
    <row r="56" spans="1:35" s="183" customFormat="1" ht="28.5" customHeight="1">
      <c r="A56" s="3031" t="s">
        <v>612</v>
      </c>
      <c r="B56" s="3031"/>
      <c r="C56" s="3031"/>
      <c r="D56" s="3031"/>
      <c r="E56" s="3031"/>
      <c r="F56" s="3031"/>
      <c r="G56" s="3031"/>
      <c r="H56" s="3031"/>
      <c r="I56" s="3031"/>
      <c r="J56" s="3031"/>
      <c r="K56" s="3031"/>
    </row>
    <row r="57" spans="1:35" s="183" customFormat="1" ht="27" customHeight="1">
      <c r="A57" s="3031" t="str">
        <f>مفروضات!A2</f>
        <v>يادداشت هاي توضيحي صورت هاي مالي</v>
      </c>
      <c r="B57" s="3031"/>
      <c r="C57" s="3031"/>
      <c r="D57" s="3031"/>
      <c r="E57" s="3031"/>
      <c r="F57" s="3031"/>
      <c r="G57" s="3031"/>
      <c r="H57" s="3031"/>
      <c r="I57" s="3031"/>
      <c r="J57" s="3031"/>
      <c r="K57" s="3031"/>
    </row>
    <row r="58" spans="1:35" s="183" customFormat="1" ht="32.25" customHeight="1">
      <c r="A58" s="3031" t="str">
        <f>A3</f>
        <v xml:space="preserve"> سال مالي منتهي به 29 اسفند 1401</v>
      </c>
      <c r="B58" s="3031"/>
      <c r="C58" s="3031"/>
      <c r="D58" s="3031"/>
      <c r="E58" s="3031"/>
      <c r="F58" s="3031"/>
      <c r="G58" s="3031"/>
      <c r="H58" s="3031"/>
      <c r="I58" s="3031"/>
      <c r="J58" s="3031"/>
      <c r="K58" s="3031"/>
    </row>
    <row r="59" spans="1:35" ht="50.25" customHeight="1">
      <c r="C59" s="2044" t="s">
        <v>2096</v>
      </c>
      <c r="D59" s="2045" t="s">
        <v>1517</v>
      </c>
      <c r="E59" s="2046"/>
      <c r="G59" s="197"/>
      <c r="H59" s="3029" t="s">
        <v>1950</v>
      </c>
      <c r="I59" s="3029"/>
      <c r="J59" s="3029"/>
    </row>
    <row r="60" spans="1:35" ht="24.75" customHeight="1">
      <c r="C60" s="193"/>
      <c r="D60" s="193"/>
      <c r="E60" s="200"/>
      <c r="F60" s="200"/>
      <c r="G60" s="191"/>
      <c r="H60" s="195">
        <v>1401</v>
      </c>
      <c r="I60" s="196"/>
      <c r="J60" s="195">
        <f>مفروضات!C14</f>
        <v>1400</v>
      </c>
    </row>
    <row r="61" spans="1:35" ht="30" hidden="1" customHeight="1">
      <c r="C61" s="193"/>
      <c r="D61" s="193"/>
      <c r="E61" s="204"/>
      <c r="F61" s="204"/>
      <c r="G61" s="197"/>
      <c r="H61" s="198"/>
      <c r="I61" s="196"/>
      <c r="J61" s="198"/>
    </row>
    <row r="62" spans="1:35" ht="33.75" customHeight="1">
      <c r="C62" s="193"/>
      <c r="D62" s="193"/>
      <c r="E62" s="220" t="s">
        <v>1495</v>
      </c>
      <c r="F62" s="220"/>
      <c r="G62" s="200"/>
      <c r="H62" s="177">
        <v>6450</v>
      </c>
      <c r="I62" s="202"/>
      <c r="J62" s="177">
        <v>32246</v>
      </c>
    </row>
    <row r="63" spans="1:35" ht="25.5" customHeight="1">
      <c r="C63" s="193"/>
      <c r="D63" s="193"/>
      <c r="E63" s="220" t="s">
        <v>2343</v>
      </c>
      <c r="F63" s="220"/>
      <c r="G63" s="200"/>
      <c r="H63" s="177">
        <v>80022</v>
      </c>
      <c r="I63" s="202"/>
      <c r="J63" s="177">
        <v>52148</v>
      </c>
    </row>
    <row r="64" spans="1:35" ht="30" customHeight="1">
      <c r="C64" s="193"/>
      <c r="D64" s="193"/>
      <c r="E64" s="220" t="s">
        <v>1496</v>
      </c>
      <c r="F64" s="220"/>
      <c r="G64" s="200"/>
      <c r="H64" s="177">
        <v>139719</v>
      </c>
      <c r="I64" s="202"/>
      <c r="J64" s="177">
        <v>62599</v>
      </c>
    </row>
    <row r="65" spans="1:10" s="2307" customFormat="1" ht="30" customHeight="1">
      <c r="A65" s="386"/>
      <c r="B65" s="353"/>
      <c r="C65" s="193"/>
      <c r="D65" s="193"/>
      <c r="E65" s="220" t="s">
        <v>2237</v>
      </c>
      <c r="F65" s="220"/>
      <c r="G65" s="200"/>
      <c r="H65" s="177">
        <v>125911</v>
      </c>
      <c r="I65" s="202"/>
      <c r="J65" s="177">
        <v>6712</v>
      </c>
    </row>
    <row r="66" spans="1:10" ht="24.75" customHeight="1">
      <c r="C66" s="193"/>
      <c r="D66" s="193"/>
      <c r="E66" s="220" t="s">
        <v>2345</v>
      </c>
      <c r="F66" s="220"/>
      <c r="G66" s="200"/>
      <c r="H66" s="1347">
        <v>765591</v>
      </c>
      <c r="I66" s="202"/>
      <c r="J66" s="1347">
        <v>144706</v>
      </c>
    </row>
    <row r="67" spans="1:10" ht="26.25" customHeight="1">
      <c r="C67" s="193"/>
      <c r="D67" s="193"/>
      <c r="E67" s="204"/>
      <c r="F67" s="204"/>
      <c r="G67" s="197"/>
      <c r="H67" s="161">
        <f>'11'!H26+'11'!T26</f>
        <v>1117693</v>
      </c>
      <c r="I67" s="205"/>
      <c r="J67" s="161">
        <f>SUM(J62:J66)</f>
        <v>298411</v>
      </c>
    </row>
    <row r="68" spans="1:10" ht="30" customHeight="1">
      <c r="C68" s="193"/>
      <c r="D68" s="193"/>
      <c r="E68" s="213" t="s">
        <v>1558</v>
      </c>
      <c r="F68" s="213"/>
      <c r="G68" s="197"/>
      <c r="H68" s="157">
        <f>-'11'!T26</f>
        <v>-239537</v>
      </c>
      <c r="I68" s="210"/>
      <c r="J68" s="157">
        <v>-56894</v>
      </c>
    </row>
    <row r="69" spans="1:10" ht="30" customHeight="1" thickBot="1">
      <c r="C69" s="193"/>
      <c r="D69" s="193"/>
      <c r="E69" s="221"/>
      <c r="F69" s="221"/>
      <c r="G69" s="197"/>
      <c r="H69" s="207">
        <f>'11'!H26</f>
        <v>878156</v>
      </c>
      <c r="I69" s="205"/>
      <c r="J69" s="207">
        <f>SUM(J67:J68)</f>
        <v>241517</v>
      </c>
    </row>
    <row r="70" spans="1:10" ht="29.25" customHeight="1" thickTop="1">
      <c r="C70" s="189" t="s">
        <v>2097</v>
      </c>
      <c r="D70" s="860" t="s">
        <v>1497</v>
      </c>
      <c r="E70" s="222"/>
      <c r="F70" s="222"/>
      <c r="G70" s="197"/>
      <c r="H70" s="205"/>
      <c r="I70" s="205"/>
      <c r="J70" s="2118"/>
    </row>
    <row r="71" spans="1:10" ht="38.25" customHeight="1">
      <c r="C71" s="193"/>
      <c r="D71" s="193"/>
      <c r="E71" s="200"/>
      <c r="F71" s="200"/>
      <c r="G71" s="191"/>
      <c r="H71" s="3029" t="s">
        <v>1950</v>
      </c>
      <c r="I71" s="3029"/>
      <c r="J71" s="3029"/>
    </row>
    <row r="72" spans="1:10" ht="30.75" customHeight="1">
      <c r="C72" s="193"/>
      <c r="D72" s="193"/>
      <c r="E72" s="209"/>
      <c r="F72" s="209"/>
      <c r="G72" s="197"/>
      <c r="H72" s="195">
        <v>1401</v>
      </c>
      <c r="I72" s="196"/>
      <c r="J72" s="195">
        <v>1400</v>
      </c>
    </row>
    <row r="73" spans="1:10" ht="32.25" customHeight="1">
      <c r="C73" s="193"/>
      <c r="D73" s="193"/>
      <c r="E73" s="220" t="s">
        <v>727</v>
      </c>
      <c r="F73" s="214"/>
      <c r="G73" s="197"/>
      <c r="H73" s="177">
        <v>4802605</v>
      </c>
      <c r="I73" s="210"/>
      <c r="J73" s="177">
        <v>1663264</v>
      </c>
    </row>
    <row r="74" spans="1:10" ht="32.25" customHeight="1">
      <c r="C74" s="193"/>
      <c r="D74" s="193"/>
      <c r="E74" s="220" t="s">
        <v>726</v>
      </c>
      <c r="F74" s="214"/>
      <c r="G74" s="197"/>
      <c r="H74" s="177">
        <v>1364143</v>
      </c>
      <c r="I74" s="210"/>
      <c r="J74" s="177">
        <v>851008</v>
      </c>
    </row>
    <row r="75" spans="1:10" ht="32.25" customHeight="1">
      <c r="C75" s="193"/>
      <c r="D75" s="193"/>
      <c r="E75" s="220" t="s">
        <v>2344</v>
      </c>
      <c r="F75" s="214"/>
      <c r="G75" s="197"/>
      <c r="H75" s="177">
        <v>1937389</v>
      </c>
      <c r="I75" s="210"/>
      <c r="J75" s="177">
        <v>1433612</v>
      </c>
    </row>
    <row r="76" spans="1:10" ht="32.25" customHeight="1">
      <c r="C76" s="193"/>
      <c r="D76" s="193"/>
      <c r="E76" s="220" t="s">
        <v>2625</v>
      </c>
      <c r="F76" s="214"/>
      <c r="G76" s="215"/>
      <c r="H76" s="177">
        <f>223178+302818</f>
        <v>525996</v>
      </c>
      <c r="I76" s="202"/>
      <c r="J76" s="177">
        <f>345979+179034</f>
        <v>525013</v>
      </c>
    </row>
    <row r="77" spans="1:10" s="2819" customFormat="1" ht="32.25" customHeight="1">
      <c r="A77" s="386"/>
      <c r="B77" s="353"/>
      <c r="C77" s="193"/>
      <c r="D77" s="193"/>
      <c r="E77" s="220" t="s">
        <v>2626</v>
      </c>
      <c r="F77" s="214"/>
      <c r="G77" s="215"/>
      <c r="H77" s="177">
        <v>441543</v>
      </c>
      <c r="I77" s="202"/>
      <c r="J77" s="177">
        <v>417176</v>
      </c>
    </row>
    <row r="78" spans="1:10" s="2819" customFormat="1" ht="32.25" customHeight="1">
      <c r="A78" s="386"/>
      <c r="B78" s="353"/>
      <c r="C78" s="193"/>
      <c r="D78" s="193"/>
      <c r="E78" s="220" t="s">
        <v>2627</v>
      </c>
      <c r="F78" s="214"/>
      <c r="G78" s="215"/>
      <c r="H78" s="177">
        <v>363820</v>
      </c>
      <c r="I78" s="202"/>
      <c r="J78" s="177">
        <v>245518</v>
      </c>
    </row>
    <row r="79" spans="1:10" ht="26.25" customHeight="1">
      <c r="C79" s="193"/>
      <c r="D79" s="193"/>
      <c r="E79" s="220" t="s">
        <v>673</v>
      </c>
      <c r="F79" s="214"/>
      <c r="G79" s="197"/>
      <c r="H79" s="1347">
        <v>717478</v>
      </c>
      <c r="I79" s="210"/>
      <c r="J79" s="1347">
        <v>183008</v>
      </c>
    </row>
    <row r="80" spans="1:10" ht="29.25" customHeight="1">
      <c r="C80" s="193"/>
      <c r="D80" s="193"/>
      <c r="E80" s="214"/>
      <c r="F80" s="214"/>
      <c r="G80" s="197"/>
      <c r="H80" s="161">
        <f>'11'!H27+'11'!T27</f>
        <v>10152974</v>
      </c>
      <c r="I80" s="205"/>
      <c r="J80" s="161">
        <f>SUM(J73:J79)</f>
        <v>5318599</v>
      </c>
    </row>
    <row r="81" spans="1:10" ht="29.25" customHeight="1">
      <c r="C81" s="193"/>
      <c r="D81" s="193"/>
      <c r="E81" s="213" t="s">
        <v>1558</v>
      </c>
      <c r="F81" s="214"/>
      <c r="G81" s="197"/>
      <c r="H81" s="157">
        <f>-'11'!T27</f>
        <v>-901648</v>
      </c>
      <c r="I81" s="210"/>
      <c r="J81" s="157">
        <v>-630745</v>
      </c>
    </row>
    <row r="82" spans="1:10" ht="29.25" customHeight="1" thickBot="1">
      <c r="C82" s="193"/>
      <c r="D82" s="193"/>
      <c r="E82" s="224"/>
      <c r="F82" s="224"/>
      <c r="G82" s="197"/>
      <c r="H82" s="207">
        <f>'11'!H27</f>
        <v>9251326</v>
      </c>
      <c r="I82" s="205"/>
      <c r="J82" s="207">
        <f>SUM(J80:J81)</f>
        <v>4687854</v>
      </c>
    </row>
    <row r="83" spans="1:10" ht="19.5" customHeight="1" thickTop="1">
      <c r="C83" s="193"/>
      <c r="D83" s="193"/>
      <c r="E83" s="221"/>
      <c r="F83" s="221"/>
      <c r="G83" s="197"/>
      <c r="H83" s="205"/>
      <c r="I83" s="205"/>
      <c r="J83" s="205"/>
    </row>
    <row r="84" spans="1:10" ht="30.75" customHeight="1">
      <c r="C84" s="1816"/>
      <c r="D84" s="1817" t="s">
        <v>2100</v>
      </c>
      <c r="E84" s="1818" t="s">
        <v>2692</v>
      </c>
      <c r="F84" s="200"/>
      <c r="G84" s="197"/>
      <c r="H84" s="192"/>
      <c r="I84" s="212"/>
      <c r="J84" s="192"/>
    </row>
    <row r="85" spans="1:10" ht="33.75">
      <c r="C85" s="863" t="s">
        <v>2098</v>
      </c>
      <c r="D85" s="219" t="s">
        <v>1518</v>
      </c>
      <c r="E85" s="222"/>
      <c r="F85" s="222"/>
      <c r="G85" s="197"/>
      <c r="H85" s="3029" t="s">
        <v>1950</v>
      </c>
      <c r="I85" s="3029"/>
      <c r="J85" s="3029"/>
    </row>
    <row r="86" spans="1:10" ht="46.5" customHeight="1">
      <c r="C86" s="193"/>
      <c r="D86" s="193"/>
      <c r="E86" s="200"/>
      <c r="F86" s="200"/>
      <c r="G86" s="191"/>
      <c r="H86" s="195">
        <f>H60</f>
        <v>1401</v>
      </c>
      <c r="I86" s="196"/>
      <c r="J86" s="195">
        <f>مفروضات!C14</f>
        <v>1400</v>
      </c>
    </row>
    <row r="87" spans="1:10" ht="30.75" hidden="1" customHeight="1">
      <c r="C87" s="193"/>
      <c r="D87" s="193"/>
      <c r="E87" s="209"/>
      <c r="F87" s="209"/>
      <c r="G87" s="197"/>
      <c r="H87" s="198"/>
      <c r="I87" s="196"/>
      <c r="J87" s="198"/>
    </row>
    <row r="88" spans="1:10" ht="30.75" customHeight="1">
      <c r="C88" s="193"/>
      <c r="D88" s="193"/>
      <c r="E88" s="225" t="s">
        <v>678</v>
      </c>
      <c r="F88" s="225"/>
      <c r="G88" s="200"/>
      <c r="H88" s="177">
        <v>-99054</v>
      </c>
      <c r="I88" s="226"/>
      <c r="J88" s="157">
        <v>0</v>
      </c>
    </row>
    <row r="89" spans="1:10" ht="30.75" customHeight="1">
      <c r="C89" s="193"/>
      <c r="D89" s="193"/>
      <c r="E89" s="225" t="s">
        <v>1049</v>
      </c>
      <c r="F89" s="225"/>
      <c r="G89" s="197"/>
      <c r="H89" s="157">
        <v>-56173</v>
      </c>
      <c r="I89" s="226"/>
      <c r="J89" s="157">
        <v>-11541</v>
      </c>
    </row>
    <row r="90" spans="1:10" s="2110" customFormat="1" ht="30.75" customHeight="1">
      <c r="A90" s="386"/>
      <c r="B90" s="353"/>
      <c r="C90" s="193"/>
      <c r="D90" s="193"/>
      <c r="E90" s="225" t="s">
        <v>2149</v>
      </c>
      <c r="F90" s="225"/>
      <c r="G90" s="197"/>
      <c r="H90" s="157">
        <v>-17989</v>
      </c>
      <c r="I90" s="226"/>
      <c r="J90" s="157">
        <v>-18001</v>
      </c>
    </row>
    <row r="91" spans="1:10" ht="30.75" customHeight="1">
      <c r="C91" s="193"/>
      <c r="D91" s="193"/>
      <c r="E91" s="225" t="s">
        <v>673</v>
      </c>
      <c r="F91" s="225"/>
      <c r="G91" s="197"/>
      <c r="H91" s="1347">
        <v>-128301</v>
      </c>
      <c r="I91" s="226"/>
      <c r="J91" s="1347">
        <v>-8923</v>
      </c>
    </row>
    <row r="92" spans="1:10" ht="30.75" customHeight="1">
      <c r="C92" s="193"/>
      <c r="D92" s="193"/>
      <c r="E92" s="213"/>
      <c r="F92" s="213"/>
      <c r="G92" s="194"/>
      <c r="H92" s="157">
        <f>'11'!T29+'11'!H29</f>
        <v>-301517</v>
      </c>
      <c r="I92" s="227"/>
      <c r="J92" s="157">
        <f>SUM(J88:J91)</f>
        <v>-38465</v>
      </c>
    </row>
    <row r="93" spans="1:10" ht="30.75" customHeight="1">
      <c r="C93" s="193"/>
      <c r="D93" s="193"/>
      <c r="E93" s="213" t="s">
        <v>1558</v>
      </c>
      <c r="F93" s="213"/>
      <c r="G93" s="200"/>
      <c r="H93" s="157">
        <f>-'11'!T29</f>
        <v>235829</v>
      </c>
      <c r="I93" s="227"/>
      <c r="J93" s="157">
        <v>19128</v>
      </c>
    </row>
    <row r="94" spans="1:10" ht="30.75" customHeight="1" thickBot="1">
      <c r="C94" s="193"/>
      <c r="D94" s="193"/>
      <c r="E94" s="217"/>
      <c r="F94" s="217"/>
      <c r="G94" s="194"/>
      <c r="H94" s="207">
        <f>'11'!H29</f>
        <v>-65688</v>
      </c>
      <c r="I94" s="227"/>
      <c r="J94" s="207">
        <f>SUM(J92:J93)</f>
        <v>-19337</v>
      </c>
    </row>
    <row r="95" spans="1:10" ht="28.5" customHeight="1" thickTop="1">
      <c r="C95" s="219"/>
      <c r="D95" s="862" t="s">
        <v>2099</v>
      </c>
      <c r="E95" s="861" t="s">
        <v>1705</v>
      </c>
      <c r="F95" s="219"/>
      <c r="G95" s="197"/>
    </row>
    <row r="96" spans="1:10" ht="36.75" customHeight="1">
      <c r="C96" s="3033">
        <v>-7</v>
      </c>
      <c r="D96" s="3033"/>
      <c r="E96" s="3032" t="s">
        <v>1422</v>
      </c>
      <c r="F96" s="3032"/>
      <c r="G96" s="3032"/>
      <c r="J96" s="2118"/>
    </row>
    <row r="97" spans="1:14" s="1462" customFormat="1" ht="35.25" customHeight="1">
      <c r="A97" s="386"/>
      <c r="B97" s="353"/>
      <c r="H97" s="3029" t="s">
        <v>1950</v>
      </c>
      <c r="I97" s="3029"/>
      <c r="J97" s="3029"/>
    </row>
    <row r="98" spans="1:14" s="1462" customFormat="1" ht="39.75" customHeight="1">
      <c r="A98" s="386"/>
      <c r="B98" s="353"/>
      <c r="C98" s="229"/>
      <c r="D98" s="1333"/>
      <c r="E98" s="1861"/>
      <c r="F98" s="1861"/>
      <c r="G98" s="1861"/>
      <c r="H98" s="195">
        <v>1401</v>
      </c>
      <c r="I98" s="1862"/>
      <c r="J98" s="195">
        <v>1400</v>
      </c>
    </row>
    <row r="99" spans="1:14" s="2917" customFormat="1" ht="29.25" customHeight="1">
      <c r="A99" s="1339"/>
      <c r="B99" s="1111"/>
      <c r="C99" s="700"/>
      <c r="D99" s="1240" t="s">
        <v>2480</v>
      </c>
      <c r="E99" s="1240"/>
      <c r="F99" s="719"/>
      <c r="G99" s="255"/>
      <c r="H99" s="177">
        <v>385584</v>
      </c>
      <c r="I99" s="1862"/>
      <c r="J99" s="177">
        <v>169448</v>
      </c>
      <c r="N99" s="177">
        <v>37973</v>
      </c>
    </row>
    <row r="100" spans="1:14" s="1462" customFormat="1" ht="27" customHeight="1">
      <c r="A100" s="1339">
        <v>201</v>
      </c>
      <c r="B100" s="170"/>
      <c r="C100" s="700"/>
      <c r="D100" s="1240" t="s">
        <v>1979</v>
      </c>
      <c r="E100" s="712"/>
      <c r="F100" s="719"/>
      <c r="G100" s="1863"/>
      <c r="H100" s="177">
        <v>300309</v>
      </c>
      <c r="I100" s="1862"/>
      <c r="J100" s="177">
        <v>420858</v>
      </c>
      <c r="N100" s="1462">
        <f>-SUMIF('98'!$B$5:$B$557,$A100,'98'!$U$5:$U$557)</f>
        <v>105714</v>
      </c>
    </row>
    <row r="101" spans="1:14" s="2527" customFormat="1" ht="29.25" customHeight="1">
      <c r="A101" s="1339"/>
      <c r="B101" s="1111"/>
      <c r="C101" s="700"/>
      <c r="D101" s="1240" t="s">
        <v>2410</v>
      </c>
      <c r="E101" s="1240"/>
      <c r="F101" s="719"/>
      <c r="G101" s="255"/>
      <c r="H101" s="177">
        <v>85372</v>
      </c>
      <c r="I101" s="1862"/>
      <c r="J101" s="177">
        <v>0</v>
      </c>
      <c r="N101" s="177"/>
    </row>
    <row r="102" spans="1:14" s="1571" customFormat="1" ht="29.25" customHeight="1">
      <c r="A102" s="1339"/>
      <c r="B102" s="1111"/>
      <c r="C102" s="700"/>
      <c r="D102" s="1240" t="s">
        <v>1972</v>
      </c>
      <c r="E102" s="1240"/>
      <c r="F102" s="719"/>
      <c r="G102" s="255"/>
      <c r="H102" s="177">
        <v>66767</v>
      </c>
      <c r="I102" s="1862"/>
      <c r="J102" s="177">
        <v>34378</v>
      </c>
      <c r="N102" s="177">
        <v>24361</v>
      </c>
    </row>
    <row r="103" spans="1:14" ht="29.25" customHeight="1">
      <c r="A103" s="1339">
        <v>202</v>
      </c>
      <c r="B103" s="1111"/>
      <c r="C103" s="700"/>
      <c r="D103" s="1240" t="s">
        <v>2409</v>
      </c>
      <c r="E103" s="712"/>
      <c r="F103" s="719"/>
      <c r="G103" s="255"/>
      <c r="H103" s="177">
        <v>47449</v>
      </c>
      <c r="I103" s="1862"/>
      <c r="J103" s="177">
        <v>111125</v>
      </c>
      <c r="N103" s="451" t="e">
        <f>-SUMIF('98'!$B$5:$B$557,$A103,'98'!$U$5:$U$557)-H104-#REF!-H102+165</f>
        <v>#REF!</v>
      </c>
    </row>
    <row r="104" spans="1:14" s="1571" customFormat="1" ht="29.25" hidden="1" customHeight="1">
      <c r="A104" s="1339"/>
      <c r="B104" s="1111"/>
      <c r="C104" s="700"/>
      <c r="D104" s="1240" t="s">
        <v>1971</v>
      </c>
      <c r="E104" s="1240"/>
      <c r="F104" s="719"/>
      <c r="G104" s="255"/>
      <c r="H104" s="177"/>
      <c r="I104" s="1862"/>
      <c r="J104" s="177"/>
      <c r="N104" s="177">
        <v>136523</v>
      </c>
    </row>
    <row r="105" spans="1:14" ht="24" customHeight="1">
      <c r="A105" s="1339">
        <v>203</v>
      </c>
      <c r="B105" s="1111"/>
      <c r="C105" s="700"/>
      <c r="D105" s="1240" t="s">
        <v>1980</v>
      </c>
      <c r="E105" s="712"/>
      <c r="F105" s="719"/>
      <c r="G105" s="255"/>
      <c r="H105" s="177">
        <v>7826</v>
      </c>
      <c r="I105" s="1862"/>
      <c r="J105" s="177">
        <v>99</v>
      </c>
      <c r="N105" s="1574">
        <f>-SUMIF('98'!$B$5:$B$557,$A105,'98'!$U$5:$U$557)-165</f>
        <v>5</v>
      </c>
    </row>
    <row r="106" spans="1:14" s="1462" customFormat="1" ht="30.75" customHeight="1" thickBot="1">
      <c r="A106" s="1339"/>
      <c r="B106" s="1111"/>
      <c r="C106" s="700"/>
      <c r="D106" s="1240"/>
      <c r="E106" s="712"/>
      <c r="F106" s="719"/>
      <c r="G106" s="255"/>
      <c r="H106" s="1864">
        <f>SUM(H99:H105)</f>
        <v>893307</v>
      </c>
      <c r="I106" s="1862"/>
      <c r="J106" s="722">
        <f>SUM(J99:J105)</f>
        <v>735908</v>
      </c>
    </row>
    <row r="107" spans="1:14" ht="4.5" customHeight="1" thickTop="1"/>
    <row r="108" spans="1:14" ht="36" customHeight="1">
      <c r="C108" s="3021">
        <v>13</v>
      </c>
      <c r="D108" s="3021"/>
      <c r="E108" s="3021"/>
      <c r="F108" s="3021"/>
      <c r="G108" s="3021"/>
      <c r="H108" s="3021"/>
      <c r="I108" s="3021"/>
      <c r="J108" s="3021"/>
    </row>
  </sheetData>
  <sortState ref="E136:J142">
    <sortCondition ref="H136:H142"/>
  </sortState>
  <mergeCells count="20">
    <mergeCell ref="D37:J37"/>
    <mergeCell ref="H23:J23"/>
    <mergeCell ref="A1:K1"/>
    <mergeCell ref="A2:K2"/>
    <mergeCell ref="A3:K3"/>
    <mergeCell ref="E22:K22"/>
    <mergeCell ref="H5:J5"/>
    <mergeCell ref="C108:J108"/>
    <mergeCell ref="C55:J55"/>
    <mergeCell ref="E53:J53"/>
    <mergeCell ref="A56:K56"/>
    <mergeCell ref="A57:K57"/>
    <mergeCell ref="A58:K58"/>
    <mergeCell ref="E96:G96"/>
    <mergeCell ref="C96:D96"/>
    <mergeCell ref="H38:J38"/>
    <mergeCell ref="H59:J59"/>
    <mergeCell ref="H71:J71"/>
    <mergeCell ref="H85:J85"/>
    <mergeCell ref="H97:J97"/>
  </mergeCells>
  <printOptions horizontalCentered="1"/>
  <pageMargins left="0" right="0" top="0.19685039370078741" bottom="0.19685039370078741" header="0.31496062992125984" footer="0.19685039370078741"/>
  <pageSetup paperSize="9" scale="47" orientation="portrait" r:id="rId1"/>
  <rowBreaks count="1" manualBreakCount="1">
    <brk id="5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Y54"/>
  <sheetViews>
    <sheetView rightToLeft="1" view="pageBreakPreview" topLeftCell="B7" zoomScale="82" zoomScaleNormal="91" zoomScaleSheetLayoutView="82" workbookViewId="0">
      <selection activeCell="Q15" sqref="Q15"/>
    </sheetView>
  </sheetViews>
  <sheetFormatPr defaultColWidth="1.375" defaultRowHeight="26.25"/>
  <cols>
    <col min="1" max="1" width="1.125" style="1339" customWidth="1"/>
    <col min="2" max="2" width="2.5" style="386" customWidth="1"/>
    <col min="3" max="3" width="35.625" style="110" customWidth="1"/>
    <col min="4" max="4" width="14.75" style="110" customWidth="1"/>
    <col min="5" max="5" width="10.375" style="110" customWidth="1"/>
    <col min="6" max="6" width="1.625" style="110" customWidth="1"/>
    <col min="7" max="7" width="11.5" style="110" customWidth="1"/>
    <col min="8" max="8" width="1.625" style="110" customWidth="1"/>
    <col min="9" max="9" width="10.5" style="110" customWidth="1"/>
    <col min="10" max="10" width="1.625" style="110" customWidth="1"/>
    <col min="11" max="11" width="9.5" style="110" customWidth="1"/>
    <col min="12" max="12" width="1.375" style="110" customWidth="1"/>
    <col min="13" max="13" width="10.625" style="110" customWidth="1"/>
    <col min="14" max="14" width="1.625" style="110" customWidth="1"/>
    <col min="15" max="15" width="11.625" style="110" customWidth="1"/>
    <col min="16" max="16" width="1.375" style="110" customWidth="1"/>
    <col min="17" max="17" width="12.375" style="110" customWidth="1"/>
    <col min="18" max="18" width="0.875" style="110" customWidth="1"/>
    <col min="19" max="19" width="12" style="110" customWidth="1"/>
    <col min="20" max="20" width="2.75" style="110" customWidth="1"/>
    <col min="21" max="21" width="11.625" style="110" customWidth="1"/>
    <col min="22" max="22" width="2.5" style="386" customWidth="1"/>
    <col min="23" max="23" width="12.875" style="110" customWidth="1"/>
    <col min="24" max="24" width="0.875" style="110" customWidth="1"/>
    <col min="25" max="25" width="2.75" style="110" bestFit="1" customWidth="1"/>
    <col min="26" max="16384" width="1.375" style="110"/>
  </cols>
  <sheetData>
    <row r="1" spans="1:24" s="865" customFormat="1" ht="23.25" customHeight="1">
      <c r="A1" s="3037" t="s">
        <v>612</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row>
    <row r="2" spans="1:24" s="865" customFormat="1" ht="22.5" customHeight="1">
      <c r="A2" s="3037" t="str">
        <f>مفروضات!A2</f>
        <v>يادداشت هاي توضيحي صورت هاي مالي</v>
      </c>
      <c r="B2" s="3037"/>
      <c r="C2" s="3037"/>
      <c r="D2" s="3037"/>
      <c r="E2" s="3037"/>
      <c r="F2" s="3037"/>
      <c r="G2" s="3037"/>
      <c r="H2" s="3037"/>
      <c r="I2" s="3037"/>
      <c r="J2" s="3037"/>
      <c r="K2" s="3037"/>
      <c r="L2" s="3037"/>
      <c r="M2" s="3037"/>
      <c r="N2" s="3037"/>
      <c r="O2" s="3037"/>
      <c r="P2" s="3037"/>
      <c r="Q2" s="3037"/>
      <c r="R2" s="3037"/>
      <c r="S2" s="3037"/>
      <c r="T2" s="3037"/>
      <c r="U2" s="3037"/>
      <c r="V2" s="3037"/>
      <c r="W2" s="3037"/>
      <c r="X2" s="3037"/>
    </row>
    <row r="3" spans="1:24" s="900" customFormat="1" ht="23.25" customHeight="1">
      <c r="A3" s="3037" t="str">
        <f>مفروضات!A3</f>
        <v xml:space="preserve"> سال مالي منتهي به 29 اسفند 1401</v>
      </c>
      <c r="B3" s="3037"/>
      <c r="C3" s="3037"/>
      <c r="D3" s="3037"/>
      <c r="E3" s="3037"/>
      <c r="F3" s="3037"/>
      <c r="G3" s="3037"/>
      <c r="H3" s="3037"/>
      <c r="I3" s="3037"/>
      <c r="J3" s="3037"/>
      <c r="K3" s="3037"/>
      <c r="L3" s="3037"/>
      <c r="M3" s="3037"/>
      <c r="N3" s="3037"/>
      <c r="O3" s="3037"/>
      <c r="P3" s="3037"/>
      <c r="Q3" s="3037"/>
      <c r="R3" s="3037"/>
      <c r="S3" s="3037"/>
      <c r="T3" s="3037"/>
      <c r="U3" s="3037"/>
      <c r="V3" s="3037"/>
      <c r="W3" s="3037"/>
      <c r="X3" s="3037"/>
    </row>
    <row r="4" spans="1:24" s="353" customFormat="1" ht="33" customHeight="1">
      <c r="A4" s="1481"/>
      <c r="B4" s="3041" t="s">
        <v>1993</v>
      </c>
      <c r="C4" s="3041"/>
      <c r="D4" s="1809"/>
      <c r="E4" s="2022">
        <v>901</v>
      </c>
      <c r="F4" s="2023"/>
      <c r="G4" s="1341">
        <v>902</v>
      </c>
      <c r="H4" s="2023"/>
      <c r="I4" s="2023">
        <v>903</v>
      </c>
      <c r="J4" s="2023"/>
      <c r="K4" s="1341">
        <v>905</v>
      </c>
      <c r="L4" s="2023"/>
      <c r="M4" s="1341">
        <v>904</v>
      </c>
      <c r="N4" s="1362"/>
      <c r="O4" s="1411"/>
      <c r="P4" s="1362"/>
      <c r="Q4" s="1341">
        <v>906</v>
      </c>
      <c r="R4" s="1341"/>
      <c r="S4" s="1341">
        <v>907</v>
      </c>
      <c r="T4" s="1341"/>
      <c r="U4" s="1341">
        <v>908</v>
      </c>
      <c r="V4" s="1810"/>
      <c r="W4" s="2201" t="s">
        <v>1950</v>
      </c>
    </row>
    <row r="5" spans="1:24" ht="16.5" customHeight="1">
      <c r="A5" s="1839"/>
      <c r="B5" s="109"/>
      <c r="C5" s="116"/>
      <c r="D5" s="117"/>
      <c r="E5" s="109"/>
      <c r="F5" s="117"/>
      <c r="G5" s="115"/>
      <c r="H5" s="117"/>
      <c r="I5" s="117"/>
      <c r="J5" s="117"/>
      <c r="K5" s="109"/>
      <c r="L5" s="117"/>
      <c r="M5" s="109"/>
      <c r="N5" s="117"/>
      <c r="O5" s="109"/>
      <c r="P5" s="117"/>
      <c r="Q5" s="109"/>
      <c r="R5" s="109"/>
      <c r="S5" s="3040"/>
      <c r="T5" s="3040"/>
      <c r="U5" s="109"/>
      <c r="V5" s="117"/>
      <c r="W5" s="1838"/>
    </row>
    <row r="6" spans="1:24" ht="17.25" customHeight="1">
      <c r="A6" s="1341"/>
      <c r="B6" s="1411"/>
      <c r="C6" s="3046"/>
      <c r="D6" s="121"/>
      <c r="E6" s="3038" t="s">
        <v>1387</v>
      </c>
      <c r="F6" s="122"/>
      <c r="G6" s="3038" t="s">
        <v>1927</v>
      </c>
      <c r="H6" s="122"/>
      <c r="I6" s="3038" t="s">
        <v>1928</v>
      </c>
      <c r="J6" s="122"/>
      <c r="K6" s="3038" t="s">
        <v>1929</v>
      </c>
      <c r="L6" s="122"/>
      <c r="M6" s="3038" t="s">
        <v>1930</v>
      </c>
      <c r="N6" s="122"/>
      <c r="O6" s="3038" t="s">
        <v>1492</v>
      </c>
      <c r="P6" s="122"/>
      <c r="Q6" s="3038" t="s">
        <v>1931</v>
      </c>
      <c r="R6" s="122"/>
      <c r="S6" s="3039" t="s">
        <v>1932</v>
      </c>
      <c r="T6" s="3038"/>
      <c r="U6" s="3040" t="s">
        <v>1933</v>
      </c>
      <c r="V6" s="1364"/>
      <c r="W6" s="3042" t="s">
        <v>1492</v>
      </c>
    </row>
    <row r="7" spans="1:24" ht="25.5" customHeight="1">
      <c r="A7" s="1341"/>
      <c r="B7" s="1411"/>
      <c r="C7" s="3046"/>
      <c r="D7" s="121"/>
      <c r="E7" s="3039"/>
      <c r="F7" s="122"/>
      <c r="G7" s="3039"/>
      <c r="H7" s="122"/>
      <c r="I7" s="3039"/>
      <c r="J7" s="122"/>
      <c r="K7" s="3039"/>
      <c r="L7" s="122"/>
      <c r="M7" s="3039"/>
      <c r="N7" s="122"/>
      <c r="O7" s="3039"/>
      <c r="P7" s="124"/>
      <c r="Q7" s="3039"/>
      <c r="R7" s="122"/>
      <c r="S7" s="3044"/>
      <c r="T7" s="3038"/>
      <c r="U7" s="3045"/>
      <c r="V7" s="1364"/>
      <c r="W7" s="3043"/>
    </row>
    <row r="8" spans="1:24" s="127" customFormat="1" ht="26.25" customHeight="1">
      <c r="A8" s="1342">
        <v>901</v>
      </c>
      <c r="B8" s="1412"/>
      <c r="C8" s="1523" t="s">
        <v>1508</v>
      </c>
      <c r="D8" s="112"/>
      <c r="E8" s="126"/>
      <c r="F8" s="126"/>
      <c r="G8" s="126"/>
      <c r="H8" s="126"/>
      <c r="I8" s="126"/>
      <c r="K8" s="126"/>
      <c r="L8" s="112"/>
      <c r="M8" s="126"/>
      <c r="N8" s="126"/>
      <c r="O8" s="126"/>
      <c r="P8" s="126"/>
      <c r="Q8" s="126"/>
      <c r="R8" s="126"/>
      <c r="S8" s="126"/>
      <c r="T8" s="126"/>
      <c r="U8" s="126"/>
      <c r="V8" s="1365"/>
      <c r="W8" s="126"/>
    </row>
    <row r="9" spans="1:24" s="127" customFormat="1" ht="26.25" customHeight="1">
      <c r="A9" s="1342"/>
      <c r="B9" s="1412"/>
      <c r="C9" s="112" t="s">
        <v>2367</v>
      </c>
      <c r="D9" s="112"/>
      <c r="E9" s="126">
        <v>2437430</v>
      </c>
      <c r="G9" s="126">
        <v>35276579</v>
      </c>
      <c r="H9" s="126"/>
      <c r="I9" s="126">
        <v>2270817</v>
      </c>
      <c r="J9" s="126"/>
      <c r="K9" s="126">
        <v>710034</v>
      </c>
      <c r="L9" s="126">
        <v>0</v>
      </c>
      <c r="M9" s="126">
        <v>578154</v>
      </c>
      <c r="N9" s="126"/>
      <c r="O9" s="126">
        <f>SUM(E9:M9)</f>
        <v>41273014</v>
      </c>
      <c r="P9" s="126">
        <v>0</v>
      </c>
      <c r="Q9" s="126">
        <v>7148915</v>
      </c>
      <c r="R9" s="126">
        <v>0</v>
      </c>
      <c r="S9" s="126">
        <v>2487296</v>
      </c>
      <c r="T9" s="126"/>
      <c r="U9" s="126">
        <v>26411</v>
      </c>
      <c r="V9" s="126"/>
      <c r="W9" s="126">
        <f>SUM(O9:U9)</f>
        <v>50935636</v>
      </c>
    </row>
    <row r="10" spans="1:24" s="127" customFormat="1" ht="26.25" customHeight="1">
      <c r="A10" s="1342"/>
      <c r="B10" s="1412"/>
      <c r="C10" s="131" t="s">
        <v>1726</v>
      </c>
      <c r="D10" s="112"/>
      <c r="E10" s="126">
        <v>3437</v>
      </c>
      <c r="F10" s="126"/>
      <c r="G10" s="126">
        <v>5961</v>
      </c>
      <c r="H10" s="126"/>
      <c r="I10" s="126">
        <v>287550</v>
      </c>
      <c r="J10" s="126"/>
      <c r="K10" s="126">
        <v>11662</v>
      </c>
      <c r="L10" s="126"/>
      <c r="M10" s="126">
        <v>137563</v>
      </c>
      <c r="N10" s="126"/>
      <c r="O10" s="126">
        <f t="shared" ref="O10:O13" si="0">SUM(E10:M10)</f>
        <v>446173</v>
      </c>
      <c r="P10" s="126"/>
      <c r="Q10" s="126">
        <f>6709702+10475-10475+6719938</f>
        <v>13429640</v>
      </c>
      <c r="R10" s="126"/>
      <c r="S10" s="126">
        <v>12337333</v>
      </c>
      <c r="T10" s="126"/>
      <c r="U10" s="126">
        <v>3438228</v>
      </c>
      <c r="V10" s="126"/>
      <c r="W10" s="126">
        <f t="shared" ref="W10:W13" si="1">SUM(O10:U10)</f>
        <v>29651374</v>
      </c>
    </row>
    <row r="11" spans="1:24" s="127" customFormat="1" ht="26.25" customHeight="1">
      <c r="A11" s="1342"/>
      <c r="B11" s="1412"/>
      <c r="C11" s="112" t="s">
        <v>2143</v>
      </c>
      <c r="D11" s="112"/>
      <c r="E11" s="126">
        <v>0</v>
      </c>
      <c r="F11" s="126"/>
      <c r="G11" s="1656">
        <v>-2001</v>
      </c>
      <c r="H11" s="1656"/>
      <c r="I11" s="1656">
        <v>-1521</v>
      </c>
      <c r="J11" s="1656"/>
      <c r="K11" s="1656">
        <v>-8</v>
      </c>
      <c r="L11" s="1656"/>
      <c r="M11" s="1656">
        <v>-1121</v>
      </c>
      <c r="N11" s="1656"/>
      <c r="O11" s="126">
        <f t="shared" si="0"/>
        <v>-4651</v>
      </c>
      <c r="P11" s="1656"/>
      <c r="Q11" s="2038">
        <v>0</v>
      </c>
      <c r="R11" s="2038"/>
      <c r="S11" s="2038">
        <v>0</v>
      </c>
      <c r="T11" s="2038"/>
      <c r="U11" s="2038">
        <v>0</v>
      </c>
      <c r="V11" s="1656"/>
      <c r="W11" s="126">
        <f t="shared" si="1"/>
        <v>-4651</v>
      </c>
    </row>
    <row r="12" spans="1:24" s="127" customFormat="1" ht="26.25" customHeight="1">
      <c r="A12" s="1342"/>
      <c r="B12" s="1412"/>
      <c r="C12" s="112" t="s">
        <v>1936</v>
      </c>
      <c r="D12" s="112"/>
      <c r="E12" s="126">
        <v>0</v>
      </c>
      <c r="F12" s="126"/>
      <c r="G12" s="1656">
        <v>0</v>
      </c>
      <c r="H12" s="1656"/>
      <c r="I12" s="1656"/>
      <c r="J12" s="1656"/>
      <c r="K12" s="1656"/>
      <c r="L12" s="1656"/>
      <c r="M12" s="1656"/>
      <c r="N12" s="1656"/>
      <c r="O12" s="126">
        <f t="shared" si="0"/>
        <v>0</v>
      </c>
      <c r="P12" s="1656"/>
      <c r="Q12" s="1656">
        <v>44</v>
      </c>
      <c r="R12" s="1656"/>
      <c r="S12" s="1656">
        <v>-1622330</v>
      </c>
      <c r="T12" s="1656"/>
      <c r="U12" s="1656">
        <v>-1024212</v>
      </c>
      <c r="V12" s="1656"/>
      <c r="W12" s="126">
        <f t="shared" si="1"/>
        <v>-2646498</v>
      </c>
    </row>
    <row r="13" spans="1:24" s="127" customFormat="1" ht="26.25" customHeight="1">
      <c r="A13" s="1342">
        <v>907</v>
      </c>
      <c r="B13" s="1412"/>
      <c r="C13" s="112" t="s">
        <v>1934</v>
      </c>
      <c r="D13" s="112"/>
      <c r="E13" s="129">
        <v>-2245</v>
      </c>
      <c r="F13" s="129"/>
      <c r="G13" s="1667">
        <v>1097799</v>
      </c>
      <c r="H13" s="1667"/>
      <c r="I13" s="1667">
        <v>271682</v>
      </c>
      <c r="J13" s="1657"/>
      <c r="K13" s="1667">
        <v>280788</v>
      </c>
      <c r="L13" s="1658"/>
      <c r="M13" s="1667">
        <v>9370</v>
      </c>
      <c r="N13" s="1667"/>
      <c r="O13" s="126">
        <f t="shared" si="0"/>
        <v>1657394</v>
      </c>
      <c r="P13" s="1667"/>
      <c r="Q13" s="1667">
        <v>-1657394</v>
      </c>
      <c r="R13" s="1667"/>
      <c r="S13" s="2039">
        <v>0</v>
      </c>
      <c r="T13" s="2039"/>
      <c r="U13" s="2039">
        <v>0</v>
      </c>
      <c r="V13" s="2040"/>
      <c r="W13" s="126">
        <f t="shared" si="1"/>
        <v>0</v>
      </c>
    </row>
    <row r="14" spans="1:24" s="127" customFormat="1" ht="24.75" customHeight="1">
      <c r="A14" s="1342"/>
      <c r="B14" s="1413"/>
      <c r="C14" s="1476" t="s">
        <v>2368</v>
      </c>
      <c r="D14" s="112"/>
      <c r="E14" s="1668">
        <f>E9+E10+E11+E12+E13</f>
        <v>2438622</v>
      </c>
      <c r="F14" s="129"/>
      <c r="G14" s="1668">
        <f>SUM(G9:G13)</f>
        <v>36378338</v>
      </c>
      <c r="H14" s="129"/>
      <c r="I14" s="1668">
        <f>SUM(I9:I13)</f>
        <v>2828528</v>
      </c>
      <c r="J14" s="129"/>
      <c r="K14" s="1668">
        <f>SUM(K9:K13)</f>
        <v>1002476</v>
      </c>
      <c r="L14" s="129">
        <f t="shared" ref="L14:U14" si="2">L9+L10+L11+L12+L13</f>
        <v>0</v>
      </c>
      <c r="M14" s="1668">
        <f>SUM(M9:M13)</f>
        <v>723966</v>
      </c>
      <c r="N14" s="129"/>
      <c r="O14" s="1668">
        <f>SUM(O9:O13)</f>
        <v>43371930</v>
      </c>
      <c r="P14" s="129">
        <f t="shared" si="2"/>
        <v>0</v>
      </c>
      <c r="Q14" s="1668">
        <f>SUM(Q9:Q13)</f>
        <v>18921205</v>
      </c>
      <c r="R14" s="129">
        <f t="shared" si="2"/>
        <v>0</v>
      </c>
      <c r="S14" s="1668">
        <f t="shared" si="2"/>
        <v>13202299</v>
      </c>
      <c r="T14" s="129"/>
      <c r="U14" s="1668">
        <f t="shared" si="2"/>
        <v>2440427</v>
      </c>
      <c r="V14" s="129"/>
      <c r="W14" s="1668">
        <f>SUM(W9:W13)</f>
        <v>77935861</v>
      </c>
    </row>
    <row r="15" spans="1:24" s="127" customFormat="1" ht="17.25" customHeight="1">
      <c r="A15" s="1342"/>
      <c r="B15" s="1413"/>
      <c r="C15" s="112" t="s">
        <v>1726</v>
      </c>
      <c r="D15" s="112"/>
      <c r="F15" s="132"/>
      <c r="G15" s="132">
        <v>185663</v>
      </c>
      <c r="H15" s="132"/>
      <c r="I15" s="132">
        <v>284691</v>
      </c>
      <c r="J15" s="132"/>
      <c r="K15" s="132">
        <v>23945</v>
      </c>
      <c r="L15" s="132"/>
      <c r="M15" s="132">
        <v>154880</v>
      </c>
      <c r="N15" s="132"/>
      <c r="O15" s="132">
        <f>SUM(E15:M15)</f>
        <v>649179</v>
      </c>
      <c r="P15" s="129"/>
      <c r="Q15" s="129">
        <f>'15'!M47</f>
        <v>45590818</v>
      </c>
      <c r="R15" s="129"/>
      <c r="S15" s="129">
        <f>3451901+21297591-1517+743381</f>
        <v>25491356</v>
      </c>
      <c r="T15" s="129"/>
      <c r="U15" s="132">
        <v>1615965</v>
      </c>
      <c r="V15" s="1367"/>
      <c r="W15" s="129">
        <f>SUM(O15:U15)</f>
        <v>73347318</v>
      </c>
    </row>
    <row r="16" spans="1:24" s="127" customFormat="1" ht="19.5" customHeight="1">
      <c r="A16" s="1342"/>
      <c r="B16" s="1413"/>
      <c r="C16" s="1477" t="s">
        <v>2143</v>
      </c>
      <c r="D16" s="112"/>
      <c r="E16" s="129"/>
      <c r="F16" s="132"/>
      <c r="G16" s="132">
        <v>0</v>
      </c>
      <c r="H16" s="132"/>
      <c r="I16" s="132">
        <v>-2615</v>
      </c>
      <c r="J16" s="132"/>
      <c r="K16" s="132">
        <v>-1059</v>
      </c>
      <c r="L16" s="132"/>
      <c r="M16" s="132">
        <v>-1761</v>
      </c>
      <c r="N16" s="132"/>
      <c r="O16" s="132">
        <f t="shared" ref="O16:O17" si="3">SUM(E16:M16)</f>
        <v>-5435</v>
      </c>
      <c r="P16" s="129"/>
      <c r="Q16" s="129"/>
      <c r="R16" s="129"/>
      <c r="S16" s="129"/>
      <c r="T16" s="129"/>
      <c r="U16" s="129"/>
      <c r="V16" s="1367"/>
      <c r="W16" s="129">
        <f>SUM(O16:U16)</f>
        <v>-5435</v>
      </c>
    </row>
    <row r="17" spans="1:23" s="127" customFormat="1" ht="19.5" customHeight="1">
      <c r="A17" s="1342"/>
      <c r="B17" s="1413"/>
      <c r="C17" s="112" t="s">
        <v>1936</v>
      </c>
      <c r="D17" s="112"/>
      <c r="E17" s="129"/>
      <c r="F17" s="132"/>
      <c r="G17" s="132">
        <v>688</v>
      </c>
      <c r="H17" s="132"/>
      <c r="I17" s="132">
        <v>-757</v>
      </c>
      <c r="J17" s="132"/>
      <c r="K17" s="132"/>
      <c r="L17" s="132"/>
      <c r="M17" s="132">
        <v>2</v>
      </c>
      <c r="N17" s="132"/>
      <c r="O17" s="132">
        <f t="shared" si="3"/>
        <v>-67</v>
      </c>
      <c r="P17" s="129"/>
      <c r="Q17" s="129">
        <f>'15'!N47</f>
        <v>-6709328</v>
      </c>
      <c r="R17" s="129"/>
      <c r="S17" s="132">
        <v>-15049677</v>
      </c>
      <c r="T17" s="129"/>
      <c r="U17" s="129">
        <v>-3363406</v>
      </c>
      <c r="V17" s="1367"/>
      <c r="W17" s="129">
        <f>SUM(O17:U17)</f>
        <v>-25122478</v>
      </c>
    </row>
    <row r="18" spans="1:23" s="127" customFormat="1" ht="24" customHeight="1">
      <c r="A18" s="2197" t="s">
        <v>2179</v>
      </c>
      <c r="B18" s="1414"/>
      <c r="C18" s="127" t="s">
        <v>1934</v>
      </c>
      <c r="D18" s="140"/>
      <c r="E18" s="129">
        <v>408965</v>
      </c>
      <c r="F18" s="132"/>
      <c r="G18" s="1920">
        <v>10440469</v>
      </c>
      <c r="H18" s="1921"/>
      <c r="I18" s="1920">
        <v>120750</v>
      </c>
      <c r="J18" s="1922"/>
      <c r="K18" s="1920">
        <v>50053</v>
      </c>
      <c r="L18" s="1923"/>
      <c r="M18" s="1920">
        <v>9094</v>
      </c>
      <c r="N18" s="1656"/>
      <c r="O18" s="132">
        <f>SUM(E18:M18)</f>
        <v>11029331</v>
      </c>
      <c r="P18" s="1656"/>
      <c r="Q18" s="1667">
        <v>-11029331</v>
      </c>
      <c r="R18" s="1656"/>
      <c r="S18" s="1667"/>
      <c r="T18" s="1656"/>
      <c r="U18" s="1667"/>
      <c r="V18" s="1659"/>
      <c r="W18" s="1656">
        <f>SUM(O18:U18)</f>
        <v>0</v>
      </c>
    </row>
    <row r="19" spans="1:23" ht="21.75" customHeight="1">
      <c r="A19" s="1344">
        <v>9</v>
      </c>
      <c r="B19" s="1415"/>
      <c r="C19" s="1476" t="s">
        <v>2369</v>
      </c>
      <c r="D19" s="141"/>
      <c r="E19" s="1478">
        <f>SUM(E14:E18)</f>
        <v>2847587</v>
      </c>
      <c r="F19" s="1368">
        <f t="shared" ref="F19:R19" si="4">SUM(F14:F18)</f>
        <v>0</v>
      </c>
      <c r="G19" s="1478">
        <f>SUM(G14:G18)</f>
        <v>47005158</v>
      </c>
      <c r="H19" s="1368">
        <f t="shared" si="4"/>
        <v>0</v>
      </c>
      <c r="I19" s="1478">
        <f>SUM(I14:I18)</f>
        <v>3230597</v>
      </c>
      <c r="J19" s="1368">
        <f t="shared" si="4"/>
        <v>0</v>
      </c>
      <c r="K19" s="1478">
        <f>SUM(K14:K18)</f>
        <v>1075415</v>
      </c>
      <c r="L19" s="1368">
        <f t="shared" si="4"/>
        <v>0</v>
      </c>
      <c r="M19" s="1478">
        <f>SUM(M14:M18)</f>
        <v>886181</v>
      </c>
      <c r="N19" s="1368">
        <f t="shared" si="4"/>
        <v>0</v>
      </c>
      <c r="O19" s="1478">
        <f>SUM(O14:O18)</f>
        <v>55044938</v>
      </c>
      <c r="P19" s="1368">
        <f t="shared" si="4"/>
        <v>0</v>
      </c>
      <c r="Q19" s="1478">
        <f>SUM(Q14:Q18)</f>
        <v>46773364</v>
      </c>
      <c r="R19" s="143">
        <f t="shared" si="4"/>
        <v>0</v>
      </c>
      <c r="S19" s="1478">
        <f>SUM(S14:S18)</f>
        <v>23643978</v>
      </c>
      <c r="T19" s="143"/>
      <c r="U19" s="1478">
        <f>SUM(U14:U18)</f>
        <v>692986</v>
      </c>
      <c r="V19" s="143"/>
      <c r="W19" s="1478">
        <f>SUM(W14:W18)</f>
        <v>126155266</v>
      </c>
    </row>
    <row r="20" spans="1:23" s="127" customFormat="1" ht="25.5" customHeight="1">
      <c r="A20" s="1342">
        <v>901</v>
      </c>
      <c r="B20" s="1412"/>
      <c r="C20" s="1523" t="s">
        <v>2606</v>
      </c>
      <c r="D20" s="112"/>
      <c r="E20" s="129"/>
      <c r="F20" s="129"/>
      <c r="G20" s="129"/>
      <c r="H20" s="129"/>
      <c r="I20" s="129"/>
      <c r="J20" s="129"/>
      <c r="K20" s="129"/>
      <c r="L20" s="129"/>
      <c r="M20" s="129"/>
      <c r="N20" s="129"/>
      <c r="O20" s="1672"/>
      <c r="P20" s="112"/>
      <c r="Q20" s="126"/>
      <c r="R20" s="126"/>
      <c r="S20" s="126"/>
      <c r="T20" s="126"/>
      <c r="U20" s="126"/>
      <c r="V20" s="1365"/>
      <c r="W20" s="129"/>
    </row>
    <row r="21" spans="1:23" s="127" customFormat="1" ht="26.25" customHeight="1">
      <c r="A21" s="1342"/>
      <c r="B21" s="1412"/>
      <c r="C21" s="112" t="s">
        <v>2367</v>
      </c>
      <c r="D21" s="112"/>
      <c r="E21" s="126">
        <v>0</v>
      </c>
      <c r="F21" s="126"/>
      <c r="G21" s="126">
        <v>26105220</v>
      </c>
      <c r="H21" s="126"/>
      <c r="I21" s="126">
        <v>1166889</v>
      </c>
      <c r="J21" s="126"/>
      <c r="K21" s="126">
        <v>625817</v>
      </c>
      <c r="L21" s="126">
        <v>0</v>
      </c>
      <c r="M21" s="126">
        <v>369720</v>
      </c>
      <c r="N21" s="126"/>
      <c r="O21" s="126">
        <f>SUM(E21:M21)</f>
        <v>28267646</v>
      </c>
      <c r="P21" s="126">
        <v>0</v>
      </c>
      <c r="Q21" s="126">
        <v>0</v>
      </c>
      <c r="R21" s="126">
        <v>0</v>
      </c>
      <c r="S21" s="126">
        <v>0</v>
      </c>
      <c r="T21" s="126"/>
      <c r="U21" s="126">
        <v>0</v>
      </c>
      <c r="V21" s="128"/>
      <c r="W21" s="126">
        <f>SUM(O21:U21)</f>
        <v>28267646</v>
      </c>
    </row>
    <row r="22" spans="1:23" s="127" customFormat="1" ht="26.25" customHeight="1">
      <c r="A22" s="1342"/>
      <c r="B22" s="1412"/>
      <c r="C22" s="131" t="s">
        <v>1935</v>
      </c>
      <c r="D22" s="112"/>
      <c r="E22" s="126">
        <v>0</v>
      </c>
      <c r="F22" s="126"/>
      <c r="G22" s="126">
        <v>1470711</v>
      </c>
      <c r="H22" s="126"/>
      <c r="I22" s="126">
        <v>198104</v>
      </c>
      <c r="J22" s="126"/>
      <c r="K22" s="126">
        <v>56663</v>
      </c>
      <c r="L22" s="126"/>
      <c r="M22" s="126">
        <v>63702</v>
      </c>
      <c r="N22" s="126"/>
      <c r="O22" s="126">
        <f t="shared" ref="O22:O24" si="5">SUM(E22:M22)</f>
        <v>1789180</v>
      </c>
      <c r="P22" s="126"/>
      <c r="Q22" s="126">
        <v>0</v>
      </c>
      <c r="R22" s="126"/>
      <c r="S22" s="126">
        <v>0</v>
      </c>
      <c r="T22" s="126"/>
      <c r="U22" s="126">
        <v>0</v>
      </c>
      <c r="V22" s="128"/>
      <c r="W22" s="126">
        <f t="shared" ref="W22:W24" si="6">SUM(O22:U22)</f>
        <v>1789180</v>
      </c>
    </row>
    <row r="23" spans="1:23" s="127" customFormat="1" ht="26.25" customHeight="1">
      <c r="A23" s="1342">
        <v>907</v>
      </c>
      <c r="B23" s="1412"/>
      <c r="C23" s="112" t="s">
        <v>1286</v>
      </c>
      <c r="D23" s="112"/>
      <c r="E23" s="126">
        <v>0</v>
      </c>
      <c r="F23" s="126"/>
      <c r="G23" s="126">
        <v>-2001</v>
      </c>
      <c r="H23" s="126"/>
      <c r="I23" s="126">
        <v>-1327</v>
      </c>
      <c r="J23" s="126"/>
      <c r="K23" s="126">
        <v>-8</v>
      </c>
      <c r="L23" s="126"/>
      <c r="M23" s="126">
        <v>-1103</v>
      </c>
      <c r="N23" s="126"/>
      <c r="O23" s="126">
        <f t="shared" si="5"/>
        <v>-4439</v>
      </c>
      <c r="P23" s="126"/>
      <c r="Q23" s="126">
        <v>0</v>
      </c>
      <c r="R23" s="126"/>
      <c r="S23" s="126">
        <v>0</v>
      </c>
      <c r="T23" s="126"/>
      <c r="U23" s="126">
        <v>0</v>
      </c>
      <c r="V23" s="128"/>
      <c r="W23" s="126">
        <f t="shared" si="6"/>
        <v>-4439</v>
      </c>
    </row>
    <row r="24" spans="1:23" s="127" customFormat="1" ht="26.25" customHeight="1">
      <c r="A24" s="1342"/>
      <c r="B24" s="1412"/>
      <c r="C24" s="112" t="s">
        <v>1943</v>
      </c>
      <c r="D24" s="112"/>
      <c r="E24" s="126">
        <v>0</v>
      </c>
      <c r="F24" s="129"/>
      <c r="G24" s="126">
        <v>-27816</v>
      </c>
      <c r="H24" s="129"/>
      <c r="I24" s="129">
        <v>-1408</v>
      </c>
      <c r="J24" s="129"/>
      <c r="K24" s="126">
        <v>-8</v>
      </c>
      <c r="L24" s="129"/>
      <c r="M24" s="126">
        <v>-1139</v>
      </c>
      <c r="N24" s="129"/>
      <c r="O24" s="126">
        <f t="shared" si="5"/>
        <v>-30371</v>
      </c>
      <c r="P24" s="129"/>
      <c r="Q24" s="126">
        <v>0</v>
      </c>
      <c r="R24" s="129"/>
      <c r="S24" s="126">
        <v>0</v>
      </c>
      <c r="T24" s="129"/>
      <c r="U24" s="126">
        <v>0</v>
      </c>
      <c r="V24" s="132"/>
      <c r="W24" s="126">
        <f t="shared" si="6"/>
        <v>-30371</v>
      </c>
    </row>
    <row r="25" spans="1:23" s="127" customFormat="1" ht="24.75" customHeight="1">
      <c r="A25" s="1342"/>
      <c r="B25" s="1413"/>
      <c r="C25" s="1476" t="s">
        <v>2113</v>
      </c>
      <c r="D25" s="112"/>
      <c r="E25" s="1668">
        <f>E21+E22+E23</f>
        <v>0</v>
      </c>
      <c r="F25" s="129"/>
      <c r="G25" s="1668">
        <f>SUM(G21:G24)</f>
        <v>27546114</v>
      </c>
      <c r="H25" s="129"/>
      <c r="I25" s="1668">
        <f>SUM(I21:I24)</f>
        <v>1362258</v>
      </c>
      <c r="J25" s="129"/>
      <c r="K25" s="1668">
        <f>SUM(K21:K24)</f>
        <v>682464</v>
      </c>
      <c r="L25" s="129">
        <f t="shared" ref="L25:U25" si="7">L21+L22+L23+L24</f>
        <v>0</v>
      </c>
      <c r="M25" s="1668">
        <f>SUM(M21:M24)</f>
        <v>431180</v>
      </c>
      <c r="N25" s="129"/>
      <c r="O25" s="1668">
        <f>SUM(O21:O24)</f>
        <v>30022016</v>
      </c>
      <c r="P25" s="129">
        <f t="shared" si="7"/>
        <v>0</v>
      </c>
      <c r="Q25" s="1668">
        <f t="shared" si="7"/>
        <v>0</v>
      </c>
      <c r="R25" s="129">
        <f t="shared" si="7"/>
        <v>0</v>
      </c>
      <c r="S25" s="1668">
        <f t="shared" si="7"/>
        <v>0</v>
      </c>
      <c r="T25" s="129"/>
      <c r="U25" s="1668">
        <f t="shared" si="7"/>
        <v>0</v>
      </c>
      <c r="V25" s="129"/>
      <c r="W25" s="1668">
        <f>SUM(W21:W24)</f>
        <v>30022016</v>
      </c>
    </row>
    <row r="26" spans="1:23" s="127" customFormat="1" ht="20.25" customHeight="1">
      <c r="A26" s="1342"/>
      <c r="B26" s="1413"/>
      <c r="C26" s="112" t="s">
        <v>1935</v>
      </c>
      <c r="D26" s="112"/>
      <c r="E26" s="126">
        <v>0</v>
      </c>
      <c r="F26" s="132"/>
      <c r="G26" s="132">
        <v>2875685</v>
      </c>
      <c r="H26" s="132"/>
      <c r="I26" s="132">
        <v>363281</v>
      </c>
      <c r="J26" s="132"/>
      <c r="K26" s="132">
        <v>162925</v>
      </c>
      <c r="L26" s="132"/>
      <c r="M26" s="132">
        <v>95227</v>
      </c>
      <c r="N26" s="132"/>
      <c r="O26" s="132">
        <f>SUM(E26:M26)</f>
        <v>3497118</v>
      </c>
      <c r="P26" s="132"/>
      <c r="Q26" s="126">
        <v>0</v>
      </c>
      <c r="R26" s="126"/>
      <c r="S26" s="126">
        <v>0</v>
      </c>
      <c r="T26" s="126"/>
      <c r="U26" s="126">
        <v>0</v>
      </c>
      <c r="V26" s="1669"/>
      <c r="W26" s="129">
        <f>'14'!O26+'14'!Q26+'14'!S26+'14'!U26</f>
        <v>3497118</v>
      </c>
    </row>
    <row r="27" spans="1:23" s="127" customFormat="1" ht="24.75" customHeight="1">
      <c r="A27" s="1343">
        <v>907</v>
      </c>
      <c r="B27" s="1414"/>
      <c r="C27" s="112" t="s">
        <v>1286</v>
      </c>
      <c r="D27" s="140"/>
      <c r="E27" s="126">
        <v>0</v>
      </c>
      <c r="F27" s="132"/>
      <c r="G27" s="132">
        <v>0</v>
      </c>
      <c r="H27" s="132"/>
      <c r="I27" s="132">
        <v>-2444</v>
      </c>
      <c r="J27" s="132"/>
      <c r="K27" s="132">
        <v>-1059</v>
      </c>
      <c r="L27" s="132"/>
      <c r="M27" s="132">
        <v>-1724</v>
      </c>
      <c r="N27" s="132"/>
      <c r="O27" s="132">
        <f>SUM(E27:M27)</f>
        <v>-5227</v>
      </c>
      <c r="P27" s="132"/>
      <c r="Q27" s="126">
        <v>0</v>
      </c>
      <c r="R27" s="126"/>
      <c r="S27" s="126">
        <v>0</v>
      </c>
      <c r="T27" s="126"/>
      <c r="U27" s="126">
        <v>0</v>
      </c>
      <c r="V27" s="128"/>
      <c r="W27" s="129">
        <f>'14'!O27+'14'!Q27+'14'!S27+'14'!U27</f>
        <v>-5227</v>
      </c>
    </row>
    <row r="28" spans="1:23" s="127" customFormat="1" ht="18.75" customHeight="1">
      <c r="A28" s="1343"/>
      <c r="B28" s="1414"/>
      <c r="C28" s="112" t="s">
        <v>1943</v>
      </c>
      <c r="D28" s="140"/>
      <c r="E28" s="126">
        <v>0</v>
      </c>
      <c r="F28" s="132"/>
      <c r="G28" s="134">
        <v>0</v>
      </c>
      <c r="H28" s="132"/>
      <c r="I28" s="134">
        <v>0</v>
      </c>
      <c r="J28" s="132"/>
      <c r="K28" s="134">
        <v>0</v>
      </c>
      <c r="L28" s="132"/>
      <c r="M28" s="134">
        <v>0</v>
      </c>
      <c r="N28" s="132"/>
      <c r="O28" s="132">
        <f>SUM(E28:M28)</f>
        <v>0</v>
      </c>
      <c r="P28" s="132"/>
      <c r="Q28" s="126">
        <v>0</v>
      </c>
      <c r="R28" s="126"/>
      <c r="S28" s="126">
        <v>0</v>
      </c>
      <c r="T28" s="126"/>
      <c r="U28" s="126">
        <v>0</v>
      </c>
      <c r="V28" s="132"/>
      <c r="W28" s="133">
        <f>'14'!O28+'14'!Q28+'14'!S28+'14'!U28</f>
        <v>0</v>
      </c>
    </row>
    <row r="29" spans="1:23" ht="23.25" customHeight="1">
      <c r="A29" s="1344">
        <v>9</v>
      </c>
      <c r="B29" s="1415"/>
      <c r="C29" s="1476" t="s">
        <v>2369</v>
      </c>
      <c r="D29" s="141"/>
      <c r="E29" s="1478">
        <f>E25+E26+E27</f>
        <v>0</v>
      </c>
      <c r="F29" s="1368">
        <f>F25+F26+F27</f>
        <v>0</v>
      </c>
      <c r="G29" s="1478">
        <f>SUM(G25:G28)</f>
        <v>30421799</v>
      </c>
      <c r="H29" s="1368"/>
      <c r="I29" s="1478">
        <f>SUM(I25:I28)</f>
        <v>1723095</v>
      </c>
      <c r="J29" s="1368">
        <f>J25+J26+J27</f>
        <v>0</v>
      </c>
      <c r="K29" s="1478">
        <f>SUM(K25:K28)</f>
        <v>844330</v>
      </c>
      <c r="L29" s="143">
        <f>L25+L26+L27</f>
        <v>0</v>
      </c>
      <c r="M29" s="1478">
        <f>SUM(M25:M28)</f>
        <v>524683</v>
      </c>
      <c r="N29" s="1368">
        <f>N25+N26+N27</f>
        <v>0</v>
      </c>
      <c r="O29" s="1478">
        <f>SUM(O25:O28)</f>
        <v>33513907</v>
      </c>
      <c r="P29" s="143">
        <f>P25+P26+P27</f>
        <v>0</v>
      </c>
      <c r="Q29" s="1478">
        <f>Q25+Q26+Q27</f>
        <v>0</v>
      </c>
      <c r="R29" s="143">
        <f>R25+R26+R27</f>
        <v>0</v>
      </c>
      <c r="S29" s="1478">
        <f>S25+S26+S27</f>
        <v>0</v>
      </c>
      <c r="T29" s="143"/>
      <c r="U29" s="1478">
        <f>U25+U26+U27</f>
        <v>0</v>
      </c>
      <c r="V29" s="143"/>
      <c r="W29" s="1478">
        <f>SUM(W25:W28)</f>
        <v>33513907</v>
      </c>
    </row>
    <row r="30" spans="1:23" ht="27" thickBot="1">
      <c r="C30" s="119" t="s">
        <v>2370</v>
      </c>
      <c r="E30" s="1670">
        <f>E19-E29</f>
        <v>2847587</v>
      </c>
      <c r="G30" s="1670">
        <f>G19-G29</f>
        <v>16583359</v>
      </c>
      <c r="I30" s="1670">
        <f>I19-I29</f>
        <v>1507502</v>
      </c>
      <c r="K30" s="1670">
        <f>K19-K29</f>
        <v>231085</v>
      </c>
      <c r="L30" s="2043">
        <f t="shared" ref="L30:M30" si="8">L19-L29</f>
        <v>0</v>
      </c>
      <c r="M30" s="1670">
        <f t="shared" si="8"/>
        <v>361498</v>
      </c>
      <c r="O30" s="1670">
        <f>O19-O29</f>
        <v>21531031</v>
      </c>
      <c r="Q30" s="1670">
        <f>Q19-Q29</f>
        <v>46773364</v>
      </c>
      <c r="S30" s="1670">
        <f>S19-S29</f>
        <v>23643978</v>
      </c>
      <c r="U30" s="1670">
        <f>U19-U29</f>
        <v>692986</v>
      </c>
      <c r="W30" s="1670">
        <f>O30+Q30+S30+U30</f>
        <v>92641359</v>
      </c>
    </row>
    <row r="31" spans="1:23" ht="21" customHeight="1" thickTop="1" thickBot="1">
      <c r="A31" s="1344">
        <v>9</v>
      </c>
      <c r="B31" s="1415"/>
      <c r="C31" s="119" t="s">
        <v>2114</v>
      </c>
      <c r="D31" s="141"/>
      <c r="E31" s="1671">
        <v>2438622</v>
      </c>
      <c r="F31" s="143"/>
      <c r="G31" s="1671">
        <v>8832224</v>
      </c>
      <c r="H31" s="143"/>
      <c r="I31" s="1671">
        <v>1466270</v>
      </c>
      <c r="J31" s="143"/>
      <c r="K31" s="1671">
        <v>320012</v>
      </c>
      <c r="L31" s="143">
        <v>0</v>
      </c>
      <c r="M31" s="1671">
        <v>292786</v>
      </c>
      <c r="N31" s="143"/>
      <c r="O31" s="144">
        <v>13349914</v>
      </c>
      <c r="P31" s="143"/>
      <c r="Q31" s="1671">
        <f>12201267+6719938</f>
        <v>18921205</v>
      </c>
      <c r="R31" s="143">
        <v>0</v>
      </c>
      <c r="S31" s="1671">
        <v>13202299</v>
      </c>
      <c r="T31" s="143"/>
      <c r="U31" s="1671">
        <v>2440427</v>
      </c>
      <c r="V31" s="143"/>
      <c r="W31" s="1670">
        <f>O31+Q31+S31+U31</f>
        <v>47913845</v>
      </c>
    </row>
    <row r="32" spans="1:23" s="614" customFormat="1" ht="29.25" customHeight="1" thickTop="1">
      <c r="A32" s="1819"/>
      <c r="B32" s="1820"/>
      <c r="C32" s="1821"/>
      <c r="D32" s="1821"/>
      <c r="E32" s="2296">
        <f>SUMIF('1401'!$B$4:$B$571,E4,'1401'!$V$4:$V$571)</f>
        <v>2847587</v>
      </c>
      <c r="F32" s="2297"/>
      <c r="G32" s="2298">
        <f>SUMIF('1401'!$B$4:$B$571,G4,'1401'!$V$4:$V$571)</f>
        <v>16583359</v>
      </c>
      <c r="H32" s="2297"/>
      <c r="I32" s="2296">
        <f>SUMIF('1401'!$B$4:$B$571,I4,'1401'!$V$4:$V$571)</f>
        <v>1507502</v>
      </c>
      <c r="J32" s="2296">
        <f>SUMIF('1401'!$B$4:$B$571,J4,'1401'!$V$4:$V$571)</f>
        <v>0</v>
      </c>
      <c r="K32" s="2296">
        <f>SUMIF('1401'!$B$4:$B$571,K4,'1401'!$V$4:$V$571)</f>
        <v>231085</v>
      </c>
      <c r="L32" s="2297"/>
      <c r="M32" s="2296">
        <f>SUMIF('1401'!$B$4:$B$571,M4,'1401'!$V$4:$V$571)</f>
        <v>361498</v>
      </c>
      <c r="N32" s="2297"/>
      <c r="O32" s="2296">
        <f>'14'!E32+'14'!G32+I32+K32+M32</f>
        <v>21531031</v>
      </c>
      <c r="P32" s="2297"/>
      <c r="Q32" s="2296">
        <f>SUMIF('1401'!$B$4:$B$571,Q4,'1401'!$V$4:$V$571)</f>
        <v>46773364</v>
      </c>
      <c r="R32" s="2296"/>
      <c r="S32" s="2296">
        <f>SUMIF('1401'!$B$4:$B$571,S4,'1401'!$V$4:$V$571)</f>
        <v>23643978</v>
      </c>
      <c r="T32" s="2296">
        <f>SUMIF('1401'!$B$4:$B$571,T4,'1401'!$V$4:$V$571)</f>
        <v>0</v>
      </c>
      <c r="U32" s="2296">
        <f>SUMIF('1401'!$B$4:$B$571,U4,'1401'!$V$4:$V$571)</f>
        <v>692986</v>
      </c>
      <c r="V32" s="2296"/>
      <c r="W32" s="2296">
        <f>'14'!O32+'14'!Q32+'14'!S32+'14'!U32</f>
        <v>92641359</v>
      </c>
    </row>
    <row r="33" spans="1:25" s="614" customFormat="1" ht="3.75" customHeight="1">
      <c r="A33" s="1819"/>
      <c r="B33" s="1820"/>
      <c r="C33" s="1821"/>
      <c r="D33" s="1821"/>
      <c r="E33" s="1822">
        <f>E30-E32</f>
        <v>0</v>
      </c>
      <c r="F33" s="1822">
        <f t="shared" ref="F33:W33" si="9">F30-F32</f>
        <v>0</v>
      </c>
      <c r="G33" s="1822">
        <f t="shared" si="9"/>
        <v>0</v>
      </c>
      <c r="H33" s="1822">
        <f t="shared" si="9"/>
        <v>0</v>
      </c>
      <c r="I33" s="1822">
        <f t="shared" si="9"/>
        <v>0</v>
      </c>
      <c r="J33" s="1822">
        <f t="shared" si="9"/>
        <v>0</v>
      </c>
      <c r="K33" s="1822">
        <f t="shared" si="9"/>
        <v>0</v>
      </c>
      <c r="L33" s="1822">
        <f t="shared" si="9"/>
        <v>0</v>
      </c>
      <c r="M33" s="1822">
        <f t="shared" si="9"/>
        <v>0</v>
      </c>
      <c r="N33" s="1822">
        <f t="shared" si="9"/>
        <v>0</v>
      </c>
      <c r="O33" s="1822">
        <f t="shared" si="9"/>
        <v>0</v>
      </c>
      <c r="P33" s="1822">
        <f t="shared" si="9"/>
        <v>0</v>
      </c>
      <c r="Q33" s="1822">
        <f t="shared" si="9"/>
        <v>0</v>
      </c>
      <c r="R33" s="1822">
        <f t="shared" si="9"/>
        <v>0</v>
      </c>
      <c r="S33" s="1822">
        <f t="shared" si="9"/>
        <v>0</v>
      </c>
      <c r="T33" s="1822">
        <f t="shared" si="9"/>
        <v>0</v>
      </c>
      <c r="U33" s="1822">
        <f t="shared" si="9"/>
        <v>0</v>
      </c>
      <c r="V33" s="1822">
        <f t="shared" si="9"/>
        <v>0</v>
      </c>
      <c r="W33" s="1822">
        <f t="shared" si="9"/>
        <v>0</v>
      </c>
    </row>
    <row r="34" spans="1:25" s="614" customFormat="1" ht="18.75" customHeight="1">
      <c r="A34" s="1819"/>
      <c r="B34" s="1820"/>
      <c r="C34" s="1821"/>
      <c r="D34" s="1821"/>
      <c r="E34" s="1822">
        <f>E30-E32</f>
        <v>0</v>
      </c>
      <c r="F34" s="1822">
        <f t="shared" ref="F34:Y34" si="10">F30-F32</f>
        <v>0</v>
      </c>
      <c r="G34" s="1822">
        <f t="shared" si="10"/>
        <v>0</v>
      </c>
      <c r="H34" s="1822">
        <f t="shared" si="10"/>
        <v>0</v>
      </c>
      <c r="I34" s="1822">
        <f t="shared" si="10"/>
        <v>0</v>
      </c>
      <c r="J34" s="1822">
        <f t="shared" si="10"/>
        <v>0</v>
      </c>
      <c r="K34" s="1822">
        <f t="shared" si="10"/>
        <v>0</v>
      </c>
      <c r="L34" s="1822">
        <f t="shared" si="10"/>
        <v>0</v>
      </c>
      <c r="M34" s="1822">
        <f t="shared" si="10"/>
        <v>0</v>
      </c>
      <c r="N34" s="1822">
        <f t="shared" si="10"/>
        <v>0</v>
      </c>
      <c r="O34" s="1822">
        <f t="shared" si="10"/>
        <v>0</v>
      </c>
      <c r="P34" s="1822">
        <f t="shared" si="10"/>
        <v>0</v>
      </c>
      <c r="Q34" s="1822">
        <f t="shared" si="10"/>
        <v>0</v>
      </c>
      <c r="R34" s="1822">
        <f t="shared" si="10"/>
        <v>0</v>
      </c>
      <c r="S34" s="1822">
        <f t="shared" si="10"/>
        <v>0</v>
      </c>
      <c r="T34" s="1822">
        <f t="shared" si="10"/>
        <v>0</v>
      </c>
      <c r="U34" s="1822">
        <f t="shared" si="10"/>
        <v>0</v>
      </c>
      <c r="V34" s="1822">
        <f>V30-V32</f>
        <v>0</v>
      </c>
      <c r="W34" s="1822">
        <f t="shared" si="10"/>
        <v>0</v>
      </c>
      <c r="X34" s="1822">
        <f t="shared" si="10"/>
        <v>0</v>
      </c>
      <c r="Y34" s="1822">
        <f t="shared" si="10"/>
        <v>0</v>
      </c>
    </row>
    <row r="35" spans="1:25" ht="18.75" customHeight="1">
      <c r="A35" s="1803"/>
      <c r="B35" s="1804"/>
      <c r="C35" s="3048" t="s">
        <v>2474</v>
      </c>
      <c r="D35" s="3048"/>
      <c r="E35" s="3048"/>
      <c r="F35" s="3048"/>
      <c r="G35" s="3048"/>
      <c r="H35" s="3048"/>
      <c r="I35" s="3048"/>
      <c r="J35" s="3048"/>
      <c r="K35" s="3048"/>
      <c r="L35" s="3048"/>
      <c r="M35" s="3048"/>
      <c r="N35" s="3048"/>
      <c r="O35" s="3048"/>
      <c r="P35" s="3048"/>
      <c r="Q35" s="3048"/>
      <c r="R35" s="3048"/>
      <c r="S35" s="3048"/>
      <c r="T35" s="3048"/>
      <c r="U35" s="3048"/>
      <c r="V35" s="3048"/>
      <c r="W35" s="3048"/>
      <c r="X35" s="3048"/>
    </row>
    <row r="36" spans="1:25" s="353" customFormat="1" ht="4.5" customHeight="1">
      <c r="A36" s="1490"/>
      <c r="B36" s="1491"/>
      <c r="C36" s="1553"/>
      <c r="D36" s="1553"/>
      <c r="E36" s="1553"/>
      <c r="F36" s="1553"/>
      <c r="G36" s="1553"/>
      <c r="H36" s="1553"/>
      <c r="I36" s="1553"/>
      <c r="J36" s="1553"/>
      <c r="K36" s="1553"/>
      <c r="L36" s="1553"/>
      <c r="M36" s="1553"/>
      <c r="N36" s="1553"/>
      <c r="O36" s="1553"/>
      <c r="P36" s="1553"/>
      <c r="Q36" s="1553"/>
      <c r="R36" s="1553"/>
      <c r="S36" s="1553"/>
      <c r="T36" s="1553"/>
      <c r="U36" s="1553"/>
      <c r="V36" s="1553"/>
      <c r="W36" s="1553"/>
      <c r="X36" s="1553"/>
    </row>
    <row r="37" spans="1:25" s="890" customFormat="1">
      <c r="A37" s="3047">
        <v>14</v>
      </c>
      <c r="B37" s="3047"/>
      <c r="C37" s="3047"/>
      <c r="D37" s="3047"/>
      <c r="E37" s="3047"/>
      <c r="F37" s="3047"/>
      <c r="G37" s="3047"/>
      <c r="H37" s="3047"/>
      <c r="I37" s="3047"/>
      <c r="J37" s="3047"/>
      <c r="K37" s="3047"/>
      <c r="L37" s="3047"/>
      <c r="M37" s="3047"/>
      <c r="N37" s="3047"/>
      <c r="O37" s="3047"/>
      <c r="P37" s="3047"/>
      <c r="Q37" s="3047"/>
      <c r="R37" s="3047"/>
      <c r="S37" s="3047"/>
      <c r="T37" s="3047"/>
      <c r="U37" s="3047"/>
      <c r="V37" s="3047"/>
      <c r="W37" s="3047"/>
      <c r="X37" s="3047"/>
    </row>
    <row r="38" spans="1:25" s="386" customFormat="1">
      <c r="A38" s="1339"/>
      <c r="E38" s="1346">
        <f>E30-E32</f>
        <v>0</v>
      </c>
      <c r="F38" s="1346">
        <f t="shared" ref="F38:W38" si="11">F30-F32</f>
        <v>0</v>
      </c>
      <c r="G38" s="1346">
        <f t="shared" si="11"/>
        <v>0</v>
      </c>
      <c r="H38" s="1346">
        <f t="shared" si="11"/>
        <v>0</v>
      </c>
      <c r="I38" s="1346">
        <f t="shared" si="11"/>
        <v>0</v>
      </c>
      <c r="J38" s="1346">
        <f t="shared" si="11"/>
        <v>0</v>
      </c>
      <c r="K38" s="1346">
        <f t="shared" si="11"/>
        <v>0</v>
      </c>
      <c r="L38" s="1346">
        <f t="shared" si="11"/>
        <v>0</v>
      </c>
      <c r="M38" s="1346">
        <f t="shared" si="11"/>
        <v>0</v>
      </c>
      <c r="N38" s="1346">
        <f t="shared" si="11"/>
        <v>0</v>
      </c>
      <c r="O38" s="1346">
        <f t="shared" si="11"/>
        <v>0</v>
      </c>
      <c r="P38" s="1346">
        <f t="shared" si="11"/>
        <v>0</v>
      </c>
      <c r="Q38" s="1346">
        <f t="shared" si="11"/>
        <v>0</v>
      </c>
      <c r="R38" s="1346">
        <f t="shared" si="11"/>
        <v>0</v>
      </c>
      <c r="S38" s="1346"/>
      <c r="T38" s="1346">
        <f t="shared" si="11"/>
        <v>0</v>
      </c>
      <c r="U38" s="1346">
        <f t="shared" si="11"/>
        <v>0</v>
      </c>
      <c r="V38" s="1346">
        <f t="shared" si="11"/>
        <v>0</v>
      </c>
      <c r="W38" s="1346">
        <f t="shared" si="11"/>
        <v>0</v>
      </c>
    </row>
    <row r="39" spans="1:25">
      <c r="Q39" s="569">
        <f>S30-S32</f>
        <v>0</v>
      </c>
    </row>
    <row r="54" spans="10:10">
      <c r="J54" s="110">
        <v>-7717613</v>
      </c>
    </row>
  </sheetData>
  <mergeCells count="19">
    <mergeCell ref="K6:K7"/>
    <mergeCell ref="A37:X37"/>
    <mergeCell ref="C35:X35"/>
    <mergeCell ref="A1:X1"/>
    <mergeCell ref="A3:X3"/>
    <mergeCell ref="A2:X2"/>
    <mergeCell ref="M6:M7"/>
    <mergeCell ref="T6:T7"/>
    <mergeCell ref="S5:T5"/>
    <mergeCell ref="B4:C4"/>
    <mergeCell ref="W6:W7"/>
    <mergeCell ref="O6:O7"/>
    <mergeCell ref="Q6:Q7"/>
    <mergeCell ref="S6:S7"/>
    <mergeCell ref="U6:U7"/>
    <mergeCell ref="C6:C7"/>
    <mergeCell ref="E6:E7"/>
    <mergeCell ref="G6:G7"/>
    <mergeCell ref="I6:I7"/>
  </mergeCells>
  <printOptions horizontalCentered="1" verticalCentered="1"/>
  <pageMargins left="0.17" right="0.18" top="0.25" bottom="0.21" header="0.17" footer="0.17"/>
  <pageSetup paperSize="9" scale="69"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AF53"/>
  <sheetViews>
    <sheetView rightToLeft="1" topLeftCell="A7" zoomScale="70" zoomScaleNormal="70" zoomScaleSheetLayoutView="82" workbookViewId="0">
      <selection activeCell="C26" sqref="C26:AE26"/>
    </sheetView>
  </sheetViews>
  <sheetFormatPr defaultColWidth="1.375" defaultRowHeight="26.25"/>
  <cols>
    <col min="1" max="1" width="5" style="1434" customWidth="1"/>
    <col min="2" max="2" width="7.875" style="353" customWidth="1"/>
    <col min="3" max="3" width="24" style="110" customWidth="1"/>
    <col min="4" max="4" width="1.625" style="110" customWidth="1"/>
    <col min="5" max="5" width="13.875" style="110" bestFit="1" customWidth="1"/>
    <col min="6" max="6" width="1.625" style="110" customWidth="1"/>
    <col min="7" max="7" width="10.625" style="110" customWidth="1"/>
    <col min="8" max="8" width="1.625" style="110" customWidth="1"/>
    <col min="9" max="9" width="10.5" style="110" customWidth="1"/>
    <col min="10" max="10" width="1.625" style="110" customWidth="1"/>
    <col min="11" max="11" width="10.625" style="110" customWidth="1"/>
    <col min="12" max="12" width="1.375" style="110" customWidth="1"/>
    <col min="13" max="13" width="10.625" style="110" customWidth="1"/>
    <col min="14" max="14" width="1.625" style="110" customWidth="1"/>
    <col min="15" max="15" width="12.5" style="110" bestFit="1" customWidth="1"/>
    <col min="16" max="16" width="3" style="110" customWidth="1"/>
    <col min="17" max="17" width="10.625" style="110" customWidth="1"/>
    <col min="18" max="18" width="0.875" style="110" customWidth="1"/>
    <col min="19" max="19" width="0.625" style="110" customWidth="1"/>
    <col min="20" max="20" width="10.625" style="110" customWidth="1"/>
    <col min="21" max="21" width="0.625" style="110" customWidth="1"/>
    <col min="22" max="22" width="0.75" style="110" customWidth="1"/>
    <col min="23" max="23" width="10.625" style="110" customWidth="1"/>
    <col min="24" max="24" width="2" style="110" hidden="1" customWidth="1"/>
    <col min="25" max="25" width="10.625" style="110" hidden="1" customWidth="1"/>
    <col min="26" max="26" width="0.5" style="386" customWidth="1"/>
    <col min="27" max="27" width="10.75" style="110" customWidth="1"/>
    <col min="28" max="28" width="11.25" style="890" hidden="1" customWidth="1"/>
    <col min="29" max="29" width="10.625" style="110" customWidth="1"/>
    <col min="30" max="30" width="0.375" style="110" customWidth="1"/>
    <col min="31" max="31" width="12.875" style="110" customWidth="1"/>
    <col min="32" max="16384" width="1.375" style="110"/>
  </cols>
  <sheetData>
    <row r="1" spans="1:32" s="865" customFormat="1" ht="35.25" customHeight="1">
      <c r="A1" s="3063" t="s">
        <v>612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row>
    <row r="2" spans="1:32" s="865" customFormat="1" ht="35.25" customHeight="1">
      <c r="A2" s="3063" t="str">
        <f>مفروضات!A2</f>
        <v>يادداشت هاي توضيحي صورت هاي مالي</v>
      </c>
      <c r="B2" s="3063"/>
      <c r="C2" s="3063"/>
      <c r="D2" s="3063"/>
      <c r="E2" s="3063"/>
      <c r="F2" s="3063"/>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row>
    <row r="3" spans="1:32" s="865" customFormat="1" ht="35.25" customHeight="1">
      <c r="A3" s="3063" t="str">
        <f>مفروضات!A3</f>
        <v xml:space="preserve"> سال مالي منتهي به 29 اسفند 1401</v>
      </c>
      <c r="B3" s="3063"/>
      <c r="C3" s="3063"/>
      <c r="D3" s="3063"/>
      <c r="E3" s="3063"/>
      <c r="F3" s="3063"/>
      <c r="G3" s="3063"/>
      <c r="H3" s="3063"/>
      <c r="I3" s="3063"/>
      <c r="J3" s="3063"/>
      <c r="K3" s="3063"/>
      <c r="L3" s="3063"/>
      <c r="M3" s="3063"/>
      <c r="N3" s="3063"/>
      <c r="O3" s="3063"/>
      <c r="P3" s="3063"/>
      <c r="Q3" s="3063"/>
      <c r="R3" s="3063"/>
      <c r="S3" s="3063"/>
      <c r="T3" s="3063"/>
      <c r="U3" s="3063"/>
      <c r="V3" s="3063"/>
      <c r="W3" s="3063"/>
      <c r="X3" s="3063"/>
      <c r="Y3" s="3063"/>
      <c r="Z3" s="3063"/>
      <c r="AA3" s="3063"/>
      <c r="AB3" s="3063"/>
      <c r="AC3" s="3063"/>
      <c r="AD3" s="3063"/>
      <c r="AE3" s="3063"/>
      <c r="AF3" s="3063"/>
    </row>
    <row r="4" spans="1:32" ht="31.5" customHeight="1">
      <c r="A4" s="1479"/>
      <c r="B4" s="1480"/>
      <c r="C4" s="111"/>
      <c r="D4" s="111"/>
      <c r="E4" s="111"/>
      <c r="F4" s="111"/>
      <c r="G4" s="112"/>
      <c r="H4" s="111"/>
      <c r="I4" s="111"/>
      <c r="J4" s="111"/>
      <c r="K4" s="111"/>
      <c r="L4" s="111"/>
      <c r="M4" s="111"/>
      <c r="N4" s="111"/>
      <c r="O4" s="111"/>
      <c r="P4" s="111"/>
      <c r="Q4" s="111"/>
      <c r="R4" s="111"/>
      <c r="S4" s="111"/>
      <c r="T4" s="111"/>
      <c r="U4" s="111"/>
      <c r="V4" s="111"/>
      <c r="W4" s="111"/>
      <c r="X4" s="111"/>
      <c r="Y4" s="111"/>
      <c r="Z4" s="1361"/>
      <c r="AA4" s="111"/>
      <c r="AB4" s="1369"/>
      <c r="AC4" s="111"/>
      <c r="AD4" s="111"/>
      <c r="AE4" s="111"/>
    </row>
    <row r="5" spans="1:32" ht="32.25" customHeight="1">
      <c r="A5" s="1481" t="s">
        <v>1682</v>
      </c>
      <c r="B5" s="3064" t="s">
        <v>1920</v>
      </c>
      <c r="C5" s="3064"/>
      <c r="D5" s="113"/>
      <c r="E5" s="113"/>
      <c r="F5" s="114"/>
      <c r="G5" s="109"/>
      <c r="H5" s="114"/>
      <c r="I5" s="114"/>
      <c r="J5" s="114"/>
      <c r="K5" s="109"/>
      <c r="L5" s="114"/>
      <c r="M5" s="109"/>
      <c r="N5" s="114"/>
      <c r="O5" s="109"/>
      <c r="P5" s="114"/>
      <c r="Q5" s="109"/>
      <c r="R5" s="109"/>
      <c r="S5" s="114"/>
      <c r="T5" s="109"/>
      <c r="U5" s="109"/>
      <c r="V5" s="114"/>
      <c r="W5" s="109"/>
      <c r="X5" s="109"/>
      <c r="Y5" s="109"/>
      <c r="Z5" s="1362"/>
      <c r="AA5" s="109"/>
      <c r="AB5" s="1370"/>
      <c r="AC5" s="109"/>
      <c r="AD5" s="114"/>
      <c r="AE5" s="115"/>
    </row>
    <row r="6" spans="1:32" ht="16.5" customHeight="1">
      <c r="A6" s="1479"/>
      <c r="B6" s="1480"/>
      <c r="C6" s="116"/>
      <c r="D6" s="117"/>
      <c r="E6" s="109"/>
      <c r="F6" s="117"/>
      <c r="G6" s="115"/>
      <c r="H6" s="117"/>
      <c r="I6" s="117"/>
      <c r="J6" s="117"/>
      <c r="K6" s="109"/>
      <c r="L6" s="117"/>
      <c r="M6" s="109"/>
      <c r="N6" s="117"/>
      <c r="O6" s="109"/>
      <c r="P6" s="117"/>
      <c r="Q6" s="109"/>
      <c r="R6" s="109"/>
      <c r="S6" s="117"/>
      <c r="T6" s="3040"/>
      <c r="U6" s="3040"/>
      <c r="V6" s="3040"/>
      <c r="W6" s="109"/>
      <c r="X6" s="109"/>
      <c r="Y6" s="109"/>
      <c r="Z6" s="1363"/>
      <c r="AA6" s="109"/>
      <c r="AB6" s="1370"/>
      <c r="AC6" s="3065" t="s">
        <v>1507</v>
      </c>
      <c r="AD6" s="3065"/>
      <c r="AE6" s="3065"/>
    </row>
    <row r="7" spans="1:32" s="120" customFormat="1" ht="24" customHeight="1">
      <c r="A7" s="1479"/>
      <c r="B7" s="1482"/>
      <c r="C7" s="118"/>
      <c r="D7" s="119"/>
      <c r="E7" s="3061" t="s">
        <v>1508</v>
      </c>
      <c r="F7" s="3061"/>
      <c r="G7" s="3061"/>
      <c r="H7" s="3061"/>
      <c r="I7" s="3061"/>
      <c r="J7" s="3061"/>
      <c r="K7" s="3061"/>
      <c r="L7" s="3061"/>
      <c r="M7" s="3061"/>
      <c r="N7" s="3061"/>
      <c r="O7" s="3061"/>
      <c r="P7" s="1473"/>
      <c r="Q7" s="3061" t="s">
        <v>1509</v>
      </c>
      <c r="R7" s="3061"/>
      <c r="S7" s="3061"/>
      <c r="T7" s="3061"/>
      <c r="U7" s="3061"/>
      <c r="V7" s="3061"/>
      <c r="W7" s="3061"/>
      <c r="X7" s="3061"/>
      <c r="Y7" s="3061"/>
      <c r="Z7" s="3061"/>
      <c r="AA7" s="3061"/>
      <c r="AB7" s="1371"/>
      <c r="AC7" s="3061" t="s">
        <v>1510</v>
      </c>
      <c r="AD7" s="3061"/>
      <c r="AE7" s="3061"/>
    </row>
    <row r="8" spans="1:32" ht="19.5" customHeight="1">
      <c r="A8" s="1479"/>
      <c r="B8" s="1480"/>
      <c r="C8" s="3046"/>
      <c r="D8" s="1474"/>
      <c r="E8" s="3062" t="s">
        <v>648</v>
      </c>
      <c r="F8" s="1471"/>
      <c r="G8" s="3062" t="s">
        <v>1274</v>
      </c>
      <c r="H8" s="1471"/>
      <c r="I8" s="3062" t="s">
        <v>1286</v>
      </c>
      <c r="J8" s="1471"/>
      <c r="K8" s="3062" t="s">
        <v>625</v>
      </c>
      <c r="L8" s="1471"/>
      <c r="M8" s="3062" t="s">
        <v>649</v>
      </c>
      <c r="N8" s="1471"/>
      <c r="O8" s="3062" t="s">
        <v>1783</v>
      </c>
      <c r="P8" s="1471"/>
      <c r="Q8" s="3038" t="s">
        <v>648</v>
      </c>
      <c r="R8" s="1471"/>
      <c r="S8" s="1471"/>
      <c r="T8" s="3039" t="s">
        <v>670</v>
      </c>
      <c r="U8" s="3038"/>
      <c r="V8" s="3038"/>
      <c r="W8" s="3059" t="s">
        <v>1288</v>
      </c>
      <c r="X8" s="1472"/>
      <c r="Y8" s="3040" t="s">
        <v>1287</v>
      </c>
      <c r="Z8" s="1364"/>
      <c r="AA8" s="3038" t="s">
        <v>1783</v>
      </c>
      <c r="AB8" s="1372"/>
      <c r="AC8" s="3050" t="str">
        <f>مفروضات!A14</f>
        <v>شش ماهه1401</v>
      </c>
      <c r="AD8" s="1474"/>
      <c r="AE8" s="123"/>
    </row>
    <row r="9" spans="1:32" ht="30.75" customHeight="1">
      <c r="A9" s="1479"/>
      <c r="B9" s="1480"/>
      <c r="C9" s="3046"/>
      <c r="D9" s="1474"/>
      <c r="E9" s="3039"/>
      <c r="F9" s="1471"/>
      <c r="G9" s="3039"/>
      <c r="H9" s="1471"/>
      <c r="I9" s="3039"/>
      <c r="J9" s="1471"/>
      <c r="K9" s="3039"/>
      <c r="L9" s="1471"/>
      <c r="M9" s="3039"/>
      <c r="N9" s="1471"/>
      <c r="O9" s="3039"/>
      <c r="P9" s="124"/>
      <c r="Q9" s="3039"/>
      <c r="R9" s="1471"/>
      <c r="S9" s="1471"/>
      <c r="T9" s="3044"/>
      <c r="U9" s="3038"/>
      <c r="V9" s="3038"/>
      <c r="W9" s="3060"/>
      <c r="X9" s="1472"/>
      <c r="Y9" s="3045"/>
      <c r="Z9" s="1364"/>
      <c r="AA9" s="3039"/>
      <c r="AB9" s="1372"/>
      <c r="AC9" s="3051"/>
      <c r="AD9" s="125"/>
      <c r="AE9" s="1470">
        <f>مفروضات!C14</f>
        <v>1400</v>
      </c>
    </row>
    <row r="10" spans="1:32" s="127" customFormat="1" ht="26.25" customHeight="1">
      <c r="A10" s="1483">
        <v>901</v>
      </c>
      <c r="B10" s="1484"/>
      <c r="C10" s="112" t="s">
        <v>650</v>
      </c>
      <c r="D10" s="112"/>
      <c r="E10" s="126">
        <v>2347769</v>
      </c>
      <c r="F10" s="126"/>
      <c r="G10" s="126"/>
      <c r="H10" s="126"/>
      <c r="I10" s="126">
        <v>0</v>
      </c>
      <c r="K10" s="126">
        <v>0</v>
      </c>
      <c r="L10" s="112"/>
      <c r="M10" s="126"/>
      <c r="N10" s="112"/>
      <c r="O10" s="128">
        <f>M10+G10+E10</f>
        <v>2347769</v>
      </c>
      <c r="P10" s="112"/>
      <c r="Q10" s="126">
        <v>0</v>
      </c>
      <c r="R10" s="126"/>
      <c r="S10" s="126">
        <v>0</v>
      </c>
      <c r="T10" s="126">
        <v>0</v>
      </c>
      <c r="U10" s="126"/>
      <c r="V10" s="112"/>
      <c r="W10" s="126">
        <v>0</v>
      </c>
      <c r="X10" s="126"/>
      <c r="Y10" s="126">
        <v>0</v>
      </c>
      <c r="Z10" s="1365"/>
      <c r="AA10" s="126">
        <f>Q10+T10+W10</f>
        <v>0</v>
      </c>
      <c r="AB10" s="1373">
        <f>O10-AA10</f>
        <v>2347769</v>
      </c>
      <c r="AC10" s="126">
        <f>SUMIF('98'!$B$3:$B$552,$A10,'98'!$U$3:$U$552)</f>
        <v>2402351</v>
      </c>
      <c r="AD10" s="112"/>
      <c r="AE10" s="126">
        <v>2347769</v>
      </c>
    </row>
    <row r="11" spans="1:32" s="127" customFormat="1" ht="26.25" customHeight="1">
      <c r="A11" s="1483">
        <v>902</v>
      </c>
      <c r="B11" s="1484"/>
      <c r="C11" s="112" t="s">
        <v>651</v>
      </c>
      <c r="D11" s="112"/>
      <c r="E11" s="126">
        <v>32318244</v>
      </c>
      <c r="F11" s="126"/>
      <c r="G11" s="128"/>
      <c r="H11" s="126"/>
      <c r="I11" s="126"/>
      <c r="K11" s="126"/>
      <c r="L11" s="112"/>
      <c r="M11" s="126"/>
      <c r="N11" s="112"/>
      <c r="O11" s="128">
        <f>M11+K11+I11+G11+E11</f>
        <v>32318244</v>
      </c>
      <c r="P11" s="112"/>
      <c r="Q11" s="128">
        <v>23234436</v>
      </c>
      <c r="R11" s="126"/>
      <c r="S11" s="126"/>
      <c r="T11" s="128"/>
      <c r="U11" s="128"/>
      <c r="V11" s="130"/>
      <c r="W11" s="126"/>
      <c r="X11" s="126"/>
      <c r="Y11" s="126">
        <v>-4835</v>
      </c>
      <c r="Z11" s="1366"/>
      <c r="AA11" s="126">
        <f>Q11+T11+W11</f>
        <v>23234436</v>
      </c>
      <c r="AB11" s="1373">
        <f>O11-AA11</f>
        <v>9083808</v>
      </c>
      <c r="AC11" s="126">
        <f>SUMIF('98'!$B$3:$B$552,$A11,'98'!$U$3:$U$552)</f>
        <v>8927940</v>
      </c>
      <c r="AD11" s="112"/>
      <c r="AE11" s="126">
        <v>9083808</v>
      </c>
    </row>
    <row r="12" spans="1:32" s="127" customFormat="1" ht="26.25" customHeight="1">
      <c r="A12" s="1483">
        <v>903</v>
      </c>
      <c r="B12" s="1484"/>
      <c r="C12" s="131" t="s">
        <v>652</v>
      </c>
      <c r="D12" s="112"/>
      <c r="E12" s="126">
        <v>1546047</v>
      </c>
      <c r="F12" s="126"/>
      <c r="G12" s="126"/>
      <c r="H12" s="126"/>
      <c r="I12" s="126"/>
      <c r="K12" s="126"/>
      <c r="L12" s="112"/>
      <c r="M12" s="126"/>
      <c r="N12" s="112"/>
      <c r="O12" s="128">
        <f>M12+K12+I12+G12+E12</f>
        <v>1546047</v>
      </c>
      <c r="P12" s="112"/>
      <c r="Q12" s="128">
        <v>882265</v>
      </c>
      <c r="R12" s="126"/>
      <c r="S12" s="126"/>
      <c r="T12" s="126"/>
      <c r="U12" s="126"/>
      <c r="V12" s="130"/>
      <c r="W12" s="126"/>
      <c r="X12" s="126"/>
      <c r="Y12" s="126">
        <v>119</v>
      </c>
      <c r="Z12" s="1366"/>
      <c r="AA12" s="126">
        <f>Q12+T12+W12</f>
        <v>882265</v>
      </c>
      <c r="AB12" s="1373">
        <f>O12-AA12</f>
        <v>663782</v>
      </c>
      <c r="AC12" s="126">
        <f>SUMIF('98'!$B$3:$B$552,$A12,'98'!$U$3:$U$552)</f>
        <v>925741</v>
      </c>
      <c r="AD12" s="112"/>
      <c r="AE12" s="126">
        <v>663782</v>
      </c>
    </row>
    <row r="13" spans="1:32" s="127" customFormat="1" ht="26.25" customHeight="1">
      <c r="A13" s="1483">
        <v>905</v>
      </c>
      <c r="B13" s="1484"/>
      <c r="C13" s="112" t="s">
        <v>654</v>
      </c>
      <c r="D13" s="112"/>
      <c r="E13" s="129">
        <v>660318</v>
      </c>
      <c r="F13" s="129"/>
      <c r="G13" s="132"/>
      <c r="H13" s="129"/>
      <c r="I13" s="129"/>
      <c r="K13" s="129"/>
      <c r="L13" s="112"/>
      <c r="M13" s="129"/>
      <c r="N13" s="112"/>
      <c r="O13" s="128">
        <f>M13+K13+I13+G13+E13</f>
        <v>660318</v>
      </c>
      <c r="P13" s="112"/>
      <c r="Q13" s="129">
        <v>558840</v>
      </c>
      <c r="R13" s="129"/>
      <c r="S13" s="129"/>
      <c r="T13" s="129"/>
      <c r="U13" s="129"/>
      <c r="V13" s="130"/>
      <c r="W13" s="129"/>
      <c r="X13" s="129"/>
      <c r="Y13" s="126">
        <v>1122</v>
      </c>
      <c r="Z13" s="1366"/>
      <c r="AA13" s="126">
        <f>Q13+T13+W13</f>
        <v>558840</v>
      </c>
      <c r="AB13" s="1373">
        <f>O13-AA13</f>
        <v>101478</v>
      </c>
      <c r="AC13" s="126">
        <f>SUMIF('98'!$B$3:$B$552,$A13,'98'!$U$3:$U$552)</f>
        <v>82376</v>
      </c>
      <c r="AD13" s="112"/>
      <c r="AE13" s="126">
        <v>101478</v>
      </c>
    </row>
    <row r="14" spans="1:32" s="127" customFormat="1" ht="26.25" customHeight="1">
      <c r="A14" s="1483">
        <v>904</v>
      </c>
      <c r="B14" s="1484"/>
      <c r="C14" s="112" t="s">
        <v>653</v>
      </c>
      <c r="D14" s="112"/>
      <c r="E14" s="133">
        <v>405901</v>
      </c>
      <c r="F14" s="129"/>
      <c r="G14" s="134"/>
      <c r="H14" s="133"/>
      <c r="I14" s="133"/>
      <c r="J14" s="135"/>
      <c r="K14" s="133"/>
      <c r="L14" s="112"/>
      <c r="M14" s="133"/>
      <c r="N14" s="112"/>
      <c r="O14" s="128">
        <f>M14+K14+I14+G14+E14</f>
        <v>405901</v>
      </c>
      <c r="P14" s="112"/>
      <c r="Q14" s="134">
        <v>284916</v>
      </c>
      <c r="R14" s="129"/>
      <c r="S14" s="133"/>
      <c r="T14" s="134"/>
      <c r="U14" s="134"/>
      <c r="V14" s="130"/>
      <c r="W14" s="133"/>
      <c r="X14" s="129"/>
      <c r="Y14" s="126">
        <v>4</v>
      </c>
      <c r="Z14" s="1366"/>
      <c r="AA14" s="126">
        <f>Q14+T14+W14</f>
        <v>284916</v>
      </c>
      <c r="AB14" s="1373">
        <f>O14-AA14</f>
        <v>120985</v>
      </c>
      <c r="AC14" s="126">
        <f>SUMIF('98'!$B$3:$B$552,$A14,'98'!$U$3:$U$552)</f>
        <v>136907</v>
      </c>
      <c r="AD14" s="112"/>
      <c r="AE14" s="126">
        <v>120985</v>
      </c>
    </row>
    <row r="15" spans="1:32" s="127" customFormat="1" ht="24.75" customHeight="1">
      <c r="A15" s="1483"/>
      <c r="B15" s="1485"/>
      <c r="C15" s="112"/>
      <c r="D15" s="112"/>
      <c r="E15" s="133">
        <v>37278279</v>
      </c>
      <c r="F15" s="129"/>
      <c r="G15" s="133">
        <f>SUM(G10:G14)</f>
        <v>0</v>
      </c>
      <c r="H15" s="129"/>
      <c r="I15" s="133">
        <f>SUM(I10:I14)</f>
        <v>0</v>
      </c>
      <c r="J15" s="129"/>
      <c r="K15" s="133">
        <f>SUM(K10:K14)</f>
        <v>0</v>
      </c>
      <c r="L15" s="129"/>
      <c r="M15" s="133">
        <f>SUM(M10:M14)</f>
        <v>0</v>
      </c>
      <c r="N15" s="129"/>
      <c r="O15" s="579">
        <f>M15+K15+I15+G15+E15</f>
        <v>37278279</v>
      </c>
      <c r="P15" s="129"/>
      <c r="Q15" s="133">
        <v>24960457</v>
      </c>
      <c r="R15" s="133"/>
      <c r="S15" s="133">
        <f>SUM(S10:S14)</f>
        <v>0</v>
      </c>
      <c r="T15" s="133">
        <f>SUM(T10:T14)</f>
        <v>0</v>
      </c>
      <c r="U15" s="133"/>
      <c r="V15" s="129"/>
      <c r="W15" s="133">
        <f>SUM(W10:W14)</f>
        <v>0</v>
      </c>
      <c r="X15" s="129"/>
      <c r="Y15" s="136">
        <f>SUM(Y11:Y14)</f>
        <v>-3590</v>
      </c>
      <c r="Z15" s="1367"/>
      <c r="AA15" s="136">
        <f>SUM(AA10:AA14)</f>
        <v>24960457</v>
      </c>
      <c r="AB15" s="1373">
        <f>SUM(AB10:AB14)</f>
        <v>12317822</v>
      </c>
      <c r="AC15" s="136">
        <f>SUM(AC10:AC14)</f>
        <v>12475315</v>
      </c>
      <c r="AD15" s="129"/>
      <c r="AE15" s="136">
        <v>12317822</v>
      </c>
    </row>
    <row r="16" spans="1:32" s="127" customFormat="1" ht="29.25" customHeight="1">
      <c r="A16" s="1486">
        <v>906</v>
      </c>
      <c r="B16" s="1487"/>
      <c r="C16" s="137" t="s">
        <v>1505</v>
      </c>
      <c r="D16" s="137"/>
      <c r="E16" s="128">
        <v>2794262</v>
      </c>
      <c r="F16" s="128"/>
      <c r="G16" s="128">
        <f>'15'!M47</f>
        <v>45590818</v>
      </c>
      <c r="H16" s="128"/>
      <c r="I16" s="1188">
        <v>0</v>
      </c>
      <c r="J16" s="128"/>
      <c r="K16" s="128">
        <f>'15'!N40</f>
        <v>10610</v>
      </c>
      <c r="L16" s="128"/>
      <c r="M16" s="128">
        <f>'15'!O47+'15'!P47</f>
        <v>-11029331</v>
      </c>
      <c r="N16" s="126"/>
      <c r="O16" s="126">
        <f>SUMIF('98'!$B$3:$B$552,$A16,'98'!$U$3:$U$552)</f>
        <v>7024794</v>
      </c>
      <c r="P16" s="112"/>
      <c r="Q16" s="3052"/>
      <c r="R16" s="3053"/>
      <c r="S16" s="3053"/>
      <c r="T16" s="3053"/>
      <c r="U16" s="3053"/>
      <c r="V16" s="3053"/>
      <c r="W16" s="3053"/>
      <c r="X16" s="3053"/>
      <c r="Y16" s="3053"/>
      <c r="Z16" s="3053"/>
      <c r="AA16" s="3054"/>
      <c r="AB16" s="1373">
        <f>O16-AA16</f>
        <v>7024794</v>
      </c>
      <c r="AC16" s="126">
        <f>SUMIF('98'!$B$3:$B$552,$A16,'98'!$U$3:$U$552)+0</f>
        <v>7024794</v>
      </c>
      <c r="AD16" s="138"/>
      <c r="AE16" s="126">
        <v>2794262</v>
      </c>
    </row>
    <row r="17" spans="1:32" s="127" customFormat="1" ht="32.25" customHeight="1">
      <c r="A17" s="1486">
        <v>907</v>
      </c>
      <c r="B17" s="1487"/>
      <c r="C17" s="139" t="s">
        <v>1506</v>
      </c>
      <c r="D17" s="140"/>
      <c r="E17" s="128">
        <v>2672997</v>
      </c>
      <c r="F17" s="126"/>
      <c r="G17" s="126">
        <f>O17-E17-K17</f>
        <v>1503752</v>
      </c>
      <c r="H17" s="126"/>
      <c r="I17" s="1189">
        <v>0</v>
      </c>
      <c r="J17" s="126"/>
      <c r="K17" s="126">
        <f>'17'!N36</f>
        <v>0</v>
      </c>
      <c r="L17" s="126"/>
      <c r="M17" s="1189">
        <v>0</v>
      </c>
      <c r="N17" s="126"/>
      <c r="O17" s="126">
        <f>SUMIF('98'!$B$3:$B$552,$A17,'98'!$U$3:$U$552)</f>
        <v>4176749</v>
      </c>
      <c r="P17" s="112"/>
      <c r="Q17" s="3052"/>
      <c r="R17" s="3053"/>
      <c r="S17" s="3053"/>
      <c r="T17" s="3053"/>
      <c r="U17" s="3053"/>
      <c r="V17" s="3053"/>
      <c r="W17" s="3053"/>
      <c r="X17" s="3053"/>
      <c r="Y17" s="3053"/>
      <c r="Z17" s="3053"/>
      <c r="AA17" s="3054"/>
      <c r="AB17" s="1373">
        <f>O17-AA17</f>
        <v>4176749</v>
      </c>
      <c r="AC17" s="126">
        <f>SUMIF('98'!$B$3:$B$552,$A17,'98'!$U$3:$U$552)</f>
        <v>4176749</v>
      </c>
      <c r="AD17" s="138"/>
      <c r="AE17" s="126">
        <v>2672997</v>
      </c>
    </row>
    <row r="18" spans="1:32" s="127" customFormat="1" ht="24" customHeight="1">
      <c r="A18" s="1486">
        <v>908</v>
      </c>
      <c r="B18" s="1487"/>
      <c r="C18" s="140" t="s">
        <v>1323</v>
      </c>
      <c r="D18" s="140"/>
      <c r="E18" s="128">
        <v>108099</v>
      </c>
      <c r="F18" s="128"/>
      <c r="G18" s="126">
        <f>O18-E18-K18</f>
        <v>-70157</v>
      </c>
      <c r="H18" s="128"/>
      <c r="I18" s="1188">
        <v>0</v>
      </c>
      <c r="J18" s="128"/>
      <c r="K18" s="128">
        <f>'17'!N44</f>
        <v>0</v>
      </c>
      <c r="L18" s="128"/>
      <c r="M18" s="1189">
        <v>0</v>
      </c>
      <c r="N18" s="128"/>
      <c r="O18" s="126">
        <f>SUMIF('98'!$B$3:$B$552,$A18,'98'!$U$3:$U$552)</f>
        <v>37942</v>
      </c>
      <c r="P18" s="112"/>
      <c r="Q18" s="3055"/>
      <c r="R18" s="3056"/>
      <c r="S18" s="3056"/>
      <c r="T18" s="3056"/>
      <c r="U18" s="3056"/>
      <c r="V18" s="3056"/>
      <c r="W18" s="3056"/>
      <c r="X18" s="3056"/>
      <c r="Y18" s="3056"/>
      <c r="Z18" s="3056"/>
      <c r="AA18" s="3057"/>
      <c r="AB18" s="1373">
        <f>O18-AA18</f>
        <v>37942</v>
      </c>
      <c r="AC18" s="126">
        <f>SUMIF('98'!$B$3:$B$552,$A18,'98'!$U$3:$U$552)</f>
        <v>37942</v>
      </c>
      <c r="AD18" s="138"/>
      <c r="AE18" s="126">
        <v>108099</v>
      </c>
    </row>
    <row r="19" spans="1:32" ht="28.5" customHeight="1" thickBot="1">
      <c r="A19" s="1488">
        <v>9</v>
      </c>
      <c r="B19" s="1489"/>
      <c r="C19" s="141"/>
      <c r="D19" s="141"/>
      <c r="E19" s="142">
        <v>42853637</v>
      </c>
      <c r="F19" s="143"/>
      <c r="G19" s="142">
        <f>SUM(G15:G18)</f>
        <v>47024413</v>
      </c>
      <c r="H19" s="143"/>
      <c r="I19" s="142">
        <f>SUM(I15:I18)</f>
        <v>0</v>
      </c>
      <c r="J19" s="143"/>
      <c r="K19" s="142">
        <f>SUM(K15:K18)</f>
        <v>10610</v>
      </c>
      <c r="L19" s="143"/>
      <c r="M19" s="1348">
        <v>0</v>
      </c>
      <c r="N19" s="143"/>
      <c r="O19" s="142">
        <f>SUM(O15:O18)</f>
        <v>48517764</v>
      </c>
      <c r="P19" s="143"/>
      <c r="Q19" s="144">
        <f>SUM(Q15:Q18)</f>
        <v>24960457</v>
      </c>
      <c r="R19" s="143"/>
      <c r="S19" s="143"/>
      <c r="T19" s="144">
        <f>SUM(T15:T18)</f>
        <v>0</v>
      </c>
      <c r="U19" s="143"/>
      <c r="V19" s="143"/>
      <c r="W19" s="144">
        <f>SUM(W15:W18)</f>
        <v>0</v>
      </c>
      <c r="X19" s="143"/>
      <c r="Y19" s="142">
        <f>SUM(Y15)</f>
        <v>-3590</v>
      </c>
      <c r="Z19" s="1368"/>
      <c r="AA19" s="144">
        <f>SUM(AA15:AA18)</f>
        <v>24960457</v>
      </c>
      <c r="AB19" s="1374">
        <f>SUM(AB15:AB18)</f>
        <v>23557307</v>
      </c>
      <c r="AC19" s="142">
        <f>AC18+AC17+AC16+AC15</f>
        <v>23714800</v>
      </c>
      <c r="AD19" s="143"/>
      <c r="AE19" s="142">
        <v>17893180</v>
      </c>
    </row>
    <row r="20" spans="1:32" ht="27" thickTop="1">
      <c r="A20" s="1490"/>
      <c r="B20" s="1491"/>
      <c r="C20" s="145"/>
      <c r="D20" s="145"/>
      <c r="E20" s="962"/>
      <c r="F20" s="736"/>
      <c r="G20" s="963"/>
      <c r="H20" s="736"/>
      <c r="I20" s="964"/>
      <c r="J20" s="736"/>
      <c r="K20" s="965"/>
      <c r="L20" s="736"/>
      <c r="M20" s="964"/>
      <c r="N20" s="145"/>
      <c r="O20" s="146"/>
      <c r="P20" s="145"/>
      <c r="Q20" s="145"/>
      <c r="R20" s="145"/>
      <c r="S20" s="145"/>
      <c r="T20" s="145"/>
      <c r="U20" s="145"/>
      <c r="V20" s="145"/>
      <c r="W20" s="145"/>
      <c r="X20" s="145"/>
      <c r="Y20" s="147">
        <f>AA20-AC19</f>
        <v>-23714800</v>
      </c>
      <c r="Z20" s="145"/>
      <c r="AA20" s="735"/>
      <c r="AB20" s="1375">
        <f>SUM(AB15:AB18)</f>
        <v>23557307</v>
      </c>
      <c r="AC20" s="737">
        <f>AC19-AB20</f>
        <v>157493</v>
      </c>
      <c r="AD20" s="145"/>
      <c r="AE20" s="148">
        <v>9</v>
      </c>
    </row>
    <row r="21" spans="1:32" ht="10.5" customHeight="1">
      <c r="A21" s="1490"/>
      <c r="B21" s="1491"/>
      <c r="C21" s="145"/>
      <c r="D21" s="145"/>
      <c r="E21" s="962"/>
      <c r="F21" s="736"/>
      <c r="G21" s="963"/>
      <c r="H21" s="736"/>
      <c r="I21" s="964"/>
      <c r="J21" s="736"/>
      <c r="K21" s="966">
        <f>G19-1056668</f>
        <v>45967745</v>
      </c>
      <c r="L21" s="736"/>
      <c r="M21" s="964"/>
      <c r="N21" s="145"/>
      <c r="O21" s="146"/>
      <c r="P21" s="145"/>
      <c r="Q21" s="145"/>
      <c r="R21" s="145"/>
      <c r="S21" s="145"/>
      <c r="T21" s="145"/>
      <c r="U21" s="145"/>
      <c r="V21" s="145"/>
      <c r="W21" s="145"/>
      <c r="X21" s="145"/>
      <c r="Y21" s="147"/>
      <c r="Z21" s="145"/>
      <c r="AA21" s="735"/>
      <c r="AB21" s="1375"/>
      <c r="AC21" s="737"/>
      <c r="AD21" s="145"/>
      <c r="AE21" s="148"/>
    </row>
    <row r="22" spans="1:32" s="353" customFormat="1">
      <c r="A22" s="1490"/>
      <c r="B22" s="1491"/>
      <c r="C22" s="736"/>
      <c r="D22" s="736"/>
      <c r="E22" s="962"/>
      <c r="F22" s="736"/>
      <c r="G22" s="963"/>
      <c r="H22" s="736"/>
      <c r="I22" s="964"/>
      <c r="J22" s="736"/>
      <c r="K22" s="965"/>
      <c r="L22" s="736"/>
      <c r="M22" s="964"/>
      <c r="N22" s="736"/>
      <c r="O22" s="1395"/>
      <c r="P22" s="736"/>
      <c r="Q22" s="736"/>
      <c r="R22" s="736"/>
      <c r="S22" s="736"/>
      <c r="T22" s="736"/>
      <c r="U22" s="736"/>
      <c r="V22" s="736"/>
      <c r="W22" s="736"/>
      <c r="X22" s="736"/>
      <c r="Y22" s="735"/>
      <c r="Z22" s="736"/>
      <c r="AA22" s="735"/>
      <c r="AB22" s="1375"/>
      <c r="AC22" s="1375"/>
      <c r="AD22" s="736"/>
      <c r="AE22" s="1396"/>
    </row>
    <row r="23" spans="1:32" ht="29.25" customHeight="1">
      <c r="B23" s="1492"/>
      <c r="C23" s="3048" t="s">
        <v>1921</v>
      </c>
      <c r="D23" s="3048"/>
      <c r="E23" s="3048"/>
      <c r="F23" s="3048"/>
      <c r="G23" s="3048"/>
      <c r="H23" s="3048"/>
      <c r="I23" s="3048"/>
      <c r="J23" s="3048"/>
      <c r="K23" s="3048"/>
      <c r="L23" s="3048"/>
      <c r="M23" s="3048"/>
      <c r="N23" s="3048"/>
      <c r="O23" s="3048"/>
      <c r="P23" s="3048"/>
      <c r="Q23" s="3048"/>
      <c r="R23" s="3048"/>
      <c r="S23" s="3048"/>
      <c r="T23" s="3048"/>
      <c r="U23" s="3048"/>
      <c r="V23" s="3048"/>
      <c r="W23" s="3048"/>
      <c r="X23" s="3048"/>
      <c r="Y23" s="3048"/>
      <c r="Z23" s="3048"/>
      <c r="AA23" s="3048"/>
      <c r="AB23" s="3048"/>
      <c r="AC23" s="3048"/>
      <c r="AD23" s="3048"/>
      <c r="AE23" s="3048"/>
      <c r="AF23" s="864"/>
    </row>
    <row r="24" spans="1:32" ht="50.25" customHeight="1">
      <c r="B24" s="1493"/>
      <c r="C24" s="3048" t="s">
        <v>1922</v>
      </c>
      <c r="D24" s="3048"/>
      <c r="E24" s="3048"/>
      <c r="F24" s="3048"/>
      <c r="G24" s="3048"/>
      <c r="H24" s="3048"/>
      <c r="I24" s="3048"/>
      <c r="J24" s="3048"/>
      <c r="K24" s="3048"/>
      <c r="L24" s="3048"/>
      <c r="M24" s="3048"/>
      <c r="N24" s="3048"/>
      <c r="O24" s="3048"/>
      <c r="P24" s="3048"/>
      <c r="Q24" s="3048"/>
      <c r="R24" s="3048"/>
      <c r="S24" s="3048"/>
      <c r="T24" s="3048"/>
      <c r="U24" s="3048"/>
      <c r="V24" s="3048"/>
      <c r="W24" s="3048"/>
      <c r="X24" s="3048"/>
      <c r="Y24" s="3048"/>
      <c r="Z24" s="3048"/>
      <c r="AA24" s="3048"/>
      <c r="AB24" s="3048"/>
      <c r="AC24" s="3048"/>
      <c r="AD24" s="3048"/>
      <c r="AE24" s="3048"/>
      <c r="AF24" s="950"/>
    </row>
    <row r="25" spans="1:32" s="353" customFormat="1" ht="104.25" customHeight="1">
      <c r="A25" s="1434"/>
      <c r="G25" s="353">
        <f>4528697+'صورت جریان نقدی'!J14</f>
        <v>4528697</v>
      </c>
      <c r="I25" s="1516">
        <f>G19+'4'!F16</f>
        <v>47024413</v>
      </c>
      <c r="AB25" s="890"/>
    </row>
    <row r="26" spans="1:32" s="1512" customFormat="1" ht="34.5" customHeight="1">
      <c r="A26" s="1510">
        <v>14</v>
      </c>
      <c r="B26" s="1511"/>
      <c r="C26" s="3058">
        <v>14</v>
      </c>
      <c r="D26" s="3058"/>
      <c r="E26" s="3058"/>
      <c r="F26" s="3058"/>
      <c r="G26" s="3058"/>
      <c r="H26" s="3058"/>
      <c r="I26" s="3058"/>
      <c r="J26" s="3058"/>
      <c r="K26" s="3058"/>
      <c r="L26" s="3058"/>
      <c r="M26" s="3058"/>
      <c r="N26" s="3058"/>
      <c r="O26" s="3058"/>
      <c r="P26" s="3058"/>
      <c r="Q26" s="3058"/>
      <c r="R26" s="3058"/>
      <c r="S26" s="3058"/>
      <c r="T26" s="3058"/>
      <c r="U26" s="3058"/>
      <c r="V26" s="3058"/>
      <c r="W26" s="3058"/>
      <c r="X26" s="3058"/>
      <c r="Y26" s="3058"/>
      <c r="Z26" s="3058"/>
      <c r="AA26" s="3058"/>
      <c r="AB26" s="3058"/>
      <c r="AC26" s="3058"/>
      <c r="AD26" s="3058"/>
      <c r="AE26" s="3058"/>
    </row>
    <row r="27" spans="1:32">
      <c r="N27" s="386"/>
      <c r="O27" s="386"/>
      <c r="P27" s="386"/>
    </row>
    <row r="28" spans="1:32" ht="60" customHeight="1">
      <c r="B28" s="1493" t="s">
        <v>1684</v>
      </c>
      <c r="C28" s="3049" t="s">
        <v>1699</v>
      </c>
      <c r="D28" s="3049"/>
      <c r="E28" s="3049"/>
      <c r="F28" s="3049"/>
      <c r="G28" s="3049"/>
      <c r="H28" s="3049"/>
      <c r="I28" s="3049"/>
      <c r="J28" s="3049"/>
      <c r="K28" s="3049"/>
      <c r="L28" s="3049"/>
      <c r="M28" s="3049"/>
      <c r="N28" s="3049"/>
      <c r="O28" s="3049"/>
      <c r="P28" s="3049"/>
      <c r="Q28" s="3049"/>
      <c r="R28" s="3049"/>
      <c r="S28" s="3049"/>
      <c r="T28" s="3049"/>
      <c r="U28" s="3049"/>
      <c r="V28" s="3049"/>
      <c r="W28" s="3049"/>
      <c r="X28" s="3049"/>
      <c r="Y28" s="3049"/>
      <c r="Z28" s="3049"/>
      <c r="AA28" s="3049"/>
      <c r="AB28" s="3049"/>
      <c r="AC28" s="3049"/>
      <c r="AD28" s="3049"/>
      <c r="AE28" s="3049"/>
      <c r="AF28" s="950"/>
    </row>
    <row r="34" ht="56.25" customHeight="1"/>
    <row r="53" spans="10:10">
      <c r="J53" s="110">
        <v>-7717613</v>
      </c>
    </row>
  </sheetData>
  <mergeCells count="29">
    <mergeCell ref="A1:AF1"/>
    <mergeCell ref="A2:AF2"/>
    <mergeCell ref="A3:AF3"/>
    <mergeCell ref="B5:C5"/>
    <mergeCell ref="T6:V6"/>
    <mergeCell ref="AC6:AE6"/>
    <mergeCell ref="E7:O7"/>
    <mergeCell ref="Q7:AA7"/>
    <mergeCell ref="AC7:AE7"/>
    <mergeCell ref="C8:C9"/>
    <mergeCell ref="E8:E9"/>
    <mergeCell ref="G8:G9"/>
    <mergeCell ref="I8:I9"/>
    <mergeCell ref="K8:K9"/>
    <mergeCell ref="M8:M9"/>
    <mergeCell ref="O8:O9"/>
    <mergeCell ref="C28:AE28"/>
    <mergeCell ref="AA8:AA9"/>
    <mergeCell ref="AC8:AC9"/>
    <mergeCell ref="Q16:AA18"/>
    <mergeCell ref="C23:AE23"/>
    <mergeCell ref="C24:AE24"/>
    <mergeCell ref="C26:AE26"/>
    <mergeCell ref="Q8:Q9"/>
    <mergeCell ref="T8:T9"/>
    <mergeCell ref="U8:U9"/>
    <mergeCell ref="V8:V9"/>
    <mergeCell ref="W8:W9"/>
    <mergeCell ref="Y8:Y9"/>
  </mergeCells>
  <printOptions horizontalCentered="1" verticalCentered="1"/>
  <pageMargins left="0.17" right="0.18" top="0.25" bottom="0.21" header="0.17" footer="0.17"/>
  <pageSetup paperSize="9" scale="6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FF99"/>
  </sheetPr>
  <dimension ref="A1:W506"/>
  <sheetViews>
    <sheetView rightToLeft="1" zoomScale="74" zoomScaleNormal="74" zoomScaleSheetLayoutView="71" workbookViewId="0">
      <pane xSplit="4" ySplit="2" topLeftCell="I3" activePane="bottomRight" state="frozen"/>
      <selection activeCell="E19" sqref="E19:G19"/>
      <selection pane="topRight" activeCell="E19" sqref="E19:G19"/>
      <selection pane="bottomLeft" activeCell="E19" sqref="E19:G19"/>
      <selection pane="bottomRight" activeCell="E19" sqref="E19:G19"/>
    </sheetView>
  </sheetViews>
  <sheetFormatPr defaultColWidth="1.375" defaultRowHeight="19.5" customHeight="1"/>
  <cols>
    <col min="1" max="1" width="13" style="597" bestFit="1" customWidth="1"/>
    <col min="2" max="2" width="15.375" style="580" bestFit="1" customWidth="1"/>
    <col min="3" max="3" width="21.25" style="597" bestFit="1" customWidth="1"/>
    <col min="4" max="4" width="45" style="597" customWidth="1"/>
    <col min="5" max="5" width="21.375" style="597" bestFit="1" customWidth="1"/>
    <col min="6" max="6" width="20.25" style="597" hidden="1" customWidth="1"/>
    <col min="7" max="7" width="21.375" style="597" hidden="1" customWidth="1"/>
    <col min="8" max="8" width="20.25" style="597" bestFit="1" customWidth="1"/>
    <col min="9" max="9" width="17.125" style="597" bestFit="1" customWidth="1"/>
    <col min="10" max="10" width="18.5" style="597" bestFit="1" customWidth="1"/>
    <col min="11" max="11" width="17.125" style="597" bestFit="1" customWidth="1"/>
    <col min="12" max="12" width="20.25" style="597" bestFit="1" customWidth="1"/>
    <col min="13" max="13" width="21.375" style="597" bestFit="1" customWidth="1"/>
    <col min="14" max="15" width="20.875" style="597" bestFit="1" customWidth="1"/>
    <col min="16" max="16" width="30.5" style="597" customWidth="1"/>
    <col min="17" max="17" width="21.375" style="597" bestFit="1" customWidth="1"/>
    <col min="18" max="19" width="13" style="597" bestFit="1" customWidth="1"/>
    <col min="20" max="20" width="24" style="597" bestFit="1" customWidth="1"/>
    <col min="21" max="21" width="27.5" style="597" bestFit="1" customWidth="1"/>
    <col min="22" max="23" width="21.375" style="597" bestFit="1" customWidth="1"/>
    <col min="24" max="16384" width="1.375" style="597"/>
  </cols>
  <sheetData>
    <row r="1" spans="1:23" s="608" customFormat="1" ht="18.75" customHeight="1">
      <c r="A1" s="2964" t="s">
        <v>379</v>
      </c>
      <c r="B1" s="2965" t="s">
        <v>380</v>
      </c>
      <c r="C1" s="2966" t="s">
        <v>381</v>
      </c>
      <c r="D1" s="2966" t="s">
        <v>62</v>
      </c>
      <c r="E1" s="2963" t="s">
        <v>1368</v>
      </c>
      <c r="F1" s="2963" t="s">
        <v>1366</v>
      </c>
      <c r="G1" s="2963" t="s">
        <v>1367</v>
      </c>
      <c r="H1" s="2963" t="s">
        <v>1475</v>
      </c>
      <c r="I1" s="2963" t="s">
        <v>1437</v>
      </c>
      <c r="J1" s="2963" t="s">
        <v>1438</v>
      </c>
      <c r="K1" s="2963" t="s">
        <v>1439</v>
      </c>
      <c r="L1" s="2963" t="s">
        <v>1498</v>
      </c>
      <c r="M1" s="2963" t="s">
        <v>1498</v>
      </c>
      <c r="N1" s="2972" t="s">
        <v>1476</v>
      </c>
      <c r="O1" s="2972" t="s">
        <v>1476</v>
      </c>
      <c r="P1" s="2961" t="s">
        <v>1433</v>
      </c>
      <c r="Q1" s="2971">
        <v>1393</v>
      </c>
      <c r="R1" s="2961">
        <v>1394</v>
      </c>
      <c r="S1" s="2971">
        <v>1393</v>
      </c>
      <c r="T1" s="2969" t="s">
        <v>1473</v>
      </c>
      <c r="U1" s="2967" t="s">
        <v>1474</v>
      </c>
      <c r="V1" s="2961" t="s">
        <v>1470</v>
      </c>
      <c r="W1" s="2961" t="s">
        <v>1646</v>
      </c>
    </row>
    <row r="2" spans="1:23" s="609" customFormat="1" ht="22.5" hidden="1">
      <c r="A2" s="2964"/>
      <c r="B2" s="2965"/>
      <c r="C2" s="2966"/>
      <c r="D2" s="2966"/>
      <c r="E2" s="2963"/>
      <c r="F2" s="2963"/>
      <c r="G2" s="2963"/>
      <c r="H2" s="2963"/>
      <c r="I2" s="2963"/>
      <c r="J2" s="2963"/>
      <c r="K2" s="2963"/>
      <c r="L2" s="2963"/>
      <c r="M2" s="2963"/>
      <c r="N2" s="2973"/>
      <c r="O2" s="2973"/>
      <c r="P2" s="2962"/>
      <c r="Q2" s="2971"/>
      <c r="R2" s="2962"/>
      <c r="S2" s="2971"/>
      <c r="T2" s="2970"/>
      <c r="U2" s="2968"/>
      <c r="V2" s="2962"/>
      <c r="W2" s="2962"/>
    </row>
    <row r="3" spans="1:23" ht="27" hidden="1" customHeight="1">
      <c r="A3" s="583">
        <v>1012</v>
      </c>
      <c r="B3" s="581">
        <v>10</v>
      </c>
      <c r="C3" s="583" t="s">
        <v>425</v>
      </c>
      <c r="D3" s="583" t="s">
        <v>426</v>
      </c>
      <c r="E3" s="599">
        <v>-4626000</v>
      </c>
      <c r="F3" s="599"/>
      <c r="G3" s="599"/>
      <c r="H3" s="599"/>
      <c r="I3" s="599"/>
      <c r="J3" s="599"/>
      <c r="K3" s="599"/>
      <c r="L3" s="599"/>
      <c r="M3" s="599">
        <v>0</v>
      </c>
      <c r="N3" s="592"/>
      <c r="O3" s="592"/>
      <c r="P3" s="882">
        <f t="shared" ref="P3:P66" si="0">E3+F3+G3-N3+O3+H3+I3+J3+K3+L3</f>
        <v>-4626000</v>
      </c>
      <c r="Q3" s="599">
        <v>-11892487</v>
      </c>
      <c r="R3" s="882">
        <f t="shared" ref="R3:S66" si="1">ROUND((P3/1000000),0)</f>
        <v>-5</v>
      </c>
      <c r="S3" s="599">
        <f t="shared" si="1"/>
        <v>-12</v>
      </c>
      <c r="T3" s="620"/>
      <c r="U3" s="621"/>
      <c r="V3" s="882">
        <f t="shared" ref="V3:V66" si="2">P3-U3+T3</f>
        <v>-4626000</v>
      </c>
      <c r="W3" s="882">
        <f>ROUND((V3/1000000),0)</f>
        <v>-5</v>
      </c>
    </row>
    <row r="4" spans="1:23" ht="27" hidden="1" customHeight="1">
      <c r="A4" s="583">
        <v>1009</v>
      </c>
      <c r="B4" s="581">
        <v>10</v>
      </c>
      <c r="C4" s="583" t="s">
        <v>1202</v>
      </c>
      <c r="D4" s="583" t="s">
        <v>1082</v>
      </c>
      <c r="E4" s="599">
        <v>-4800000</v>
      </c>
      <c r="F4" s="599"/>
      <c r="G4" s="599"/>
      <c r="H4" s="599"/>
      <c r="I4" s="599"/>
      <c r="J4" s="599"/>
      <c r="K4" s="599"/>
      <c r="L4" s="599"/>
      <c r="M4" s="599">
        <v>0</v>
      </c>
      <c r="N4" s="592"/>
      <c r="O4" s="592"/>
      <c r="P4" s="882">
        <f t="shared" si="0"/>
        <v>-4800000</v>
      </c>
      <c r="Q4" s="599">
        <f>25223443-15322865</f>
        <v>9900578</v>
      </c>
      <c r="R4" s="882">
        <f t="shared" si="1"/>
        <v>-5</v>
      </c>
      <c r="S4" s="599">
        <f t="shared" si="1"/>
        <v>10</v>
      </c>
      <c r="T4" s="620"/>
      <c r="U4" s="621"/>
      <c r="V4" s="882">
        <f t="shared" si="2"/>
        <v>-4800000</v>
      </c>
      <c r="W4" s="882">
        <f t="shared" ref="W4:W67" si="3">ROUND((V4/1000000),0)</f>
        <v>-5</v>
      </c>
    </row>
    <row r="5" spans="1:23" ht="27" hidden="1" customHeight="1">
      <c r="A5" s="583">
        <v>401</v>
      </c>
      <c r="B5" s="581">
        <v>4</v>
      </c>
      <c r="C5" s="583" t="s">
        <v>825</v>
      </c>
      <c r="D5" s="583" t="s">
        <v>826</v>
      </c>
      <c r="E5" s="599">
        <v>87193158</v>
      </c>
      <c r="F5" s="599"/>
      <c r="G5" s="599"/>
      <c r="H5" s="599"/>
      <c r="I5" s="599"/>
      <c r="J5" s="599"/>
      <c r="K5" s="599"/>
      <c r="L5" s="599"/>
      <c r="M5" s="599">
        <v>0</v>
      </c>
      <c r="N5" s="592"/>
      <c r="O5" s="592"/>
      <c r="P5" s="882">
        <f t="shared" si="0"/>
        <v>87193158</v>
      </c>
      <c r="Q5" s="599">
        <v>195705586</v>
      </c>
      <c r="R5" s="882">
        <f t="shared" si="1"/>
        <v>87</v>
      </c>
      <c r="S5" s="599">
        <f t="shared" si="1"/>
        <v>196</v>
      </c>
      <c r="T5" s="620"/>
      <c r="U5" s="621"/>
      <c r="V5" s="882">
        <f t="shared" si="2"/>
        <v>87193158</v>
      </c>
      <c r="W5" s="882">
        <f t="shared" si="3"/>
        <v>87</v>
      </c>
    </row>
    <row r="6" spans="1:23" ht="27" hidden="1" customHeight="1">
      <c r="A6" s="583">
        <v>1009</v>
      </c>
      <c r="B6" s="581">
        <v>10</v>
      </c>
      <c r="C6" s="583" t="s">
        <v>607</v>
      </c>
      <c r="D6" s="583" t="s">
        <v>606</v>
      </c>
      <c r="E6" s="599">
        <v>-3333336</v>
      </c>
      <c r="F6" s="599"/>
      <c r="G6" s="599"/>
      <c r="H6" s="599"/>
      <c r="I6" s="599"/>
      <c r="J6" s="599"/>
      <c r="K6" s="599"/>
      <c r="L6" s="599"/>
      <c r="M6" s="599">
        <v>0</v>
      </c>
      <c r="N6" s="592"/>
      <c r="O6" s="592"/>
      <c r="P6" s="882">
        <f t="shared" si="0"/>
        <v>-3333336</v>
      </c>
      <c r="Q6" s="599">
        <v>-833334</v>
      </c>
      <c r="R6" s="882">
        <f t="shared" si="1"/>
        <v>-3</v>
      </c>
      <c r="S6" s="599">
        <f t="shared" si="1"/>
        <v>-1</v>
      </c>
      <c r="T6" s="620"/>
      <c r="U6" s="621"/>
      <c r="V6" s="882">
        <f t="shared" si="2"/>
        <v>-3333336</v>
      </c>
      <c r="W6" s="882">
        <f t="shared" si="3"/>
        <v>-3</v>
      </c>
    </row>
    <row r="7" spans="1:23" ht="27" hidden="1" customHeight="1">
      <c r="A7" s="583">
        <v>1009</v>
      </c>
      <c r="B7" s="581">
        <v>10</v>
      </c>
      <c r="C7" s="583" t="s">
        <v>873</v>
      </c>
      <c r="D7" s="583" t="s">
        <v>827</v>
      </c>
      <c r="E7" s="599"/>
      <c r="F7" s="599"/>
      <c r="G7" s="599"/>
      <c r="H7" s="599"/>
      <c r="I7" s="599"/>
      <c r="J7" s="599"/>
      <c r="K7" s="599"/>
      <c r="L7" s="599"/>
      <c r="M7" s="599">
        <v>0</v>
      </c>
      <c r="N7" s="592"/>
      <c r="O7" s="592"/>
      <c r="P7" s="882">
        <f t="shared" si="0"/>
        <v>0</v>
      </c>
      <c r="Q7" s="599">
        <v>-16</v>
      </c>
      <c r="R7" s="882">
        <f t="shared" si="1"/>
        <v>0</v>
      </c>
      <c r="S7" s="599">
        <f t="shared" si="1"/>
        <v>0</v>
      </c>
      <c r="T7" s="620"/>
      <c r="U7" s="621"/>
      <c r="V7" s="882">
        <f t="shared" si="2"/>
        <v>0</v>
      </c>
      <c r="W7" s="882">
        <f t="shared" si="3"/>
        <v>0</v>
      </c>
    </row>
    <row r="8" spans="1:23" ht="27" hidden="1" customHeight="1">
      <c r="A8" s="583">
        <v>1009</v>
      </c>
      <c r="B8" s="581">
        <v>10</v>
      </c>
      <c r="C8" s="583" t="s">
        <v>427</v>
      </c>
      <c r="D8" s="583" t="s">
        <v>775</v>
      </c>
      <c r="E8" s="599">
        <v>-69856767</v>
      </c>
      <c r="F8" s="599"/>
      <c r="G8" s="599"/>
      <c r="H8" s="599"/>
      <c r="I8" s="599"/>
      <c r="J8" s="599"/>
      <c r="K8" s="599"/>
      <c r="L8" s="599"/>
      <c r="M8" s="599">
        <v>0</v>
      </c>
      <c r="N8" s="592"/>
      <c r="O8" s="592"/>
      <c r="P8" s="882">
        <f t="shared" si="0"/>
        <v>-69856767</v>
      </c>
      <c r="Q8" s="599">
        <f>144287668-223444156</f>
        <v>-79156488</v>
      </c>
      <c r="R8" s="882">
        <f t="shared" si="1"/>
        <v>-70</v>
      </c>
      <c r="S8" s="599">
        <f t="shared" si="1"/>
        <v>-79</v>
      </c>
      <c r="T8" s="620"/>
      <c r="U8" s="621"/>
      <c r="V8" s="882">
        <f t="shared" si="2"/>
        <v>-69856767</v>
      </c>
      <c r="W8" s="882">
        <f t="shared" si="3"/>
        <v>-70</v>
      </c>
    </row>
    <row r="9" spans="1:23" ht="27" hidden="1" customHeight="1">
      <c r="A9" s="583">
        <v>1009</v>
      </c>
      <c r="B9" s="581">
        <v>10</v>
      </c>
      <c r="C9" s="583" t="s">
        <v>829</v>
      </c>
      <c r="D9" s="583" t="s">
        <v>830</v>
      </c>
      <c r="E9" s="599"/>
      <c r="F9" s="599"/>
      <c r="G9" s="599"/>
      <c r="H9" s="599"/>
      <c r="I9" s="599"/>
      <c r="J9" s="599"/>
      <c r="K9" s="599"/>
      <c r="L9" s="599"/>
      <c r="M9" s="599">
        <v>0</v>
      </c>
      <c r="N9" s="592"/>
      <c r="O9" s="592"/>
      <c r="P9" s="882">
        <f t="shared" si="0"/>
        <v>0</v>
      </c>
      <c r="Q9" s="599"/>
      <c r="R9" s="882">
        <f t="shared" si="1"/>
        <v>0</v>
      </c>
      <c r="S9" s="599">
        <f t="shared" si="1"/>
        <v>0</v>
      </c>
      <c r="T9" s="620"/>
      <c r="U9" s="621"/>
      <c r="V9" s="882">
        <f t="shared" si="2"/>
        <v>0</v>
      </c>
      <c r="W9" s="882">
        <f t="shared" si="3"/>
        <v>0</v>
      </c>
    </row>
    <row r="10" spans="1:23" ht="27" hidden="1" customHeight="1">
      <c r="A10" s="583">
        <v>401</v>
      </c>
      <c r="B10" s="581">
        <v>4</v>
      </c>
      <c r="C10" s="583" t="s">
        <v>1440</v>
      </c>
      <c r="D10" s="583" t="s">
        <v>1266</v>
      </c>
      <c r="E10" s="599"/>
      <c r="F10" s="599"/>
      <c r="G10" s="599"/>
      <c r="H10" s="599"/>
      <c r="I10" s="599"/>
      <c r="J10" s="599"/>
      <c r="K10" s="599"/>
      <c r="L10" s="599"/>
      <c r="M10" s="599">
        <v>0</v>
      </c>
      <c r="N10" s="592"/>
      <c r="O10" s="592"/>
      <c r="P10" s="882">
        <f t="shared" si="0"/>
        <v>0</v>
      </c>
      <c r="Q10" s="599"/>
      <c r="R10" s="882">
        <f t="shared" si="1"/>
        <v>0</v>
      </c>
      <c r="S10" s="599">
        <f t="shared" si="1"/>
        <v>0</v>
      </c>
      <c r="T10" s="620"/>
      <c r="U10" s="621"/>
      <c r="V10" s="882">
        <f t="shared" si="2"/>
        <v>0</v>
      </c>
      <c r="W10" s="882">
        <f t="shared" si="3"/>
        <v>0</v>
      </c>
    </row>
    <row r="11" spans="1:23" ht="27" hidden="1" customHeight="1">
      <c r="A11" s="583">
        <v>1009</v>
      </c>
      <c r="B11" s="581">
        <v>10</v>
      </c>
      <c r="C11" s="583" t="s">
        <v>1167</v>
      </c>
      <c r="D11" s="583" t="s">
        <v>1168</v>
      </c>
      <c r="E11" s="599"/>
      <c r="F11" s="599"/>
      <c r="G11" s="599"/>
      <c r="H11" s="599"/>
      <c r="I11" s="599"/>
      <c r="J11" s="599"/>
      <c r="K11" s="599"/>
      <c r="L11" s="599"/>
      <c r="M11" s="599">
        <v>0</v>
      </c>
      <c r="N11" s="592"/>
      <c r="O11" s="592"/>
      <c r="P11" s="882">
        <f t="shared" si="0"/>
        <v>0</v>
      </c>
      <c r="Q11" s="599">
        <v>-30800204</v>
      </c>
      <c r="R11" s="882">
        <f t="shared" si="1"/>
        <v>0</v>
      </c>
      <c r="S11" s="599">
        <f t="shared" si="1"/>
        <v>-31</v>
      </c>
      <c r="T11" s="620"/>
      <c r="U11" s="621"/>
      <c r="V11" s="882">
        <f t="shared" si="2"/>
        <v>0</v>
      </c>
      <c r="W11" s="882">
        <f t="shared" si="3"/>
        <v>0</v>
      </c>
    </row>
    <row r="12" spans="1:23" ht="27" hidden="1" customHeight="1">
      <c r="A12" s="583">
        <v>1009</v>
      </c>
      <c r="B12" s="581">
        <v>10</v>
      </c>
      <c r="C12" s="583" t="s">
        <v>1227</v>
      </c>
      <c r="D12" s="583" t="s">
        <v>1228</v>
      </c>
      <c r="E12" s="599">
        <v>-33135217</v>
      </c>
      <c r="F12" s="599">
        <v>2000000</v>
      </c>
      <c r="G12" s="599"/>
      <c r="H12" s="599"/>
      <c r="I12" s="599"/>
      <c r="J12" s="599"/>
      <c r="K12" s="599"/>
      <c r="L12" s="599"/>
      <c r="M12" s="599">
        <v>0</v>
      </c>
      <c r="N12" s="592"/>
      <c r="O12" s="592"/>
      <c r="P12" s="882">
        <f t="shared" si="0"/>
        <v>-31135217</v>
      </c>
      <c r="Q12" s="599">
        <f>2500000-4600000</f>
        <v>-2100000</v>
      </c>
      <c r="R12" s="882">
        <f t="shared" si="1"/>
        <v>-31</v>
      </c>
      <c r="S12" s="599">
        <f t="shared" si="1"/>
        <v>-2</v>
      </c>
      <c r="T12" s="620"/>
      <c r="U12" s="621"/>
      <c r="V12" s="882">
        <f t="shared" si="2"/>
        <v>-31135217</v>
      </c>
      <c r="W12" s="882">
        <f t="shared" si="3"/>
        <v>-31</v>
      </c>
    </row>
    <row r="13" spans="1:23" ht="27" hidden="1" customHeight="1">
      <c r="A13" s="583">
        <v>1009</v>
      </c>
      <c r="B13" s="581">
        <v>10</v>
      </c>
      <c r="C13" s="583" t="s">
        <v>430</v>
      </c>
      <c r="D13" s="583" t="s">
        <v>431</v>
      </c>
      <c r="E13" s="599">
        <v>-11025194</v>
      </c>
      <c r="F13" s="599"/>
      <c r="G13" s="599"/>
      <c r="H13" s="599"/>
      <c r="I13" s="599"/>
      <c r="J13" s="599"/>
      <c r="K13" s="599"/>
      <c r="L13" s="599"/>
      <c r="M13" s="599">
        <v>0</v>
      </c>
      <c r="N13" s="592"/>
      <c r="O13" s="592"/>
      <c r="P13" s="882">
        <f t="shared" si="0"/>
        <v>-11025194</v>
      </c>
      <c r="Q13" s="599">
        <v>-2376984</v>
      </c>
      <c r="R13" s="882">
        <f t="shared" si="1"/>
        <v>-11</v>
      </c>
      <c r="S13" s="599">
        <f t="shared" si="1"/>
        <v>-2</v>
      </c>
      <c r="T13" s="620"/>
      <c r="U13" s="621"/>
      <c r="V13" s="882">
        <f t="shared" si="2"/>
        <v>-11025194</v>
      </c>
      <c r="W13" s="882">
        <f t="shared" si="3"/>
        <v>-11</v>
      </c>
    </row>
    <row r="14" spans="1:23" ht="27" hidden="1" customHeight="1">
      <c r="A14" s="583">
        <v>401</v>
      </c>
      <c r="B14" s="581">
        <v>4</v>
      </c>
      <c r="C14" s="583" t="s">
        <v>432</v>
      </c>
      <c r="D14" s="583" t="s">
        <v>433</v>
      </c>
      <c r="E14" s="599">
        <v>80000000</v>
      </c>
      <c r="F14" s="599"/>
      <c r="G14" s="599"/>
      <c r="H14" s="599"/>
      <c r="I14" s="599"/>
      <c r="J14" s="599"/>
      <c r="K14" s="599"/>
      <c r="L14" s="599"/>
      <c r="M14" s="599">
        <v>0</v>
      </c>
      <c r="N14" s="592"/>
      <c r="O14" s="592"/>
      <c r="P14" s="882">
        <f t="shared" si="0"/>
        <v>80000000</v>
      </c>
      <c r="Q14" s="599">
        <f>229600000-188000000</f>
        <v>41600000</v>
      </c>
      <c r="R14" s="882">
        <f t="shared" si="1"/>
        <v>80</v>
      </c>
      <c r="S14" s="599">
        <f t="shared" si="1"/>
        <v>42</v>
      </c>
      <c r="T14" s="620"/>
      <c r="U14" s="621"/>
      <c r="V14" s="882">
        <f t="shared" si="2"/>
        <v>80000000</v>
      </c>
      <c r="W14" s="882">
        <f t="shared" si="3"/>
        <v>80</v>
      </c>
    </row>
    <row r="15" spans="1:23" ht="27" hidden="1" customHeight="1">
      <c r="A15" s="583">
        <v>401</v>
      </c>
      <c r="B15" s="581">
        <v>4</v>
      </c>
      <c r="C15" s="583" t="s">
        <v>925</v>
      </c>
      <c r="D15" s="583" t="s">
        <v>926</v>
      </c>
      <c r="E15" s="599"/>
      <c r="F15" s="599"/>
      <c r="G15" s="599"/>
      <c r="H15" s="599"/>
      <c r="I15" s="599"/>
      <c r="J15" s="599"/>
      <c r="K15" s="599"/>
      <c r="L15" s="599"/>
      <c r="M15" s="599">
        <v>0</v>
      </c>
      <c r="N15" s="592"/>
      <c r="O15" s="592"/>
      <c r="P15" s="882">
        <f t="shared" si="0"/>
        <v>0</v>
      </c>
      <c r="Q15" s="599"/>
      <c r="R15" s="882">
        <f t="shared" si="1"/>
        <v>0</v>
      </c>
      <c r="S15" s="599">
        <f t="shared" si="1"/>
        <v>0</v>
      </c>
      <c r="T15" s="620"/>
      <c r="U15" s="621"/>
      <c r="V15" s="882">
        <f t="shared" si="2"/>
        <v>0</v>
      </c>
      <c r="W15" s="882">
        <f t="shared" si="3"/>
        <v>0</v>
      </c>
    </row>
    <row r="16" spans="1:23" ht="27" hidden="1" customHeight="1">
      <c r="A16" s="583">
        <v>1009</v>
      </c>
      <c r="B16" s="581">
        <v>10</v>
      </c>
      <c r="C16" s="583" t="s">
        <v>434</v>
      </c>
      <c r="D16" s="583" t="s">
        <v>435</v>
      </c>
      <c r="E16" s="599">
        <v>-6592687</v>
      </c>
      <c r="F16" s="599">
        <v>6991995</v>
      </c>
      <c r="G16" s="599">
        <v>-399308</v>
      </c>
      <c r="H16" s="599"/>
      <c r="I16" s="599"/>
      <c r="J16" s="599"/>
      <c r="K16" s="599"/>
      <c r="L16" s="599"/>
      <c r="M16" s="599">
        <v>0</v>
      </c>
      <c r="N16" s="592"/>
      <c r="O16" s="592"/>
      <c r="P16" s="882">
        <f t="shared" si="0"/>
        <v>0</v>
      </c>
      <c r="Q16" s="599">
        <f>12418833-6991995</f>
        <v>5426838</v>
      </c>
      <c r="R16" s="882">
        <f t="shared" si="1"/>
        <v>0</v>
      </c>
      <c r="S16" s="599">
        <f t="shared" si="1"/>
        <v>5</v>
      </c>
      <c r="T16" s="620"/>
      <c r="U16" s="621"/>
      <c r="V16" s="882">
        <f t="shared" si="2"/>
        <v>0</v>
      </c>
      <c r="W16" s="882">
        <f t="shared" si="3"/>
        <v>0</v>
      </c>
    </row>
    <row r="17" spans="1:23" ht="27" hidden="1" customHeight="1">
      <c r="A17" s="583">
        <v>401</v>
      </c>
      <c r="B17" s="581">
        <v>4</v>
      </c>
      <c r="C17" s="583" t="s">
        <v>436</v>
      </c>
      <c r="D17" s="583" t="s">
        <v>437</v>
      </c>
      <c r="E17" s="599">
        <v>25177</v>
      </c>
      <c r="F17" s="599">
        <v>-25177</v>
      </c>
      <c r="G17" s="599"/>
      <c r="H17" s="599"/>
      <c r="I17" s="599"/>
      <c r="J17" s="599"/>
      <c r="K17" s="599"/>
      <c r="L17" s="599"/>
      <c r="M17" s="599">
        <v>0</v>
      </c>
      <c r="N17" s="592"/>
      <c r="O17" s="592"/>
      <c r="P17" s="882">
        <f t="shared" si="0"/>
        <v>0</v>
      </c>
      <c r="Q17" s="599">
        <v>30116</v>
      </c>
      <c r="R17" s="882">
        <f t="shared" si="1"/>
        <v>0</v>
      </c>
      <c r="S17" s="599">
        <f t="shared" si="1"/>
        <v>0</v>
      </c>
      <c r="T17" s="620"/>
      <c r="U17" s="621"/>
      <c r="V17" s="882">
        <f t="shared" si="2"/>
        <v>0</v>
      </c>
      <c r="W17" s="882">
        <f t="shared" si="3"/>
        <v>0</v>
      </c>
    </row>
    <row r="18" spans="1:23" ht="27" hidden="1" customHeight="1">
      <c r="A18" s="583">
        <v>1009</v>
      </c>
      <c r="B18" s="581">
        <v>10</v>
      </c>
      <c r="C18" s="583" t="s">
        <v>438</v>
      </c>
      <c r="D18" s="583" t="s">
        <v>176</v>
      </c>
      <c r="E18" s="599">
        <v>-379433624</v>
      </c>
      <c r="F18" s="599">
        <v>11435829</v>
      </c>
      <c r="G18" s="599"/>
      <c r="H18" s="599"/>
      <c r="I18" s="599"/>
      <c r="J18" s="599"/>
      <c r="K18" s="599"/>
      <c r="L18" s="599"/>
      <c r="M18" s="599">
        <v>0</v>
      </c>
      <c r="N18" s="592"/>
      <c r="O18" s="592"/>
      <c r="P18" s="882">
        <f t="shared" si="0"/>
        <v>-367997795</v>
      </c>
      <c r="Q18" s="599">
        <f>216877515-241513048</f>
        <v>-24635533</v>
      </c>
      <c r="R18" s="882">
        <f t="shared" si="1"/>
        <v>-368</v>
      </c>
      <c r="S18" s="599">
        <f t="shared" si="1"/>
        <v>-25</v>
      </c>
      <c r="T18" s="620"/>
      <c r="U18" s="621"/>
      <c r="V18" s="882">
        <f t="shared" si="2"/>
        <v>-367997795</v>
      </c>
      <c r="W18" s="882">
        <f t="shared" si="3"/>
        <v>-368</v>
      </c>
    </row>
    <row r="19" spans="1:23" ht="27" hidden="1" customHeight="1">
      <c r="A19" s="583">
        <v>401</v>
      </c>
      <c r="B19" s="581">
        <v>4</v>
      </c>
      <c r="C19" s="583" t="s">
        <v>1169</v>
      </c>
      <c r="D19" s="583" t="s">
        <v>1102</v>
      </c>
      <c r="E19" s="599"/>
      <c r="F19" s="599"/>
      <c r="G19" s="599"/>
      <c r="H19" s="599"/>
      <c r="I19" s="599"/>
      <c r="J19" s="599"/>
      <c r="K19" s="599"/>
      <c r="L19" s="599"/>
      <c r="M19" s="599">
        <v>0</v>
      </c>
      <c r="N19" s="592"/>
      <c r="O19" s="592"/>
      <c r="P19" s="882">
        <f t="shared" si="0"/>
        <v>0</v>
      </c>
      <c r="Q19" s="599">
        <f>21000000-18000000</f>
        <v>3000000</v>
      </c>
      <c r="R19" s="882">
        <f t="shared" si="1"/>
        <v>0</v>
      </c>
      <c r="S19" s="599">
        <f t="shared" si="1"/>
        <v>3</v>
      </c>
      <c r="T19" s="620"/>
      <c r="U19" s="621"/>
      <c r="V19" s="882">
        <f t="shared" si="2"/>
        <v>0</v>
      </c>
      <c r="W19" s="882">
        <f t="shared" si="3"/>
        <v>0</v>
      </c>
    </row>
    <row r="20" spans="1:23" ht="27" hidden="1" customHeight="1">
      <c r="A20" s="583">
        <v>1009</v>
      </c>
      <c r="B20" s="581">
        <v>10</v>
      </c>
      <c r="C20" s="583" t="s">
        <v>472</v>
      </c>
      <c r="D20" s="583" t="s">
        <v>473</v>
      </c>
      <c r="E20" s="599">
        <v>-2993123311</v>
      </c>
      <c r="F20" s="599">
        <v>139581109</v>
      </c>
      <c r="G20" s="599"/>
      <c r="H20" s="599"/>
      <c r="I20" s="599"/>
      <c r="J20" s="599"/>
      <c r="K20" s="599"/>
      <c r="L20" s="599"/>
      <c r="M20" s="599">
        <v>0</v>
      </c>
      <c r="N20" s="592"/>
      <c r="O20" s="592"/>
      <c r="P20" s="882">
        <f t="shared" si="0"/>
        <v>-2853542202</v>
      </c>
      <c r="Q20" s="599">
        <v>-2656373043</v>
      </c>
      <c r="R20" s="882">
        <f t="shared" si="1"/>
        <v>-2854</v>
      </c>
      <c r="S20" s="599">
        <f t="shared" si="1"/>
        <v>-2656</v>
      </c>
      <c r="T20" s="620"/>
      <c r="U20" s="621"/>
      <c r="V20" s="882">
        <f t="shared" si="2"/>
        <v>-2853542202</v>
      </c>
      <c r="W20" s="882">
        <f t="shared" si="3"/>
        <v>-2854</v>
      </c>
    </row>
    <row r="21" spans="1:23" ht="27" hidden="1" customHeight="1">
      <c r="A21" s="583">
        <v>1009</v>
      </c>
      <c r="B21" s="581">
        <v>10</v>
      </c>
      <c r="C21" s="583" t="s">
        <v>698</v>
      </c>
      <c r="D21" s="583" t="s">
        <v>927</v>
      </c>
      <c r="E21" s="599"/>
      <c r="F21" s="599"/>
      <c r="G21" s="599"/>
      <c r="H21" s="599"/>
      <c r="I21" s="599"/>
      <c r="J21" s="599"/>
      <c r="K21" s="599"/>
      <c r="L21" s="599"/>
      <c r="M21" s="599">
        <v>0</v>
      </c>
      <c r="N21" s="592"/>
      <c r="O21" s="592"/>
      <c r="P21" s="882">
        <f t="shared" si="0"/>
        <v>0</v>
      </c>
      <c r="Q21" s="599"/>
      <c r="R21" s="882">
        <f t="shared" si="1"/>
        <v>0</v>
      </c>
      <c r="S21" s="599">
        <f t="shared" si="1"/>
        <v>0</v>
      </c>
      <c r="T21" s="620"/>
      <c r="U21" s="621"/>
      <c r="V21" s="882">
        <f t="shared" si="2"/>
        <v>0</v>
      </c>
      <c r="W21" s="882">
        <f t="shared" si="3"/>
        <v>0</v>
      </c>
    </row>
    <row r="22" spans="1:23" ht="27" hidden="1" customHeight="1">
      <c r="A22" s="583">
        <v>1009</v>
      </c>
      <c r="B22" s="581">
        <v>10</v>
      </c>
      <c r="C22" s="583" t="s">
        <v>831</v>
      </c>
      <c r="D22" s="583" t="s">
        <v>552</v>
      </c>
      <c r="E22" s="599"/>
      <c r="F22" s="599"/>
      <c r="G22" s="599"/>
      <c r="H22" s="599"/>
      <c r="I22" s="599"/>
      <c r="J22" s="599"/>
      <c r="K22" s="599"/>
      <c r="L22" s="599"/>
      <c r="M22" s="599">
        <v>0</v>
      </c>
      <c r="N22" s="592"/>
      <c r="O22" s="592"/>
      <c r="P22" s="882">
        <f t="shared" si="0"/>
        <v>0</v>
      </c>
      <c r="Q22" s="599">
        <v>-52200000</v>
      </c>
      <c r="R22" s="882">
        <f t="shared" si="1"/>
        <v>0</v>
      </c>
      <c r="S22" s="599">
        <f t="shared" si="1"/>
        <v>-52</v>
      </c>
      <c r="T22" s="620"/>
      <c r="U22" s="621"/>
      <c r="V22" s="882">
        <f t="shared" si="2"/>
        <v>0</v>
      </c>
      <c r="W22" s="882">
        <f t="shared" si="3"/>
        <v>0</v>
      </c>
    </row>
    <row r="23" spans="1:23" ht="27" hidden="1" customHeight="1">
      <c r="A23" s="583">
        <v>401</v>
      </c>
      <c r="B23" s="581">
        <v>4</v>
      </c>
      <c r="C23" s="583" t="s">
        <v>128</v>
      </c>
      <c r="D23" s="583" t="s">
        <v>1083</v>
      </c>
      <c r="E23" s="599"/>
      <c r="F23" s="599"/>
      <c r="G23" s="599"/>
      <c r="H23" s="599"/>
      <c r="I23" s="599"/>
      <c r="J23" s="599"/>
      <c r="K23" s="599"/>
      <c r="L23" s="599"/>
      <c r="M23" s="599">
        <v>0</v>
      </c>
      <c r="N23" s="592"/>
      <c r="O23" s="592"/>
      <c r="P23" s="882">
        <f t="shared" si="0"/>
        <v>0</v>
      </c>
      <c r="Q23" s="599">
        <v>0</v>
      </c>
      <c r="R23" s="882">
        <f t="shared" si="1"/>
        <v>0</v>
      </c>
      <c r="S23" s="599">
        <f t="shared" si="1"/>
        <v>0</v>
      </c>
      <c r="T23" s="620"/>
      <c r="U23" s="621"/>
      <c r="V23" s="882">
        <f t="shared" si="2"/>
        <v>0</v>
      </c>
      <c r="W23" s="882">
        <f t="shared" si="3"/>
        <v>0</v>
      </c>
    </row>
    <row r="24" spans="1:23" ht="27" hidden="1" customHeight="1">
      <c r="A24" s="583">
        <v>1002</v>
      </c>
      <c r="B24" s="581">
        <v>10</v>
      </c>
      <c r="C24" s="583" t="s">
        <v>132</v>
      </c>
      <c r="D24" s="583" t="s">
        <v>133</v>
      </c>
      <c r="E24" s="599">
        <v>-5357743512</v>
      </c>
      <c r="F24" s="599">
        <v>-210000000</v>
      </c>
      <c r="G24" s="599"/>
      <c r="H24" s="599"/>
      <c r="I24" s="599"/>
      <c r="J24" s="599"/>
      <c r="K24" s="599"/>
      <c r="L24" s="599"/>
      <c r="M24" s="599">
        <v>0</v>
      </c>
      <c r="N24" s="592"/>
      <c r="O24" s="592"/>
      <c r="P24" s="882">
        <f t="shared" si="0"/>
        <v>-5567743512</v>
      </c>
      <c r="Q24" s="599">
        <f>129770229-3744661197</f>
        <v>-3614890968</v>
      </c>
      <c r="R24" s="882">
        <f t="shared" si="1"/>
        <v>-5568</v>
      </c>
      <c r="S24" s="599">
        <f t="shared" si="1"/>
        <v>-3615</v>
      </c>
      <c r="T24" s="620"/>
      <c r="U24" s="621"/>
      <c r="V24" s="882">
        <f t="shared" si="2"/>
        <v>-5567743512</v>
      </c>
      <c r="W24" s="882">
        <f t="shared" si="3"/>
        <v>-5568</v>
      </c>
    </row>
    <row r="25" spans="1:23" ht="27" hidden="1" customHeight="1">
      <c r="A25" s="583">
        <v>1301</v>
      </c>
      <c r="B25" s="581">
        <v>12</v>
      </c>
      <c r="C25" s="583" t="s">
        <v>134</v>
      </c>
      <c r="D25" s="583" t="s">
        <v>135</v>
      </c>
      <c r="E25" s="599">
        <v>-17463142926</v>
      </c>
      <c r="F25" s="599">
        <v>-642175025</v>
      </c>
      <c r="G25" s="599"/>
      <c r="H25" s="599"/>
      <c r="I25" s="599"/>
      <c r="J25" s="599"/>
      <c r="K25" s="599"/>
      <c r="L25" s="599"/>
      <c r="M25" s="599">
        <v>0</v>
      </c>
      <c r="N25" s="592"/>
      <c r="O25" s="592"/>
      <c r="P25" s="882">
        <f t="shared" si="0"/>
        <v>-18105317951</v>
      </c>
      <c r="Q25" s="599">
        <v>-11714570323</v>
      </c>
      <c r="R25" s="882">
        <f t="shared" si="1"/>
        <v>-18105</v>
      </c>
      <c r="S25" s="599">
        <f t="shared" si="1"/>
        <v>-11715</v>
      </c>
      <c r="T25" s="620"/>
      <c r="U25" s="621"/>
      <c r="V25" s="882">
        <f t="shared" si="2"/>
        <v>-18105317951</v>
      </c>
      <c r="W25" s="882">
        <f t="shared" si="3"/>
        <v>-18105</v>
      </c>
    </row>
    <row r="26" spans="1:23" ht="27" hidden="1" customHeight="1">
      <c r="A26" s="583">
        <v>1009</v>
      </c>
      <c r="B26" s="581">
        <v>10</v>
      </c>
      <c r="C26" s="583" t="s">
        <v>1170</v>
      </c>
      <c r="D26" s="583" t="s">
        <v>1171</v>
      </c>
      <c r="E26" s="599">
        <v>-100000</v>
      </c>
      <c r="F26" s="599"/>
      <c r="G26" s="599">
        <v>100000</v>
      </c>
      <c r="H26" s="599"/>
      <c r="I26" s="599"/>
      <c r="J26" s="599"/>
      <c r="K26" s="599"/>
      <c r="L26" s="599"/>
      <c r="M26" s="599">
        <v>0</v>
      </c>
      <c r="N26" s="592"/>
      <c r="O26" s="592"/>
      <c r="P26" s="882">
        <f t="shared" si="0"/>
        <v>0</v>
      </c>
      <c r="Q26" s="599">
        <v>-100000</v>
      </c>
      <c r="R26" s="882">
        <f t="shared" si="1"/>
        <v>0</v>
      </c>
      <c r="S26" s="599">
        <f t="shared" si="1"/>
        <v>0</v>
      </c>
      <c r="T26" s="620"/>
      <c r="U26" s="621"/>
      <c r="V26" s="882">
        <f t="shared" si="2"/>
        <v>0</v>
      </c>
      <c r="W26" s="882">
        <f t="shared" si="3"/>
        <v>0</v>
      </c>
    </row>
    <row r="27" spans="1:23" ht="27" hidden="1" customHeight="1">
      <c r="A27" s="583">
        <v>1009</v>
      </c>
      <c r="B27" s="581">
        <v>10</v>
      </c>
      <c r="C27" s="583" t="s">
        <v>1229</v>
      </c>
      <c r="D27" s="583" t="s">
        <v>1084</v>
      </c>
      <c r="E27" s="599"/>
      <c r="F27" s="599"/>
      <c r="G27" s="599"/>
      <c r="H27" s="599"/>
      <c r="I27" s="599"/>
      <c r="J27" s="599"/>
      <c r="K27" s="599"/>
      <c r="L27" s="599"/>
      <c r="M27" s="599">
        <v>0</v>
      </c>
      <c r="N27" s="592"/>
      <c r="O27" s="592"/>
      <c r="P27" s="882">
        <f t="shared" si="0"/>
        <v>0</v>
      </c>
      <c r="Q27" s="599">
        <v>-73712000</v>
      </c>
      <c r="R27" s="882">
        <f t="shared" si="1"/>
        <v>0</v>
      </c>
      <c r="S27" s="599">
        <f t="shared" si="1"/>
        <v>-74</v>
      </c>
      <c r="T27" s="620"/>
      <c r="U27" s="621"/>
      <c r="V27" s="882">
        <f t="shared" si="2"/>
        <v>0</v>
      </c>
      <c r="W27" s="882">
        <f t="shared" si="3"/>
        <v>0</v>
      </c>
    </row>
    <row r="28" spans="1:23" ht="27" hidden="1" customHeight="1">
      <c r="A28" s="583">
        <v>1009</v>
      </c>
      <c r="B28" s="581">
        <v>10</v>
      </c>
      <c r="C28" s="583" t="s">
        <v>136</v>
      </c>
      <c r="D28" s="583" t="s">
        <v>700</v>
      </c>
      <c r="E28" s="599">
        <v>-23280406</v>
      </c>
      <c r="F28" s="599">
        <v>-122125</v>
      </c>
      <c r="G28" s="599"/>
      <c r="H28" s="599"/>
      <c r="I28" s="599"/>
      <c r="J28" s="599"/>
      <c r="K28" s="599"/>
      <c r="L28" s="599"/>
      <c r="M28" s="599">
        <v>0</v>
      </c>
      <c r="N28" s="592"/>
      <c r="O28" s="592"/>
      <c r="P28" s="882">
        <f t="shared" si="0"/>
        <v>-23402531</v>
      </c>
      <c r="Q28" s="599">
        <f>-198292020-87892486</f>
        <v>-286184506</v>
      </c>
      <c r="R28" s="882">
        <f t="shared" si="1"/>
        <v>-23</v>
      </c>
      <c r="S28" s="599">
        <f t="shared" si="1"/>
        <v>-286</v>
      </c>
      <c r="T28" s="620"/>
      <c r="U28" s="621"/>
      <c r="V28" s="882">
        <f t="shared" si="2"/>
        <v>-23402531</v>
      </c>
      <c r="W28" s="882">
        <f t="shared" si="3"/>
        <v>-23</v>
      </c>
    </row>
    <row r="29" spans="1:23" ht="27" hidden="1" customHeight="1">
      <c r="A29" s="583">
        <v>401</v>
      </c>
      <c r="B29" s="581">
        <v>4</v>
      </c>
      <c r="C29" s="583" t="s">
        <v>928</v>
      </c>
      <c r="D29" s="583" t="s">
        <v>929</v>
      </c>
      <c r="E29" s="599">
        <v>43021721866</v>
      </c>
      <c r="F29" s="599">
        <v>-43021721866</v>
      </c>
      <c r="G29" s="599"/>
      <c r="H29" s="599"/>
      <c r="I29" s="599"/>
      <c r="J29" s="599"/>
      <c r="K29" s="599"/>
      <c r="L29" s="599"/>
      <c r="M29" s="599">
        <v>0</v>
      </c>
      <c r="N29" s="592"/>
      <c r="O29" s="592"/>
      <c r="P29" s="882">
        <f t="shared" si="0"/>
        <v>0</v>
      </c>
      <c r="Q29" s="599">
        <f>166546711948-29448499238-134962723748</f>
        <v>2135488962</v>
      </c>
      <c r="R29" s="882">
        <f t="shared" si="1"/>
        <v>0</v>
      </c>
      <c r="S29" s="599">
        <f t="shared" si="1"/>
        <v>2135</v>
      </c>
      <c r="T29" s="620"/>
      <c r="U29" s="621"/>
      <c r="V29" s="882">
        <f t="shared" si="2"/>
        <v>0</v>
      </c>
      <c r="W29" s="882">
        <f t="shared" si="3"/>
        <v>0</v>
      </c>
    </row>
    <row r="30" spans="1:23" ht="27" hidden="1" customHeight="1">
      <c r="A30" s="583">
        <v>1009</v>
      </c>
      <c r="B30" s="581">
        <v>10</v>
      </c>
      <c r="C30" s="583" t="s">
        <v>83</v>
      </c>
      <c r="D30" s="583" t="s">
        <v>931</v>
      </c>
      <c r="E30" s="599">
        <v>-10850304</v>
      </c>
      <c r="F30" s="599">
        <v>10850304</v>
      </c>
      <c r="G30" s="599"/>
      <c r="H30" s="599"/>
      <c r="I30" s="599"/>
      <c r="J30" s="599"/>
      <c r="K30" s="599"/>
      <c r="L30" s="599"/>
      <c r="M30" s="599">
        <v>0</v>
      </c>
      <c r="N30" s="592"/>
      <c r="O30" s="592"/>
      <c r="P30" s="882">
        <f t="shared" si="0"/>
        <v>0</v>
      </c>
      <c r="Q30" s="599"/>
      <c r="R30" s="882">
        <f t="shared" si="1"/>
        <v>0</v>
      </c>
      <c r="S30" s="599">
        <f t="shared" si="1"/>
        <v>0</v>
      </c>
      <c r="T30" s="620"/>
      <c r="U30" s="621"/>
      <c r="V30" s="882">
        <f t="shared" si="2"/>
        <v>0</v>
      </c>
      <c r="W30" s="882">
        <f t="shared" si="3"/>
        <v>0</v>
      </c>
    </row>
    <row r="31" spans="1:23" ht="27" hidden="1" customHeight="1">
      <c r="A31" s="583">
        <v>1009</v>
      </c>
      <c r="B31" s="581">
        <v>10</v>
      </c>
      <c r="C31" s="583" t="s">
        <v>212</v>
      </c>
      <c r="D31" s="583" t="s">
        <v>930</v>
      </c>
      <c r="E31" s="599">
        <v>-40942860014</v>
      </c>
      <c r="F31" s="599">
        <v>40942860014</v>
      </c>
      <c r="G31" s="599"/>
      <c r="H31" s="599"/>
      <c r="I31" s="599"/>
      <c r="J31" s="599"/>
      <c r="K31" s="599"/>
      <c r="L31" s="599"/>
      <c r="M31" s="599">
        <v>0</v>
      </c>
      <c r="N31" s="592"/>
      <c r="O31" s="592"/>
      <c r="P31" s="882">
        <f t="shared" si="0"/>
        <v>0</v>
      </c>
      <c r="Q31" s="599">
        <f>-164411222986+29448499238+134962723748</f>
        <v>0</v>
      </c>
      <c r="R31" s="882">
        <f t="shared" si="1"/>
        <v>0</v>
      </c>
      <c r="S31" s="599">
        <f t="shared" si="1"/>
        <v>0</v>
      </c>
      <c r="T31" s="620"/>
      <c r="U31" s="621"/>
      <c r="V31" s="882">
        <f t="shared" si="2"/>
        <v>0</v>
      </c>
      <c r="W31" s="882">
        <f t="shared" si="3"/>
        <v>0</v>
      </c>
    </row>
    <row r="32" spans="1:23" ht="27" hidden="1" customHeight="1">
      <c r="A32" s="583"/>
      <c r="B32" s="581" t="s">
        <v>765</v>
      </c>
      <c r="C32" s="583" t="s">
        <v>932</v>
      </c>
      <c r="D32" s="583" t="s">
        <v>934</v>
      </c>
      <c r="E32" s="599"/>
      <c r="F32" s="599"/>
      <c r="G32" s="599"/>
      <c r="H32" s="599"/>
      <c r="I32" s="599"/>
      <c r="J32" s="599"/>
      <c r="K32" s="599"/>
      <c r="L32" s="599"/>
      <c r="M32" s="599">
        <v>0</v>
      </c>
      <c r="N32" s="592"/>
      <c r="O32" s="592"/>
      <c r="P32" s="882">
        <f t="shared" si="0"/>
        <v>0</v>
      </c>
      <c r="Q32" s="599"/>
      <c r="R32" s="882">
        <f t="shared" si="1"/>
        <v>0</v>
      </c>
      <c r="S32" s="599">
        <f t="shared" si="1"/>
        <v>0</v>
      </c>
      <c r="T32" s="620"/>
      <c r="U32" s="621"/>
      <c r="V32" s="882">
        <f t="shared" si="2"/>
        <v>0</v>
      </c>
      <c r="W32" s="882">
        <f t="shared" si="3"/>
        <v>0</v>
      </c>
    </row>
    <row r="33" spans="1:23" ht="27" hidden="1" customHeight="1">
      <c r="A33" s="583"/>
      <c r="B33" s="581" t="s">
        <v>765</v>
      </c>
      <c r="C33" s="583" t="s">
        <v>1427</v>
      </c>
      <c r="D33" s="583" t="s">
        <v>935</v>
      </c>
      <c r="E33" s="599"/>
      <c r="F33" s="599"/>
      <c r="G33" s="599"/>
      <c r="H33" s="599"/>
      <c r="I33" s="599"/>
      <c r="J33" s="599"/>
      <c r="K33" s="599"/>
      <c r="L33" s="599"/>
      <c r="M33" s="599">
        <v>0</v>
      </c>
      <c r="N33" s="592"/>
      <c r="O33" s="592"/>
      <c r="P33" s="882">
        <f t="shared" si="0"/>
        <v>0</v>
      </c>
      <c r="Q33" s="599"/>
      <c r="R33" s="882">
        <f t="shared" si="1"/>
        <v>0</v>
      </c>
      <c r="S33" s="599">
        <f t="shared" si="1"/>
        <v>0</v>
      </c>
      <c r="T33" s="620"/>
      <c r="U33" s="621"/>
      <c r="V33" s="882">
        <f t="shared" si="2"/>
        <v>0</v>
      </c>
      <c r="W33" s="882">
        <f t="shared" si="3"/>
        <v>0</v>
      </c>
    </row>
    <row r="34" spans="1:23" ht="27" hidden="1" customHeight="1">
      <c r="A34" s="583">
        <v>1009</v>
      </c>
      <c r="B34" s="581">
        <v>10</v>
      </c>
      <c r="C34" s="583" t="s">
        <v>933</v>
      </c>
      <c r="D34" s="583" t="s">
        <v>936</v>
      </c>
      <c r="E34" s="599"/>
      <c r="F34" s="599"/>
      <c r="G34" s="599"/>
      <c r="H34" s="599"/>
      <c r="I34" s="599"/>
      <c r="J34" s="599"/>
      <c r="K34" s="599"/>
      <c r="L34" s="599"/>
      <c r="M34" s="599">
        <v>0</v>
      </c>
      <c r="N34" s="592"/>
      <c r="O34" s="592"/>
      <c r="P34" s="882">
        <f t="shared" si="0"/>
        <v>0</v>
      </c>
      <c r="Q34" s="599"/>
      <c r="R34" s="882">
        <f t="shared" si="1"/>
        <v>0</v>
      </c>
      <c r="S34" s="599">
        <f t="shared" si="1"/>
        <v>0</v>
      </c>
      <c r="T34" s="620"/>
      <c r="U34" s="621"/>
      <c r="V34" s="882">
        <f t="shared" si="2"/>
        <v>0</v>
      </c>
      <c r="W34" s="882">
        <f t="shared" si="3"/>
        <v>0</v>
      </c>
    </row>
    <row r="35" spans="1:23" ht="27" hidden="1" customHeight="1">
      <c r="A35" s="583">
        <v>1009</v>
      </c>
      <c r="B35" s="581">
        <v>10</v>
      </c>
      <c r="C35" s="583" t="s">
        <v>1230</v>
      </c>
      <c r="D35" s="583" t="s">
        <v>1231</v>
      </c>
      <c r="E35" s="599"/>
      <c r="F35" s="599"/>
      <c r="G35" s="599"/>
      <c r="H35" s="599"/>
      <c r="I35" s="599"/>
      <c r="J35" s="599"/>
      <c r="K35" s="599"/>
      <c r="L35" s="599"/>
      <c r="M35" s="599">
        <v>0</v>
      </c>
      <c r="N35" s="592"/>
      <c r="O35" s="592"/>
      <c r="P35" s="882">
        <f t="shared" si="0"/>
        <v>0</v>
      </c>
      <c r="Q35" s="599">
        <v>-2985550</v>
      </c>
      <c r="R35" s="882">
        <f t="shared" si="1"/>
        <v>0</v>
      </c>
      <c r="S35" s="599">
        <f t="shared" si="1"/>
        <v>-3</v>
      </c>
      <c r="T35" s="620"/>
      <c r="U35" s="621"/>
      <c r="V35" s="882">
        <f t="shared" si="2"/>
        <v>0</v>
      </c>
      <c r="W35" s="882">
        <f t="shared" si="3"/>
        <v>0</v>
      </c>
    </row>
    <row r="36" spans="1:23" ht="56.25" hidden="1" customHeight="1">
      <c r="A36" s="583">
        <v>401</v>
      </c>
      <c r="B36" s="581">
        <v>4</v>
      </c>
      <c r="C36" s="583" t="s">
        <v>1085</v>
      </c>
      <c r="D36" s="583" t="s">
        <v>1086</v>
      </c>
      <c r="E36" s="600"/>
      <c r="F36" s="600"/>
      <c r="G36" s="600"/>
      <c r="H36" s="600"/>
      <c r="I36" s="600"/>
      <c r="J36" s="600"/>
      <c r="K36" s="600"/>
      <c r="L36" s="600"/>
      <c r="M36" s="600">
        <v>0</v>
      </c>
      <c r="N36" s="593"/>
      <c r="O36" s="593"/>
      <c r="P36" s="882">
        <f t="shared" si="0"/>
        <v>0</v>
      </c>
      <c r="Q36" s="600"/>
      <c r="R36" s="882">
        <f t="shared" si="1"/>
        <v>0</v>
      </c>
      <c r="S36" s="600">
        <f t="shared" si="1"/>
        <v>0</v>
      </c>
      <c r="T36" s="622"/>
      <c r="U36" s="621"/>
      <c r="V36" s="882">
        <f t="shared" si="2"/>
        <v>0</v>
      </c>
      <c r="W36" s="882">
        <f t="shared" si="3"/>
        <v>0</v>
      </c>
    </row>
    <row r="37" spans="1:23" ht="27" hidden="1" customHeight="1">
      <c r="A37" s="583">
        <v>1009</v>
      </c>
      <c r="B37" s="581">
        <v>10</v>
      </c>
      <c r="C37" s="583" t="s">
        <v>84</v>
      </c>
      <c r="D37" s="583" t="s">
        <v>699</v>
      </c>
      <c r="E37" s="599">
        <v>-164197140</v>
      </c>
      <c r="F37" s="599">
        <v>159587565</v>
      </c>
      <c r="G37" s="599"/>
      <c r="H37" s="599"/>
      <c r="I37" s="599"/>
      <c r="J37" s="599"/>
      <c r="K37" s="599"/>
      <c r="L37" s="599"/>
      <c r="M37" s="599">
        <v>0</v>
      </c>
      <c r="N37" s="592"/>
      <c r="O37" s="592"/>
      <c r="P37" s="882">
        <f t="shared" si="0"/>
        <v>-4609575</v>
      </c>
      <c r="Q37" s="599">
        <f>403356904-801778817</f>
        <v>-398421913</v>
      </c>
      <c r="R37" s="882">
        <f t="shared" si="1"/>
        <v>-5</v>
      </c>
      <c r="S37" s="599">
        <f t="shared" si="1"/>
        <v>-398</v>
      </c>
      <c r="T37" s="620"/>
      <c r="U37" s="621"/>
      <c r="V37" s="882">
        <f t="shared" si="2"/>
        <v>-4609575</v>
      </c>
      <c r="W37" s="882">
        <f t="shared" si="3"/>
        <v>-5</v>
      </c>
    </row>
    <row r="38" spans="1:23" ht="27" hidden="1" customHeight="1">
      <c r="A38" s="583">
        <v>401</v>
      </c>
      <c r="B38" s="581">
        <v>4</v>
      </c>
      <c r="C38" s="583" t="s">
        <v>874</v>
      </c>
      <c r="D38" s="583" t="s">
        <v>875</v>
      </c>
      <c r="E38" s="599">
        <v>1800000</v>
      </c>
      <c r="F38" s="599">
        <v>-1800000</v>
      </c>
      <c r="G38" s="599"/>
      <c r="H38" s="599"/>
      <c r="I38" s="599"/>
      <c r="J38" s="599"/>
      <c r="K38" s="599"/>
      <c r="L38" s="599"/>
      <c r="M38" s="599">
        <v>0</v>
      </c>
      <c r="N38" s="592"/>
      <c r="O38" s="592"/>
      <c r="P38" s="882">
        <f t="shared" si="0"/>
        <v>0</v>
      </c>
      <c r="Q38" s="599">
        <v>50164407</v>
      </c>
      <c r="R38" s="882">
        <f t="shared" si="1"/>
        <v>0</v>
      </c>
      <c r="S38" s="599">
        <f t="shared" si="1"/>
        <v>50</v>
      </c>
      <c r="T38" s="620"/>
      <c r="U38" s="621"/>
      <c r="V38" s="882">
        <f t="shared" si="2"/>
        <v>0</v>
      </c>
      <c r="W38" s="882">
        <f t="shared" si="3"/>
        <v>0</v>
      </c>
    </row>
    <row r="39" spans="1:23" ht="27" hidden="1" customHeight="1">
      <c r="A39" s="583">
        <v>401</v>
      </c>
      <c r="B39" s="581">
        <v>4</v>
      </c>
      <c r="C39" s="583" t="s">
        <v>86</v>
      </c>
      <c r="D39" s="583" t="s">
        <v>876</v>
      </c>
      <c r="E39" s="599">
        <v>708752353</v>
      </c>
      <c r="F39" s="599">
        <v>-708752353</v>
      </c>
      <c r="G39" s="599"/>
      <c r="H39" s="599"/>
      <c r="I39" s="599"/>
      <c r="J39" s="599"/>
      <c r="K39" s="599"/>
      <c r="L39" s="599"/>
      <c r="M39" s="599">
        <v>0</v>
      </c>
      <c r="N39" s="592"/>
      <c r="O39" s="592"/>
      <c r="P39" s="882">
        <f t="shared" si="0"/>
        <v>0</v>
      </c>
      <c r="Q39" s="599">
        <v>-129976892</v>
      </c>
      <c r="R39" s="882">
        <f t="shared" si="1"/>
        <v>0</v>
      </c>
      <c r="S39" s="599">
        <f t="shared" si="1"/>
        <v>-130</v>
      </c>
      <c r="T39" s="620"/>
      <c r="U39" s="621"/>
      <c r="V39" s="882">
        <f t="shared" si="2"/>
        <v>0</v>
      </c>
      <c r="W39" s="882">
        <f t="shared" si="3"/>
        <v>0</v>
      </c>
    </row>
    <row r="40" spans="1:23" ht="27" hidden="1" customHeight="1">
      <c r="A40" s="583">
        <v>401</v>
      </c>
      <c r="B40" s="581">
        <v>4</v>
      </c>
      <c r="C40" s="583" t="s">
        <v>1172</v>
      </c>
      <c r="D40" s="583" t="s">
        <v>1173</v>
      </c>
      <c r="E40" s="599">
        <v>10392000</v>
      </c>
      <c r="F40" s="599">
        <v>-10392000</v>
      </c>
      <c r="G40" s="599"/>
      <c r="H40" s="599"/>
      <c r="I40" s="599"/>
      <c r="J40" s="599"/>
      <c r="K40" s="599"/>
      <c r="L40" s="599"/>
      <c r="M40" s="599">
        <v>0</v>
      </c>
      <c r="N40" s="592"/>
      <c r="O40" s="592"/>
      <c r="P40" s="882">
        <f t="shared" si="0"/>
        <v>0</v>
      </c>
      <c r="Q40" s="599">
        <f>42560000-59870000</f>
        <v>-17310000</v>
      </c>
      <c r="R40" s="882">
        <f t="shared" si="1"/>
        <v>0</v>
      </c>
      <c r="S40" s="599">
        <f t="shared" si="1"/>
        <v>-17</v>
      </c>
      <c r="T40" s="620"/>
      <c r="U40" s="621"/>
      <c r="V40" s="882">
        <f t="shared" si="2"/>
        <v>0</v>
      </c>
      <c r="W40" s="882">
        <f t="shared" si="3"/>
        <v>0</v>
      </c>
    </row>
    <row r="41" spans="1:23" ht="27" hidden="1" customHeight="1">
      <c r="A41" s="583">
        <v>401</v>
      </c>
      <c r="B41" s="581">
        <v>4</v>
      </c>
      <c r="C41" s="583" t="s">
        <v>1087</v>
      </c>
      <c r="D41" s="583" t="s">
        <v>1088</v>
      </c>
      <c r="E41" s="599">
        <v>455576</v>
      </c>
      <c r="F41" s="599"/>
      <c r="G41" s="599"/>
      <c r="H41" s="599"/>
      <c r="I41" s="599"/>
      <c r="J41" s="599"/>
      <c r="K41" s="599"/>
      <c r="L41" s="599"/>
      <c r="M41" s="599">
        <v>0</v>
      </c>
      <c r="N41" s="592"/>
      <c r="O41" s="592"/>
      <c r="P41" s="882">
        <f t="shared" si="0"/>
        <v>455576</v>
      </c>
      <c r="Q41" s="599">
        <v>455576</v>
      </c>
      <c r="R41" s="882">
        <f t="shared" si="1"/>
        <v>0</v>
      </c>
      <c r="S41" s="599">
        <f t="shared" si="1"/>
        <v>0</v>
      </c>
      <c r="T41" s="620"/>
      <c r="U41" s="621"/>
      <c r="V41" s="882">
        <f t="shared" si="2"/>
        <v>455576</v>
      </c>
      <c r="W41" s="882">
        <f t="shared" si="3"/>
        <v>0</v>
      </c>
    </row>
    <row r="42" spans="1:23" ht="27" hidden="1" customHeight="1">
      <c r="A42" s="583">
        <v>401</v>
      </c>
      <c r="B42" s="581">
        <v>4</v>
      </c>
      <c r="C42" s="583" t="s">
        <v>1232</v>
      </c>
      <c r="D42" s="583" t="s">
        <v>1233</v>
      </c>
      <c r="E42" s="599">
        <v>32187000</v>
      </c>
      <c r="F42" s="599"/>
      <c r="G42" s="599"/>
      <c r="H42" s="599"/>
      <c r="I42" s="599"/>
      <c r="J42" s="599"/>
      <c r="K42" s="599"/>
      <c r="L42" s="599"/>
      <c r="M42" s="599">
        <v>0</v>
      </c>
      <c r="N42" s="592"/>
      <c r="O42" s="592"/>
      <c r="P42" s="882">
        <f t="shared" si="0"/>
        <v>32187000</v>
      </c>
      <c r="Q42" s="599">
        <v>1274000</v>
      </c>
      <c r="R42" s="882">
        <f t="shared" si="1"/>
        <v>32</v>
      </c>
      <c r="S42" s="599">
        <f t="shared" si="1"/>
        <v>1</v>
      </c>
      <c r="T42" s="620"/>
      <c r="U42" s="621"/>
      <c r="V42" s="882">
        <f t="shared" si="2"/>
        <v>32187000</v>
      </c>
      <c r="W42" s="882">
        <f t="shared" si="3"/>
        <v>32</v>
      </c>
    </row>
    <row r="43" spans="1:23" ht="27" hidden="1" customHeight="1">
      <c r="A43" s="583">
        <v>1009</v>
      </c>
      <c r="B43" s="581">
        <v>10</v>
      </c>
      <c r="C43" s="583" t="s">
        <v>89</v>
      </c>
      <c r="D43" s="583" t="s">
        <v>937</v>
      </c>
      <c r="E43" s="599">
        <v>-17969152</v>
      </c>
      <c r="F43" s="599"/>
      <c r="G43" s="599">
        <v>17969152</v>
      </c>
      <c r="H43" s="599"/>
      <c r="I43" s="599"/>
      <c r="J43" s="599"/>
      <c r="K43" s="599"/>
      <c r="L43" s="599"/>
      <c r="M43" s="599">
        <v>0</v>
      </c>
      <c r="N43" s="592"/>
      <c r="O43" s="592"/>
      <c r="P43" s="882">
        <f t="shared" si="0"/>
        <v>0</v>
      </c>
      <c r="Q43" s="599"/>
      <c r="R43" s="882">
        <f t="shared" si="1"/>
        <v>0</v>
      </c>
      <c r="S43" s="599">
        <f t="shared" si="1"/>
        <v>0</v>
      </c>
      <c r="T43" s="620"/>
      <c r="U43" s="621"/>
      <c r="V43" s="882">
        <f t="shared" si="2"/>
        <v>0</v>
      </c>
      <c r="W43" s="882">
        <f t="shared" si="3"/>
        <v>0</v>
      </c>
    </row>
    <row r="44" spans="1:23" ht="27" hidden="1" customHeight="1">
      <c r="A44" s="583">
        <v>401</v>
      </c>
      <c r="B44" s="581">
        <v>4</v>
      </c>
      <c r="C44" s="583" t="s">
        <v>1089</v>
      </c>
      <c r="D44" s="583" t="s">
        <v>957</v>
      </c>
      <c r="E44" s="599">
        <v>7</v>
      </c>
      <c r="F44" s="599"/>
      <c r="G44" s="599">
        <v>-7</v>
      </c>
      <c r="H44" s="599"/>
      <c r="I44" s="599"/>
      <c r="J44" s="599"/>
      <c r="K44" s="599"/>
      <c r="L44" s="599"/>
      <c r="M44" s="599">
        <v>0</v>
      </c>
      <c r="N44" s="592"/>
      <c r="O44" s="592"/>
      <c r="P44" s="882">
        <f t="shared" si="0"/>
        <v>0</v>
      </c>
      <c r="Q44" s="599"/>
      <c r="R44" s="882">
        <f t="shared" si="1"/>
        <v>0</v>
      </c>
      <c r="S44" s="599">
        <f t="shared" si="1"/>
        <v>0</v>
      </c>
      <c r="T44" s="620"/>
      <c r="U44" s="621"/>
      <c r="V44" s="882">
        <f t="shared" si="2"/>
        <v>0</v>
      </c>
      <c r="W44" s="882">
        <f t="shared" si="3"/>
        <v>0</v>
      </c>
    </row>
    <row r="45" spans="1:23" ht="27" hidden="1" customHeight="1">
      <c r="A45" s="583">
        <v>1009</v>
      </c>
      <c r="B45" s="581">
        <v>10</v>
      </c>
      <c r="C45" s="583" t="s">
        <v>1332</v>
      </c>
      <c r="D45" s="583" t="s">
        <v>1331</v>
      </c>
      <c r="E45" s="599">
        <v>-11700000</v>
      </c>
      <c r="F45" s="599"/>
      <c r="G45" s="599"/>
      <c r="H45" s="599"/>
      <c r="I45" s="599"/>
      <c r="J45" s="599"/>
      <c r="K45" s="599"/>
      <c r="L45" s="599"/>
      <c r="M45" s="599">
        <v>0</v>
      </c>
      <c r="N45" s="592"/>
      <c r="O45" s="592"/>
      <c r="P45" s="882">
        <f t="shared" si="0"/>
        <v>-11700000</v>
      </c>
      <c r="Q45" s="599"/>
      <c r="R45" s="882">
        <f t="shared" si="1"/>
        <v>-12</v>
      </c>
      <c r="S45" s="599">
        <f t="shared" si="1"/>
        <v>0</v>
      </c>
      <c r="T45" s="620"/>
      <c r="U45" s="621"/>
      <c r="V45" s="882">
        <f t="shared" si="2"/>
        <v>-11700000</v>
      </c>
      <c r="W45" s="882">
        <f t="shared" si="3"/>
        <v>-12</v>
      </c>
    </row>
    <row r="46" spans="1:23" ht="27" hidden="1" customHeight="1">
      <c r="A46" s="583">
        <v>401</v>
      </c>
      <c r="B46" s="581">
        <v>4</v>
      </c>
      <c r="C46" s="583" t="s">
        <v>216</v>
      </c>
      <c r="D46" s="583" t="s">
        <v>706</v>
      </c>
      <c r="E46" s="599">
        <v>2528129786</v>
      </c>
      <c r="F46" s="599"/>
      <c r="G46" s="599"/>
      <c r="H46" s="599"/>
      <c r="I46" s="599"/>
      <c r="J46" s="599"/>
      <c r="K46" s="599"/>
      <c r="L46" s="599"/>
      <c r="M46" s="599">
        <v>0</v>
      </c>
      <c r="N46" s="592"/>
      <c r="O46" s="592"/>
      <c r="P46" s="882">
        <f t="shared" si="0"/>
        <v>2528129786</v>
      </c>
      <c r="Q46" s="599">
        <v>5572081028</v>
      </c>
      <c r="R46" s="882">
        <f t="shared" si="1"/>
        <v>2528</v>
      </c>
      <c r="S46" s="599">
        <f t="shared" si="1"/>
        <v>5572</v>
      </c>
      <c r="T46" s="620"/>
      <c r="U46" s="621"/>
      <c r="V46" s="882">
        <f t="shared" si="2"/>
        <v>2528129786</v>
      </c>
      <c r="W46" s="882">
        <f t="shared" si="3"/>
        <v>2528</v>
      </c>
    </row>
    <row r="47" spans="1:23" ht="27" hidden="1" customHeight="1">
      <c r="A47" s="583">
        <v>1009</v>
      </c>
      <c r="B47" s="581">
        <v>10</v>
      </c>
      <c r="C47" s="583" t="s">
        <v>562</v>
      </c>
      <c r="D47" s="583" t="s">
        <v>705</v>
      </c>
      <c r="E47" s="599"/>
      <c r="F47" s="599"/>
      <c r="G47" s="599"/>
      <c r="H47" s="599"/>
      <c r="I47" s="599"/>
      <c r="J47" s="599"/>
      <c r="K47" s="599"/>
      <c r="L47" s="599"/>
      <c r="M47" s="599">
        <v>0</v>
      </c>
      <c r="N47" s="592"/>
      <c r="O47" s="592"/>
      <c r="P47" s="882">
        <f t="shared" si="0"/>
        <v>0</v>
      </c>
      <c r="Q47" s="599"/>
      <c r="R47" s="882">
        <f t="shared" si="1"/>
        <v>0</v>
      </c>
      <c r="S47" s="599">
        <f t="shared" si="1"/>
        <v>0</v>
      </c>
      <c r="T47" s="620"/>
      <c r="U47" s="621"/>
      <c r="V47" s="882">
        <f t="shared" si="2"/>
        <v>0</v>
      </c>
      <c r="W47" s="882">
        <f t="shared" si="3"/>
        <v>0</v>
      </c>
    </row>
    <row r="48" spans="1:23" ht="27" hidden="1" customHeight="1">
      <c r="A48" s="583">
        <v>401</v>
      </c>
      <c r="B48" s="581">
        <v>4</v>
      </c>
      <c r="C48" s="583" t="s">
        <v>564</v>
      </c>
      <c r="D48" s="583" t="s">
        <v>704</v>
      </c>
      <c r="E48" s="599">
        <v>162115039</v>
      </c>
      <c r="F48" s="599"/>
      <c r="G48" s="599"/>
      <c r="H48" s="599"/>
      <c r="I48" s="599"/>
      <c r="J48" s="599"/>
      <c r="K48" s="599"/>
      <c r="L48" s="599"/>
      <c r="M48" s="599">
        <v>0</v>
      </c>
      <c r="N48" s="592"/>
      <c r="O48" s="592"/>
      <c r="P48" s="882">
        <f t="shared" si="0"/>
        <v>162115039</v>
      </c>
      <c r="Q48" s="599">
        <f>171425039-25530995</f>
        <v>145894044</v>
      </c>
      <c r="R48" s="882">
        <f t="shared" si="1"/>
        <v>162</v>
      </c>
      <c r="S48" s="599">
        <f t="shared" si="1"/>
        <v>146</v>
      </c>
      <c r="T48" s="620"/>
      <c r="U48" s="621"/>
      <c r="V48" s="882">
        <f t="shared" si="2"/>
        <v>162115039</v>
      </c>
      <c r="W48" s="882">
        <f t="shared" si="3"/>
        <v>162</v>
      </c>
    </row>
    <row r="49" spans="1:23" ht="27" hidden="1" customHeight="1">
      <c r="A49" s="583">
        <v>401</v>
      </c>
      <c r="B49" s="581">
        <v>4</v>
      </c>
      <c r="C49" s="583" t="s">
        <v>184</v>
      </c>
      <c r="D49" s="583" t="s">
        <v>832</v>
      </c>
      <c r="E49" s="599">
        <v>1733436</v>
      </c>
      <c r="F49" s="599"/>
      <c r="G49" s="599"/>
      <c r="H49" s="599"/>
      <c r="I49" s="599"/>
      <c r="J49" s="599"/>
      <c r="K49" s="599"/>
      <c r="L49" s="599"/>
      <c r="M49" s="599">
        <v>0</v>
      </c>
      <c r="N49" s="592"/>
      <c r="O49" s="592"/>
      <c r="P49" s="882">
        <f t="shared" si="0"/>
        <v>1733436</v>
      </c>
      <c r="Q49" s="599">
        <v>2533428</v>
      </c>
      <c r="R49" s="882">
        <f t="shared" si="1"/>
        <v>2</v>
      </c>
      <c r="S49" s="599">
        <f t="shared" si="1"/>
        <v>3</v>
      </c>
      <c r="T49" s="620"/>
      <c r="U49" s="621"/>
      <c r="V49" s="882">
        <f t="shared" si="2"/>
        <v>1733436</v>
      </c>
      <c r="W49" s="882">
        <f t="shared" si="3"/>
        <v>2</v>
      </c>
    </row>
    <row r="50" spans="1:23" ht="27" hidden="1" customHeight="1">
      <c r="A50" s="583">
        <v>401</v>
      </c>
      <c r="B50" s="581">
        <v>4</v>
      </c>
      <c r="C50" s="583" t="s">
        <v>479</v>
      </c>
      <c r="D50" s="583" t="s">
        <v>701</v>
      </c>
      <c r="E50" s="599">
        <v>1615930496</v>
      </c>
      <c r="F50" s="599"/>
      <c r="G50" s="599"/>
      <c r="H50" s="599"/>
      <c r="I50" s="599"/>
      <c r="J50" s="599"/>
      <c r="K50" s="599"/>
      <c r="L50" s="599"/>
      <c r="M50" s="599">
        <v>0</v>
      </c>
      <c r="N50" s="592"/>
      <c r="O50" s="592"/>
      <c r="P50" s="882">
        <f t="shared" si="0"/>
        <v>1615930496</v>
      </c>
      <c r="Q50" s="599">
        <v>1086922318</v>
      </c>
      <c r="R50" s="882">
        <f t="shared" si="1"/>
        <v>1616</v>
      </c>
      <c r="S50" s="599">
        <f t="shared" si="1"/>
        <v>1087</v>
      </c>
      <c r="T50" s="620"/>
      <c r="U50" s="621"/>
      <c r="V50" s="882">
        <f t="shared" si="2"/>
        <v>1615930496</v>
      </c>
      <c r="W50" s="882">
        <f t="shared" si="3"/>
        <v>1616</v>
      </c>
    </row>
    <row r="51" spans="1:23" ht="27" hidden="1" customHeight="1">
      <c r="A51" s="583">
        <v>401</v>
      </c>
      <c r="B51" s="581">
        <v>4</v>
      </c>
      <c r="C51" s="583" t="s">
        <v>480</v>
      </c>
      <c r="D51" s="583" t="s">
        <v>702</v>
      </c>
      <c r="E51" s="599"/>
      <c r="F51" s="599"/>
      <c r="G51" s="599"/>
      <c r="H51" s="599"/>
      <c r="I51" s="599"/>
      <c r="J51" s="599"/>
      <c r="K51" s="599"/>
      <c r="L51" s="599"/>
      <c r="M51" s="599">
        <v>0</v>
      </c>
      <c r="N51" s="592"/>
      <c r="O51" s="592"/>
      <c r="P51" s="882">
        <f t="shared" si="0"/>
        <v>0</v>
      </c>
      <c r="Q51" s="599">
        <v>0</v>
      </c>
      <c r="R51" s="882">
        <f t="shared" si="1"/>
        <v>0</v>
      </c>
      <c r="S51" s="599">
        <f t="shared" si="1"/>
        <v>0</v>
      </c>
      <c r="T51" s="620"/>
      <c r="U51" s="621"/>
      <c r="V51" s="882">
        <f t="shared" si="2"/>
        <v>0</v>
      </c>
      <c r="W51" s="882">
        <f t="shared" si="3"/>
        <v>0</v>
      </c>
    </row>
    <row r="52" spans="1:23" ht="27" hidden="1" customHeight="1">
      <c r="A52" s="583">
        <v>1009</v>
      </c>
      <c r="B52" s="581">
        <v>10</v>
      </c>
      <c r="C52" s="583" t="s">
        <v>481</v>
      </c>
      <c r="D52" s="583" t="s">
        <v>1333</v>
      </c>
      <c r="E52" s="599">
        <v>-26600000</v>
      </c>
      <c r="F52" s="599"/>
      <c r="G52" s="599"/>
      <c r="H52" s="599"/>
      <c r="I52" s="599"/>
      <c r="J52" s="599"/>
      <c r="K52" s="599"/>
      <c r="L52" s="599"/>
      <c r="M52" s="599">
        <v>0</v>
      </c>
      <c r="N52" s="592"/>
      <c r="O52" s="592"/>
      <c r="P52" s="882">
        <f t="shared" si="0"/>
        <v>-26600000</v>
      </c>
      <c r="Q52" s="599"/>
      <c r="R52" s="882">
        <f t="shared" si="1"/>
        <v>-27</v>
      </c>
      <c r="S52" s="599">
        <f t="shared" si="1"/>
        <v>0</v>
      </c>
      <c r="T52" s="620"/>
      <c r="U52" s="621"/>
      <c r="V52" s="882">
        <f t="shared" si="2"/>
        <v>-26600000</v>
      </c>
      <c r="W52" s="882">
        <f t="shared" si="3"/>
        <v>-27</v>
      </c>
    </row>
    <row r="53" spans="1:23" ht="27" hidden="1" customHeight="1">
      <c r="A53" s="583">
        <v>401</v>
      </c>
      <c r="B53" s="581">
        <v>4</v>
      </c>
      <c r="C53" s="583" t="s">
        <v>220</v>
      </c>
      <c r="D53" s="583" t="s">
        <v>703</v>
      </c>
      <c r="E53" s="599">
        <v>49826000</v>
      </c>
      <c r="F53" s="599">
        <v>-49826000</v>
      </c>
      <c r="G53" s="599"/>
      <c r="H53" s="599"/>
      <c r="I53" s="599"/>
      <c r="J53" s="599"/>
      <c r="K53" s="599"/>
      <c r="L53" s="599"/>
      <c r="M53" s="599">
        <v>0</v>
      </c>
      <c r="N53" s="592"/>
      <c r="O53" s="592"/>
      <c r="P53" s="882">
        <f t="shared" si="0"/>
        <v>0</v>
      </c>
      <c r="Q53" s="599">
        <f>13626495-450000</f>
        <v>13176495</v>
      </c>
      <c r="R53" s="882">
        <f t="shared" si="1"/>
        <v>0</v>
      </c>
      <c r="S53" s="599">
        <f t="shared" si="1"/>
        <v>13</v>
      </c>
      <c r="T53" s="620"/>
      <c r="U53" s="621"/>
      <c r="V53" s="882">
        <f t="shared" si="2"/>
        <v>0</v>
      </c>
      <c r="W53" s="882">
        <f t="shared" si="3"/>
        <v>0</v>
      </c>
    </row>
    <row r="54" spans="1:23" ht="27" hidden="1" customHeight="1">
      <c r="A54" s="583">
        <v>420</v>
      </c>
      <c r="B54" s="581">
        <v>4</v>
      </c>
      <c r="C54" s="583" t="s">
        <v>483</v>
      </c>
      <c r="D54" s="583" t="s">
        <v>1057</v>
      </c>
      <c r="E54" s="599">
        <v>116047911075</v>
      </c>
      <c r="F54" s="599">
        <v>-4999998</v>
      </c>
      <c r="G54" s="599"/>
      <c r="H54" s="599"/>
      <c r="I54" s="599"/>
      <c r="J54" s="599"/>
      <c r="K54" s="599"/>
      <c r="L54" s="599"/>
      <c r="M54" s="599">
        <v>0</v>
      </c>
      <c r="N54" s="592"/>
      <c r="O54" s="592"/>
      <c r="P54" s="882">
        <f t="shared" si="0"/>
        <v>116042911077</v>
      </c>
      <c r="Q54" s="599">
        <f>122192000000-12565500000</f>
        <v>109626500000</v>
      </c>
      <c r="R54" s="882">
        <f t="shared" si="1"/>
        <v>116043</v>
      </c>
      <c r="S54" s="599">
        <f t="shared" si="1"/>
        <v>109627</v>
      </c>
      <c r="T54" s="620"/>
      <c r="U54" s="621"/>
      <c r="V54" s="882">
        <f t="shared" si="2"/>
        <v>116042911077</v>
      </c>
      <c r="W54" s="882">
        <f t="shared" si="3"/>
        <v>116043</v>
      </c>
    </row>
    <row r="55" spans="1:23" ht="27" hidden="1" customHeight="1">
      <c r="A55" s="583">
        <v>401</v>
      </c>
      <c r="B55" s="581">
        <v>4</v>
      </c>
      <c r="C55" s="583" t="s">
        <v>483</v>
      </c>
      <c r="D55" s="583" t="s">
        <v>1159</v>
      </c>
      <c r="E55" s="599"/>
      <c r="F55" s="599"/>
      <c r="G55" s="599"/>
      <c r="H55" s="599"/>
      <c r="I55" s="599"/>
      <c r="J55" s="599"/>
      <c r="K55" s="599"/>
      <c r="L55" s="599"/>
      <c r="M55" s="599">
        <v>0</v>
      </c>
      <c r="N55" s="592"/>
      <c r="O55" s="592"/>
      <c r="P55" s="882">
        <f t="shared" si="0"/>
        <v>0</v>
      </c>
      <c r="Q55" s="599">
        <v>12565500000</v>
      </c>
      <c r="R55" s="882">
        <f t="shared" si="1"/>
        <v>0</v>
      </c>
      <c r="S55" s="599">
        <f t="shared" si="1"/>
        <v>12566</v>
      </c>
      <c r="T55" s="620"/>
      <c r="U55" s="621"/>
      <c r="V55" s="882">
        <f t="shared" si="2"/>
        <v>0</v>
      </c>
      <c r="W55" s="882">
        <f t="shared" si="3"/>
        <v>0</v>
      </c>
    </row>
    <row r="56" spans="1:23" ht="27" hidden="1" customHeight="1">
      <c r="A56" s="583">
        <v>401</v>
      </c>
      <c r="B56" s="581">
        <v>4</v>
      </c>
      <c r="C56" s="583" t="s">
        <v>0</v>
      </c>
      <c r="D56" s="583" t="s">
        <v>1090</v>
      </c>
      <c r="E56" s="599"/>
      <c r="F56" s="599"/>
      <c r="G56" s="599"/>
      <c r="H56" s="599"/>
      <c r="I56" s="599"/>
      <c r="J56" s="599"/>
      <c r="K56" s="599"/>
      <c r="L56" s="599"/>
      <c r="M56" s="599">
        <v>0</v>
      </c>
      <c r="N56" s="592"/>
      <c r="O56" s="592"/>
      <c r="P56" s="882">
        <f t="shared" si="0"/>
        <v>0</v>
      </c>
      <c r="Q56" s="599">
        <v>0</v>
      </c>
      <c r="R56" s="882">
        <f t="shared" si="1"/>
        <v>0</v>
      </c>
      <c r="S56" s="599">
        <f t="shared" si="1"/>
        <v>0</v>
      </c>
      <c r="T56" s="620"/>
      <c r="U56" s="621"/>
      <c r="V56" s="882">
        <f t="shared" si="2"/>
        <v>0</v>
      </c>
      <c r="W56" s="882">
        <f t="shared" si="3"/>
        <v>0</v>
      </c>
    </row>
    <row r="57" spans="1:23" ht="27" hidden="1" customHeight="1">
      <c r="A57" s="583">
        <v>401</v>
      </c>
      <c r="B57" s="581">
        <v>4</v>
      </c>
      <c r="C57" s="583" t="s">
        <v>224</v>
      </c>
      <c r="D57" s="583" t="s">
        <v>474</v>
      </c>
      <c r="E57" s="599">
        <v>1882825110</v>
      </c>
      <c r="F57" s="599">
        <v>-17161466</v>
      </c>
      <c r="G57" s="599"/>
      <c r="H57" s="599"/>
      <c r="I57" s="599"/>
      <c r="J57" s="599"/>
      <c r="K57" s="599"/>
      <c r="L57" s="599"/>
      <c r="M57" s="599">
        <v>0</v>
      </c>
      <c r="N57" s="592"/>
      <c r="O57" s="592"/>
      <c r="P57" s="882">
        <f t="shared" si="0"/>
        <v>1865663644</v>
      </c>
      <c r="Q57" s="599">
        <v>2777513521</v>
      </c>
      <c r="R57" s="882">
        <f t="shared" si="1"/>
        <v>1866</v>
      </c>
      <c r="S57" s="599">
        <f t="shared" si="1"/>
        <v>2778</v>
      </c>
      <c r="T57" s="620"/>
      <c r="U57" s="621"/>
      <c r="V57" s="882">
        <f t="shared" si="2"/>
        <v>1865663644</v>
      </c>
      <c r="W57" s="882">
        <f t="shared" si="3"/>
        <v>1866</v>
      </c>
    </row>
    <row r="58" spans="1:23" ht="27" hidden="1" customHeight="1">
      <c r="A58" s="583">
        <v>401</v>
      </c>
      <c r="B58" s="581">
        <v>4</v>
      </c>
      <c r="C58" s="583" t="s">
        <v>1234</v>
      </c>
      <c r="D58" s="583" t="s">
        <v>1235</v>
      </c>
      <c r="E58" s="599">
        <v>4060000000</v>
      </c>
      <c r="F58" s="599"/>
      <c r="G58" s="599"/>
      <c r="H58" s="599"/>
      <c r="I58" s="599"/>
      <c r="J58" s="599"/>
      <c r="K58" s="599"/>
      <c r="L58" s="599"/>
      <c r="M58" s="599">
        <v>0</v>
      </c>
      <c r="N58" s="592"/>
      <c r="O58" s="592"/>
      <c r="P58" s="882">
        <f t="shared" si="0"/>
        <v>4060000000</v>
      </c>
      <c r="Q58" s="599">
        <v>0</v>
      </c>
      <c r="R58" s="882">
        <f t="shared" si="1"/>
        <v>4060</v>
      </c>
      <c r="S58" s="599">
        <f t="shared" si="1"/>
        <v>0</v>
      </c>
      <c r="T58" s="620"/>
      <c r="U58" s="621"/>
      <c r="V58" s="882">
        <f t="shared" si="2"/>
        <v>4060000000</v>
      </c>
      <c r="W58" s="882">
        <f t="shared" si="3"/>
        <v>4060</v>
      </c>
    </row>
    <row r="59" spans="1:23" ht="27" hidden="1" customHeight="1">
      <c r="A59" s="583">
        <v>401</v>
      </c>
      <c r="B59" s="581">
        <v>4</v>
      </c>
      <c r="C59" s="583" t="s">
        <v>2</v>
      </c>
      <c r="D59" s="583" t="s">
        <v>877</v>
      </c>
      <c r="E59" s="599">
        <v>693192621</v>
      </c>
      <c r="F59" s="599">
        <v>4999998</v>
      </c>
      <c r="G59" s="599"/>
      <c r="H59" s="599"/>
      <c r="I59" s="599"/>
      <c r="J59" s="599"/>
      <c r="K59" s="599"/>
      <c r="L59" s="599"/>
      <c r="M59" s="599">
        <v>0</v>
      </c>
      <c r="N59" s="592"/>
      <c r="O59" s="592"/>
      <c r="P59" s="882">
        <f t="shared" si="0"/>
        <v>698192619</v>
      </c>
      <c r="Q59" s="599">
        <f>355504273-1250000</f>
        <v>354254273</v>
      </c>
      <c r="R59" s="882">
        <f t="shared" si="1"/>
        <v>698</v>
      </c>
      <c r="S59" s="599">
        <f t="shared" si="1"/>
        <v>354</v>
      </c>
      <c r="T59" s="620"/>
      <c r="U59" s="621"/>
      <c r="V59" s="882">
        <f t="shared" si="2"/>
        <v>698192619</v>
      </c>
      <c r="W59" s="882">
        <f t="shared" si="3"/>
        <v>698</v>
      </c>
    </row>
    <row r="60" spans="1:23" ht="27" hidden="1" customHeight="1">
      <c r="A60" s="583">
        <v>406</v>
      </c>
      <c r="B60" s="581">
        <v>4</v>
      </c>
      <c r="C60" s="583" t="s">
        <v>476</v>
      </c>
      <c r="D60" s="583" t="s">
        <v>1174</v>
      </c>
      <c r="E60" s="599">
        <v>1204892</v>
      </c>
      <c r="F60" s="599"/>
      <c r="G60" s="599">
        <v>-4892</v>
      </c>
      <c r="H60" s="599"/>
      <c r="I60" s="599"/>
      <c r="J60" s="599"/>
      <c r="K60" s="599"/>
      <c r="L60" s="599"/>
      <c r="M60" s="599">
        <v>0</v>
      </c>
      <c r="N60" s="592"/>
      <c r="O60" s="592"/>
      <c r="P60" s="882">
        <f t="shared" si="0"/>
        <v>1200000</v>
      </c>
      <c r="Q60" s="599">
        <v>4892</v>
      </c>
      <c r="R60" s="882">
        <f t="shared" si="1"/>
        <v>1</v>
      </c>
      <c r="S60" s="599">
        <f t="shared" si="1"/>
        <v>0</v>
      </c>
      <c r="T60" s="620"/>
      <c r="U60" s="621"/>
      <c r="V60" s="882">
        <f t="shared" si="2"/>
        <v>1200000</v>
      </c>
      <c r="W60" s="882">
        <f t="shared" si="3"/>
        <v>1</v>
      </c>
    </row>
    <row r="61" spans="1:23" ht="27" hidden="1" customHeight="1">
      <c r="A61" s="583">
        <v>1009</v>
      </c>
      <c r="B61" s="581">
        <v>10</v>
      </c>
      <c r="C61" s="583" t="s">
        <v>3</v>
      </c>
      <c r="D61" s="583" t="s">
        <v>938</v>
      </c>
      <c r="E61" s="599">
        <v>-45000</v>
      </c>
      <c r="F61" s="599">
        <v>45000</v>
      </c>
      <c r="G61" s="599"/>
      <c r="H61" s="599"/>
      <c r="I61" s="599"/>
      <c r="J61" s="599"/>
      <c r="K61" s="599"/>
      <c r="L61" s="599"/>
      <c r="M61" s="599">
        <v>0</v>
      </c>
      <c r="N61" s="592"/>
      <c r="O61" s="592"/>
      <c r="P61" s="882">
        <f t="shared" si="0"/>
        <v>0</v>
      </c>
      <c r="Q61" s="599"/>
      <c r="R61" s="882">
        <f t="shared" si="1"/>
        <v>0</v>
      </c>
      <c r="S61" s="599">
        <f t="shared" si="1"/>
        <v>0</v>
      </c>
      <c r="T61" s="620"/>
      <c r="U61" s="621"/>
      <c r="V61" s="882">
        <f t="shared" si="2"/>
        <v>0</v>
      </c>
      <c r="W61" s="882">
        <f t="shared" si="3"/>
        <v>0</v>
      </c>
    </row>
    <row r="62" spans="1:23" ht="27" hidden="1" customHeight="1">
      <c r="A62" s="583">
        <v>1009</v>
      </c>
      <c r="B62" s="581">
        <v>10</v>
      </c>
      <c r="C62" s="583" t="s">
        <v>4</v>
      </c>
      <c r="D62" s="583" t="s">
        <v>440</v>
      </c>
      <c r="E62" s="599"/>
      <c r="F62" s="599"/>
      <c r="G62" s="599"/>
      <c r="H62" s="599"/>
      <c r="I62" s="599"/>
      <c r="J62" s="599"/>
      <c r="K62" s="599"/>
      <c r="L62" s="599"/>
      <c r="M62" s="599">
        <v>0</v>
      </c>
      <c r="N62" s="592"/>
      <c r="O62" s="592"/>
      <c r="P62" s="882">
        <f t="shared" si="0"/>
        <v>0</v>
      </c>
      <c r="Q62" s="599">
        <f>1188699291-7418883898</f>
        <v>-6230184607</v>
      </c>
      <c r="R62" s="882">
        <f t="shared" si="1"/>
        <v>0</v>
      </c>
      <c r="S62" s="599">
        <f t="shared" si="1"/>
        <v>-6230</v>
      </c>
      <c r="T62" s="620"/>
      <c r="U62" s="621"/>
      <c r="V62" s="882">
        <f t="shared" si="2"/>
        <v>0</v>
      </c>
      <c r="W62" s="882">
        <f t="shared" si="3"/>
        <v>0</v>
      </c>
    </row>
    <row r="63" spans="1:23" ht="27" hidden="1" customHeight="1">
      <c r="A63" s="583">
        <v>401</v>
      </c>
      <c r="B63" s="581">
        <v>4</v>
      </c>
      <c r="C63" s="583" t="s">
        <v>441</v>
      </c>
      <c r="D63" s="583" t="s">
        <v>442</v>
      </c>
      <c r="E63" s="599">
        <v>1603005968</v>
      </c>
      <c r="F63" s="599"/>
      <c r="G63" s="599"/>
      <c r="H63" s="599"/>
      <c r="I63" s="599"/>
      <c r="J63" s="599"/>
      <c r="K63" s="599"/>
      <c r="L63" s="599"/>
      <c r="M63" s="599">
        <v>0</v>
      </c>
      <c r="N63" s="592"/>
      <c r="O63" s="592"/>
      <c r="P63" s="882">
        <f t="shared" si="0"/>
        <v>1603005968</v>
      </c>
      <c r="Q63" s="599">
        <v>2725003438</v>
      </c>
      <c r="R63" s="882">
        <f t="shared" si="1"/>
        <v>1603</v>
      </c>
      <c r="S63" s="599">
        <f t="shared" si="1"/>
        <v>2725</v>
      </c>
      <c r="T63" s="620"/>
      <c r="U63" s="621"/>
      <c r="V63" s="882">
        <f t="shared" si="2"/>
        <v>1603005968</v>
      </c>
      <c r="W63" s="882">
        <f t="shared" si="3"/>
        <v>1603</v>
      </c>
    </row>
    <row r="64" spans="1:23" ht="27" hidden="1" customHeight="1">
      <c r="A64" s="583">
        <v>1009</v>
      </c>
      <c r="B64" s="581">
        <v>10</v>
      </c>
      <c r="C64" s="583" t="s">
        <v>5</v>
      </c>
      <c r="D64" s="583" t="s">
        <v>828</v>
      </c>
      <c r="E64" s="599"/>
      <c r="F64" s="599"/>
      <c r="G64" s="599"/>
      <c r="H64" s="599"/>
      <c r="I64" s="599"/>
      <c r="J64" s="599"/>
      <c r="K64" s="599"/>
      <c r="L64" s="599"/>
      <c r="M64" s="599">
        <v>0</v>
      </c>
      <c r="N64" s="592"/>
      <c r="O64" s="592"/>
      <c r="P64" s="882">
        <f t="shared" si="0"/>
        <v>0</v>
      </c>
      <c r="Q64" s="599"/>
      <c r="R64" s="882">
        <f t="shared" si="1"/>
        <v>0</v>
      </c>
      <c r="S64" s="599">
        <f t="shared" si="1"/>
        <v>0</v>
      </c>
      <c r="T64" s="620"/>
      <c r="U64" s="621"/>
      <c r="V64" s="882">
        <f t="shared" si="2"/>
        <v>0</v>
      </c>
      <c r="W64" s="882">
        <f t="shared" si="3"/>
        <v>0</v>
      </c>
    </row>
    <row r="65" spans="1:23" ht="27" hidden="1" customHeight="1">
      <c r="A65" s="583">
        <v>406</v>
      </c>
      <c r="B65" s="581">
        <v>4</v>
      </c>
      <c r="C65" s="583" t="s">
        <v>1334</v>
      </c>
      <c r="D65" s="583" t="s">
        <v>1335</v>
      </c>
      <c r="E65" s="599">
        <v>2278495063</v>
      </c>
      <c r="F65" s="599"/>
      <c r="G65" s="599"/>
      <c r="H65" s="599"/>
      <c r="I65" s="599"/>
      <c r="J65" s="599"/>
      <c r="K65" s="599"/>
      <c r="L65" s="599"/>
      <c r="M65" s="599">
        <v>0</v>
      </c>
      <c r="N65" s="592"/>
      <c r="O65" s="592"/>
      <c r="P65" s="882">
        <f t="shared" si="0"/>
        <v>2278495063</v>
      </c>
      <c r="Q65" s="599"/>
      <c r="R65" s="882">
        <f t="shared" si="1"/>
        <v>2278</v>
      </c>
      <c r="S65" s="599">
        <f t="shared" si="1"/>
        <v>0</v>
      </c>
      <c r="T65" s="620"/>
      <c r="U65" s="621"/>
      <c r="V65" s="882">
        <f t="shared" si="2"/>
        <v>2278495063</v>
      </c>
      <c r="W65" s="882">
        <f t="shared" si="3"/>
        <v>2278</v>
      </c>
    </row>
    <row r="66" spans="1:23" ht="27" hidden="1" customHeight="1">
      <c r="A66" s="583">
        <v>1009</v>
      </c>
      <c r="B66" s="581">
        <v>10</v>
      </c>
      <c r="C66" s="583" t="s">
        <v>878</v>
      </c>
      <c r="D66" s="583" t="s">
        <v>879</v>
      </c>
      <c r="E66" s="599"/>
      <c r="F66" s="599"/>
      <c r="G66" s="599"/>
      <c r="H66" s="599"/>
      <c r="I66" s="599"/>
      <c r="J66" s="599"/>
      <c r="K66" s="599"/>
      <c r="L66" s="599"/>
      <c r="M66" s="599">
        <v>0</v>
      </c>
      <c r="N66" s="592"/>
      <c r="O66" s="592"/>
      <c r="P66" s="882">
        <f t="shared" si="0"/>
        <v>0</v>
      </c>
      <c r="Q66" s="599">
        <v>0</v>
      </c>
      <c r="R66" s="882">
        <f t="shared" si="1"/>
        <v>0</v>
      </c>
      <c r="S66" s="599">
        <f t="shared" si="1"/>
        <v>0</v>
      </c>
      <c r="T66" s="620"/>
      <c r="U66" s="621"/>
      <c r="V66" s="882">
        <f t="shared" si="2"/>
        <v>0</v>
      </c>
      <c r="W66" s="882">
        <f t="shared" si="3"/>
        <v>0</v>
      </c>
    </row>
    <row r="67" spans="1:23" ht="27" hidden="1" customHeight="1">
      <c r="A67" s="583">
        <v>1009</v>
      </c>
      <c r="B67" s="581">
        <v>10</v>
      </c>
      <c r="C67" s="583" t="s">
        <v>1236</v>
      </c>
      <c r="D67" s="583" t="s">
        <v>1237</v>
      </c>
      <c r="E67" s="599">
        <v>-48364267</v>
      </c>
      <c r="F67" s="599"/>
      <c r="G67" s="599"/>
      <c r="H67" s="599"/>
      <c r="I67" s="599"/>
      <c r="J67" s="599"/>
      <c r="K67" s="599"/>
      <c r="L67" s="599"/>
      <c r="M67" s="599">
        <v>0</v>
      </c>
      <c r="N67" s="592"/>
      <c r="O67" s="592"/>
      <c r="P67" s="882">
        <f t="shared" ref="P67:P130" si="4">E67+F67+G67-N67+O67+H67+I67+J67+K67+L67</f>
        <v>-48364267</v>
      </c>
      <c r="Q67" s="599">
        <v>-8906759</v>
      </c>
      <c r="R67" s="882">
        <f t="shared" ref="R67:S130" si="5">ROUND((P67/1000000),0)</f>
        <v>-48</v>
      </c>
      <c r="S67" s="599">
        <f t="shared" si="5"/>
        <v>-9</v>
      </c>
      <c r="T67" s="620"/>
      <c r="U67" s="621"/>
      <c r="V67" s="882">
        <f t="shared" ref="V67:V130" si="6">P67-U67+T67</f>
        <v>-48364267</v>
      </c>
      <c r="W67" s="882">
        <f t="shared" si="3"/>
        <v>-48</v>
      </c>
    </row>
    <row r="68" spans="1:23" ht="27" hidden="1" customHeight="1">
      <c r="A68" s="583">
        <v>401</v>
      </c>
      <c r="B68" s="581">
        <v>4</v>
      </c>
      <c r="C68" s="583" t="s">
        <v>1175</v>
      </c>
      <c r="D68" s="583" t="s">
        <v>1168</v>
      </c>
      <c r="E68" s="599">
        <v>3014740</v>
      </c>
      <c r="F68" s="599"/>
      <c r="G68" s="599"/>
      <c r="H68" s="599"/>
      <c r="I68" s="599"/>
      <c r="J68" s="599"/>
      <c r="K68" s="599"/>
      <c r="L68" s="599"/>
      <c r="M68" s="599">
        <v>0</v>
      </c>
      <c r="N68" s="592"/>
      <c r="O68" s="592"/>
      <c r="P68" s="882">
        <f t="shared" si="4"/>
        <v>3014740</v>
      </c>
      <c r="Q68" s="599">
        <v>-58840533</v>
      </c>
      <c r="R68" s="882">
        <f t="shared" si="5"/>
        <v>3</v>
      </c>
      <c r="S68" s="599">
        <f t="shared" si="5"/>
        <v>-59</v>
      </c>
      <c r="T68" s="620"/>
      <c r="U68" s="621"/>
      <c r="V68" s="882">
        <f t="shared" si="6"/>
        <v>3014740</v>
      </c>
      <c r="W68" s="882">
        <f t="shared" ref="W68:W131" si="7">ROUND((V68/1000000),0)</f>
        <v>3</v>
      </c>
    </row>
    <row r="69" spans="1:23" ht="27" hidden="1" customHeight="1">
      <c r="A69" s="583">
        <v>1009</v>
      </c>
      <c r="B69" s="581">
        <v>10</v>
      </c>
      <c r="C69" s="583" t="s">
        <v>833</v>
      </c>
      <c r="D69" s="583" t="s">
        <v>834</v>
      </c>
      <c r="E69" s="599"/>
      <c r="F69" s="599"/>
      <c r="G69" s="599"/>
      <c r="H69" s="599"/>
      <c r="I69" s="599"/>
      <c r="J69" s="599"/>
      <c r="K69" s="599"/>
      <c r="L69" s="599"/>
      <c r="M69" s="599">
        <v>0</v>
      </c>
      <c r="N69" s="592"/>
      <c r="O69" s="592"/>
      <c r="P69" s="882">
        <f t="shared" si="4"/>
        <v>0</v>
      </c>
      <c r="Q69" s="599"/>
      <c r="R69" s="882">
        <f t="shared" si="5"/>
        <v>0</v>
      </c>
      <c r="S69" s="599">
        <f t="shared" si="5"/>
        <v>0</v>
      </c>
      <c r="T69" s="620"/>
      <c r="U69" s="621"/>
      <c r="V69" s="882">
        <f t="shared" si="6"/>
        <v>0</v>
      </c>
      <c r="W69" s="882">
        <f t="shared" si="7"/>
        <v>0</v>
      </c>
    </row>
    <row r="70" spans="1:23" ht="27" hidden="1" customHeight="1">
      <c r="A70" s="583">
        <v>401</v>
      </c>
      <c r="B70" s="581">
        <v>4</v>
      </c>
      <c r="C70" s="583" t="s">
        <v>835</v>
      </c>
      <c r="D70" s="583" t="s">
        <v>836</v>
      </c>
      <c r="E70" s="599">
        <v>1056530390</v>
      </c>
      <c r="F70" s="599"/>
      <c r="G70" s="599"/>
      <c r="H70" s="599"/>
      <c r="I70" s="599"/>
      <c r="J70" s="599"/>
      <c r="K70" s="599"/>
      <c r="L70" s="599"/>
      <c r="M70" s="599">
        <v>0</v>
      </c>
      <c r="N70" s="592"/>
      <c r="O70" s="592"/>
      <c r="P70" s="882">
        <f t="shared" si="4"/>
        <v>1056530390</v>
      </c>
      <c r="Q70" s="599">
        <v>10302496747</v>
      </c>
      <c r="R70" s="882">
        <f t="shared" si="5"/>
        <v>1057</v>
      </c>
      <c r="S70" s="599">
        <f t="shared" si="5"/>
        <v>10302</v>
      </c>
      <c r="T70" s="620"/>
      <c r="U70" s="621"/>
      <c r="V70" s="882">
        <f t="shared" si="6"/>
        <v>1056530390</v>
      </c>
      <c r="W70" s="882">
        <f t="shared" si="7"/>
        <v>1057</v>
      </c>
    </row>
    <row r="71" spans="1:23" ht="27" hidden="1" customHeight="1">
      <c r="A71" s="583">
        <v>401</v>
      </c>
      <c r="B71" s="581">
        <v>4</v>
      </c>
      <c r="C71" s="583" t="s">
        <v>6</v>
      </c>
      <c r="D71" s="583" t="s">
        <v>204</v>
      </c>
      <c r="E71" s="599">
        <v>7435565711</v>
      </c>
      <c r="F71" s="599">
        <v>45446893</v>
      </c>
      <c r="G71" s="599"/>
      <c r="H71" s="599"/>
      <c r="I71" s="599"/>
      <c r="J71" s="599"/>
      <c r="K71" s="599"/>
      <c r="L71" s="599"/>
      <c r="M71" s="599">
        <v>0</v>
      </c>
      <c r="N71" s="592"/>
      <c r="O71" s="592"/>
      <c r="P71" s="882">
        <f t="shared" si="4"/>
        <v>7481012604</v>
      </c>
      <c r="Q71" s="599">
        <v>4939730799</v>
      </c>
      <c r="R71" s="882">
        <f t="shared" si="5"/>
        <v>7481</v>
      </c>
      <c r="S71" s="599">
        <f t="shared" si="5"/>
        <v>4940</v>
      </c>
      <c r="T71" s="620"/>
      <c r="U71" s="621"/>
      <c r="V71" s="882">
        <f t="shared" si="6"/>
        <v>7481012604</v>
      </c>
      <c r="W71" s="882">
        <f t="shared" si="7"/>
        <v>7481</v>
      </c>
    </row>
    <row r="72" spans="1:23" ht="27" hidden="1" customHeight="1">
      <c r="A72" s="583">
        <v>1009</v>
      </c>
      <c r="B72" s="581">
        <v>10</v>
      </c>
      <c r="C72" s="583" t="s">
        <v>939</v>
      </c>
      <c r="D72" s="583" t="s">
        <v>940</v>
      </c>
      <c r="E72" s="599"/>
      <c r="F72" s="599"/>
      <c r="G72" s="599"/>
      <c r="H72" s="599"/>
      <c r="I72" s="599"/>
      <c r="J72" s="599"/>
      <c r="K72" s="599"/>
      <c r="L72" s="599"/>
      <c r="M72" s="599">
        <v>0</v>
      </c>
      <c r="N72" s="592"/>
      <c r="O72" s="592"/>
      <c r="P72" s="882">
        <f t="shared" si="4"/>
        <v>0</v>
      </c>
      <c r="Q72" s="599"/>
      <c r="R72" s="882">
        <f t="shared" si="5"/>
        <v>0</v>
      </c>
      <c r="S72" s="599">
        <f t="shared" si="5"/>
        <v>0</v>
      </c>
      <c r="T72" s="620"/>
      <c r="U72" s="621"/>
      <c r="V72" s="882">
        <f t="shared" si="6"/>
        <v>0</v>
      </c>
      <c r="W72" s="882">
        <f t="shared" si="7"/>
        <v>0</v>
      </c>
    </row>
    <row r="73" spans="1:23" ht="27" hidden="1" customHeight="1">
      <c r="A73" s="583">
        <v>1009</v>
      </c>
      <c r="B73" s="581">
        <v>10</v>
      </c>
      <c r="C73" s="583" t="s">
        <v>8</v>
      </c>
      <c r="D73" s="583" t="s">
        <v>203</v>
      </c>
      <c r="E73" s="599">
        <v>-6075935538</v>
      </c>
      <c r="F73" s="599">
        <v>-5146459</v>
      </c>
      <c r="G73" s="599"/>
      <c r="H73" s="599"/>
      <c r="I73" s="599"/>
      <c r="J73" s="599"/>
      <c r="K73" s="599"/>
      <c r="L73" s="599"/>
      <c r="M73" s="599">
        <v>0</v>
      </c>
      <c r="N73" s="592"/>
      <c r="O73" s="592"/>
      <c r="P73" s="882">
        <f t="shared" si="4"/>
        <v>-6081081997</v>
      </c>
      <c r="Q73" s="599">
        <f>470855810-4837409117</f>
        <v>-4366553307</v>
      </c>
      <c r="R73" s="882">
        <f t="shared" si="5"/>
        <v>-6081</v>
      </c>
      <c r="S73" s="599">
        <f t="shared" si="5"/>
        <v>-4367</v>
      </c>
      <c r="T73" s="620"/>
      <c r="U73" s="621"/>
      <c r="V73" s="882">
        <f t="shared" si="6"/>
        <v>-6081081997</v>
      </c>
      <c r="W73" s="882">
        <f t="shared" si="7"/>
        <v>-6081</v>
      </c>
    </row>
    <row r="74" spans="1:23" ht="27" hidden="1" customHeight="1">
      <c r="A74" s="583">
        <v>401</v>
      </c>
      <c r="B74" s="581">
        <v>4</v>
      </c>
      <c r="C74" s="583" t="s">
        <v>1238</v>
      </c>
      <c r="D74" s="583" t="s">
        <v>1239</v>
      </c>
      <c r="E74" s="599"/>
      <c r="F74" s="599"/>
      <c r="G74" s="599"/>
      <c r="H74" s="599"/>
      <c r="I74" s="599"/>
      <c r="J74" s="599"/>
      <c r="K74" s="599"/>
      <c r="L74" s="599"/>
      <c r="M74" s="599">
        <v>0</v>
      </c>
      <c r="N74" s="592"/>
      <c r="O74" s="592"/>
      <c r="P74" s="882">
        <f t="shared" si="4"/>
        <v>0</v>
      </c>
      <c r="Q74" s="599">
        <v>355408369</v>
      </c>
      <c r="R74" s="882">
        <f t="shared" si="5"/>
        <v>0</v>
      </c>
      <c r="S74" s="599">
        <f t="shared" si="5"/>
        <v>355</v>
      </c>
      <c r="T74" s="620"/>
      <c r="U74" s="621"/>
      <c r="V74" s="882">
        <f t="shared" si="6"/>
        <v>0</v>
      </c>
      <c r="W74" s="882">
        <f t="shared" si="7"/>
        <v>0</v>
      </c>
    </row>
    <row r="75" spans="1:23" ht="27" hidden="1" customHeight="1">
      <c r="A75" s="583">
        <v>1009</v>
      </c>
      <c r="B75" s="581">
        <v>10</v>
      </c>
      <c r="C75" s="583" t="s">
        <v>549</v>
      </c>
      <c r="D75" s="583" t="s">
        <v>550</v>
      </c>
      <c r="E75" s="599">
        <v>-706879</v>
      </c>
      <c r="F75" s="599">
        <v>49826000</v>
      </c>
      <c r="G75" s="599"/>
      <c r="H75" s="599"/>
      <c r="I75" s="599"/>
      <c r="J75" s="599"/>
      <c r="K75" s="599"/>
      <c r="L75" s="599"/>
      <c r="M75" s="599">
        <v>0</v>
      </c>
      <c r="N75" s="592"/>
      <c r="O75" s="592"/>
      <c r="P75" s="882">
        <f t="shared" si="4"/>
        <v>49119121</v>
      </c>
      <c r="Q75" s="599">
        <f>713366761-111811298</f>
        <v>601555463</v>
      </c>
      <c r="R75" s="882">
        <f t="shared" si="5"/>
        <v>49</v>
      </c>
      <c r="S75" s="599">
        <f t="shared" si="5"/>
        <v>602</v>
      </c>
      <c r="T75" s="620"/>
      <c r="U75" s="621"/>
      <c r="V75" s="882">
        <f t="shared" si="6"/>
        <v>49119121</v>
      </c>
      <c r="W75" s="882">
        <f t="shared" si="7"/>
        <v>49</v>
      </c>
    </row>
    <row r="76" spans="1:23" ht="27" hidden="1" customHeight="1">
      <c r="A76" s="583">
        <v>1301</v>
      </c>
      <c r="B76" s="581">
        <v>12</v>
      </c>
      <c r="C76" s="583" t="s">
        <v>9</v>
      </c>
      <c r="D76" s="583" t="s">
        <v>590</v>
      </c>
      <c r="E76" s="599">
        <v>-2854320098889</v>
      </c>
      <c r="F76" s="599">
        <v>6345523428</v>
      </c>
      <c r="G76" s="599"/>
      <c r="H76" s="599"/>
      <c r="I76" s="599"/>
      <c r="J76" s="599"/>
      <c r="K76" s="599"/>
      <c r="L76" s="599"/>
      <c r="M76" s="599">
        <v>0</v>
      </c>
      <c r="N76" s="592"/>
      <c r="O76" s="592"/>
      <c r="P76" s="882">
        <f t="shared" si="4"/>
        <v>-2847974575461</v>
      </c>
      <c r="Q76" s="599">
        <f>-2257551803316-45395772+45395772</f>
        <v>-2257551803316</v>
      </c>
      <c r="R76" s="882">
        <f t="shared" si="5"/>
        <v>-2847975</v>
      </c>
      <c r="S76" s="599">
        <f t="shared" si="5"/>
        <v>-2257552</v>
      </c>
      <c r="T76" s="620"/>
      <c r="U76" s="621"/>
      <c r="V76" s="882">
        <f t="shared" si="6"/>
        <v>-2847974575461</v>
      </c>
      <c r="W76" s="882">
        <f t="shared" si="7"/>
        <v>-2847975</v>
      </c>
    </row>
    <row r="77" spans="1:23" ht="27" hidden="1" customHeight="1">
      <c r="A77" s="583">
        <v>1009</v>
      </c>
      <c r="B77" s="581">
        <v>10</v>
      </c>
      <c r="C77" s="583" t="s">
        <v>11</v>
      </c>
      <c r="D77" s="583" t="s">
        <v>551</v>
      </c>
      <c r="E77" s="599">
        <v>-52200000</v>
      </c>
      <c r="F77" s="599"/>
      <c r="G77" s="599"/>
      <c r="H77" s="599"/>
      <c r="I77" s="599"/>
      <c r="J77" s="599"/>
      <c r="K77" s="599"/>
      <c r="L77" s="599"/>
      <c r="M77" s="599">
        <v>0</v>
      </c>
      <c r="N77" s="592"/>
      <c r="O77" s="592"/>
      <c r="P77" s="882">
        <f t="shared" si="4"/>
        <v>-52200000</v>
      </c>
      <c r="Q77" s="599">
        <v>-50400000</v>
      </c>
      <c r="R77" s="882">
        <f t="shared" si="5"/>
        <v>-52</v>
      </c>
      <c r="S77" s="599">
        <f t="shared" si="5"/>
        <v>-50</v>
      </c>
      <c r="T77" s="620"/>
      <c r="U77" s="621"/>
      <c r="V77" s="882">
        <f t="shared" si="6"/>
        <v>-52200000</v>
      </c>
      <c r="W77" s="882">
        <f t="shared" si="7"/>
        <v>-52</v>
      </c>
    </row>
    <row r="78" spans="1:23" ht="27" hidden="1" customHeight="1">
      <c r="A78" s="583">
        <v>1009</v>
      </c>
      <c r="B78" s="581">
        <v>10</v>
      </c>
      <c r="C78" s="583" t="s">
        <v>12</v>
      </c>
      <c r="D78" s="583" t="s">
        <v>13</v>
      </c>
      <c r="E78" s="599">
        <v>-52540000</v>
      </c>
      <c r="F78" s="599"/>
      <c r="G78" s="599"/>
      <c r="H78" s="599"/>
      <c r="I78" s="599"/>
      <c r="J78" s="599"/>
      <c r="K78" s="599"/>
      <c r="L78" s="599"/>
      <c r="M78" s="599">
        <v>0</v>
      </c>
      <c r="N78" s="592"/>
      <c r="O78" s="592"/>
      <c r="P78" s="882">
        <f t="shared" si="4"/>
        <v>-52540000</v>
      </c>
      <c r="Q78" s="599">
        <f>300000-51428350</f>
        <v>-51128350</v>
      </c>
      <c r="R78" s="882">
        <f t="shared" si="5"/>
        <v>-53</v>
      </c>
      <c r="S78" s="599">
        <f t="shared" si="5"/>
        <v>-51</v>
      </c>
      <c r="T78" s="620"/>
      <c r="U78" s="621"/>
      <c r="V78" s="882">
        <f t="shared" si="6"/>
        <v>-52540000</v>
      </c>
      <c r="W78" s="882">
        <f t="shared" si="7"/>
        <v>-53</v>
      </c>
    </row>
    <row r="79" spans="1:23" ht="27" hidden="1" customHeight="1">
      <c r="A79" s="583">
        <v>1009</v>
      </c>
      <c r="B79" s="581">
        <v>10</v>
      </c>
      <c r="C79" s="583" t="s">
        <v>1091</v>
      </c>
      <c r="D79" s="583" t="s">
        <v>1092</v>
      </c>
      <c r="E79" s="599"/>
      <c r="F79" s="599"/>
      <c r="G79" s="599"/>
      <c r="H79" s="599"/>
      <c r="I79" s="599"/>
      <c r="J79" s="599"/>
      <c r="K79" s="599"/>
      <c r="L79" s="599"/>
      <c r="M79" s="599">
        <v>0</v>
      </c>
      <c r="N79" s="592"/>
      <c r="O79" s="592"/>
      <c r="P79" s="882">
        <f t="shared" si="4"/>
        <v>0</v>
      </c>
      <c r="Q79" s="599"/>
      <c r="R79" s="882">
        <f t="shared" si="5"/>
        <v>0</v>
      </c>
      <c r="S79" s="599">
        <f t="shared" si="5"/>
        <v>0</v>
      </c>
      <c r="T79" s="620"/>
      <c r="U79" s="621"/>
      <c r="V79" s="882">
        <f t="shared" si="6"/>
        <v>0</v>
      </c>
      <c r="W79" s="882">
        <f t="shared" si="7"/>
        <v>0</v>
      </c>
    </row>
    <row r="80" spans="1:23" ht="27" hidden="1" customHeight="1">
      <c r="A80" s="583">
        <v>1009</v>
      </c>
      <c r="B80" s="581">
        <v>10</v>
      </c>
      <c r="C80" s="583" t="s">
        <v>14</v>
      </c>
      <c r="D80" s="583" t="s">
        <v>363</v>
      </c>
      <c r="E80" s="599">
        <v>-12616323346</v>
      </c>
      <c r="F80" s="599">
        <v>13504617</v>
      </c>
      <c r="G80" s="599">
        <v>-20215000</v>
      </c>
      <c r="H80" s="599"/>
      <c r="I80" s="599"/>
      <c r="J80" s="599"/>
      <c r="K80" s="599"/>
      <c r="L80" s="599"/>
      <c r="M80" s="599">
        <v>0</v>
      </c>
      <c r="N80" s="592"/>
      <c r="O80" s="592"/>
      <c r="P80" s="882">
        <f t="shared" si="4"/>
        <v>-12623033729</v>
      </c>
      <c r="Q80" s="599">
        <v>-7268653008</v>
      </c>
      <c r="R80" s="882">
        <f t="shared" si="5"/>
        <v>-12623</v>
      </c>
      <c r="S80" s="599">
        <f t="shared" si="5"/>
        <v>-7269</v>
      </c>
      <c r="T80" s="620"/>
      <c r="U80" s="621"/>
      <c r="V80" s="882">
        <f t="shared" si="6"/>
        <v>-12623033729</v>
      </c>
      <c r="W80" s="882">
        <f t="shared" si="7"/>
        <v>-12623</v>
      </c>
    </row>
    <row r="81" spans="1:23" ht="27" hidden="1" customHeight="1">
      <c r="A81" s="583">
        <v>1009</v>
      </c>
      <c r="B81" s="581">
        <v>10</v>
      </c>
      <c r="C81" s="583" t="s">
        <v>15</v>
      </c>
      <c r="D81" s="583" t="s">
        <v>552</v>
      </c>
      <c r="E81" s="599">
        <v>-455576291</v>
      </c>
      <c r="F81" s="599"/>
      <c r="G81" s="599">
        <v>-180000</v>
      </c>
      <c r="H81" s="599"/>
      <c r="I81" s="599"/>
      <c r="J81" s="599"/>
      <c r="K81" s="599"/>
      <c r="L81" s="599"/>
      <c r="M81" s="599">
        <v>0</v>
      </c>
      <c r="N81" s="592"/>
      <c r="O81" s="592"/>
      <c r="P81" s="882">
        <f t="shared" si="4"/>
        <v>-455756291</v>
      </c>
      <c r="Q81" s="599">
        <f>28455000-94095000</f>
        <v>-65640000</v>
      </c>
      <c r="R81" s="882">
        <f t="shared" si="5"/>
        <v>-456</v>
      </c>
      <c r="S81" s="599">
        <f t="shared" si="5"/>
        <v>-66</v>
      </c>
      <c r="T81" s="620"/>
      <c r="U81" s="621"/>
      <c r="V81" s="882">
        <f t="shared" si="6"/>
        <v>-455756291</v>
      </c>
      <c r="W81" s="882">
        <f t="shared" si="7"/>
        <v>-456</v>
      </c>
    </row>
    <row r="82" spans="1:23" ht="27" hidden="1" customHeight="1">
      <c r="A82" s="583">
        <v>1009</v>
      </c>
      <c r="B82" s="581">
        <v>10</v>
      </c>
      <c r="C82" s="583" t="s">
        <v>744</v>
      </c>
      <c r="D82" s="583" t="s">
        <v>1093</v>
      </c>
      <c r="E82" s="599"/>
      <c r="F82" s="599"/>
      <c r="G82" s="599"/>
      <c r="H82" s="599"/>
      <c r="I82" s="599"/>
      <c r="J82" s="599"/>
      <c r="K82" s="599"/>
      <c r="L82" s="599"/>
      <c r="M82" s="599">
        <v>0</v>
      </c>
      <c r="N82" s="592"/>
      <c r="O82" s="592"/>
      <c r="P82" s="882">
        <f t="shared" si="4"/>
        <v>0</v>
      </c>
      <c r="Q82" s="599">
        <v>-20344320</v>
      </c>
      <c r="R82" s="882">
        <f t="shared" si="5"/>
        <v>0</v>
      </c>
      <c r="S82" s="599">
        <f t="shared" si="5"/>
        <v>-20</v>
      </c>
      <c r="T82" s="620"/>
      <c r="U82" s="621"/>
      <c r="V82" s="882">
        <f t="shared" si="6"/>
        <v>0</v>
      </c>
      <c r="W82" s="882">
        <f t="shared" si="7"/>
        <v>0</v>
      </c>
    </row>
    <row r="83" spans="1:23" ht="27" hidden="1" customHeight="1">
      <c r="A83" s="583">
        <v>1002</v>
      </c>
      <c r="B83" s="581">
        <v>10</v>
      </c>
      <c r="C83" s="583" t="s">
        <v>39</v>
      </c>
      <c r="D83" s="583" t="s">
        <v>181</v>
      </c>
      <c r="E83" s="599">
        <v>-146228858721</v>
      </c>
      <c r="F83" s="599"/>
      <c r="G83" s="599"/>
      <c r="H83" s="599"/>
      <c r="I83" s="599"/>
      <c r="J83" s="599"/>
      <c r="K83" s="599"/>
      <c r="L83" s="599"/>
      <c r="M83" s="599">
        <v>0</v>
      </c>
      <c r="N83" s="592"/>
      <c r="O83" s="592"/>
      <c r="P83" s="882">
        <f t="shared" si="4"/>
        <v>-146228858721</v>
      </c>
      <c r="Q83" s="599">
        <v>-146393547480</v>
      </c>
      <c r="R83" s="882">
        <f t="shared" si="5"/>
        <v>-146229</v>
      </c>
      <c r="S83" s="599">
        <f t="shared" si="5"/>
        <v>-146394</v>
      </c>
      <c r="T83" s="620"/>
      <c r="U83" s="621"/>
      <c r="V83" s="882">
        <f t="shared" si="6"/>
        <v>-146228858721</v>
      </c>
      <c r="W83" s="882">
        <f t="shared" si="7"/>
        <v>-146229</v>
      </c>
    </row>
    <row r="84" spans="1:23" ht="27" hidden="1" customHeight="1">
      <c r="A84" s="583">
        <v>1009</v>
      </c>
      <c r="B84" s="581">
        <v>10</v>
      </c>
      <c r="C84" s="583" t="s">
        <v>941</v>
      </c>
      <c r="D84" s="583" t="s">
        <v>942</v>
      </c>
      <c r="E84" s="599"/>
      <c r="F84" s="599"/>
      <c r="G84" s="599"/>
      <c r="H84" s="599"/>
      <c r="I84" s="599"/>
      <c r="J84" s="599"/>
      <c r="K84" s="599"/>
      <c r="L84" s="599"/>
      <c r="M84" s="599">
        <v>0</v>
      </c>
      <c r="N84" s="592"/>
      <c r="O84" s="592"/>
      <c r="P84" s="882">
        <f t="shared" si="4"/>
        <v>0</v>
      </c>
      <c r="Q84" s="599"/>
      <c r="R84" s="882">
        <f t="shared" si="5"/>
        <v>0</v>
      </c>
      <c r="S84" s="599">
        <f t="shared" si="5"/>
        <v>0</v>
      </c>
      <c r="T84" s="620"/>
      <c r="U84" s="621"/>
      <c r="V84" s="882">
        <f t="shared" si="6"/>
        <v>0</v>
      </c>
      <c r="W84" s="882">
        <f t="shared" si="7"/>
        <v>0</v>
      </c>
    </row>
    <row r="85" spans="1:23" ht="27" hidden="1" customHeight="1">
      <c r="A85" s="583">
        <v>1009</v>
      </c>
      <c r="B85" s="581">
        <v>10</v>
      </c>
      <c r="C85" s="583" t="s">
        <v>40</v>
      </c>
      <c r="D85" s="583" t="s">
        <v>41</v>
      </c>
      <c r="E85" s="599"/>
      <c r="F85" s="599"/>
      <c r="G85" s="599"/>
      <c r="H85" s="599"/>
      <c r="I85" s="599"/>
      <c r="J85" s="599"/>
      <c r="K85" s="599"/>
      <c r="L85" s="599"/>
      <c r="M85" s="599">
        <v>0</v>
      </c>
      <c r="N85" s="592"/>
      <c r="O85" s="592"/>
      <c r="P85" s="882">
        <f t="shared" si="4"/>
        <v>0</v>
      </c>
      <c r="Q85" s="599"/>
      <c r="R85" s="882">
        <f t="shared" si="5"/>
        <v>0</v>
      </c>
      <c r="S85" s="599">
        <f t="shared" si="5"/>
        <v>0</v>
      </c>
      <c r="T85" s="620"/>
      <c r="U85" s="621"/>
      <c r="V85" s="882">
        <f t="shared" si="6"/>
        <v>0</v>
      </c>
      <c r="W85" s="882">
        <f t="shared" si="7"/>
        <v>0</v>
      </c>
    </row>
    <row r="86" spans="1:23" ht="27" hidden="1" customHeight="1">
      <c r="A86" s="583">
        <v>1009</v>
      </c>
      <c r="B86" s="581">
        <v>10</v>
      </c>
      <c r="C86" s="583" t="s">
        <v>1094</v>
      </c>
      <c r="D86" s="583" t="s">
        <v>1095</v>
      </c>
      <c r="E86" s="599"/>
      <c r="F86" s="599"/>
      <c r="G86" s="599"/>
      <c r="H86" s="599"/>
      <c r="I86" s="599"/>
      <c r="J86" s="599"/>
      <c r="K86" s="599"/>
      <c r="L86" s="599"/>
      <c r="M86" s="599">
        <v>0</v>
      </c>
      <c r="N86" s="592"/>
      <c r="O86" s="592"/>
      <c r="P86" s="882">
        <f t="shared" si="4"/>
        <v>0</v>
      </c>
      <c r="Q86" s="599"/>
      <c r="R86" s="882">
        <f t="shared" si="5"/>
        <v>0</v>
      </c>
      <c r="S86" s="599">
        <f t="shared" si="5"/>
        <v>0</v>
      </c>
      <c r="T86" s="620"/>
      <c r="U86" s="621"/>
      <c r="V86" s="882">
        <f t="shared" si="6"/>
        <v>0</v>
      </c>
      <c r="W86" s="882">
        <f t="shared" si="7"/>
        <v>0</v>
      </c>
    </row>
    <row r="87" spans="1:23" ht="27" hidden="1" customHeight="1">
      <c r="A87" s="583">
        <v>1009</v>
      </c>
      <c r="B87" s="581">
        <v>10</v>
      </c>
      <c r="C87" s="583" t="s">
        <v>1096</v>
      </c>
      <c r="D87" s="583" t="s">
        <v>1097</v>
      </c>
      <c r="E87" s="599"/>
      <c r="F87" s="599"/>
      <c r="G87" s="599"/>
      <c r="H87" s="599"/>
      <c r="I87" s="599"/>
      <c r="J87" s="599"/>
      <c r="K87" s="599"/>
      <c r="L87" s="599"/>
      <c r="M87" s="599">
        <v>0</v>
      </c>
      <c r="N87" s="592"/>
      <c r="O87" s="592"/>
      <c r="P87" s="882">
        <f t="shared" si="4"/>
        <v>0</v>
      </c>
      <c r="Q87" s="599"/>
      <c r="R87" s="882">
        <f t="shared" si="5"/>
        <v>0</v>
      </c>
      <c r="S87" s="599">
        <f t="shared" si="5"/>
        <v>0</v>
      </c>
      <c r="T87" s="620"/>
      <c r="U87" s="621"/>
      <c r="V87" s="882">
        <f t="shared" si="6"/>
        <v>0</v>
      </c>
      <c r="W87" s="882">
        <f t="shared" si="7"/>
        <v>0</v>
      </c>
    </row>
    <row r="88" spans="1:23" ht="27" hidden="1" customHeight="1">
      <c r="A88" s="583">
        <v>1009</v>
      </c>
      <c r="B88" s="581">
        <v>10</v>
      </c>
      <c r="C88" s="583" t="s">
        <v>854</v>
      </c>
      <c r="D88" s="583" t="s">
        <v>1098</v>
      </c>
      <c r="E88" s="599"/>
      <c r="F88" s="599"/>
      <c r="G88" s="599"/>
      <c r="H88" s="599"/>
      <c r="I88" s="599"/>
      <c r="J88" s="599"/>
      <c r="K88" s="599"/>
      <c r="L88" s="599"/>
      <c r="M88" s="599">
        <v>0</v>
      </c>
      <c r="N88" s="592"/>
      <c r="O88" s="592"/>
      <c r="P88" s="882">
        <f t="shared" si="4"/>
        <v>0</v>
      </c>
      <c r="Q88" s="599">
        <v>0</v>
      </c>
      <c r="R88" s="882">
        <f t="shared" si="5"/>
        <v>0</v>
      </c>
      <c r="S88" s="599">
        <f t="shared" si="5"/>
        <v>0</v>
      </c>
      <c r="T88" s="620"/>
      <c r="U88" s="621"/>
      <c r="V88" s="882">
        <f t="shared" si="6"/>
        <v>0</v>
      </c>
      <c r="W88" s="882">
        <f t="shared" si="7"/>
        <v>0</v>
      </c>
    </row>
    <row r="89" spans="1:23" ht="27" hidden="1" customHeight="1">
      <c r="A89" s="583">
        <v>401</v>
      </c>
      <c r="B89" s="581">
        <v>4</v>
      </c>
      <c r="C89" s="583" t="s">
        <v>42</v>
      </c>
      <c r="D89" s="583" t="s">
        <v>943</v>
      </c>
      <c r="E89" s="599"/>
      <c r="F89" s="599"/>
      <c r="G89" s="599"/>
      <c r="H89" s="599"/>
      <c r="I89" s="599"/>
      <c r="J89" s="599"/>
      <c r="K89" s="599"/>
      <c r="L89" s="599"/>
      <c r="M89" s="599">
        <v>0</v>
      </c>
      <c r="N89" s="592"/>
      <c r="O89" s="592"/>
      <c r="P89" s="882">
        <f t="shared" si="4"/>
        <v>0</v>
      </c>
      <c r="Q89" s="599">
        <v>0</v>
      </c>
      <c r="R89" s="882">
        <f t="shared" si="5"/>
        <v>0</v>
      </c>
      <c r="S89" s="599">
        <f t="shared" si="5"/>
        <v>0</v>
      </c>
      <c r="T89" s="620"/>
      <c r="U89" s="621"/>
      <c r="V89" s="882">
        <f t="shared" si="6"/>
        <v>0</v>
      </c>
      <c r="W89" s="882">
        <f t="shared" si="7"/>
        <v>0</v>
      </c>
    </row>
    <row r="90" spans="1:23" ht="27" hidden="1" customHeight="1">
      <c r="A90" s="583">
        <v>1009</v>
      </c>
      <c r="B90" s="581">
        <v>10</v>
      </c>
      <c r="C90" s="583" t="s">
        <v>1099</v>
      </c>
      <c r="D90" s="583" t="s">
        <v>1084</v>
      </c>
      <c r="E90" s="599">
        <v>-1262635888</v>
      </c>
      <c r="F90" s="599"/>
      <c r="G90" s="599"/>
      <c r="H90" s="599"/>
      <c r="I90" s="599"/>
      <c r="J90" s="599"/>
      <c r="K90" s="599"/>
      <c r="L90" s="599"/>
      <c r="M90" s="599">
        <v>0</v>
      </c>
      <c r="N90" s="592"/>
      <c r="O90" s="592"/>
      <c r="P90" s="882">
        <f t="shared" si="4"/>
        <v>-1262635888</v>
      </c>
      <c r="Q90" s="599">
        <f>10135137796-11865498000+19070000000</f>
        <v>17339639796</v>
      </c>
      <c r="R90" s="882">
        <f t="shared" si="5"/>
        <v>-1263</v>
      </c>
      <c r="S90" s="599">
        <f t="shared" si="5"/>
        <v>17340</v>
      </c>
      <c r="T90" s="620"/>
      <c r="U90" s="621"/>
      <c r="V90" s="882">
        <f t="shared" si="6"/>
        <v>-1262635888</v>
      </c>
      <c r="W90" s="882">
        <f t="shared" si="7"/>
        <v>-1263</v>
      </c>
    </row>
    <row r="91" spans="1:23" ht="27" hidden="1" customHeight="1">
      <c r="A91" s="583">
        <v>401</v>
      </c>
      <c r="B91" s="581">
        <v>4</v>
      </c>
      <c r="C91" s="583" t="s">
        <v>1100</v>
      </c>
      <c r="D91" s="583" t="s">
        <v>1102</v>
      </c>
      <c r="E91" s="599"/>
      <c r="F91" s="599"/>
      <c r="G91" s="599"/>
      <c r="H91" s="599"/>
      <c r="I91" s="599"/>
      <c r="J91" s="599"/>
      <c r="K91" s="599"/>
      <c r="L91" s="599"/>
      <c r="M91" s="599">
        <v>0</v>
      </c>
      <c r="N91" s="592"/>
      <c r="O91" s="592"/>
      <c r="P91" s="882">
        <f t="shared" si="4"/>
        <v>0</v>
      </c>
      <c r="Q91" s="599"/>
      <c r="R91" s="882">
        <f t="shared" si="5"/>
        <v>0</v>
      </c>
      <c r="S91" s="599">
        <f t="shared" si="5"/>
        <v>0</v>
      </c>
      <c r="T91" s="620"/>
      <c r="U91" s="621"/>
      <c r="V91" s="882">
        <f t="shared" si="6"/>
        <v>0</v>
      </c>
      <c r="W91" s="882">
        <f t="shared" si="7"/>
        <v>0</v>
      </c>
    </row>
    <row r="92" spans="1:23" ht="27" hidden="1" customHeight="1">
      <c r="A92" s="583">
        <v>1009</v>
      </c>
      <c r="B92" s="581">
        <v>10</v>
      </c>
      <c r="C92" s="583" t="s">
        <v>1101</v>
      </c>
      <c r="D92" s="583" t="s">
        <v>1103</v>
      </c>
      <c r="E92" s="599">
        <v>-2141200</v>
      </c>
      <c r="F92" s="599">
        <v>2141200</v>
      </c>
      <c r="G92" s="599"/>
      <c r="H92" s="599"/>
      <c r="I92" s="599"/>
      <c r="J92" s="599"/>
      <c r="K92" s="599"/>
      <c r="L92" s="599"/>
      <c r="M92" s="599">
        <v>0</v>
      </c>
      <c r="N92" s="592"/>
      <c r="O92" s="592"/>
      <c r="P92" s="882">
        <f t="shared" si="4"/>
        <v>0</v>
      </c>
      <c r="Q92" s="599"/>
      <c r="R92" s="882">
        <f t="shared" si="5"/>
        <v>0</v>
      </c>
      <c r="S92" s="599">
        <f t="shared" si="5"/>
        <v>0</v>
      </c>
      <c r="T92" s="620"/>
      <c r="U92" s="621"/>
      <c r="V92" s="882">
        <f t="shared" si="6"/>
        <v>0</v>
      </c>
      <c r="W92" s="882">
        <f t="shared" si="7"/>
        <v>0</v>
      </c>
    </row>
    <row r="93" spans="1:23" ht="27" hidden="1" customHeight="1">
      <c r="A93" s="583">
        <v>406</v>
      </c>
      <c r="B93" s="581">
        <v>4</v>
      </c>
      <c r="C93" s="583" t="s">
        <v>43</v>
      </c>
      <c r="D93" s="583" t="s">
        <v>1002</v>
      </c>
      <c r="E93" s="599">
        <v>142302000</v>
      </c>
      <c r="F93" s="599"/>
      <c r="G93" s="599"/>
      <c r="H93" s="599"/>
      <c r="I93" s="599"/>
      <c r="J93" s="599"/>
      <c r="K93" s="599"/>
      <c r="L93" s="599"/>
      <c r="M93" s="599">
        <v>0</v>
      </c>
      <c r="N93" s="592"/>
      <c r="O93" s="592"/>
      <c r="P93" s="882">
        <f t="shared" si="4"/>
        <v>142302000</v>
      </c>
      <c r="Q93" s="599">
        <v>1036000</v>
      </c>
      <c r="R93" s="882">
        <f t="shared" si="5"/>
        <v>142</v>
      </c>
      <c r="S93" s="599">
        <f t="shared" si="5"/>
        <v>1</v>
      </c>
      <c r="T93" s="620"/>
      <c r="U93" s="621"/>
      <c r="V93" s="882">
        <f t="shared" si="6"/>
        <v>142302000</v>
      </c>
      <c r="W93" s="882">
        <f t="shared" si="7"/>
        <v>142</v>
      </c>
    </row>
    <row r="94" spans="1:23" ht="27" hidden="1" customHeight="1">
      <c r="A94" s="583">
        <v>401</v>
      </c>
      <c r="B94" s="581">
        <v>4</v>
      </c>
      <c r="C94" s="583" t="s">
        <v>1176</v>
      </c>
      <c r="D94" s="583" t="s">
        <v>1171</v>
      </c>
      <c r="E94" s="599">
        <v>20215000</v>
      </c>
      <c r="F94" s="599">
        <v>-20215000</v>
      </c>
      <c r="G94" s="599"/>
      <c r="H94" s="599"/>
      <c r="I94" s="599"/>
      <c r="J94" s="599"/>
      <c r="K94" s="599"/>
      <c r="L94" s="599"/>
      <c r="M94" s="599">
        <v>0</v>
      </c>
      <c r="N94" s="592"/>
      <c r="O94" s="592"/>
      <c r="P94" s="882">
        <f t="shared" si="4"/>
        <v>0</v>
      </c>
      <c r="Q94" s="599">
        <v>0</v>
      </c>
      <c r="R94" s="882">
        <f t="shared" si="5"/>
        <v>0</v>
      </c>
      <c r="S94" s="599">
        <f t="shared" si="5"/>
        <v>0</v>
      </c>
      <c r="T94" s="620"/>
      <c r="U94" s="621"/>
      <c r="V94" s="882">
        <f t="shared" si="6"/>
        <v>0</v>
      </c>
      <c r="W94" s="882">
        <f t="shared" si="7"/>
        <v>0</v>
      </c>
    </row>
    <row r="95" spans="1:23" ht="27" hidden="1" customHeight="1">
      <c r="A95" s="583">
        <v>1009</v>
      </c>
      <c r="B95" s="581">
        <v>10</v>
      </c>
      <c r="C95" s="583" t="s">
        <v>44</v>
      </c>
      <c r="D95" s="583" t="s">
        <v>898</v>
      </c>
      <c r="E95" s="599"/>
      <c r="F95" s="599"/>
      <c r="G95" s="599"/>
      <c r="H95" s="599"/>
      <c r="I95" s="599"/>
      <c r="J95" s="599"/>
      <c r="K95" s="599"/>
      <c r="L95" s="599"/>
      <c r="M95" s="599">
        <v>0</v>
      </c>
      <c r="N95" s="592"/>
      <c r="O95" s="592"/>
      <c r="P95" s="882">
        <f t="shared" si="4"/>
        <v>0</v>
      </c>
      <c r="Q95" s="599"/>
      <c r="R95" s="882">
        <f t="shared" si="5"/>
        <v>0</v>
      </c>
      <c r="S95" s="599">
        <f t="shared" si="5"/>
        <v>0</v>
      </c>
      <c r="T95" s="620"/>
      <c r="U95" s="621"/>
      <c r="V95" s="882">
        <f t="shared" si="6"/>
        <v>0</v>
      </c>
      <c r="W95" s="882">
        <f t="shared" si="7"/>
        <v>0</v>
      </c>
    </row>
    <row r="96" spans="1:23" ht="27" hidden="1" customHeight="1">
      <c r="A96" s="583">
        <v>401</v>
      </c>
      <c r="B96" s="581">
        <v>4</v>
      </c>
      <c r="C96" s="583" t="s">
        <v>944</v>
      </c>
      <c r="D96" s="583" t="s">
        <v>945</v>
      </c>
      <c r="E96" s="599"/>
      <c r="F96" s="599"/>
      <c r="G96" s="599"/>
      <c r="H96" s="599"/>
      <c r="I96" s="599"/>
      <c r="J96" s="599"/>
      <c r="K96" s="599"/>
      <c r="L96" s="599"/>
      <c r="M96" s="599">
        <v>0</v>
      </c>
      <c r="N96" s="592"/>
      <c r="O96" s="592"/>
      <c r="P96" s="882">
        <f t="shared" si="4"/>
        <v>0</v>
      </c>
      <c r="Q96" s="599">
        <v>0</v>
      </c>
      <c r="R96" s="882">
        <f t="shared" si="5"/>
        <v>0</v>
      </c>
      <c r="S96" s="599">
        <f t="shared" si="5"/>
        <v>0</v>
      </c>
      <c r="T96" s="620"/>
      <c r="U96" s="621"/>
      <c r="V96" s="882">
        <f t="shared" si="6"/>
        <v>0</v>
      </c>
      <c r="W96" s="882">
        <f t="shared" si="7"/>
        <v>0</v>
      </c>
    </row>
    <row r="97" spans="1:23" ht="27" hidden="1" customHeight="1">
      <c r="A97" s="583">
        <v>401</v>
      </c>
      <c r="B97" s="581">
        <v>4</v>
      </c>
      <c r="C97" s="583" t="s">
        <v>946</v>
      </c>
      <c r="D97" s="583" t="s">
        <v>947</v>
      </c>
      <c r="E97" s="599"/>
      <c r="F97" s="599"/>
      <c r="G97" s="599"/>
      <c r="H97" s="599"/>
      <c r="I97" s="599"/>
      <c r="J97" s="599"/>
      <c r="K97" s="599"/>
      <c r="L97" s="599"/>
      <c r="M97" s="599">
        <v>0</v>
      </c>
      <c r="N97" s="592"/>
      <c r="O97" s="592"/>
      <c r="P97" s="882">
        <f t="shared" si="4"/>
        <v>0</v>
      </c>
      <c r="Q97" s="599">
        <v>0</v>
      </c>
      <c r="R97" s="882">
        <f t="shared" si="5"/>
        <v>0</v>
      </c>
      <c r="S97" s="599">
        <f t="shared" si="5"/>
        <v>0</v>
      </c>
      <c r="T97" s="620"/>
      <c r="U97" s="621"/>
      <c r="V97" s="882">
        <f t="shared" si="6"/>
        <v>0</v>
      </c>
      <c r="W97" s="882">
        <f t="shared" si="7"/>
        <v>0</v>
      </c>
    </row>
    <row r="98" spans="1:23" ht="27" hidden="1" customHeight="1">
      <c r="A98" s="583">
        <v>401</v>
      </c>
      <c r="B98" s="581">
        <v>4</v>
      </c>
      <c r="C98" s="583" t="s">
        <v>948</v>
      </c>
      <c r="D98" s="583" t="s">
        <v>949</v>
      </c>
      <c r="E98" s="599"/>
      <c r="F98" s="599"/>
      <c r="G98" s="599"/>
      <c r="H98" s="599"/>
      <c r="I98" s="599"/>
      <c r="J98" s="599"/>
      <c r="K98" s="599"/>
      <c r="L98" s="599"/>
      <c r="M98" s="599">
        <v>0</v>
      </c>
      <c r="N98" s="592"/>
      <c r="O98" s="592"/>
      <c r="P98" s="882">
        <f t="shared" si="4"/>
        <v>0</v>
      </c>
      <c r="Q98" s="599">
        <v>0</v>
      </c>
      <c r="R98" s="882">
        <f t="shared" si="5"/>
        <v>0</v>
      </c>
      <c r="S98" s="599">
        <f t="shared" si="5"/>
        <v>0</v>
      </c>
      <c r="T98" s="620"/>
      <c r="U98" s="621"/>
      <c r="V98" s="882">
        <f t="shared" si="6"/>
        <v>0</v>
      </c>
      <c r="W98" s="882">
        <f t="shared" si="7"/>
        <v>0</v>
      </c>
    </row>
    <row r="99" spans="1:23" ht="27" hidden="1" customHeight="1">
      <c r="A99" s="583">
        <v>1009</v>
      </c>
      <c r="B99" s="581">
        <v>10</v>
      </c>
      <c r="C99" s="583" t="s">
        <v>950</v>
      </c>
      <c r="D99" s="583" t="s">
        <v>951</v>
      </c>
      <c r="E99" s="599"/>
      <c r="F99" s="599"/>
      <c r="G99" s="599"/>
      <c r="H99" s="599"/>
      <c r="I99" s="599"/>
      <c r="J99" s="599"/>
      <c r="K99" s="599"/>
      <c r="L99" s="599"/>
      <c r="M99" s="599">
        <v>0</v>
      </c>
      <c r="N99" s="592"/>
      <c r="O99" s="592"/>
      <c r="P99" s="882">
        <f t="shared" si="4"/>
        <v>0</v>
      </c>
      <c r="Q99" s="599">
        <v>0</v>
      </c>
      <c r="R99" s="882">
        <f t="shared" si="5"/>
        <v>0</v>
      </c>
      <c r="S99" s="599">
        <f t="shared" si="5"/>
        <v>0</v>
      </c>
      <c r="T99" s="620"/>
      <c r="U99" s="621"/>
      <c r="V99" s="882">
        <f t="shared" si="6"/>
        <v>0</v>
      </c>
      <c r="W99" s="882">
        <f t="shared" si="7"/>
        <v>0</v>
      </c>
    </row>
    <row r="100" spans="1:23" ht="27" hidden="1" customHeight="1">
      <c r="A100" s="583">
        <v>401</v>
      </c>
      <c r="B100" s="581">
        <v>4</v>
      </c>
      <c r="C100" s="583" t="s">
        <v>45</v>
      </c>
      <c r="D100" s="583" t="s">
        <v>46</v>
      </c>
      <c r="E100" s="599">
        <v>164339872</v>
      </c>
      <c r="F100" s="599"/>
      <c r="G100" s="599">
        <v>-241695358</v>
      </c>
      <c r="H100" s="599"/>
      <c r="I100" s="599"/>
      <c r="J100" s="599"/>
      <c r="K100" s="599"/>
      <c r="L100" s="599"/>
      <c r="M100" s="599">
        <v>0</v>
      </c>
      <c r="N100" s="592"/>
      <c r="O100" s="592"/>
      <c r="P100" s="882">
        <f t="shared" si="4"/>
        <v>-77355486</v>
      </c>
      <c r="Q100" s="599">
        <f>13084444-10841777908</f>
        <v>-10828693464</v>
      </c>
      <c r="R100" s="882">
        <f t="shared" si="5"/>
        <v>-77</v>
      </c>
      <c r="S100" s="599">
        <f t="shared" si="5"/>
        <v>-10829</v>
      </c>
      <c r="T100" s="620"/>
      <c r="U100" s="621"/>
      <c r="V100" s="882">
        <f t="shared" si="6"/>
        <v>-77355486</v>
      </c>
      <c r="W100" s="882">
        <f t="shared" si="7"/>
        <v>-77</v>
      </c>
    </row>
    <row r="101" spans="1:23" ht="24.75" hidden="1" customHeight="1">
      <c r="A101" s="583"/>
      <c r="B101" s="581">
        <v>11</v>
      </c>
      <c r="C101" s="583" t="s">
        <v>47</v>
      </c>
      <c r="D101" s="583" t="s">
        <v>1493</v>
      </c>
      <c r="E101" s="599">
        <v>-3350004000</v>
      </c>
      <c r="F101" s="599"/>
      <c r="G101" s="599"/>
      <c r="H101" s="599"/>
      <c r="I101" s="599"/>
      <c r="J101" s="599"/>
      <c r="K101" s="599"/>
      <c r="L101" s="599"/>
      <c r="M101" s="599">
        <v>0</v>
      </c>
      <c r="N101" s="592"/>
      <c r="O101" s="592"/>
      <c r="P101" s="882">
        <f t="shared" si="4"/>
        <v>-3350004000</v>
      </c>
      <c r="Q101" s="599">
        <v>-19553000000</v>
      </c>
      <c r="R101" s="882">
        <f t="shared" si="5"/>
        <v>-3350</v>
      </c>
      <c r="S101" s="599">
        <f t="shared" si="5"/>
        <v>-19553</v>
      </c>
      <c r="T101" s="620"/>
      <c r="U101" s="621"/>
      <c r="V101" s="882">
        <f t="shared" si="6"/>
        <v>-3350004000</v>
      </c>
      <c r="W101" s="882">
        <f t="shared" si="7"/>
        <v>-3350</v>
      </c>
    </row>
    <row r="102" spans="1:23" ht="24.75" hidden="1" customHeight="1">
      <c r="A102" s="583">
        <v>1009</v>
      </c>
      <c r="B102" s="581">
        <v>10</v>
      </c>
      <c r="C102" s="583" t="s">
        <v>47</v>
      </c>
      <c r="D102" s="583" t="s">
        <v>555</v>
      </c>
      <c r="E102" s="599">
        <v>-653743103</v>
      </c>
      <c r="F102" s="599"/>
      <c r="G102" s="599">
        <v>56205789</v>
      </c>
      <c r="H102" s="599"/>
      <c r="I102" s="599"/>
      <c r="J102" s="599"/>
      <c r="K102" s="599"/>
      <c r="L102" s="599"/>
      <c r="M102" s="599">
        <v>0</v>
      </c>
      <c r="N102" s="592"/>
      <c r="O102" s="592"/>
      <c r="P102" s="882">
        <f t="shared" si="4"/>
        <v>-597537314</v>
      </c>
      <c r="Q102" s="599">
        <v>24478670004</v>
      </c>
      <c r="R102" s="882">
        <f t="shared" si="5"/>
        <v>-598</v>
      </c>
      <c r="S102" s="599">
        <f t="shared" si="5"/>
        <v>24479</v>
      </c>
      <c r="T102" s="620"/>
      <c r="U102" s="621"/>
      <c r="V102" s="882">
        <f t="shared" si="6"/>
        <v>-597537314</v>
      </c>
      <c r="W102" s="882">
        <f t="shared" si="7"/>
        <v>-598</v>
      </c>
    </row>
    <row r="103" spans="1:23" ht="27" hidden="1" customHeight="1">
      <c r="A103" s="583">
        <v>401</v>
      </c>
      <c r="B103" s="581">
        <v>4</v>
      </c>
      <c r="C103" s="583" t="s">
        <v>952</v>
      </c>
      <c r="D103" s="583" t="s">
        <v>953</v>
      </c>
      <c r="E103" s="599"/>
      <c r="F103" s="599"/>
      <c r="G103" s="599"/>
      <c r="H103" s="599"/>
      <c r="I103" s="599"/>
      <c r="J103" s="599"/>
      <c r="K103" s="599"/>
      <c r="L103" s="599"/>
      <c r="M103" s="599">
        <v>0</v>
      </c>
      <c r="N103" s="592"/>
      <c r="O103" s="592"/>
      <c r="P103" s="882">
        <f t="shared" si="4"/>
        <v>0</v>
      </c>
      <c r="Q103" s="599">
        <v>0</v>
      </c>
      <c r="R103" s="882">
        <f t="shared" si="5"/>
        <v>0</v>
      </c>
      <c r="S103" s="599">
        <f t="shared" si="5"/>
        <v>0</v>
      </c>
      <c r="T103" s="620"/>
      <c r="U103" s="621"/>
      <c r="V103" s="882">
        <f t="shared" si="6"/>
        <v>0</v>
      </c>
      <c r="W103" s="882">
        <f t="shared" si="7"/>
        <v>0</v>
      </c>
    </row>
    <row r="104" spans="1:23" ht="27" hidden="1" customHeight="1">
      <c r="A104" s="583">
        <v>401</v>
      </c>
      <c r="B104" s="581">
        <v>4</v>
      </c>
      <c r="C104" s="583" t="s">
        <v>837</v>
      </c>
      <c r="D104" s="583" t="s">
        <v>954</v>
      </c>
      <c r="E104" s="599"/>
      <c r="F104" s="599"/>
      <c r="G104" s="599"/>
      <c r="H104" s="599"/>
      <c r="I104" s="599"/>
      <c r="J104" s="599"/>
      <c r="K104" s="599"/>
      <c r="L104" s="599"/>
      <c r="M104" s="599">
        <v>0</v>
      </c>
      <c r="N104" s="592"/>
      <c r="O104" s="592"/>
      <c r="P104" s="882">
        <f t="shared" si="4"/>
        <v>0</v>
      </c>
      <c r="Q104" s="599">
        <v>1390000</v>
      </c>
      <c r="R104" s="882">
        <f t="shared" si="5"/>
        <v>0</v>
      </c>
      <c r="S104" s="599">
        <f t="shared" si="5"/>
        <v>1</v>
      </c>
      <c r="T104" s="620"/>
      <c r="U104" s="621"/>
      <c r="V104" s="882">
        <f t="shared" si="6"/>
        <v>0</v>
      </c>
      <c r="W104" s="882">
        <f t="shared" si="7"/>
        <v>0</v>
      </c>
    </row>
    <row r="105" spans="1:23" ht="27" hidden="1" customHeight="1">
      <c r="A105" s="583">
        <v>1009</v>
      </c>
      <c r="B105" s="581">
        <v>10</v>
      </c>
      <c r="C105" s="583" t="s">
        <v>955</v>
      </c>
      <c r="D105" s="583" t="s">
        <v>956</v>
      </c>
      <c r="E105" s="599"/>
      <c r="F105" s="599"/>
      <c r="G105" s="599"/>
      <c r="H105" s="599"/>
      <c r="I105" s="599"/>
      <c r="J105" s="599"/>
      <c r="K105" s="599"/>
      <c r="L105" s="599"/>
      <c r="M105" s="599">
        <v>0</v>
      </c>
      <c r="N105" s="592"/>
      <c r="O105" s="592"/>
      <c r="P105" s="882">
        <f t="shared" si="4"/>
        <v>0</v>
      </c>
      <c r="Q105" s="599">
        <v>-602137679</v>
      </c>
      <c r="R105" s="882">
        <f t="shared" si="5"/>
        <v>0</v>
      </c>
      <c r="S105" s="599">
        <f t="shared" si="5"/>
        <v>-602</v>
      </c>
      <c r="T105" s="620"/>
      <c r="U105" s="621"/>
      <c r="V105" s="882">
        <f t="shared" si="6"/>
        <v>0</v>
      </c>
      <c r="W105" s="882">
        <f t="shared" si="7"/>
        <v>0</v>
      </c>
    </row>
    <row r="106" spans="1:23" ht="27" hidden="1" customHeight="1">
      <c r="A106" s="583">
        <v>1009</v>
      </c>
      <c r="B106" s="581">
        <v>10</v>
      </c>
      <c r="C106" s="583" t="s">
        <v>1104</v>
      </c>
      <c r="D106" s="583" t="s">
        <v>1105</v>
      </c>
      <c r="E106" s="599">
        <v>-1235652</v>
      </c>
      <c r="F106" s="599"/>
      <c r="G106" s="599">
        <v>1235652</v>
      </c>
      <c r="H106" s="599"/>
      <c r="I106" s="599"/>
      <c r="J106" s="599"/>
      <c r="K106" s="599"/>
      <c r="L106" s="599"/>
      <c r="M106" s="599">
        <v>0</v>
      </c>
      <c r="N106" s="592"/>
      <c r="O106" s="592"/>
      <c r="P106" s="882">
        <f t="shared" si="4"/>
        <v>0</v>
      </c>
      <c r="Q106" s="599"/>
      <c r="R106" s="882">
        <f t="shared" si="5"/>
        <v>0</v>
      </c>
      <c r="S106" s="599">
        <f t="shared" si="5"/>
        <v>0</v>
      </c>
      <c r="T106" s="620"/>
      <c r="U106" s="621"/>
      <c r="V106" s="882">
        <f t="shared" si="6"/>
        <v>0</v>
      </c>
      <c r="W106" s="882">
        <f t="shared" si="7"/>
        <v>0</v>
      </c>
    </row>
    <row r="107" spans="1:23" ht="27" hidden="1" customHeight="1">
      <c r="A107" s="583">
        <v>401</v>
      </c>
      <c r="B107" s="581">
        <v>4</v>
      </c>
      <c r="C107" s="583" t="s">
        <v>881</v>
      </c>
      <c r="D107" s="583" t="s">
        <v>880</v>
      </c>
      <c r="E107" s="599">
        <v>4238569830</v>
      </c>
      <c r="F107" s="599">
        <v>-47157659</v>
      </c>
      <c r="G107" s="599"/>
      <c r="H107" s="599"/>
      <c r="I107" s="599"/>
      <c r="J107" s="599">
        <v>-6400386204</v>
      </c>
      <c r="K107" s="599"/>
      <c r="L107" s="599"/>
      <c r="M107" s="599">
        <v>0</v>
      </c>
      <c r="N107" s="592"/>
      <c r="O107" s="592"/>
      <c r="P107" s="882">
        <f t="shared" si="4"/>
        <v>-2208974033</v>
      </c>
      <c r="Q107" s="599">
        <f>10858606204-440985316</f>
        <v>10417620888</v>
      </c>
      <c r="R107" s="882">
        <f t="shared" si="5"/>
        <v>-2209</v>
      </c>
      <c r="S107" s="599">
        <f t="shared" si="5"/>
        <v>10418</v>
      </c>
      <c r="T107" s="620"/>
      <c r="U107" s="621"/>
      <c r="V107" s="882">
        <f t="shared" si="6"/>
        <v>-2208974033</v>
      </c>
      <c r="W107" s="882">
        <f t="shared" si="7"/>
        <v>-2209</v>
      </c>
    </row>
    <row r="108" spans="1:23" ht="27" hidden="1" customHeight="1">
      <c r="A108" s="583">
        <v>401</v>
      </c>
      <c r="B108" s="581">
        <v>4</v>
      </c>
      <c r="C108" s="583" t="s">
        <v>556</v>
      </c>
      <c r="D108" s="583" t="s">
        <v>957</v>
      </c>
      <c r="E108" s="599">
        <v>24804920</v>
      </c>
      <c r="F108" s="599">
        <v>-24804920</v>
      </c>
      <c r="G108" s="599"/>
      <c r="H108" s="599"/>
      <c r="I108" s="599"/>
      <c r="J108" s="599"/>
      <c r="K108" s="599"/>
      <c r="L108" s="599"/>
      <c r="M108" s="599">
        <v>0</v>
      </c>
      <c r="N108" s="592"/>
      <c r="O108" s="592"/>
      <c r="P108" s="882">
        <f t="shared" si="4"/>
        <v>0</v>
      </c>
      <c r="Q108" s="599">
        <v>0</v>
      </c>
      <c r="R108" s="882">
        <f t="shared" si="5"/>
        <v>0</v>
      </c>
      <c r="S108" s="599">
        <f t="shared" si="5"/>
        <v>0</v>
      </c>
      <c r="T108" s="620"/>
      <c r="U108" s="621"/>
      <c r="V108" s="882">
        <f t="shared" si="6"/>
        <v>0</v>
      </c>
      <c r="W108" s="882">
        <f t="shared" si="7"/>
        <v>0</v>
      </c>
    </row>
    <row r="109" spans="1:23" ht="27" hidden="1" customHeight="1">
      <c r="A109" s="583">
        <v>402</v>
      </c>
      <c r="B109" s="581">
        <v>4</v>
      </c>
      <c r="C109" s="583" t="s">
        <v>48</v>
      </c>
      <c r="D109" s="583" t="s">
        <v>49</v>
      </c>
      <c r="E109" s="599">
        <v>10608448586</v>
      </c>
      <c r="F109" s="599"/>
      <c r="G109" s="599"/>
      <c r="H109" s="599"/>
      <c r="I109" s="599"/>
      <c r="J109" s="599"/>
      <c r="K109" s="599"/>
      <c r="L109" s="599"/>
      <c r="M109" s="599">
        <v>0</v>
      </c>
      <c r="N109" s="592"/>
      <c r="O109" s="592"/>
      <c r="P109" s="882">
        <f t="shared" si="4"/>
        <v>10608448586</v>
      </c>
      <c r="Q109" s="599">
        <v>10608448586</v>
      </c>
      <c r="R109" s="882">
        <f t="shared" si="5"/>
        <v>10608</v>
      </c>
      <c r="S109" s="599">
        <f t="shared" si="5"/>
        <v>10608</v>
      </c>
      <c r="T109" s="620"/>
      <c r="U109" s="621"/>
      <c r="V109" s="882">
        <f t="shared" si="6"/>
        <v>10608448586</v>
      </c>
      <c r="W109" s="882">
        <f t="shared" si="7"/>
        <v>10608</v>
      </c>
    </row>
    <row r="110" spans="1:23" ht="27" hidden="1" customHeight="1">
      <c r="A110" s="583">
        <v>1024</v>
      </c>
      <c r="B110" s="581">
        <v>10</v>
      </c>
      <c r="C110" s="583" t="s">
        <v>50</v>
      </c>
      <c r="D110" s="583" t="s">
        <v>205</v>
      </c>
      <c r="E110" s="599">
        <v>-50565418166</v>
      </c>
      <c r="F110" s="599">
        <v>-272213572</v>
      </c>
      <c r="G110" s="599">
        <v>-15461062074</v>
      </c>
      <c r="H110" s="599"/>
      <c r="I110" s="599"/>
      <c r="J110" s="599"/>
      <c r="K110" s="599"/>
      <c r="L110" s="599"/>
      <c r="M110" s="599">
        <v>0</v>
      </c>
      <c r="N110" s="592"/>
      <c r="O110" s="592"/>
      <c r="P110" s="882">
        <f t="shared" si="4"/>
        <v>-66298693812</v>
      </c>
      <c r="Q110" s="599">
        <v>-50393466093</v>
      </c>
      <c r="R110" s="882">
        <f t="shared" si="5"/>
        <v>-66299</v>
      </c>
      <c r="S110" s="599">
        <f t="shared" si="5"/>
        <v>-50393</v>
      </c>
      <c r="T110" s="620"/>
      <c r="U110" s="621"/>
      <c r="V110" s="882">
        <f t="shared" si="6"/>
        <v>-66298693812</v>
      </c>
      <c r="W110" s="882">
        <f t="shared" si="7"/>
        <v>-66299</v>
      </c>
    </row>
    <row r="111" spans="1:23" ht="27" hidden="1" customHeight="1">
      <c r="A111" s="583">
        <v>406</v>
      </c>
      <c r="B111" s="581">
        <v>4</v>
      </c>
      <c r="C111" s="583" t="s">
        <v>51</v>
      </c>
      <c r="D111" s="583" t="s">
        <v>155</v>
      </c>
      <c r="E111" s="599">
        <v>38710198682</v>
      </c>
      <c r="F111" s="599">
        <v>-6433044589</v>
      </c>
      <c r="G111" s="599">
        <v>-85595360</v>
      </c>
      <c r="H111" s="599">
        <v>-7275440</v>
      </c>
      <c r="I111" s="599"/>
      <c r="J111" s="599">
        <v>6400386204</v>
      </c>
      <c r="K111" s="599"/>
      <c r="L111" s="599"/>
      <c r="M111" s="599">
        <v>0</v>
      </c>
      <c r="N111" s="592"/>
      <c r="O111" s="592"/>
      <c r="P111" s="882">
        <f t="shared" si="4"/>
        <v>38584669497</v>
      </c>
      <c r="Q111" s="599">
        <f>26797136030-10142955885</f>
        <v>16654180145</v>
      </c>
      <c r="R111" s="882">
        <f t="shared" si="5"/>
        <v>38585</v>
      </c>
      <c r="S111" s="599">
        <f t="shared" si="5"/>
        <v>16654</v>
      </c>
      <c r="T111" s="620"/>
      <c r="U111" s="621"/>
      <c r="V111" s="882">
        <f t="shared" si="6"/>
        <v>38584669497</v>
      </c>
      <c r="W111" s="882">
        <f t="shared" si="7"/>
        <v>38585</v>
      </c>
    </row>
    <row r="112" spans="1:23" ht="27" hidden="1" customHeight="1">
      <c r="A112" s="583">
        <v>406</v>
      </c>
      <c r="B112" s="581">
        <v>4</v>
      </c>
      <c r="C112" s="583" t="s">
        <v>52</v>
      </c>
      <c r="D112" s="583" t="s">
        <v>206</v>
      </c>
      <c r="E112" s="599">
        <v>2018966716</v>
      </c>
      <c r="F112" s="599"/>
      <c r="G112" s="599"/>
      <c r="H112" s="599"/>
      <c r="I112" s="599"/>
      <c r="J112" s="599"/>
      <c r="K112" s="599"/>
      <c r="L112" s="599"/>
      <c r="M112" s="599">
        <v>0</v>
      </c>
      <c r="N112" s="592"/>
      <c r="O112" s="592"/>
      <c r="P112" s="882">
        <f t="shared" si="4"/>
        <v>2018966716</v>
      </c>
      <c r="Q112" s="599">
        <v>5692812746</v>
      </c>
      <c r="R112" s="882">
        <f t="shared" si="5"/>
        <v>2019</v>
      </c>
      <c r="S112" s="599">
        <f t="shared" si="5"/>
        <v>5693</v>
      </c>
      <c r="T112" s="620"/>
      <c r="U112" s="621"/>
      <c r="V112" s="882">
        <f t="shared" si="6"/>
        <v>2018966716</v>
      </c>
      <c r="W112" s="882">
        <f t="shared" si="7"/>
        <v>2019</v>
      </c>
    </row>
    <row r="113" spans="1:23" ht="27" hidden="1" customHeight="1">
      <c r="A113" s="583">
        <v>403</v>
      </c>
      <c r="B113" s="581">
        <v>4</v>
      </c>
      <c r="C113" s="583" t="s">
        <v>53</v>
      </c>
      <c r="D113" s="583" t="s">
        <v>757</v>
      </c>
      <c r="E113" s="599">
        <f>21202628278-3588310991</f>
        <v>17614317287</v>
      </c>
      <c r="F113" s="599"/>
      <c r="G113" s="599"/>
      <c r="H113" s="599"/>
      <c r="I113" s="599"/>
      <c r="J113" s="599"/>
      <c r="K113" s="599"/>
      <c r="L113" s="599"/>
      <c r="M113" s="599">
        <v>0</v>
      </c>
      <c r="N113" s="592"/>
      <c r="O113" s="592"/>
      <c r="P113" s="882">
        <f t="shared" si="4"/>
        <v>17614317287</v>
      </c>
      <c r="Q113" s="599">
        <f>11182898910-3588310991</f>
        <v>7594587919</v>
      </c>
      <c r="R113" s="882">
        <f t="shared" si="5"/>
        <v>17614</v>
      </c>
      <c r="S113" s="599">
        <f t="shared" si="5"/>
        <v>7595</v>
      </c>
      <c r="T113" s="620"/>
      <c r="U113" s="621"/>
      <c r="V113" s="882">
        <f t="shared" si="6"/>
        <v>17614317287</v>
      </c>
      <c r="W113" s="882">
        <f t="shared" si="7"/>
        <v>17614</v>
      </c>
    </row>
    <row r="114" spans="1:23" ht="27" hidden="1" customHeight="1">
      <c r="A114" s="583">
        <v>406</v>
      </c>
      <c r="B114" s="581">
        <v>4</v>
      </c>
      <c r="C114" s="583" t="s">
        <v>55</v>
      </c>
      <c r="D114" s="583" t="s">
        <v>547</v>
      </c>
      <c r="E114" s="599">
        <v>425865673</v>
      </c>
      <c r="F114" s="599"/>
      <c r="G114" s="599"/>
      <c r="H114" s="599"/>
      <c r="I114" s="599"/>
      <c r="J114" s="599"/>
      <c r="K114" s="599"/>
      <c r="L114" s="599"/>
      <c r="M114" s="599">
        <v>0</v>
      </c>
      <c r="N114" s="592"/>
      <c r="O114" s="592"/>
      <c r="P114" s="882">
        <f t="shared" si="4"/>
        <v>425865673</v>
      </c>
      <c r="Q114" s="599">
        <v>9806960</v>
      </c>
      <c r="R114" s="882">
        <f t="shared" si="5"/>
        <v>426</v>
      </c>
      <c r="S114" s="599">
        <f t="shared" si="5"/>
        <v>10</v>
      </c>
      <c r="T114" s="620"/>
      <c r="U114" s="621"/>
      <c r="V114" s="882">
        <f t="shared" si="6"/>
        <v>425865673</v>
      </c>
      <c r="W114" s="882">
        <f t="shared" si="7"/>
        <v>426</v>
      </c>
    </row>
    <row r="115" spans="1:23" ht="27" hidden="1" customHeight="1">
      <c r="A115" s="583">
        <v>1009</v>
      </c>
      <c r="B115" s="581">
        <v>10</v>
      </c>
      <c r="C115" s="583" t="s">
        <v>56</v>
      </c>
      <c r="D115" s="583" t="s">
        <v>597</v>
      </c>
      <c r="E115" s="599">
        <v>-1937100</v>
      </c>
      <c r="F115" s="599"/>
      <c r="G115" s="599"/>
      <c r="H115" s="599"/>
      <c r="I115" s="599"/>
      <c r="J115" s="599"/>
      <c r="K115" s="599"/>
      <c r="L115" s="599"/>
      <c r="M115" s="599">
        <v>0</v>
      </c>
      <c r="N115" s="592"/>
      <c r="O115" s="592"/>
      <c r="P115" s="882">
        <f t="shared" si="4"/>
        <v>-1937100</v>
      </c>
      <c r="Q115" s="599">
        <v>-1937100</v>
      </c>
      <c r="R115" s="882">
        <f t="shared" si="5"/>
        <v>-2</v>
      </c>
      <c r="S115" s="599">
        <f t="shared" si="5"/>
        <v>-2</v>
      </c>
      <c r="T115" s="620"/>
      <c r="U115" s="621"/>
      <c r="V115" s="882">
        <f t="shared" si="6"/>
        <v>-1937100</v>
      </c>
      <c r="W115" s="882">
        <f t="shared" si="7"/>
        <v>-2</v>
      </c>
    </row>
    <row r="116" spans="1:23" ht="27" hidden="1" customHeight="1">
      <c r="A116" s="583">
        <v>406</v>
      </c>
      <c r="B116" s="581">
        <v>4</v>
      </c>
      <c r="C116" s="583" t="s">
        <v>715</v>
      </c>
      <c r="D116" s="583" t="s">
        <v>716</v>
      </c>
      <c r="E116" s="599">
        <v>46</v>
      </c>
      <c r="F116" s="599"/>
      <c r="G116" s="599"/>
      <c r="H116" s="599"/>
      <c r="I116" s="599"/>
      <c r="J116" s="599"/>
      <c r="K116" s="599"/>
      <c r="L116" s="599"/>
      <c r="M116" s="599">
        <v>0</v>
      </c>
      <c r="N116" s="592"/>
      <c r="O116" s="592"/>
      <c r="P116" s="882">
        <f t="shared" si="4"/>
        <v>46</v>
      </c>
      <c r="Q116" s="599">
        <v>93389760</v>
      </c>
      <c r="R116" s="882">
        <f t="shared" si="5"/>
        <v>0</v>
      </c>
      <c r="S116" s="599">
        <f t="shared" si="5"/>
        <v>93</v>
      </c>
      <c r="T116" s="620"/>
      <c r="U116" s="621"/>
      <c r="V116" s="882">
        <f t="shared" si="6"/>
        <v>46</v>
      </c>
      <c r="W116" s="882">
        <f t="shared" si="7"/>
        <v>0</v>
      </c>
    </row>
    <row r="117" spans="1:23" ht="27" hidden="1" customHeight="1">
      <c r="A117" s="583">
        <v>406</v>
      </c>
      <c r="B117" s="581">
        <v>4</v>
      </c>
      <c r="C117" s="583" t="s">
        <v>412</v>
      </c>
      <c r="D117" s="583" t="s">
        <v>17</v>
      </c>
      <c r="E117" s="599">
        <v>13603200</v>
      </c>
      <c r="F117" s="599"/>
      <c r="G117" s="599"/>
      <c r="H117" s="599"/>
      <c r="I117" s="599"/>
      <c r="J117" s="599"/>
      <c r="K117" s="599"/>
      <c r="L117" s="599"/>
      <c r="M117" s="599">
        <v>0</v>
      </c>
      <c r="N117" s="592"/>
      <c r="O117" s="592"/>
      <c r="P117" s="882">
        <f t="shared" si="4"/>
        <v>13603200</v>
      </c>
      <c r="Q117" s="599">
        <v>19409622</v>
      </c>
      <c r="R117" s="882">
        <f t="shared" si="5"/>
        <v>14</v>
      </c>
      <c r="S117" s="599">
        <f t="shared" si="5"/>
        <v>19</v>
      </c>
      <c r="T117" s="620"/>
      <c r="U117" s="621"/>
      <c r="V117" s="882">
        <f t="shared" si="6"/>
        <v>13603200</v>
      </c>
      <c r="W117" s="882">
        <f t="shared" si="7"/>
        <v>14</v>
      </c>
    </row>
    <row r="118" spans="1:23" ht="27" hidden="1" customHeight="1">
      <c r="A118" s="583">
        <v>1025</v>
      </c>
      <c r="B118" s="581">
        <v>10</v>
      </c>
      <c r="C118" s="583" t="s">
        <v>57</v>
      </c>
      <c r="D118" s="583" t="s">
        <v>137</v>
      </c>
      <c r="E118" s="599">
        <v>-8292894618</v>
      </c>
      <c r="F118" s="599">
        <v>-18555610</v>
      </c>
      <c r="G118" s="599">
        <v>3595360</v>
      </c>
      <c r="H118" s="599"/>
      <c r="I118" s="599"/>
      <c r="J118" s="599"/>
      <c r="K118" s="599"/>
      <c r="L118" s="599"/>
      <c r="M118" s="599">
        <v>0</v>
      </c>
      <c r="N118" s="592"/>
      <c r="O118" s="592"/>
      <c r="P118" s="882">
        <f t="shared" si="4"/>
        <v>-8307854868</v>
      </c>
      <c r="Q118" s="599">
        <v>-6862373932</v>
      </c>
      <c r="R118" s="882">
        <f t="shared" si="5"/>
        <v>-8308</v>
      </c>
      <c r="S118" s="599">
        <f t="shared" si="5"/>
        <v>-6862</v>
      </c>
      <c r="T118" s="620"/>
      <c r="U118" s="621"/>
      <c r="V118" s="882">
        <f t="shared" si="6"/>
        <v>-8307854868</v>
      </c>
      <c r="W118" s="882">
        <f t="shared" si="7"/>
        <v>-8308</v>
      </c>
    </row>
    <row r="119" spans="1:23" ht="27" hidden="1" customHeight="1">
      <c r="A119" s="583">
        <v>407</v>
      </c>
      <c r="B119" s="581">
        <v>4</v>
      </c>
      <c r="C119" s="583" t="s">
        <v>58</v>
      </c>
      <c r="D119" s="583" t="s">
        <v>139</v>
      </c>
      <c r="E119" s="599">
        <v>-1580660457983</v>
      </c>
      <c r="F119" s="599"/>
      <c r="G119" s="599"/>
      <c r="H119" s="599"/>
      <c r="I119" s="599"/>
      <c r="J119" s="599"/>
      <c r="K119" s="599"/>
      <c r="L119" s="599"/>
      <c r="M119" s="599">
        <v>0</v>
      </c>
      <c r="N119" s="592"/>
      <c r="O119" s="592"/>
      <c r="P119" s="882">
        <f t="shared" si="4"/>
        <v>-1580660457983</v>
      </c>
      <c r="Q119" s="599">
        <f>1195955449832-1165120763549+87892486</f>
        <v>30922578769</v>
      </c>
      <c r="R119" s="882">
        <f t="shared" si="5"/>
        <v>-1580660</v>
      </c>
      <c r="S119" s="599">
        <f t="shared" si="5"/>
        <v>30923</v>
      </c>
      <c r="T119" s="620"/>
      <c r="U119" s="621"/>
      <c r="V119" s="882">
        <f t="shared" si="6"/>
        <v>-1580660457983</v>
      </c>
      <c r="W119" s="882">
        <f t="shared" si="7"/>
        <v>-1580660</v>
      </c>
    </row>
    <row r="120" spans="1:23" ht="27" hidden="1" customHeight="1">
      <c r="A120" s="583">
        <v>407</v>
      </c>
      <c r="B120" s="581">
        <v>4</v>
      </c>
      <c r="C120" s="583" t="s">
        <v>1373</v>
      </c>
      <c r="D120" s="583" t="s">
        <v>1374</v>
      </c>
      <c r="E120" s="599">
        <f>1235306373391</f>
        <v>1235306373391</v>
      </c>
      <c r="F120" s="599">
        <v>-36749651740</v>
      </c>
      <c r="G120" s="599">
        <v>508098727607</v>
      </c>
      <c r="H120" s="599"/>
      <c r="I120" s="599"/>
      <c r="J120" s="599"/>
      <c r="K120" s="599"/>
      <c r="L120" s="599"/>
      <c r="M120" s="599">
        <v>0</v>
      </c>
      <c r="N120" s="592"/>
      <c r="O120" s="592"/>
      <c r="P120" s="882">
        <f t="shared" si="4"/>
        <v>1706655449258</v>
      </c>
      <c r="Q120" s="599"/>
      <c r="R120" s="882">
        <f t="shared" si="5"/>
        <v>1706655</v>
      </c>
      <c r="S120" s="599">
        <f t="shared" si="5"/>
        <v>0</v>
      </c>
      <c r="T120" s="620"/>
      <c r="U120" s="621"/>
      <c r="V120" s="882">
        <f t="shared" si="6"/>
        <v>1706655449258</v>
      </c>
      <c r="W120" s="882">
        <f t="shared" si="7"/>
        <v>1706655</v>
      </c>
    </row>
    <row r="121" spans="1:23" ht="27" hidden="1" customHeight="1">
      <c r="A121" s="583">
        <v>10010101</v>
      </c>
      <c r="B121" s="581">
        <v>10</v>
      </c>
      <c r="C121" s="583" t="s">
        <v>59</v>
      </c>
      <c r="D121" s="583" t="s">
        <v>342</v>
      </c>
      <c r="E121" s="599">
        <v>-1248043695173</v>
      </c>
      <c r="F121" s="599">
        <v>-35031574379</v>
      </c>
      <c r="G121" s="599">
        <v>-1686041076444</v>
      </c>
      <c r="H121" s="599">
        <v>497231389329</v>
      </c>
      <c r="I121" s="599">
        <f>40390187351-1351200981</f>
        <v>39038986370</v>
      </c>
      <c r="J121" s="599">
        <v>-48459877901</v>
      </c>
      <c r="K121" s="599">
        <v>-40886839751</v>
      </c>
      <c r="L121" s="599"/>
      <c r="M121" s="599">
        <v>0</v>
      </c>
      <c r="N121" s="592"/>
      <c r="O121" s="592"/>
      <c r="P121" s="882">
        <f t="shared" si="4"/>
        <v>-2522192687949</v>
      </c>
      <c r="Q121" s="599">
        <f>-4290489070604-12398310669+49470219528+12678379-19115179290+381287639+2856707513+844279899+25930608586-4133052571-520052967-74448710110</f>
        <v>-4321608594667</v>
      </c>
      <c r="R121" s="882">
        <f t="shared" si="5"/>
        <v>-2522193</v>
      </c>
      <c r="S121" s="599">
        <f t="shared" si="5"/>
        <v>-4321609</v>
      </c>
      <c r="T121" s="620"/>
      <c r="U121" s="621"/>
      <c r="V121" s="882">
        <f t="shared" si="6"/>
        <v>-2522192687949</v>
      </c>
      <c r="W121" s="882">
        <f t="shared" si="7"/>
        <v>-2522193</v>
      </c>
    </row>
    <row r="122" spans="1:23" ht="27" hidden="1" customHeight="1">
      <c r="A122" s="583">
        <v>10040</v>
      </c>
      <c r="B122" s="581">
        <v>10</v>
      </c>
      <c r="C122" s="583" t="s">
        <v>59</v>
      </c>
      <c r="D122" s="583" t="s">
        <v>923</v>
      </c>
      <c r="E122" s="601"/>
      <c r="F122" s="601"/>
      <c r="G122" s="601"/>
      <c r="H122" s="601"/>
      <c r="I122" s="601"/>
      <c r="J122" s="601"/>
      <c r="K122" s="601"/>
      <c r="L122" s="601"/>
      <c r="M122" s="601">
        <v>0</v>
      </c>
      <c r="N122" s="592"/>
      <c r="O122" s="592"/>
      <c r="P122" s="882">
        <f t="shared" si="4"/>
        <v>0</v>
      </c>
      <c r="Q122" s="601"/>
      <c r="R122" s="882">
        <f t="shared" si="5"/>
        <v>0</v>
      </c>
      <c r="S122" s="601">
        <f t="shared" si="5"/>
        <v>0</v>
      </c>
      <c r="T122" s="620"/>
      <c r="U122" s="621"/>
      <c r="V122" s="882">
        <f t="shared" si="6"/>
        <v>0</v>
      </c>
      <c r="W122" s="882">
        <f t="shared" si="7"/>
        <v>0</v>
      </c>
    </row>
    <row r="123" spans="1:23" ht="27" hidden="1" customHeight="1">
      <c r="A123" s="583">
        <v>10040</v>
      </c>
      <c r="B123" s="581">
        <v>10</v>
      </c>
      <c r="C123" s="583" t="s">
        <v>59</v>
      </c>
      <c r="D123" s="583" t="s">
        <v>923</v>
      </c>
      <c r="E123" s="601"/>
      <c r="F123" s="601"/>
      <c r="G123" s="601"/>
      <c r="H123" s="601"/>
      <c r="I123" s="601"/>
      <c r="J123" s="601"/>
      <c r="K123" s="601"/>
      <c r="L123" s="601"/>
      <c r="M123" s="601">
        <v>0</v>
      </c>
      <c r="N123" s="592"/>
      <c r="O123" s="592"/>
      <c r="P123" s="882">
        <f t="shared" si="4"/>
        <v>0</v>
      </c>
      <c r="Q123" s="601"/>
      <c r="R123" s="882">
        <f t="shared" si="5"/>
        <v>0</v>
      </c>
      <c r="S123" s="601">
        <f t="shared" si="5"/>
        <v>0</v>
      </c>
      <c r="T123" s="620"/>
      <c r="U123" s="621"/>
      <c r="V123" s="882">
        <f t="shared" si="6"/>
        <v>0</v>
      </c>
      <c r="W123" s="882">
        <f t="shared" si="7"/>
        <v>0</v>
      </c>
    </row>
    <row r="124" spans="1:23" ht="27" hidden="1" customHeight="1">
      <c r="A124" s="583">
        <v>406</v>
      </c>
      <c r="B124" s="581">
        <v>4</v>
      </c>
      <c r="C124" s="583" t="s">
        <v>378</v>
      </c>
      <c r="D124" s="583" t="s">
        <v>958</v>
      </c>
      <c r="E124" s="602"/>
      <c r="F124" s="602"/>
      <c r="G124" s="602"/>
      <c r="H124" s="602"/>
      <c r="I124" s="602"/>
      <c r="J124" s="602"/>
      <c r="K124" s="602"/>
      <c r="L124" s="602"/>
      <c r="M124" s="602">
        <v>0</v>
      </c>
      <c r="N124" s="592"/>
      <c r="O124" s="592"/>
      <c r="P124" s="882">
        <f t="shared" si="4"/>
        <v>0</v>
      </c>
      <c r="Q124" s="602">
        <v>68752800</v>
      </c>
      <c r="R124" s="882">
        <f t="shared" si="5"/>
        <v>0</v>
      </c>
      <c r="S124" s="602">
        <f t="shared" si="5"/>
        <v>69</v>
      </c>
      <c r="T124" s="620"/>
      <c r="U124" s="621"/>
      <c r="V124" s="882">
        <f t="shared" si="6"/>
        <v>0</v>
      </c>
      <c r="W124" s="882">
        <f t="shared" si="7"/>
        <v>0</v>
      </c>
    </row>
    <row r="125" spans="1:23" ht="27" hidden="1" customHeight="1">
      <c r="A125" s="583">
        <v>1022</v>
      </c>
      <c r="B125" s="581">
        <v>10</v>
      </c>
      <c r="C125" s="583" t="s">
        <v>60</v>
      </c>
      <c r="D125" s="583" t="s">
        <v>1375</v>
      </c>
      <c r="E125" s="599">
        <f>265491401814</f>
        <v>265491401814</v>
      </c>
      <c r="F125" s="599">
        <v>-2951969201</v>
      </c>
      <c r="G125" s="599">
        <v>-1288172</v>
      </c>
      <c r="H125" s="599"/>
      <c r="I125" s="599"/>
      <c r="J125" s="599"/>
      <c r="K125" s="599"/>
      <c r="L125" s="599"/>
      <c r="M125" s="599">
        <v>0</v>
      </c>
      <c r="N125" s="592"/>
      <c r="O125" s="592"/>
      <c r="P125" s="882">
        <f t="shared" si="4"/>
        <v>262538144441</v>
      </c>
      <c r="Q125" s="599">
        <v>231229327270</v>
      </c>
      <c r="R125" s="882">
        <f t="shared" si="5"/>
        <v>262538</v>
      </c>
      <c r="S125" s="599">
        <f t="shared" si="5"/>
        <v>231229</v>
      </c>
      <c r="T125" s="620"/>
      <c r="U125" s="621"/>
      <c r="V125" s="882">
        <f t="shared" si="6"/>
        <v>262538144441</v>
      </c>
      <c r="W125" s="882">
        <f t="shared" si="7"/>
        <v>262538</v>
      </c>
    </row>
    <row r="126" spans="1:23" ht="27" hidden="1" customHeight="1">
      <c r="A126" s="583">
        <v>1022</v>
      </c>
      <c r="B126" s="581">
        <v>10</v>
      </c>
      <c r="C126" s="583" t="s">
        <v>1327</v>
      </c>
      <c r="D126" s="583" t="s">
        <v>778</v>
      </c>
      <c r="E126" s="599">
        <f>-2868194424852</f>
        <v>-2868194424852</v>
      </c>
      <c r="F126" s="599">
        <v>-17586788422</v>
      </c>
      <c r="G126" s="599">
        <v>2565706414942</v>
      </c>
      <c r="H126" s="599">
        <v>-19221450459</v>
      </c>
      <c r="I126" s="599">
        <v>-5560727199</v>
      </c>
      <c r="J126" s="599">
        <v>-200160726543</v>
      </c>
      <c r="K126" s="599"/>
      <c r="L126" s="599"/>
      <c r="M126" s="599">
        <v>0</v>
      </c>
      <c r="N126" s="592"/>
      <c r="O126" s="592"/>
      <c r="P126" s="882">
        <f t="shared" si="4"/>
        <v>-545017702533</v>
      </c>
      <c r="Q126" s="599">
        <f>231229327270+97433359486-66691278984-4642604411-3341176068+67375617624+3654832162+217871298336-83322718159-231229327270</f>
        <v>228337329986</v>
      </c>
      <c r="R126" s="882">
        <f t="shared" si="5"/>
        <v>-545018</v>
      </c>
      <c r="S126" s="599">
        <f t="shared" si="5"/>
        <v>228337</v>
      </c>
      <c r="T126" s="620"/>
      <c r="U126" s="621"/>
      <c r="V126" s="882">
        <f t="shared" si="6"/>
        <v>-545017702533</v>
      </c>
      <c r="W126" s="882">
        <f t="shared" si="7"/>
        <v>-545018</v>
      </c>
    </row>
    <row r="127" spans="1:23" ht="27" hidden="1" customHeight="1">
      <c r="A127" s="583">
        <v>406</v>
      </c>
      <c r="B127" s="581">
        <v>4</v>
      </c>
      <c r="C127" s="583" t="s">
        <v>565</v>
      </c>
      <c r="D127" s="583" t="s">
        <v>566</v>
      </c>
      <c r="E127" s="599">
        <v>1714875360</v>
      </c>
      <c r="F127" s="599"/>
      <c r="G127" s="599"/>
      <c r="H127" s="599"/>
      <c r="I127" s="599"/>
      <c r="J127" s="599"/>
      <c r="K127" s="599"/>
      <c r="L127" s="599"/>
      <c r="M127" s="599">
        <v>0</v>
      </c>
      <c r="N127" s="592"/>
      <c r="O127" s="592"/>
      <c r="P127" s="882">
        <f t="shared" si="4"/>
        <v>1714875360</v>
      </c>
      <c r="Q127" s="599">
        <v>1662484560</v>
      </c>
      <c r="R127" s="882">
        <f t="shared" si="5"/>
        <v>1715</v>
      </c>
      <c r="S127" s="599">
        <f t="shared" si="5"/>
        <v>1662</v>
      </c>
      <c r="T127" s="620"/>
      <c r="U127" s="621"/>
      <c r="V127" s="882">
        <f t="shared" si="6"/>
        <v>1714875360</v>
      </c>
      <c r="W127" s="882">
        <f t="shared" si="7"/>
        <v>1715</v>
      </c>
    </row>
    <row r="128" spans="1:23" ht="27" hidden="1" customHeight="1">
      <c r="A128" s="583">
        <v>1001</v>
      </c>
      <c r="B128" s="581">
        <v>10</v>
      </c>
      <c r="C128" s="583" t="s">
        <v>567</v>
      </c>
      <c r="D128" s="583" t="s">
        <v>777</v>
      </c>
      <c r="E128" s="599">
        <v>-1156149372</v>
      </c>
      <c r="F128" s="599">
        <v>-8788762</v>
      </c>
      <c r="G128" s="599">
        <v>-145479756</v>
      </c>
      <c r="H128" s="599"/>
      <c r="I128" s="599"/>
      <c r="J128" s="599"/>
      <c r="K128" s="599"/>
      <c r="L128" s="599"/>
      <c r="M128" s="599">
        <v>0</v>
      </c>
      <c r="N128" s="592"/>
      <c r="O128" s="592"/>
      <c r="P128" s="882">
        <f t="shared" si="4"/>
        <v>-1310417890</v>
      </c>
      <c r="Q128" s="599">
        <v>-1125570600</v>
      </c>
      <c r="R128" s="882">
        <f t="shared" si="5"/>
        <v>-1310</v>
      </c>
      <c r="S128" s="599">
        <f t="shared" si="5"/>
        <v>-1126</v>
      </c>
      <c r="T128" s="620"/>
      <c r="U128" s="621"/>
      <c r="V128" s="882">
        <f t="shared" si="6"/>
        <v>-1310417890</v>
      </c>
      <c r="W128" s="882">
        <f t="shared" si="7"/>
        <v>-1310</v>
      </c>
    </row>
    <row r="129" spans="1:23" ht="27" hidden="1" customHeight="1">
      <c r="A129" s="583">
        <v>406</v>
      </c>
      <c r="B129" s="581">
        <v>4</v>
      </c>
      <c r="C129" s="583" t="s">
        <v>361</v>
      </c>
      <c r="D129" s="583" t="s">
        <v>253</v>
      </c>
      <c r="E129" s="599"/>
      <c r="F129" s="599"/>
      <c r="G129" s="599"/>
      <c r="H129" s="599"/>
      <c r="I129" s="599"/>
      <c r="J129" s="599"/>
      <c r="K129" s="599"/>
      <c r="L129" s="599"/>
      <c r="M129" s="599">
        <v>0</v>
      </c>
      <c r="N129" s="592"/>
      <c r="O129" s="592"/>
      <c r="P129" s="882">
        <f t="shared" si="4"/>
        <v>0</v>
      </c>
      <c r="Q129" s="599"/>
      <c r="R129" s="882">
        <f t="shared" si="5"/>
        <v>0</v>
      </c>
      <c r="S129" s="599">
        <f t="shared" si="5"/>
        <v>0</v>
      </c>
      <c r="T129" s="620"/>
      <c r="U129" s="621"/>
      <c r="V129" s="882">
        <f t="shared" si="6"/>
        <v>0</v>
      </c>
      <c r="W129" s="882">
        <f t="shared" si="7"/>
        <v>0</v>
      </c>
    </row>
    <row r="130" spans="1:23" ht="27" hidden="1" customHeight="1">
      <c r="A130" s="583">
        <v>418</v>
      </c>
      <c r="B130" s="581">
        <v>4</v>
      </c>
      <c r="C130" s="583" t="s">
        <v>568</v>
      </c>
      <c r="D130" s="583" t="s">
        <v>153</v>
      </c>
      <c r="E130" s="599">
        <v>125276620557</v>
      </c>
      <c r="F130" s="599">
        <v>-32506617</v>
      </c>
      <c r="G130" s="599"/>
      <c r="H130" s="599"/>
      <c r="I130" s="599"/>
      <c r="J130" s="599"/>
      <c r="K130" s="599"/>
      <c r="L130" s="599"/>
      <c r="M130" s="599">
        <v>0</v>
      </c>
      <c r="N130" s="592"/>
      <c r="O130" s="592"/>
      <c r="P130" s="882">
        <f t="shared" si="4"/>
        <v>125244113940</v>
      </c>
      <c r="Q130" s="599">
        <v>128231436066</v>
      </c>
      <c r="R130" s="882">
        <f t="shared" si="5"/>
        <v>125244</v>
      </c>
      <c r="S130" s="599">
        <f t="shared" si="5"/>
        <v>128231</v>
      </c>
      <c r="T130" s="620"/>
      <c r="U130" s="621"/>
      <c r="V130" s="882">
        <f t="shared" si="6"/>
        <v>125244113940</v>
      </c>
      <c r="W130" s="882">
        <f t="shared" si="7"/>
        <v>125244</v>
      </c>
    </row>
    <row r="131" spans="1:23" ht="27" hidden="1" customHeight="1">
      <c r="A131" s="583">
        <v>406</v>
      </c>
      <c r="B131" s="581">
        <v>4</v>
      </c>
      <c r="C131" s="583" t="s">
        <v>254</v>
      </c>
      <c r="D131" s="583" t="s">
        <v>959</v>
      </c>
      <c r="E131" s="599">
        <v>17215931290</v>
      </c>
      <c r="F131" s="599"/>
      <c r="G131" s="599"/>
      <c r="H131" s="599"/>
      <c r="I131" s="599"/>
      <c r="J131" s="599"/>
      <c r="K131" s="599"/>
      <c r="L131" s="599"/>
      <c r="M131" s="599">
        <v>0</v>
      </c>
      <c r="N131" s="592"/>
      <c r="O131" s="592"/>
      <c r="P131" s="882">
        <f t="shared" ref="P131:P195" si="8">E131+F131+G131-N131+O131+H131+I131+J131+K131+L131</f>
        <v>17215931290</v>
      </c>
      <c r="Q131" s="599">
        <v>483446790</v>
      </c>
      <c r="R131" s="882">
        <f t="shared" ref="R131:S195" si="9">ROUND((P131/1000000),0)</f>
        <v>17216</v>
      </c>
      <c r="S131" s="599">
        <f t="shared" si="9"/>
        <v>483</v>
      </c>
      <c r="T131" s="620"/>
      <c r="U131" s="621"/>
      <c r="V131" s="882">
        <f t="shared" ref="V131:V195" si="10">P131-U131+T131</f>
        <v>17215931290</v>
      </c>
      <c r="W131" s="882">
        <f t="shared" si="7"/>
        <v>17216</v>
      </c>
    </row>
    <row r="132" spans="1:23" ht="27" hidden="1" customHeight="1">
      <c r="A132" s="583">
        <v>1001</v>
      </c>
      <c r="B132" s="581">
        <v>10</v>
      </c>
      <c r="C132" s="583" t="s">
        <v>569</v>
      </c>
      <c r="D132" s="583" t="s">
        <v>961</v>
      </c>
      <c r="E132" s="599">
        <v>-47653078</v>
      </c>
      <c r="F132" s="599"/>
      <c r="G132" s="599"/>
      <c r="H132" s="599"/>
      <c r="I132" s="599"/>
      <c r="J132" s="599"/>
      <c r="K132" s="599"/>
      <c r="L132" s="599"/>
      <c r="M132" s="599">
        <v>0</v>
      </c>
      <c r="N132" s="592"/>
      <c r="O132" s="592"/>
      <c r="P132" s="882">
        <f t="shared" si="8"/>
        <v>-47653078</v>
      </c>
      <c r="Q132" s="599">
        <v>-47653078</v>
      </c>
      <c r="R132" s="882">
        <f t="shared" si="9"/>
        <v>-48</v>
      </c>
      <c r="S132" s="599">
        <f t="shared" si="9"/>
        <v>-48</v>
      </c>
      <c r="T132" s="620"/>
      <c r="U132" s="621"/>
      <c r="V132" s="882">
        <f t="shared" si="10"/>
        <v>-47653078</v>
      </c>
      <c r="W132" s="882">
        <f t="shared" ref="W132:W195" si="11">ROUND((V132/1000000),0)</f>
        <v>-48</v>
      </c>
    </row>
    <row r="133" spans="1:23" ht="27" hidden="1" customHeight="1">
      <c r="A133" s="583">
        <v>406</v>
      </c>
      <c r="B133" s="581">
        <v>4</v>
      </c>
      <c r="C133" s="583" t="s">
        <v>960</v>
      </c>
      <c r="D133" s="583" t="s">
        <v>962</v>
      </c>
      <c r="E133" s="599">
        <v>1153713868</v>
      </c>
      <c r="F133" s="599"/>
      <c r="G133" s="599"/>
      <c r="H133" s="599"/>
      <c r="I133" s="599"/>
      <c r="J133" s="599"/>
      <c r="K133" s="599"/>
      <c r="L133" s="599"/>
      <c r="M133" s="599">
        <v>0</v>
      </c>
      <c r="N133" s="592"/>
      <c r="O133" s="592"/>
      <c r="P133" s="882">
        <f t="shared" si="8"/>
        <v>1153713868</v>
      </c>
      <c r="Q133" s="599">
        <v>506567520</v>
      </c>
      <c r="R133" s="882">
        <f t="shared" si="9"/>
        <v>1154</v>
      </c>
      <c r="S133" s="599">
        <f t="shared" si="9"/>
        <v>507</v>
      </c>
      <c r="T133" s="620"/>
      <c r="U133" s="621"/>
      <c r="V133" s="882">
        <f t="shared" si="10"/>
        <v>1153713868</v>
      </c>
      <c r="W133" s="882">
        <f t="shared" si="11"/>
        <v>1154</v>
      </c>
    </row>
    <row r="134" spans="1:23" ht="27" hidden="1" customHeight="1">
      <c r="A134" s="583">
        <v>406</v>
      </c>
      <c r="B134" s="581">
        <v>4</v>
      </c>
      <c r="C134" s="583" t="s">
        <v>733</v>
      </c>
      <c r="D134" s="583" t="s">
        <v>963</v>
      </c>
      <c r="E134" s="599">
        <v>659580150</v>
      </c>
      <c r="F134" s="599"/>
      <c r="G134" s="599"/>
      <c r="H134" s="599"/>
      <c r="I134" s="599"/>
      <c r="J134" s="599"/>
      <c r="K134" s="599"/>
      <c r="L134" s="599"/>
      <c r="M134" s="599">
        <v>0</v>
      </c>
      <c r="N134" s="592"/>
      <c r="O134" s="592"/>
      <c r="P134" s="882">
        <f t="shared" si="8"/>
        <v>659580150</v>
      </c>
      <c r="Q134" s="599"/>
      <c r="R134" s="882">
        <f t="shared" si="9"/>
        <v>660</v>
      </c>
      <c r="S134" s="599">
        <f t="shared" si="9"/>
        <v>0</v>
      </c>
      <c r="T134" s="620"/>
      <c r="U134" s="621"/>
      <c r="V134" s="882">
        <f t="shared" si="10"/>
        <v>659580150</v>
      </c>
      <c r="W134" s="882">
        <f t="shared" si="11"/>
        <v>660</v>
      </c>
    </row>
    <row r="135" spans="1:23" ht="27" hidden="1" customHeight="1">
      <c r="A135" s="583">
        <v>406</v>
      </c>
      <c r="B135" s="581">
        <v>4</v>
      </c>
      <c r="C135" s="583" t="s">
        <v>570</v>
      </c>
      <c r="D135" s="583" t="s">
        <v>257</v>
      </c>
      <c r="E135" s="599">
        <v>6237000</v>
      </c>
      <c r="F135" s="599"/>
      <c r="G135" s="599"/>
      <c r="H135" s="599"/>
      <c r="I135" s="599"/>
      <c r="J135" s="599"/>
      <c r="K135" s="599"/>
      <c r="L135" s="599"/>
      <c r="M135" s="599">
        <v>0</v>
      </c>
      <c r="N135" s="592"/>
      <c r="O135" s="592"/>
      <c r="P135" s="882">
        <f t="shared" si="8"/>
        <v>6237000</v>
      </c>
      <c r="Q135" s="599">
        <v>262514250</v>
      </c>
      <c r="R135" s="882">
        <f t="shared" si="9"/>
        <v>6</v>
      </c>
      <c r="S135" s="599">
        <f t="shared" si="9"/>
        <v>263</v>
      </c>
      <c r="T135" s="620"/>
      <c r="U135" s="621"/>
      <c r="V135" s="882">
        <f t="shared" si="10"/>
        <v>6237000</v>
      </c>
      <c r="W135" s="882">
        <f t="shared" si="11"/>
        <v>6</v>
      </c>
    </row>
    <row r="136" spans="1:23" ht="27" hidden="1" customHeight="1">
      <c r="A136" s="583">
        <v>406</v>
      </c>
      <c r="B136" s="581">
        <v>4</v>
      </c>
      <c r="C136" s="583" t="s">
        <v>256</v>
      </c>
      <c r="D136" s="583" t="s">
        <v>258</v>
      </c>
      <c r="E136" s="599"/>
      <c r="F136" s="599"/>
      <c r="G136" s="599"/>
      <c r="H136" s="599"/>
      <c r="I136" s="599"/>
      <c r="J136" s="599"/>
      <c r="K136" s="599"/>
      <c r="L136" s="599"/>
      <c r="M136" s="599">
        <v>0</v>
      </c>
      <c r="N136" s="592"/>
      <c r="O136" s="592"/>
      <c r="P136" s="882">
        <f t="shared" si="8"/>
        <v>0</v>
      </c>
      <c r="Q136" s="599">
        <v>6237000</v>
      </c>
      <c r="R136" s="882">
        <f t="shared" si="9"/>
        <v>0</v>
      </c>
      <c r="S136" s="599">
        <f t="shared" si="9"/>
        <v>6</v>
      </c>
      <c r="T136" s="620"/>
      <c r="U136" s="621"/>
      <c r="V136" s="882">
        <f t="shared" si="10"/>
        <v>0</v>
      </c>
      <c r="W136" s="882">
        <f t="shared" si="11"/>
        <v>0</v>
      </c>
    </row>
    <row r="137" spans="1:23" ht="27" hidden="1" customHeight="1">
      <c r="A137" s="583">
        <v>1001</v>
      </c>
      <c r="B137" s="581">
        <v>10</v>
      </c>
      <c r="C137" s="583" t="s">
        <v>571</v>
      </c>
      <c r="D137" s="583" t="s">
        <v>259</v>
      </c>
      <c r="E137" s="599">
        <v>-50727994</v>
      </c>
      <c r="F137" s="599"/>
      <c r="G137" s="599"/>
      <c r="H137" s="599"/>
      <c r="I137" s="599"/>
      <c r="J137" s="599"/>
      <c r="K137" s="599"/>
      <c r="L137" s="599"/>
      <c r="M137" s="599">
        <v>0</v>
      </c>
      <c r="N137" s="592"/>
      <c r="O137" s="592"/>
      <c r="P137" s="882">
        <f t="shared" si="8"/>
        <v>-50727994</v>
      </c>
      <c r="Q137" s="599">
        <v>68505403</v>
      </c>
      <c r="R137" s="882">
        <f t="shared" si="9"/>
        <v>-51</v>
      </c>
      <c r="S137" s="599">
        <f t="shared" si="9"/>
        <v>69</v>
      </c>
      <c r="T137" s="620"/>
      <c r="U137" s="621"/>
      <c r="V137" s="882">
        <f t="shared" si="10"/>
        <v>-50727994</v>
      </c>
      <c r="W137" s="882">
        <f t="shared" si="11"/>
        <v>-51</v>
      </c>
    </row>
    <row r="138" spans="1:23" ht="27" hidden="1" customHeight="1">
      <c r="A138" s="583">
        <v>406</v>
      </c>
      <c r="B138" s="581">
        <v>4</v>
      </c>
      <c r="C138" s="583" t="s">
        <v>964</v>
      </c>
      <c r="D138" s="583" t="s">
        <v>965</v>
      </c>
      <c r="E138" s="599">
        <v>120997800</v>
      </c>
      <c r="F138" s="599"/>
      <c r="G138" s="599"/>
      <c r="H138" s="599"/>
      <c r="I138" s="599"/>
      <c r="J138" s="599"/>
      <c r="K138" s="599"/>
      <c r="L138" s="599"/>
      <c r="M138" s="599">
        <v>0</v>
      </c>
      <c r="N138" s="592"/>
      <c r="O138" s="592"/>
      <c r="P138" s="882">
        <f t="shared" si="8"/>
        <v>120997800</v>
      </c>
      <c r="Q138" s="599">
        <v>59875200</v>
      </c>
      <c r="R138" s="882">
        <f t="shared" si="9"/>
        <v>121</v>
      </c>
      <c r="S138" s="599">
        <f t="shared" si="9"/>
        <v>60</v>
      </c>
      <c r="T138" s="620"/>
      <c r="U138" s="621"/>
      <c r="V138" s="882">
        <f t="shared" si="10"/>
        <v>120997800</v>
      </c>
      <c r="W138" s="882">
        <f t="shared" si="11"/>
        <v>121</v>
      </c>
    </row>
    <row r="139" spans="1:23" ht="27" hidden="1" customHeight="1">
      <c r="A139" s="583">
        <v>406</v>
      </c>
      <c r="B139" s="581">
        <v>4</v>
      </c>
      <c r="C139" s="583" t="s">
        <v>643</v>
      </c>
      <c r="D139" s="583" t="s">
        <v>642</v>
      </c>
      <c r="E139" s="599">
        <v>118519900</v>
      </c>
      <c r="F139" s="599"/>
      <c r="G139" s="599"/>
      <c r="H139" s="599"/>
      <c r="I139" s="599"/>
      <c r="J139" s="599"/>
      <c r="K139" s="599"/>
      <c r="L139" s="599"/>
      <c r="M139" s="599">
        <v>0</v>
      </c>
      <c r="N139" s="592"/>
      <c r="O139" s="592"/>
      <c r="P139" s="882">
        <f t="shared" si="8"/>
        <v>118519900</v>
      </c>
      <c r="Q139" s="599">
        <v>1923067540</v>
      </c>
      <c r="R139" s="882">
        <f t="shared" si="9"/>
        <v>119</v>
      </c>
      <c r="S139" s="599">
        <f t="shared" si="9"/>
        <v>1923</v>
      </c>
      <c r="T139" s="620"/>
      <c r="U139" s="621"/>
      <c r="V139" s="882">
        <f t="shared" si="10"/>
        <v>118519900</v>
      </c>
      <c r="W139" s="882">
        <f t="shared" si="11"/>
        <v>119</v>
      </c>
    </row>
    <row r="140" spans="1:23" ht="27" hidden="1" customHeight="1">
      <c r="A140" s="583">
        <v>406</v>
      </c>
      <c r="B140" s="581">
        <v>4</v>
      </c>
      <c r="C140" s="583" t="s">
        <v>572</v>
      </c>
      <c r="D140" s="583" t="s">
        <v>168</v>
      </c>
      <c r="E140" s="599">
        <v>3307190358</v>
      </c>
      <c r="F140" s="599"/>
      <c r="G140" s="599"/>
      <c r="H140" s="599"/>
      <c r="I140" s="599"/>
      <c r="J140" s="599"/>
      <c r="K140" s="599"/>
      <c r="L140" s="599"/>
      <c r="M140" s="599">
        <v>0</v>
      </c>
      <c r="N140" s="592"/>
      <c r="O140" s="592"/>
      <c r="P140" s="882">
        <f t="shared" si="8"/>
        <v>3307190358</v>
      </c>
      <c r="Q140" s="599">
        <v>973181073</v>
      </c>
      <c r="R140" s="882">
        <f t="shared" si="9"/>
        <v>3307</v>
      </c>
      <c r="S140" s="599">
        <f t="shared" si="9"/>
        <v>973</v>
      </c>
      <c r="T140" s="620"/>
      <c r="U140" s="621"/>
      <c r="V140" s="882">
        <f t="shared" si="10"/>
        <v>3307190358</v>
      </c>
      <c r="W140" s="882">
        <f t="shared" si="11"/>
        <v>3307</v>
      </c>
    </row>
    <row r="141" spans="1:23" ht="27" hidden="1" customHeight="1">
      <c r="A141" s="583">
        <v>1001</v>
      </c>
      <c r="B141" s="581">
        <v>10</v>
      </c>
      <c r="C141" s="583" t="s">
        <v>573</v>
      </c>
      <c r="D141" s="583" t="s">
        <v>966</v>
      </c>
      <c r="E141" s="599">
        <v>-3043524469</v>
      </c>
      <c r="F141" s="599"/>
      <c r="G141" s="599"/>
      <c r="H141" s="599"/>
      <c r="I141" s="599"/>
      <c r="J141" s="599"/>
      <c r="K141" s="599"/>
      <c r="L141" s="599"/>
      <c r="M141" s="599">
        <v>0</v>
      </c>
      <c r="N141" s="592"/>
      <c r="O141" s="592"/>
      <c r="P141" s="882">
        <f t="shared" si="8"/>
        <v>-3043524469</v>
      </c>
      <c r="Q141" s="599">
        <v>-2788112248</v>
      </c>
      <c r="R141" s="882">
        <f t="shared" si="9"/>
        <v>-3044</v>
      </c>
      <c r="S141" s="599">
        <f t="shared" si="9"/>
        <v>-2788</v>
      </c>
      <c r="T141" s="620"/>
      <c r="U141" s="621"/>
      <c r="V141" s="882">
        <f t="shared" si="10"/>
        <v>-3043524469</v>
      </c>
      <c r="W141" s="882">
        <f t="shared" si="11"/>
        <v>-3044</v>
      </c>
    </row>
    <row r="142" spans="1:23" ht="27" hidden="1" customHeight="1">
      <c r="A142" s="583">
        <v>1009</v>
      </c>
      <c r="B142" s="581">
        <v>10</v>
      </c>
      <c r="C142" s="583" t="s">
        <v>577</v>
      </c>
      <c r="D142" s="583" t="s">
        <v>578</v>
      </c>
      <c r="E142" s="599">
        <v>-820359514</v>
      </c>
      <c r="F142" s="599">
        <v>-1516440797</v>
      </c>
      <c r="G142" s="599">
        <v>-2663844460</v>
      </c>
      <c r="H142" s="599"/>
      <c r="I142" s="599"/>
      <c r="J142" s="599"/>
      <c r="K142" s="599"/>
      <c r="L142" s="599"/>
      <c r="M142" s="599">
        <v>0</v>
      </c>
      <c r="N142" s="592"/>
      <c r="O142" s="592"/>
      <c r="P142" s="882">
        <f t="shared" si="8"/>
        <v>-5000644771</v>
      </c>
      <c r="Q142" s="599">
        <v>-1652854640</v>
      </c>
      <c r="R142" s="882">
        <f t="shared" si="9"/>
        <v>-5001</v>
      </c>
      <c r="S142" s="599">
        <f t="shared" si="9"/>
        <v>-1653</v>
      </c>
      <c r="T142" s="620"/>
      <c r="U142" s="621"/>
      <c r="V142" s="882">
        <f t="shared" si="10"/>
        <v>-5000644771</v>
      </c>
      <c r="W142" s="882">
        <f t="shared" si="11"/>
        <v>-5001</v>
      </c>
    </row>
    <row r="143" spans="1:23" ht="27" hidden="1" customHeight="1">
      <c r="A143" s="583">
        <v>406</v>
      </c>
      <c r="B143" s="581">
        <v>4</v>
      </c>
      <c r="C143" s="583" t="s">
        <v>1177</v>
      </c>
      <c r="D143" s="583" t="s">
        <v>1178</v>
      </c>
      <c r="E143" s="599">
        <v>937934287</v>
      </c>
      <c r="F143" s="599"/>
      <c r="G143" s="599"/>
      <c r="H143" s="599"/>
      <c r="I143" s="599"/>
      <c r="J143" s="599"/>
      <c r="K143" s="599"/>
      <c r="L143" s="599"/>
      <c r="M143" s="599">
        <v>0</v>
      </c>
      <c r="N143" s="592"/>
      <c r="O143" s="592"/>
      <c r="P143" s="882">
        <f t="shared" si="8"/>
        <v>937934287</v>
      </c>
      <c r="Q143" s="599">
        <v>903341134</v>
      </c>
      <c r="R143" s="882">
        <f t="shared" si="9"/>
        <v>938</v>
      </c>
      <c r="S143" s="599">
        <f t="shared" si="9"/>
        <v>903</v>
      </c>
      <c r="T143" s="620"/>
      <c r="U143" s="621"/>
      <c r="V143" s="882">
        <f t="shared" si="10"/>
        <v>937934287</v>
      </c>
      <c r="W143" s="882">
        <f t="shared" si="11"/>
        <v>938</v>
      </c>
    </row>
    <row r="144" spans="1:23" ht="27" hidden="1" customHeight="1">
      <c r="A144" s="583">
        <v>406</v>
      </c>
      <c r="B144" s="581">
        <v>4</v>
      </c>
      <c r="C144" s="583" t="s">
        <v>579</v>
      </c>
      <c r="D144" s="583" t="s">
        <v>580</v>
      </c>
      <c r="E144" s="599">
        <v>2567325170</v>
      </c>
      <c r="F144" s="599">
        <v>-26662500</v>
      </c>
      <c r="G144" s="599">
        <v>-9300000</v>
      </c>
      <c r="H144" s="599"/>
      <c r="I144" s="599"/>
      <c r="J144" s="599"/>
      <c r="K144" s="599"/>
      <c r="L144" s="599"/>
      <c r="M144" s="599">
        <v>0</v>
      </c>
      <c r="N144" s="592"/>
      <c r="O144" s="592"/>
      <c r="P144" s="882">
        <f t="shared" si="8"/>
        <v>2531362670</v>
      </c>
      <c r="Q144" s="599">
        <v>2567146970</v>
      </c>
      <c r="R144" s="882">
        <f t="shared" si="9"/>
        <v>2531</v>
      </c>
      <c r="S144" s="599">
        <f t="shared" si="9"/>
        <v>2567</v>
      </c>
      <c r="T144" s="620"/>
      <c r="U144" s="621"/>
      <c r="V144" s="882">
        <f t="shared" si="10"/>
        <v>2531362670</v>
      </c>
      <c r="W144" s="882">
        <f t="shared" si="11"/>
        <v>2531</v>
      </c>
    </row>
    <row r="145" spans="1:23" ht="27" hidden="1" customHeight="1">
      <c r="A145" s="583">
        <v>406</v>
      </c>
      <c r="B145" s="581">
        <v>4</v>
      </c>
      <c r="C145" s="583" t="s">
        <v>581</v>
      </c>
      <c r="D145" s="583" t="s">
        <v>756</v>
      </c>
      <c r="E145" s="599">
        <v>1792280901</v>
      </c>
      <c r="F145" s="599"/>
      <c r="G145" s="599"/>
      <c r="H145" s="599"/>
      <c r="I145" s="599"/>
      <c r="J145" s="599"/>
      <c r="K145" s="599"/>
      <c r="L145" s="599"/>
      <c r="M145" s="599">
        <v>0</v>
      </c>
      <c r="N145" s="592"/>
      <c r="O145" s="592"/>
      <c r="P145" s="882">
        <f t="shared" si="8"/>
        <v>1792280901</v>
      </c>
      <c r="Q145" s="599">
        <f>1704944051-1702074351</f>
        <v>2869700</v>
      </c>
      <c r="R145" s="882">
        <f t="shared" si="9"/>
        <v>1792</v>
      </c>
      <c r="S145" s="599">
        <f t="shared" si="9"/>
        <v>3</v>
      </c>
      <c r="T145" s="620"/>
      <c r="U145" s="621"/>
      <c r="V145" s="882">
        <f t="shared" si="10"/>
        <v>1792280901</v>
      </c>
      <c r="W145" s="882">
        <f t="shared" si="11"/>
        <v>1792</v>
      </c>
    </row>
    <row r="146" spans="1:23" ht="27" hidden="1" customHeight="1">
      <c r="A146" s="583">
        <v>406</v>
      </c>
      <c r="B146" s="581">
        <v>4</v>
      </c>
      <c r="C146" s="583" t="s">
        <v>882</v>
      </c>
      <c r="D146" s="583" t="s">
        <v>883</v>
      </c>
      <c r="E146" s="599">
        <v>11047000</v>
      </c>
      <c r="F146" s="599"/>
      <c r="G146" s="599"/>
      <c r="H146" s="599"/>
      <c r="I146" s="599"/>
      <c r="J146" s="599"/>
      <c r="K146" s="599"/>
      <c r="L146" s="599"/>
      <c r="M146" s="599">
        <v>0</v>
      </c>
      <c r="N146" s="592"/>
      <c r="O146" s="592"/>
      <c r="P146" s="882">
        <f t="shared" si="8"/>
        <v>11047000</v>
      </c>
      <c r="Q146" s="599">
        <v>11047000</v>
      </c>
      <c r="R146" s="882">
        <f t="shared" si="9"/>
        <v>11</v>
      </c>
      <c r="S146" s="599">
        <f t="shared" si="9"/>
        <v>11</v>
      </c>
      <c r="T146" s="620"/>
      <c r="U146" s="621"/>
      <c r="V146" s="882">
        <f t="shared" si="10"/>
        <v>11047000</v>
      </c>
      <c r="W146" s="882">
        <f t="shared" si="11"/>
        <v>11</v>
      </c>
    </row>
    <row r="147" spans="1:23" ht="27" hidden="1" customHeight="1">
      <c r="A147" s="583">
        <v>1001</v>
      </c>
      <c r="B147" s="581">
        <v>10</v>
      </c>
      <c r="C147" s="583" t="s">
        <v>582</v>
      </c>
      <c r="D147" s="583" t="s">
        <v>583</v>
      </c>
      <c r="E147" s="599">
        <v>-1526167420</v>
      </c>
      <c r="F147" s="599">
        <v>-68563725</v>
      </c>
      <c r="G147" s="599">
        <v>233280</v>
      </c>
      <c r="H147" s="599"/>
      <c r="I147" s="599"/>
      <c r="J147" s="599"/>
      <c r="K147" s="599"/>
      <c r="L147" s="599"/>
      <c r="M147" s="599">
        <v>0</v>
      </c>
      <c r="N147" s="592"/>
      <c r="O147" s="592"/>
      <c r="P147" s="882">
        <f t="shared" si="8"/>
        <v>-1594497865</v>
      </c>
      <c r="Q147" s="599">
        <v>-248394029</v>
      </c>
      <c r="R147" s="882">
        <f t="shared" si="9"/>
        <v>-1594</v>
      </c>
      <c r="S147" s="599">
        <f t="shared" si="9"/>
        <v>-248</v>
      </c>
      <c r="T147" s="620"/>
      <c r="U147" s="621"/>
      <c r="V147" s="882">
        <f t="shared" si="10"/>
        <v>-1594497865</v>
      </c>
      <c r="W147" s="882">
        <f t="shared" si="11"/>
        <v>-1594</v>
      </c>
    </row>
    <row r="148" spans="1:23" ht="27" hidden="1" customHeight="1">
      <c r="A148" s="583">
        <v>406</v>
      </c>
      <c r="B148" s="581">
        <v>4</v>
      </c>
      <c r="C148" s="583" t="s">
        <v>260</v>
      </c>
      <c r="D148" s="583" t="s">
        <v>261</v>
      </c>
      <c r="E148" s="599">
        <v>25015500</v>
      </c>
      <c r="F148" s="599"/>
      <c r="G148" s="599"/>
      <c r="H148" s="599"/>
      <c r="I148" s="599"/>
      <c r="J148" s="599"/>
      <c r="K148" s="599"/>
      <c r="L148" s="599"/>
      <c r="M148" s="599">
        <v>0</v>
      </c>
      <c r="N148" s="592"/>
      <c r="O148" s="592"/>
      <c r="P148" s="882">
        <f t="shared" si="8"/>
        <v>25015500</v>
      </c>
      <c r="Q148" s="599">
        <v>157500000</v>
      </c>
      <c r="R148" s="882">
        <f t="shared" si="9"/>
        <v>25</v>
      </c>
      <c r="S148" s="599">
        <f t="shared" si="9"/>
        <v>158</v>
      </c>
      <c r="T148" s="620"/>
      <c r="U148" s="621"/>
      <c r="V148" s="882">
        <f t="shared" si="10"/>
        <v>25015500</v>
      </c>
      <c r="W148" s="882">
        <f t="shared" si="11"/>
        <v>25</v>
      </c>
    </row>
    <row r="149" spans="1:23" ht="27" hidden="1" customHeight="1">
      <c r="A149" s="583">
        <v>1001</v>
      </c>
      <c r="B149" s="581">
        <v>10</v>
      </c>
      <c r="C149" s="583" t="s">
        <v>262</v>
      </c>
      <c r="D149" s="583" t="s">
        <v>263</v>
      </c>
      <c r="E149" s="599">
        <v>-618616174</v>
      </c>
      <c r="F149" s="599"/>
      <c r="G149" s="599"/>
      <c r="H149" s="599"/>
      <c r="I149" s="599"/>
      <c r="J149" s="599"/>
      <c r="K149" s="599"/>
      <c r="L149" s="599"/>
      <c r="M149" s="599">
        <v>0</v>
      </c>
      <c r="N149" s="592"/>
      <c r="O149" s="592"/>
      <c r="P149" s="882">
        <f t="shared" si="8"/>
        <v>-618616174</v>
      </c>
      <c r="Q149" s="599">
        <v>-207879491</v>
      </c>
      <c r="R149" s="882">
        <f t="shared" si="9"/>
        <v>-619</v>
      </c>
      <c r="S149" s="599">
        <f t="shared" si="9"/>
        <v>-208</v>
      </c>
      <c r="T149" s="620"/>
      <c r="U149" s="621"/>
      <c r="V149" s="882">
        <f t="shared" si="10"/>
        <v>-618616174</v>
      </c>
      <c r="W149" s="882">
        <f t="shared" si="11"/>
        <v>-619</v>
      </c>
    </row>
    <row r="150" spans="1:23" ht="27" hidden="1" customHeight="1">
      <c r="A150" s="583">
        <v>1001</v>
      </c>
      <c r="B150" s="581">
        <v>10</v>
      </c>
      <c r="C150" s="583" t="s">
        <v>584</v>
      </c>
      <c r="D150" s="583" t="s">
        <v>645</v>
      </c>
      <c r="E150" s="599">
        <v>-89072489</v>
      </c>
      <c r="F150" s="599"/>
      <c r="G150" s="599"/>
      <c r="H150" s="599"/>
      <c r="I150" s="599"/>
      <c r="J150" s="599"/>
      <c r="K150" s="599"/>
      <c r="L150" s="599"/>
      <c r="M150" s="599">
        <v>0</v>
      </c>
      <c r="N150" s="592"/>
      <c r="O150" s="592"/>
      <c r="P150" s="882">
        <f t="shared" si="8"/>
        <v>-89072489</v>
      </c>
      <c r="Q150" s="599">
        <v>-78042629</v>
      </c>
      <c r="R150" s="882">
        <f t="shared" si="9"/>
        <v>-89</v>
      </c>
      <c r="S150" s="599">
        <f t="shared" si="9"/>
        <v>-78</v>
      </c>
      <c r="T150" s="620"/>
      <c r="U150" s="621"/>
      <c r="V150" s="882">
        <f t="shared" si="10"/>
        <v>-89072489</v>
      </c>
      <c r="W150" s="882">
        <f t="shared" si="11"/>
        <v>-89</v>
      </c>
    </row>
    <row r="151" spans="1:23" ht="27" hidden="1" customHeight="1">
      <c r="A151" s="583">
        <v>1001</v>
      </c>
      <c r="B151" s="581">
        <v>10</v>
      </c>
      <c r="C151" s="583" t="s">
        <v>546</v>
      </c>
      <c r="D151" s="583" t="s">
        <v>170</v>
      </c>
      <c r="E151" s="599">
        <v>-6290232304</v>
      </c>
      <c r="F151" s="599">
        <v>-256160144</v>
      </c>
      <c r="G151" s="599"/>
      <c r="H151" s="599"/>
      <c r="I151" s="599"/>
      <c r="J151" s="599"/>
      <c r="K151" s="599"/>
      <c r="L151" s="599"/>
      <c r="M151" s="599">
        <v>0</v>
      </c>
      <c r="N151" s="592"/>
      <c r="O151" s="592"/>
      <c r="P151" s="882">
        <f t="shared" si="8"/>
        <v>-6546392448</v>
      </c>
      <c r="Q151" s="599">
        <v>-4239486793</v>
      </c>
      <c r="R151" s="882">
        <f t="shared" si="9"/>
        <v>-6546</v>
      </c>
      <c r="S151" s="599">
        <f t="shared" si="9"/>
        <v>-4239</v>
      </c>
      <c r="T151" s="620"/>
      <c r="U151" s="621"/>
      <c r="V151" s="882">
        <f t="shared" si="10"/>
        <v>-6546392448</v>
      </c>
      <c r="W151" s="882">
        <f t="shared" si="11"/>
        <v>-6546</v>
      </c>
    </row>
    <row r="152" spans="1:23" ht="27" hidden="1" customHeight="1">
      <c r="A152" s="583">
        <v>406</v>
      </c>
      <c r="B152" s="581">
        <v>4</v>
      </c>
      <c r="C152" s="583" t="s">
        <v>162</v>
      </c>
      <c r="D152" s="583" t="s">
        <v>171</v>
      </c>
      <c r="E152" s="599">
        <v>4060937514</v>
      </c>
      <c r="F152" s="599"/>
      <c r="G152" s="599"/>
      <c r="H152" s="599"/>
      <c r="I152" s="599"/>
      <c r="J152" s="599"/>
      <c r="K152" s="599"/>
      <c r="L152" s="599"/>
      <c r="M152" s="599">
        <v>0</v>
      </c>
      <c r="N152" s="592"/>
      <c r="O152" s="592"/>
      <c r="P152" s="882">
        <f t="shared" si="8"/>
        <v>4060937514</v>
      </c>
      <c r="Q152" s="599">
        <v>5110695532</v>
      </c>
      <c r="R152" s="882">
        <f t="shared" si="9"/>
        <v>4061</v>
      </c>
      <c r="S152" s="599">
        <f t="shared" si="9"/>
        <v>5111</v>
      </c>
      <c r="T152" s="620"/>
      <c r="U152" s="621"/>
      <c r="V152" s="882">
        <f t="shared" si="10"/>
        <v>4060937514</v>
      </c>
      <c r="W152" s="882">
        <f t="shared" si="11"/>
        <v>4061</v>
      </c>
    </row>
    <row r="153" spans="1:23" ht="27" hidden="1" customHeight="1">
      <c r="A153" s="583">
        <v>406</v>
      </c>
      <c r="B153" s="581">
        <v>4</v>
      </c>
      <c r="C153" s="583" t="s">
        <v>299</v>
      </c>
      <c r="D153" s="583" t="s">
        <v>644</v>
      </c>
      <c r="E153" s="599">
        <v>98745960</v>
      </c>
      <c r="F153" s="599"/>
      <c r="G153" s="599"/>
      <c r="H153" s="599"/>
      <c r="I153" s="599"/>
      <c r="J153" s="599"/>
      <c r="K153" s="599"/>
      <c r="L153" s="599"/>
      <c r="M153" s="599">
        <v>0</v>
      </c>
      <c r="N153" s="592"/>
      <c r="O153" s="592"/>
      <c r="P153" s="882">
        <f t="shared" si="8"/>
        <v>98745960</v>
      </c>
      <c r="Q153" s="599"/>
      <c r="R153" s="882">
        <f t="shared" si="9"/>
        <v>99</v>
      </c>
      <c r="S153" s="599">
        <f t="shared" si="9"/>
        <v>0</v>
      </c>
      <c r="T153" s="620"/>
      <c r="U153" s="621"/>
      <c r="V153" s="882">
        <f t="shared" si="10"/>
        <v>98745960</v>
      </c>
      <c r="W153" s="882">
        <f t="shared" si="11"/>
        <v>99</v>
      </c>
    </row>
    <row r="154" spans="1:23" ht="27" hidden="1" customHeight="1">
      <c r="A154" s="583">
        <v>406</v>
      </c>
      <c r="B154" s="581">
        <v>4</v>
      </c>
      <c r="C154" s="583" t="s">
        <v>839</v>
      </c>
      <c r="D154" s="583" t="s">
        <v>838</v>
      </c>
      <c r="E154" s="599">
        <v>396570654</v>
      </c>
      <c r="F154" s="599"/>
      <c r="G154" s="599"/>
      <c r="H154" s="599"/>
      <c r="I154" s="599"/>
      <c r="J154" s="599"/>
      <c r="K154" s="599"/>
      <c r="L154" s="599"/>
      <c r="M154" s="599">
        <v>0</v>
      </c>
      <c r="N154" s="592"/>
      <c r="O154" s="592"/>
      <c r="P154" s="882">
        <f t="shared" si="8"/>
        <v>396570654</v>
      </c>
      <c r="Q154" s="599">
        <v>396570654</v>
      </c>
      <c r="R154" s="882">
        <f t="shared" si="9"/>
        <v>397</v>
      </c>
      <c r="S154" s="599">
        <f t="shared" si="9"/>
        <v>397</v>
      </c>
      <c r="T154" s="620"/>
      <c r="U154" s="621"/>
      <c r="V154" s="882">
        <f t="shared" si="10"/>
        <v>396570654</v>
      </c>
      <c r="W154" s="882">
        <f t="shared" si="11"/>
        <v>397</v>
      </c>
    </row>
    <row r="155" spans="1:23" ht="27" hidden="1" customHeight="1">
      <c r="A155" s="583">
        <v>406</v>
      </c>
      <c r="B155" s="581">
        <v>4</v>
      </c>
      <c r="C155" s="583" t="s">
        <v>884</v>
      </c>
      <c r="D155" s="583" t="s">
        <v>885</v>
      </c>
      <c r="E155" s="599">
        <v>57574422</v>
      </c>
      <c r="F155" s="599"/>
      <c r="G155" s="599"/>
      <c r="H155" s="599"/>
      <c r="I155" s="599"/>
      <c r="J155" s="599"/>
      <c r="K155" s="599"/>
      <c r="L155" s="599"/>
      <c r="M155" s="599">
        <v>0</v>
      </c>
      <c r="N155" s="592"/>
      <c r="O155" s="592"/>
      <c r="P155" s="882">
        <f t="shared" si="8"/>
        <v>57574422</v>
      </c>
      <c r="Q155" s="599">
        <v>257603353</v>
      </c>
      <c r="R155" s="882">
        <f t="shared" si="9"/>
        <v>58</v>
      </c>
      <c r="S155" s="599">
        <f t="shared" si="9"/>
        <v>258</v>
      </c>
      <c r="T155" s="620"/>
      <c r="U155" s="621"/>
      <c r="V155" s="882">
        <f t="shared" si="10"/>
        <v>57574422</v>
      </c>
      <c r="W155" s="882">
        <f t="shared" si="11"/>
        <v>58</v>
      </c>
    </row>
    <row r="156" spans="1:23" ht="27" hidden="1" customHeight="1">
      <c r="A156" s="583">
        <v>1001</v>
      </c>
      <c r="B156" s="581">
        <v>10</v>
      </c>
      <c r="C156" s="583" t="s">
        <v>301</v>
      </c>
      <c r="D156" s="583" t="s">
        <v>886</v>
      </c>
      <c r="E156" s="599">
        <v>-122459140</v>
      </c>
      <c r="F156" s="599"/>
      <c r="G156" s="599"/>
      <c r="H156" s="599"/>
      <c r="I156" s="599"/>
      <c r="J156" s="599"/>
      <c r="K156" s="599"/>
      <c r="L156" s="599"/>
      <c r="M156" s="599">
        <v>0</v>
      </c>
      <c r="N156" s="592"/>
      <c r="O156" s="592"/>
      <c r="P156" s="882">
        <f t="shared" si="8"/>
        <v>-122459140</v>
      </c>
      <c r="Q156" s="599">
        <v>10936036</v>
      </c>
      <c r="R156" s="882">
        <f t="shared" si="9"/>
        <v>-122</v>
      </c>
      <c r="S156" s="599">
        <f t="shared" si="9"/>
        <v>11</v>
      </c>
      <c r="T156" s="620"/>
      <c r="U156" s="621"/>
      <c r="V156" s="882">
        <f t="shared" si="10"/>
        <v>-122459140</v>
      </c>
      <c r="W156" s="882">
        <f t="shared" si="11"/>
        <v>-122</v>
      </c>
    </row>
    <row r="157" spans="1:23" ht="27" hidden="1" customHeight="1">
      <c r="A157" s="583">
        <v>406</v>
      </c>
      <c r="B157" s="581">
        <v>4</v>
      </c>
      <c r="C157" s="583" t="s">
        <v>303</v>
      </c>
      <c r="D157" s="583" t="s">
        <v>304</v>
      </c>
      <c r="E157" s="599">
        <v>8000</v>
      </c>
      <c r="F157" s="599"/>
      <c r="G157" s="599"/>
      <c r="H157" s="599"/>
      <c r="I157" s="599"/>
      <c r="J157" s="599"/>
      <c r="K157" s="599"/>
      <c r="L157" s="599"/>
      <c r="M157" s="599">
        <v>0</v>
      </c>
      <c r="N157" s="592"/>
      <c r="O157" s="592"/>
      <c r="P157" s="882">
        <f t="shared" si="8"/>
        <v>8000</v>
      </c>
      <c r="Q157" s="599">
        <v>8000</v>
      </c>
      <c r="R157" s="882">
        <f t="shared" si="9"/>
        <v>0</v>
      </c>
      <c r="S157" s="599">
        <f t="shared" si="9"/>
        <v>0</v>
      </c>
      <c r="T157" s="620"/>
      <c r="U157" s="621"/>
      <c r="V157" s="882">
        <f t="shared" si="10"/>
        <v>8000</v>
      </c>
      <c r="W157" s="882">
        <f t="shared" si="11"/>
        <v>0</v>
      </c>
    </row>
    <row r="158" spans="1:23" ht="27" hidden="1" customHeight="1">
      <c r="A158" s="583">
        <v>406</v>
      </c>
      <c r="B158" s="581">
        <v>4</v>
      </c>
      <c r="C158" s="583" t="s">
        <v>647</v>
      </c>
      <c r="D158" s="583" t="s">
        <v>646</v>
      </c>
      <c r="E158" s="599"/>
      <c r="F158" s="599"/>
      <c r="G158" s="599"/>
      <c r="H158" s="599"/>
      <c r="I158" s="599"/>
      <c r="J158" s="599"/>
      <c r="K158" s="599"/>
      <c r="L158" s="599"/>
      <c r="M158" s="599">
        <v>0</v>
      </c>
      <c r="N158" s="592"/>
      <c r="O158" s="592"/>
      <c r="P158" s="882">
        <f t="shared" si="8"/>
        <v>0</v>
      </c>
      <c r="Q158" s="599">
        <v>1982909</v>
      </c>
      <c r="R158" s="882">
        <f t="shared" si="9"/>
        <v>0</v>
      </c>
      <c r="S158" s="599">
        <f t="shared" si="9"/>
        <v>2</v>
      </c>
      <c r="T158" s="620"/>
      <c r="U158" s="621"/>
      <c r="V158" s="882">
        <f t="shared" si="10"/>
        <v>0</v>
      </c>
      <c r="W158" s="882">
        <f t="shared" si="11"/>
        <v>0</v>
      </c>
    </row>
    <row r="159" spans="1:23" ht="27" hidden="1" customHeight="1">
      <c r="A159" s="583">
        <v>1026</v>
      </c>
      <c r="B159" s="581">
        <v>10</v>
      </c>
      <c r="C159" s="583" t="s">
        <v>305</v>
      </c>
      <c r="D159" s="583" t="s">
        <v>172</v>
      </c>
      <c r="E159" s="599">
        <v>-4529993497</v>
      </c>
      <c r="F159" s="599">
        <v>-26220948</v>
      </c>
      <c r="G159" s="599"/>
      <c r="H159" s="599"/>
      <c r="I159" s="599"/>
      <c r="J159" s="599"/>
      <c r="K159" s="599"/>
      <c r="L159" s="599"/>
      <c r="M159" s="599">
        <v>0</v>
      </c>
      <c r="N159" s="592"/>
      <c r="O159" s="592"/>
      <c r="P159" s="882">
        <f t="shared" si="8"/>
        <v>-4556214445</v>
      </c>
      <c r="Q159" s="599">
        <f>-4525602708-71023200</f>
        <v>-4596625908</v>
      </c>
      <c r="R159" s="882">
        <f t="shared" si="9"/>
        <v>-4556</v>
      </c>
      <c r="S159" s="599">
        <f t="shared" si="9"/>
        <v>-4597</v>
      </c>
      <c r="T159" s="620"/>
      <c r="U159" s="621"/>
      <c r="V159" s="882">
        <f t="shared" si="10"/>
        <v>-4556214445</v>
      </c>
      <c r="W159" s="882">
        <f t="shared" si="11"/>
        <v>-4556</v>
      </c>
    </row>
    <row r="160" spans="1:23" ht="27" hidden="1" customHeight="1">
      <c r="A160" s="583">
        <v>406</v>
      </c>
      <c r="B160" s="581">
        <v>4</v>
      </c>
      <c r="C160" s="583" t="s">
        <v>306</v>
      </c>
      <c r="D160" s="583" t="s">
        <v>307</v>
      </c>
      <c r="E160" s="599">
        <v>306902309</v>
      </c>
      <c r="F160" s="599">
        <v>20954780</v>
      </c>
      <c r="G160" s="599"/>
      <c r="H160" s="599"/>
      <c r="I160" s="599"/>
      <c r="J160" s="599"/>
      <c r="K160" s="599"/>
      <c r="L160" s="599"/>
      <c r="M160" s="599">
        <v>0</v>
      </c>
      <c r="N160" s="592"/>
      <c r="O160" s="592"/>
      <c r="P160" s="882">
        <f t="shared" si="8"/>
        <v>327857089</v>
      </c>
      <c r="Q160" s="599">
        <v>94179949</v>
      </c>
      <c r="R160" s="882">
        <f t="shared" si="9"/>
        <v>328</v>
      </c>
      <c r="S160" s="599">
        <f t="shared" si="9"/>
        <v>94</v>
      </c>
      <c r="T160" s="620"/>
      <c r="U160" s="621"/>
      <c r="V160" s="882">
        <f t="shared" si="10"/>
        <v>327857089</v>
      </c>
      <c r="W160" s="882">
        <f t="shared" si="11"/>
        <v>328</v>
      </c>
    </row>
    <row r="161" spans="1:23" ht="27" hidden="1" customHeight="1">
      <c r="A161" s="583">
        <v>406</v>
      </c>
      <c r="B161" s="581">
        <v>4</v>
      </c>
      <c r="C161" s="583" t="s">
        <v>308</v>
      </c>
      <c r="D161" s="583" t="s">
        <v>309</v>
      </c>
      <c r="E161" s="599">
        <v>425501570</v>
      </c>
      <c r="F161" s="599"/>
      <c r="G161" s="599"/>
      <c r="H161" s="599"/>
      <c r="I161" s="599"/>
      <c r="J161" s="599"/>
      <c r="K161" s="599"/>
      <c r="L161" s="599"/>
      <c r="M161" s="599">
        <v>0</v>
      </c>
      <c r="N161" s="592"/>
      <c r="O161" s="592"/>
      <c r="P161" s="882">
        <f t="shared" si="8"/>
        <v>425501570</v>
      </c>
      <c r="Q161" s="599">
        <v>54438320</v>
      </c>
      <c r="R161" s="882">
        <f t="shared" si="9"/>
        <v>426</v>
      </c>
      <c r="S161" s="599">
        <f t="shared" si="9"/>
        <v>54</v>
      </c>
      <c r="T161" s="620"/>
      <c r="U161" s="621"/>
      <c r="V161" s="882">
        <f t="shared" si="10"/>
        <v>425501570</v>
      </c>
      <c r="W161" s="882">
        <f t="shared" si="11"/>
        <v>426</v>
      </c>
    </row>
    <row r="162" spans="1:23" ht="27" hidden="1" customHeight="1">
      <c r="A162" s="583">
        <v>1001</v>
      </c>
      <c r="B162" s="581">
        <v>10</v>
      </c>
      <c r="C162" s="583" t="s">
        <v>310</v>
      </c>
      <c r="D162" s="583" t="s">
        <v>967</v>
      </c>
      <c r="E162" s="599">
        <v>-87019472</v>
      </c>
      <c r="F162" s="599"/>
      <c r="G162" s="599"/>
      <c r="H162" s="599"/>
      <c r="I162" s="599"/>
      <c r="J162" s="599"/>
      <c r="K162" s="599"/>
      <c r="L162" s="599"/>
      <c r="M162" s="599">
        <v>0</v>
      </c>
      <c r="N162" s="592"/>
      <c r="O162" s="592"/>
      <c r="P162" s="882">
        <f t="shared" si="8"/>
        <v>-87019472</v>
      </c>
      <c r="Q162" s="599">
        <v>-52527256</v>
      </c>
      <c r="R162" s="882">
        <f t="shared" si="9"/>
        <v>-87</v>
      </c>
      <c r="S162" s="599">
        <f t="shared" si="9"/>
        <v>-53</v>
      </c>
      <c r="T162" s="620"/>
      <c r="U162" s="621"/>
      <c r="V162" s="882">
        <f t="shared" si="10"/>
        <v>-87019472</v>
      </c>
      <c r="W162" s="882">
        <f t="shared" si="11"/>
        <v>-87</v>
      </c>
    </row>
    <row r="163" spans="1:23" ht="27" hidden="1" customHeight="1">
      <c r="A163" s="583">
        <v>406</v>
      </c>
      <c r="B163" s="581">
        <v>4</v>
      </c>
      <c r="C163" s="583" t="s">
        <v>1059</v>
      </c>
      <c r="D163" s="583" t="s">
        <v>1058</v>
      </c>
      <c r="E163" s="599">
        <v>550877524</v>
      </c>
      <c r="F163" s="599">
        <v>-39509021</v>
      </c>
      <c r="G163" s="599">
        <v>-7485000</v>
      </c>
      <c r="H163" s="599"/>
      <c r="I163" s="599"/>
      <c r="J163" s="599"/>
      <c r="K163" s="599"/>
      <c r="L163" s="599"/>
      <c r="M163" s="599">
        <v>0</v>
      </c>
      <c r="N163" s="592"/>
      <c r="O163" s="592"/>
      <c r="P163" s="882">
        <f t="shared" si="8"/>
        <v>503883503</v>
      </c>
      <c r="Q163" s="599">
        <v>-68296621</v>
      </c>
      <c r="R163" s="882">
        <f t="shared" si="9"/>
        <v>504</v>
      </c>
      <c r="S163" s="599">
        <f t="shared" si="9"/>
        <v>-68</v>
      </c>
      <c r="T163" s="620"/>
      <c r="U163" s="621"/>
      <c r="V163" s="882">
        <f t="shared" si="10"/>
        <v>503883503</v>
      </c>
      <c r="W163" s="882">
        <f t="shared" si="11"/>
        <v>504</v>
      </c>
    </row>
    <row r="164" spans="1:23" ht="27" hidden="1" customHeight="1">
      <c r="A164" s="583">
        <v>406</v>
      </c>
      <c r="B164" s="581">
        <v>4</v>
      </c>
      <c r="C164" s="583" t="s">
        <v>109</v>
      </c>
      <c r="D164" s="583" t="s">
        <v>840</v>
      </c>
      <c r="E164" s="599">
        <v>3229654200</v>
      </c>
      <c r="F164" s="599">
        <v>-16473900</v>
      </c>
      <c r="G164" s="599"/>
      <c r="H164" s="599"/>
      <c r="I164" s="599"/>
      <c r="J164" s="599"/>
      <c r="K164" s="599"/>
      <c r="L164" s="599"/>
      <c r="M164" s="599">
        <v>0</v>
      </c>
      <c r="N164" s="592"/>
      <c r="O164" s="592"/>
      <c r="P164" s="882">
        <f t="shared" si="8"/>
        <v>3213180300</v>
      </c>
      <c r="Q164" s="599">
        <v>1830252628</v>
      </c>
      <c r="R164" s="882">
        <f t="shared" si="9"/>
        <v>3213</v>
      </c>
      <c r="S164" s="599">
        <f t="shared" si="9"/>
        <v>1830</v>
      </c>
      <c r="T164" s="620"/>
      <c r="U164" s="621"/>
      <c r="V164" s="882">
        <f t="shared" si="10"/>
        <v>3213180300</v>
      </c>
      <c r="W164" s="882">
        <f t="shared" si="11"/>
        <v>3213</v>
      </c>
    </row>
    <row r="165" spans="1:23" ht="27" hidden="1" customHeight="1">
      <c r="A165" s="583">
        <v>406</v>
      </c>
      <c r="B165" s="581">
        <v>4</v>
      </c>
      <c r="C165" s="583" t="s">
        <v>110</v>
      </c>
      <c r="D165" s="583" t="s">
        <v>174</v>
      </c>
      <c r="E165" s="599">
        <v>2196710253</v>
      </c>
      <c r="F165" s="599"/>
      <c r="G165" s="599"/>
      <c r="H165" s="599"/>
      <c r="I165" s="599"/>
      <c r="J165" s="599"/>
      <c r="K165" s="599"/>
      <c r="L165" s="599"/>
      <c r="M165" s="599">
        <v>0</v>
      </c>
      <c r="N165" s="592"/>
      <c r="O165" s="592"/>
      <c r="P165" s="882">
        <f t="shared" si="8"/>
        <v>2196710253</v>
      </c>
      <c r="Q165" s="599">
        <f>1088639528-480000</f>
        <v>1088159528</v>
      </c>
      <c r="R165" s="882">
        <f t="shared" si="9"/>
        <v>2197</v>
      </c>
      <c r="S165" s="599">
        <f t="shared" si="9"/>
        <v>1088</v>
      </c>
      <c r="T165" s="620"/>
      <c r="U165" s="621"/>
      <c r="V165" s="882">
        <f t="shared" si="10"/>
        <v>2196710253</v>
      </c>
      <c r="W165" s="882">
        <f t="shared" si="11"/>
        <v>2197</v>
      </c>
    </row>
    <row r="166" spans="1:23" ht="27" hidden="1" customHeight="1">
      <c r="A166" s="583">
        <v>1001</v>
      </c>
      <c r="B166" s="581">
        <v>10</v>
      </c>
      <c r="C166" s="583" t="s">
        <v>335</v>
      </c>
      <c r="D166" s="583" t="s">
        <v>763</v>
      </c>
      <c r="E166" s="599"/>
      <c r="F166" s="599"/>
      <c r="G166" s="599"/>
      <c r="H166" s="599"/>
      <c r="I166" s="599"/>
      <c r="J166" s="599"/>
      <c r="K166" s="599"/>
      <c r="L166" s="599"/>
      <c r="M166" s="599">
        <v>0</v>
      </c>
      <c r="N166" s="592"/>
      <c r="O166" s="592"/>
      <c r="P166" s="882">
        <f t="shared" si="8"/>
        <v>0</v>
      </c>
      <c r="Q166" s="599"/>
      <c r="R166" s="882">
        <f t="shared" si="9"/>
        <v>0</v>
      </c>
      <c r="S166" s="599">
        <f t="shared" si="9"/>
        <v>0</v>
      </c>
      <c r="T166" s="620"/>
      <c r="U166" s="621"/>
      <c r="V166" s="882">
        <f t="shared" si="10"/>
        <v>0</v>
      </c>
      <c r="W166" s="882">
        <f t="shared" si="11"/>
        <v>0</v>
      </c>
    </row>
    <row r="167" spans="1:23" ht="27" hidden="1" customHeight="1">
      <c r="A167" s="583">
        <v>406</v>
      </c>
      <c r="B167" s="581">
        <v>4</v>
      </c>
      <c r="C167" s="583" t="s">
        <v>336</v>
      </c>
      <c r="D167" s="584" t="s">
        <v>656</v>
      </c>
      <c r="E167" s="599">
        <f>4814068911-1339078831</f>
        <v>3474990080</v>
      </c>
      <c r="F167" s="599">
        <v>-47520000</v>
      </c>
      <c r="G167" s="599"/>
      <c r="H167" s="599">
        <v>1551301080</v>
      </c>
      <c r="I167" s="599"/>
      <c r="J167" s="599"/>
      <c r="K167" s="599"/>
      <c r="L167" s="599"/>
      <c r="M167" s="599">
        <v>0</v>
      </c>
      <c r="N167" s="592"/>
      <c r="O167" s="592"/>
      <c r="P167" s="882">
        <f t="shared" si="8"/>
        <v>4978771160</v>
      </c>
      <c r="Q167" s="599">
        <f>4606745621-1339078831</f>
        <v>3267666790</v>
      </c>
      <c r="R167" s="882">
        <f t="shared" si="9"/>
        <v>4979</v>
      </c>
      <c r="S167" s="599">
        <f t="shared" si="9"/>
        <v>3268</v>
      </c>
      <c r="T167" s="620"/>
      <c r="U167" s="623"/>
      <c r="V167" s="882">
        <f t="shared" si="10"/>
        <v>4978771160</v>
      </c>
      <c r="W167" s="882">
        <f t="shared" si="11"/>
        <v>4979</v>
      </c>
    </row>
    <row r="168" spans="1:23" ht="27" hidden="1" customHeight="1">
      <c r="A168" s="583">
        <v>409</v>
      </c>
      <c r="B168" s="581">
        <v>4</v>
      </c>
      <c r="C168" s="583" t="s">
        <v>336</v>
      </c>
      <c r="D168" s="583" t="s">
        <v>655</v>
      </c>
      <c r="E168" s="599">
        <v>1339078831</v>
      </c>
      <c r="F168" s="599"/>
      <c r="G168" s="599"/>
      <c r="H168" s="599"/>
      <c r="I168" s="599"/>
      <c r="J168" s="599"/>
      <c r="K168" s="599"/>
      <c r="L168" s="599"/>
      <c r="M168" s="599">
        <v>0</v>
      </c>
      <c r="N168" s="592"/>
      <c r="O168" s="592"/>
      <c r="P168" s="882">
        <f t="shared" si="8"/>
        <v>1339078831</v>
      </c>
      <c r="Q168" s="599">
        <v>1339078831</v>
      </c>
      <c r="R168" s="882">
        <f t="shared" si="9"/>
        <v>1339</v>
      </c>
      <c r="S168" s="599">
        <f t="shared" si="9"/>
        <v>1339</v>
      </c>
      <c r="T168" s="620"/>
      <c r="U168" s="621"/>
      <c r="V168" s="882">
        <f t="shared" si="10"/>
        <v>1339078831</v>
      </c>
      <c r="W168" s="882">
        <f t="shared" si="11"/>
        <v>1339</v>
      </c>
    </row>
    <row r="169" spans="1:23" ht="27" hidden="1" customHeight="1">
      <c r="A169" s="583">
        <v>414</v>
      </c>
      <c r="B169" s="581">
        <v>4</v>
      </c>
      <c r="C169" s="583" t="s">
        <v>338</v>
      </c>
      <c r="D169" s="583" t="s">
        <v>152</v>
      </c>
      <c r="E169" s="599">
        <v>-111729635102</v>
      </c>
      <c r="F169" s="599">
        <v>-43061040</v>
      </c>
      <c r="G169" s="599">
        <v>-2495520</v>
      </c>
      <c r="H169" s="599">
        <v>2800620</v>
      </c>
      <c r="I169" s="599"/>
      <c r="J169" s="599"/>
      <c r="K169" s="599"/>
      <c r="L169" s="599"/>
      <c r="M169" s="599">
        <v>0</v>
      </c>
      <c r="N169" s="592"/>
      <c r="O169" s="592"/>
      <c r="P169" s="882">
        <f t="shared" si="8"/>
        <v>-111772391042</v>
      </c>
      <c r="Q169" s="599">
        <f>2047171897603-90950873968-926854434</f>
        <v>1955294169201</v>
      </c>
      <c r="R169" s="882">
        <f t="shared" si="9"/>
        <v>-111772</v>
      </c>
      <c r="S169" s="599">
        <f t="shared" si="9"/>
        <v>1955294</v>
      </c>
      <c r="T169" s="620"/>
      <c r="U169" s="621"/>
      <c r="V169" s="882">
        <f t="shared" si="10"/>
        <v>-111772391042</v>
      </c>
      <c r="W169" s="882">
        <f t="shared" si="11"/>
        <v>-111772</v>
      </c>
    </row>
    <row r="170" spans="1:23" ht="27" hidden="1" customHeight="1">
      <c r="A170" s="583">
        <v>414</v>
      </c>
      <c r="B170" s="581">
        <v>4</v>
      </c>
      <c r="C170" s="583" t="s">
        <v>1376</v>
      </c>
      <c r="D170" s="583" t="s">
        <v>1377</v>
      </c>
      <c r="E170" s="599">
        <f>3262959217447</f>
        <v>3262959217447</v>
      </c>
      <c r="F170" s="599">
        <v>-2884211390</v>
      </c>
      <c r="G170" s="599">
        <v>-992479860514</v>
      </c>
      <c r="H170" s="599"/>
      <c r="I170" s="599">
        <v>-1673656078</v>
      </c>
      <c r="J170" s="599">
        <v>-60024504371</v>
      </c>
      <c r="K170" s="599"/>
      <c r="L170" s="599"/>
      <c r="M170" s="599">
        <v>0</v>
      </c>
      <c r="N170" s="592"/>
      <c r="O170" s="592"/>
      <c r="P170" s="882">
        <f t="shared" si="8"/>
        <v>2205896985094</v>
      </c>
      <c r="Q170" s="599"/>
      <c r="R170" s="882">
        <f t="shared" si="9"/>
        <v>2205897</v>
      </c>
      <c r="S170" s="599">
        <f t="shared" si="9"/>
        <v>0</v>
      </c>
      <c r="T170" s="620"/>
      <c r="U170" s="621"/>
      <c r="V170" s="882">
        <f t="shared" si="10"/>
        <v>2205896985094</v>
      </c>
      <c r="W170" s="882">
        <f t="shared" si="11"/>
        <v>2205897</v>
      </c>
    </row>
    <row r="171" spans="1:23" ht="27" hidden="1" customHeight="1">
      <c r="A171" s="583">
        <v>416</v>
      </c>
      <c r="B171" s="581">
        <v>4</v>
      </c>
      <c r="C171" s="583" t="s">
        <v>527</v>
      </c>
      <c r="D171" s="583" t="s">
        <v>528</v>
      </c>
      <c r="E171" s="599">
        <v>-1492746645</v>
      </c>
      <c r="F171" s="599">
        <v>-1418905348</v>
      </c>
      <c r="G171" s="599">
        <v>-195011762</v>
      </c>
      <c r="H171" s="599">
        <v>495070898</v>
      </c>
      <c r="I171" s="599"/>
      <c r="J171" s="599"/>
      <c r="K171" s="599"/>
      <c r="L171" s="599"/>
      <c r="M171" s="599">
        <v>0</v>
      </c>
      <c r="N171" s="592"/>
      <c r="O171" s="592"/>
      <c r="P171" s="882">
        <f t="shared" si="8"/>
        <v>-2611592857</v>
      </c>
      <c r="Q171" s="599">
        <f>4268510452+420832056276-177655958+71023200</f>
        <v>424993933970</v>
      </c>
      <c r="R171" s="882">
        <f t="shared" si="9"/>
        <v>-2612</v>
      </c>
      <c r="S171" s="599">
        <f t="shared" si="9"/>
        <v>424994</v>
      </c>
      <c r="T171" s="620"/>
      <c r="U171" s="621"/>
      <c r="V171" s="882">
        <f t="shared" si="10"/>
        <v>-2611592857</v>
      </c>
      <c r="W171" s="882">
        <f t="shared" si="11"/>
        <v>-2612</v>
      </c>
    </row>
    <row r="172" spans="1:23" ht="27" hidden="1" customHeight="1">
      <c r="A172" s="583">
        <v>416</v>
      </c>
      <c r="B172" s="581">
        <v>4</v>
      </c>
      <c r="C172" s="583" t="s">
        <v>1378</v>
      </c>
      <c r="D172" s="583" t="s">
        <v>1379</v>
      </c>
      <c r="E172" s="599">
        <f>710621292940</f>
        <v>710621292940</v>
      </c>
      <c r="F172" s="599">
        <v>-367057907</v>
      </c>
      <c r="G172" s="599">
        <v>-238708729791</v>
      </c>
      <c r="H172" s="599"/>
      <c r="I172" s="599">
        <v>-402543500</v>
      </c>
      <c r="J172" s="599">
        <v>-14436941005</v>
      </c>
      <c r="K172" s="599"/>
      <c r="L172" s="599"/>
      <c r="M172" s="599">
        <v>0</v>
      </c>
      <c r="N172" s="592"/>
      <c r="O172" s="592"/>
      <c r="P172" s="882">
        <f t="shared" si="8"/>
        <v>456706020737</v>
      </c>
      <c r="Q172" s="599"/>
      <c r="R172" s="882">
        <f t="shared" si="9"/>
        <v>456706</v>
      </c>
      <c r="S172" s="599">
        <f t="shared" si="9"/>
        <v>0</v>
      </c>
      <c r="T172" s="620"/>
      <c r="U172" s="621"/>
      <c r="V172" s="882">
        <f t="shared" si="10"/>
        <v>456706020737</v>
      </c>
      <c r="W172" s="882">
        <f t="shared" si="11"/>
        <v>456706</v>
      </c>
    </row>
    <row r="173" spans="1:23" ht="27" hidden="1" customHeight="1">
      <c r="A173" s="583">
        <v>413</v>
      </c>
      <c r="B173" s="581">
        <v>4</v>
      </c>
      <c r="C173" s="583" t="s">
        <v>529</v>
      </c>
      <c r="D173" s="583" t="s">
        <v>156</v>
      </c>
      <c r="E173" s="599">
        <v>-142596817703</v>
      </c>
      <c r="F173" s="599">
        <v>-2140454648</v>
      </c>
      <c r="G173" s="599">
        <v>-2375778745</v>
      </c>
      <c r="H173" s="599">
        <v>-40477368</v>
      </c>
      <c r="I173" s="599"/>
      <c r="J173" s="599"/>
      <c r="K173" s="599"/>
      <c r="L173" s="599"/>
      <c r="M173" s="599">
        <v>0</v>
      </c>
      <c r="N173" s="592"/>
      <c r="O173" s="592"/>
      <c r="P173" s="882">
        <f t="shared" si="8"/>
        <v>-147153528464</v>
      </c>
      <c r="Q173" s="599">
        <f>3149959268347-124621846528-1388871966</f>
        <v>3023948549853</v>
      </c>
      <c r="R173" s="882">
        <f t="shared" si="9"/>
        <v>-147154</v>
      </c>
      <c r="S173" s="599">
        <f t="shared" si="9"/>
        <v>3023949</v>
      </c>
      <c r="T173" s="620"/>
      <c r="U173" s="621"/>
      <c r="V173" s="882">
        <f t="shared" si="10"/>
        <v>-147153528464</v>
      </c>
      <c r="W173" s="882">
        <f t="shared" si="11"/>
        <v>-147154</v>
      </c>
    </row>
    <row r="174" spans="1:23" ht="27" hidden="1" customHeight="1">
      <c r="A174" s="583">
        <v>413</v>
      </c>
      <c r="B174" s="581">
        <v>4</v>
      </c>
      <c r="C174" s="583" t="s">
        <v>1381</v>
      </c>
      <c r="D174" s="583" t="s">
        <v>1380</v>
      </c>
      <c r="E174" s="599">
        <f>4943751254967</f>
        <v>4943751254967</v>
      </c>
      <c r="F174" s="599">
        <v>-10934842532</v>
      </c>
      <c r="G174" s="599">
        <v>-1526454868353</v>
      </c>
      <c r="H174" s="599"/>
      <c r="I174" s="599">
        <v>-2596789967</v>
      </c>
      <c r="J174" s="599">
        <v>-93132055461</v>
      </c>
      <c r="K174" s="599"/>
      <c r="L174" s="599"/>
      <c r="M174" s="599">
        <v>0</v>
      </c>
      <c r="N174" s="592"/>
      <c r="O174" s="592"/>
      <c r="P174" s="882">
        <f t="shared" si="8"/>
        <v>3310632698654</v>
      </c>
      <c r="Q174" s="599"/>
      <c r="R174" s="882">
        <f t="shared" si="9"/>
        <v>3310633</v>
      </c>
      <c r="S174" s="599">
        <f t="shared" si="9"/>
        <v>0</v>
      </c>
      <c r="T174" s="620"/>
      <c r="U174" s="621"/>
      <c r="V174" s="882">
        <f t="shared" si="10"/>
        <v>3310632698654</v>
      </c>
      <c r="W174" s="882">
        <f t="shared" si="11"/>
        <v>3310633</v>
      </c>
    </row>
    <row r="175" spans="1:23" ht="27" hidden="1" customHeight="1">
      <c r="A175" s="583">
        <v>415</v>
      </c>
      <c r="B175" s="581">
        <v>4</v>
      </c>
      <c r="C175" s="583" t="s">
        <v>1328</v>
      </c>
      <c r="D175" s="583" t="s">
        <v>558</v>
      </c>
      <c r="E175" s="599">
        <v>-8296441882</v>
      </c>
      <c r="F175" s="599"/>
      <c r="G175" s="599">
        <v>-410902781026</v>
      </c>
      <c r="H175" s="599">
        <v>-2032358267</v>
      </c>
      <c r="I175" s="599">
        <v>-719954422</v>
      </c>
      <c r="J175" s="599">
        <v>-25820661656</v>
      </c>
      <c r="K175" s="599"/>
      <c r="L175" s="599"/>
      <c r="M175" s="599">
        <v>0</v>
      </c>
      <c r="N175" s="592"/>
      <c r="O175" s="592"/>
      <c r="P175" s="882">
        <f t="shared" si="8"/>
        <v>-447772197253</v>
      </c>
      <c r="Q175" s="599">
        <f>1031045518828-4602085315-3754508142-1065600000-1335766011-1383968782-399320075</f>
        <v>1018504270503</v>
      </c>
      <c r="R175" s="882">
        <f t="shared" si="9"/>
        <v>-447772</v>
      </c>
      <c r="S175" s="599">
        <f t="shared" si="9"/>
        <v>1018504</v>
      </c>
      <c r="T175" s="620"/>
      <c r="U175" s="621"/>
      <c r="V175" s="882">
        <f t="shared" si="10"/>
        <v>-447772197253</v>
      </c>
      <c r="W175" s="882">
        <f t="shared" si="11"/>
        <v>-447772</v>
      </c>
    </row>
    <row r="176" spans="1:23" ht="27" hidden="1" customHeight="1">
      <c r="A176" s="583">
        <v>415</v>
      </c>
      <c r="B176" s="581">
        <v>4</v>
      </c>
      <c r="C176" s="583" t="s">
        <v>157</v>
      </c>
      <c r="D176" s="583" t="s">
        <v>558</v>
      </c>
      <c r="E176" s="599">
        <f>1541574920305</f>
        <v>1541574920305</v>
      </c>
      <c r="F176" s="599"/>
      <c r="G176" s="599"/>
      <c r="H176" s="599">
        <v>2032358267</v>
      </c>
      <c r="I176" s="599"/>
      <c r="J176" s="599"/>
      <c r="K176" s="599"/>
      <c r="L176" s="599"/>
      <c r="M176" s="599">
        <v>0</v>
      </c>
      <c r="N176" s="592"/>
      <c r="O176" s="592"/>
      <c r="P176" s="882">
        <f t="shared" si="8"/>
        <v>1543607278572</v>
      </c>
      <c r="Q176" s="599"/>
      <c r="R176" s="882">
        <f t="shared" si="9"/>
        <v>1543607</v>
      </c>
      <c r="S176" s="599">
        <f t="shared" si="9"/>
        <v>0</v>
      </c>
      <c r="T176" s="620"/>
      <c r="U176" s="621"/>
      <c r="V176" s="882">
        <f t="shared" si="10"/>
        <v>1543607278572</v>
      </c>
      <c r="W176" s="882">
        <f t="shared" si="11"/>
        <v>1543607</v>
      </c>
    </row>
    <row r="177" spans="1:23" ht="27" hidden="1" customHeight="1">
      <c r="A177" s="583">
        <v>417</v>
      </c>
      <c r="B177" s="581">
        <v>4</v>
      </c>
      <c r="C177" s="583">
        <v>9290957</v>
      </c>
      <c r="D177" s="583" t="s">
        <v>159</v>
      </c>
      <c r="E177" s="599">
        <f>307459125956</f>
        <v>307459125956</v>
      </c>
      <c r="F177" s="599"/>
      <c r="H177" s="599"/>
      <c r="K177" s="599"/>
      <c r="L177" s="599"/>
      <c r="M177" s="599">
        <v>0</v>
      </c>
      <c r="N177" s="592"/>
      <c r="O177" s="592"/>
      <c r="P177" s="882">
        <f t="shared" si="8"/>
        <v>307459125956</v>
      </c>
      <c r="Q177" s="599">
        <f>180784253356-29308234090-78878555</f>
        <v>151397140711</v>
      </c>
      <c r="R177" s="882">
        <f t="shared" si="9"/>
        <v>307459</v>
      </c>
      <c r="S177" s="599">
        <f t="shared" si="9"/>
        <v>151397</v>
      </c>
      <c r="T177" s="620"/>
      <c r="U177" s="621"/>
      <c r="V177" s="882">
        <f t="shared" si="10"/>
        <v>307459125956</v>
      </c>
      <c r="W177" s="882">
        <f t="shared" si="11"/>
        <v>307459</v>
      </c>
    </row>
    <row r="178" spans="1:23" ht="27" hidden="1" customHeight="1">
      <c r="A178" s="583">
        <v>417</v>
      </c>
      <c r="B178" s="581">
        <v>4</v>
      </c>
      <c r="C178" s="583" t="s">
        <v>158</v>
      </c>
      <c r="D178" s="583" t="s">
        <v>159</v>
      </c>
      <c r="E178" s="599">
        <v>-29124566157</v>
      </c>
      <c r="F178" s="599"/>
      <c r="G178" s="599">
        <v>-83748919363</v>
      </c>
      <c r="H178" s="599"/>
      <c r="I178" s="599">
        <v>-138247107</v>
      </c>
      <c r="J178" s="599">
        <v>-4958135763</v>
      </c>
      <c r="K178" s="599"/>
      <c r="L178" s="599"/>
      <c r="M178" s="599">
        <v>0</v>
      </c>
      <c r="N178" s="592"/>
      <c r="O178" s="592"/>
      <c r="P178" s="882">
        <f t="shared" si="8"/>
        <v>-117969868390</v>
      </c>
      <c r="Q178" s="599"/>
      <c r="R178" s="882">
        <f>ROUND((P178/1000000),0)</f>
        <v>-117970</v>
      </c>
      <c r="S178" s="599">
        <f>ROUND((Q178/1000000),0)</f>
        <v>0</v>
      </c>
      <c r="T178" s="620"/>
      <c r="U178" s="621"/>
      <c r="V178" s="882">
        <f>P178-U178+T178</f>
        <v>-117969868390</v>
      </c>
      <c r="W178" s="882">
        <f t="shared" si="11"/>
        <v>-117970</v>
      </c>
    </row>
    <row r="179" spans="1:23" ht="27" hidden="1" customHeight="1">
      <c r="A179" s="583">
        <v>1023</v>
      </c>
      <c r="B179" s="581">
        <v>10</v>
      </c>
      <c r="C179" s="583">
        <v>9290961</v>
      </c>
      <c r="D179" s="583" t="s">
        <v>207</v>
      </c>
      <c r="E179" s="599">
        <v>-1329244601</v>
      </c>
      <c r="F179" s="599"/>
      <c r="G179" s="599">
        <v>190553420512</v>
      </c>
      <c r="H179" s="599"/>
      <c r="I179" s="599">
        <v>-518930370</v>
      </c>
      <c r="J179" s="599">
        <v>-18611074672</v>
      </c>
      <c r="K179" s="599"/>
      <c r="L179" s="599"/>
      <c r="M179" s="599">
        <v>0</v>
      </c>
      <c r="N179" s="592"/>
      <c r="O179" s="592"/>
      <c r="P179" s="882">
        <f t="shared" si="8"/>
        <v>170094170869</v>
      </c>
      <c r="Q179" s="599">
        <f>-22273354094-263063824394+31453944098-491222303-353521442+7128844750+22273354094</f>
        <v>-225325779291</v>
      </c>
      <c r="R179" s="882">
        <f t="shared" si="9"/>
        <v>170094</v>
      </c>
      <c r="S179" s="599">
        <f t="shared" si="9"/>
        <v>-225326</v>
      </c>
      <c r="T179" s="620"/>
      <c r="U179" s="621"/>
      <c r="V179" s="882">
        <f t="shared" si="10"/>
        <v>170094170869</v>
      </c>
      <c r="W179" s="882">
        <f t="shared" si="11"/>
        <v>170094</v>
      </c>
    </row>
    <row r="180" spans="1:23" ht="27" hidden="1" customHeight="1">
      <c r="A180" s="583">
        <v>1023</v>
      </c>
      <c r="B180" s="581">
        <v>10</v>
      </c>
      <c r="C180" s="583">
        <v>9290967</v>
      </c>
      <c r="D180" s="583" t="s">
        <v>207</v>
      </c>
      <c r="E180" s="599">
        <f>-332097745148</f>
        <v>-332097745148</v>
      </c>
      <c r="F180" s="599">
        <v>-723174921</v>
      </c>
      <c r="G180" s="599">
        <v>-29381110</v>
      </c>
      <c r="H180" s="599">
        <v>-308286853</v>
      </c>
      <c r="I180" s="599"/>
      <c r="J180" s="599"/>
      <c r="K180" s="599"/>
      <c r="L180" s="599"/>
      <c r="M180" s="599">
        <v>0</v>
      </c>
      <c r="N180" s="592"/>
      <c r="O180" s="592"/>
      <c r="P180" s="882">
        <f t="shared" si="8"/>
        <v>-333158588032</v>
      </c>
      <c r="Q180" s="599">
        <v>-22273354094</v>
      </c>
      <c r="R180" s="882">
        <f t="shared" si="9"/>
        <v>-333159</v>
      </c>
      <c r="S180" s="599">
        <f t="shared" si="9"/>
        <v>-22273</v>
      </c>
      <c r="T180" s="620"/>
      <c r="U180" s="621"/>
      <c r="V180" s="882">
        <f t="shared" si="10"/>
        <v>-333158588032</v>
      </c>
      <c r="W180" s="882">
        <f t="shared" si="11"/>
        <v>-333159</v>
      </c>
    </row>
    <row r="181" spans="1:23" ht="27" hidden="1" customHeight="1">
      <c r="A181" s="583">
        <v>1003</v>
      </c>
      <c r="B181" s="581">
        <v>10</v>
      </c>
      <c r="C181" s="583" t="s">
        <v>1330</v>
      </c>
      <c r="D181" s="583" t="s">
        <v>209</v>
      </c>
      <c r="E181" s="599">
        <v>-996403811801</v>
      </c>
      <c r="F181" s="599"/>
      <c r="G181" s="599">
        <v>795940149783</v>
      </c>
      <c r="H181" s="599"/>
      <c r="I181" s="599">
        <v>-1719343173</v>
      </c>
      <c r="J181" s="599">
        <v>-61663040067</v>
      </c>
      <c r="K181" s="599"/>
      <c r="L181" s="599"/>
      <c r="M181" s="599">
        <v>0</v>
      </c>
      <c r="N181" s="592"/>
      <c r="O181" s="592"/>
      <c r="P181" s="882">
        <f t="shared" si="8"/>
        <v>-263846045258</v>
      </c>
      <c r="Q181" s="599">
        <f>-17597230378-568438552923+23224313000-2392654495-1327740844-955544677+19268787838+17597230378</f>
        <v>-530621392101</v>
      </c>
      <c r="R181" s="882">
        <f t="shared" si="9"/>
        <v>-263846</v>
      </c>
      <c r="S181" s="599">
        <f t="shared" si="9"/>
        <v>-530621</v>
      </c>
      <c r="T181" s="620"/>
      <c r="U181" s="621"/>
      <c r="V181" s="882">
        <f t="shared" si="10"/>
        <v>-263846045258</v>
      </c>
      <c r="W181" s="882">
        <f t="shared" si="11"/>
        <v>-263846</v>
      </c>
    </row>
    <row r="182" spans="1:23" ht="27" hidden="1" customHeight="1">
      <c r="A182" s="583">
        <v>1003</v>
      </c>
      <c r="B182" s="581">
        <v>10</v>
      </c>
      <c r="C182" s="583" t="s">
        <v>208</v>
      </c>
      <c r="D182" s="583" t="s">
        <v>209</v>
      </c>
      <c r="E182" s="599">
        <f>2371689830</f>
        <v>2371689830</v>
      </c>
      <c r="F182" s="599">
        <v>-92658517</v>
      </c>
      <c r="G182" s="599">
        <v>-2358606324</v>
      </c>
      <c r="H182" s="599">
        <v>-679314160</v>
      </c>
      <c r="I182" s="599"/>
      <c r="J182" s="599"/>
      <c r="K182" s="599"/>
      <c r="L182" s="599"/>
      <c r="M182" s="599">
        <v>0</v>
      </c>
      <c r="N182" s="592"/>
      <c r="O182" s="592"/>
      <c r="P182" s="882">
        <f t="shared" si="8"/>
        <v>-758889171</v>
      </c>
      <c r="Q182" s="599">
        <v>-17597230378</v>
      </c>
      <c r="R182" s="882">
        <f t="shared" si="9"/>
        <v>-759</v>
      </c>
      <c r="S182" s="599">
        <f t="shared" si="9"/>
        <v>-17597</v>
      </c>
      <c r="T182" s="620"/>
      <c r="U182" s="621"/>
      <c r="V182" s="882">
        <f t="shared" si="10"/>
        <v>-758889171</v>
      </c>
      <c r="W182" s="882">
        <f t="shared" si="11"/>
        <v>-759</v>
      </c>
    </row>
    <row r="183" spans="1:23" ht="27" hidden="1" customHeight="1">
      <c r="A183" s="583">
        <v>1021</v>
      </c>
      <c r="B183" s="581">
        <v>10</v>
      </c>
      <c r="C183" s="583" t="s">
        <v>343</v>
      </c>
      <c r="D183" s="583" t="s">
        <v>344</v>
      </c>
      <c r="E183" s="599">
        <v>-29119662709</v>
      </c>
      <c r="F183" s="599">
        <v>-37523339710</v>
      </c>
      <c r="G183" s="599">
        <v>-98433668</v>
      </c>
      <c r="H183" s="599"/>
      <c r="I183" s="599"/>
      <c r="J183" s="599"/>
      <c r="K183" s="599"/>
      <c r="L183" s="599"/>
      <c r="M183" s="599">
        <v>0</v>
      </c>
      <c r="N183" s="592"/>
      <c r="O183" s="592"/>
      <c r="P183" s="882">
        <f t="shared" si="8"/>
        <v>-66741436087</v>
      </c>
      <c r="Q183" s="599">
        <v>-41793620073</v>
      </c>
      <c r="R183" s="882">
        <f t="shared" si="9"/>
        <v>-66741</v>
      </c>
      <c r="S183" s="599">
        <f t="shared" si="9"/>
        <v>-41794</v>
      </c>
      <c r="T183" s="620"/>
      <c r="U183" s="621"/>
      <c r="V183" s="882">
        <f t="shared" si="10"/>
        <v>-66741436087</v>
      </c>
      <c r="W183" s="882">
        <f t="shared" si="11"/>
        <v>-66741</v>
      </c>
    </row>
    <row r="184" spans="1:23" ht="27" hidden="1" customHeight="1">
      <c r="A184" s="583">
        <v>1001</v>
      </c>
      <c r="B184" s="581">
        <v>10</v>
      </c>
      <c r="C184" s="583" t="s">
        <v>266</v>
      </c>
      <c r="D184" s="583" t="s">
        <v>267</v>
      </c>
      <c r="E184" s="599">
        <v>-1288204715</v>
      </c>
      <c r="F184" s="599"/>
      <c r="G184" s="599"/>
      <c r="H184" s="599"/>
      <c r="I184" s="599"/>
      <c r="J184" s="599"/>
      <c r="K184" s="599"/>
      <c r="L184" s="599"/>
      <c r="M184" s="599">
        <v>0</v>
      </c>
      <c r="N184" s="592"/>
      <c r="O184" s="592"/>
      <c r="P184" s="882">
        <f t="shared" si="8"/>
        <v>-1288204715</v>
      </c>
      <c r="Q184" s="599">
        <v>24786000</v>
      </c>
      <c r="R184" s="882">
        <f t="shared" si="9"/>
        <v>-1288</v>
      </c>
      <c r="S184" s="599">
        <f t="shared" si="9"/>
        <v>25</v>
      </c>
      <c r="T184" s="620"/>
      <c r="U184" s="621"/>
      <c r="V184" s="882">
        <f t="shared" si="10"/>
        <v>-1288204715</v>
      </c>
      <c r="W184" s="882">
        <f t="shared" si="11"/>
        <v>-1288</v>
      </c>
    </row>
    <row r="185" spans="1:23" ht="27" hidden="1" customHeight="1">
      <c r="A185" s="583">
        <v>1001</v>
      </c>
      <c r="B185" s="581">
        <v>10</v>
      </c>
      <c r="C185" s="583" t="s">
        <v>393</v>
      </c>
      <c r="D185" s="583" t="s">
        <v>394</v>
      </c>
      <c r="E185" s="599"/>
      <c r="F185" s="599"/>
      <c r="G185" s="599"/>
      <c r="H185" s="599"/>
      <c r="I185" s="599"/>
      <c r="J185" s="599"/>
      <c r="K185" s="599"/>
      <c r="L185" s="599"/>
      <c r="M185" s="599">
        <v>0</v>
      </c>
      <c r="N185" s="592"/>
      <c r="O185" s="592"/>
      <c r="P185" s="882">
        <f t="shared" si="8"/>
        <v>0</v>
      </c>
      <c r="Q185" s="599"/>
      <c r="R185" s="882">
        <f t="shared" si="9"/>
        <v>0</v>
      </c>
      <c r="S185" s="599">
        <f t="shared" si="9"/>
        <v>0</v>
      </c>
      <c r="T185" s="620"/>
      <c r="U185" s="621"/>
      <c r="V185" s="882">
        <f t="shared" si="10"/>
        <v>0</v>
      </c>
      <c r="W185" s="882">
        <f t="shared" si="11"/>
        <v>0</v>
      </c>
    </row>
    <row r="186" spans="1:23" ht="27" hidden="1" customHeight="1">
      <c r="A186" s="583">
        <v>406</v>
      </c>
      <c r="B186" s="581">
        <v>4</v>
      </c>
      <c r="C186" s="583" t="s">
        <v>345</v>
      </c>
      <c r="D186" s="583" t="s">
        <v>1336</v>
      </c>
      <c r="E186" s="599">
        <v>33354000</v>
      </c>
      <c r="F186" s="599"/>
      <c r="G186" s="599"/>
      <c r="H186" s="599"/>
      <c r="I186" s="599"/>
      <c r="J186" s="599"/>
      <c r="K186" s="599"/>
      <c r="L186" s="599"/>
      <c r="M186" s="599">
        <v>0</v>
      </c>
      <c r="N186" s="592"/>
      <c r="O186" s="592"/>
      <c r="P186" s="882">
        <f t="shared" si="8"/>
        <v>33354000</v>
      </c>
      <c r="Q186" s="599"/>
      <c r="R186" s="882">
        <f t="shared" si="9"/>
        <v>33</v>
      </c>
      <c r="S186" s="599">
        <f t="shared" si="9"/>
        <v>0</v>
      </c>
      <c r="T186" s="620"/>
      <c r="U186" s="621"/>
      <c r="V186" s="882">
        <f t="shared" si="10"/>
        <v>33354000</v>
      </c>
      <c r="W186" s="882">
        <f t="shared" si="11"/>
        <v>33</v>
      </c>
    </row>
    <row r="187" spans="1:23" ht="27" hidden="1" customHeight="1">
      <c r="A187" s="583">
        <v>406</v>
      </c>
      <c r="B187" s="581">
        <v>4</v>
      </c>
      <c r="C187" s="583" t="s">
        <v>269</v>
      </c>
      <c r="D187" s="583" t="s">
        <v>268</v>
      </c>
      <c r="E187" s="599">
        <v>2660153060</v>
      </c>
      <c r="F187" s="599"/>
      <c r="G187" s="599"/>
      <c r="H187" s="599"/>
      <c r="I187" s="599"/>
      <c r="J187" s="599"/>
      <c r="K187" s="599"/>
      <c r="L187" s="599"/>
      <c r="M187" s="599">
        <v>0</v>
      </c>
      <c r="N187" s="592"/>
      <c r="O187" s="592"/>
      <c r="P187" s="882">
        <f t="shared" si="8"/>
        <v>2660153060</v>
      </c>
      <c r="Q187" s="599">
        <v>1795661724</v>
      </c>
      <c r="R187" s="882">
        <f t="shared" si="9"/>
        <v>2660</v>
      </c>
      <c r="S187" s="599">
        <f t="shared" si="9"/>
        <v>1796</v>
      </c>
      <c r="T187" s="620"/>
      <c r="U187" s="621"/>
      <c r="V187" s="882">
        <f t="shared" si="10"/>
        <v>2660153060</v>
      </c>
      <c r="W187" s="882">
        <f t="shared" si="11"/>
        <v>2660</v>
      </c>
    </row>
    <row r="188" spans="1:23" ht="27" hidden="1" customHeight="1">
      <c r="A188" s="583">
        <v>1001</v>
      </c>
      <c r="B188" s="581">
        <v>10</v>
      </c>
      <c r="C188" s="583" t="s">
        <v>1179</v>
      </c>
      <c r="D188" s="583" t="s">
        <v>1180</v>
      </c>
      <c r="E188" s="599"/>
      <c r="F188" s="599"/>
      <c r="G188" s="599"/>
      <c r="H188" s="599"/>
      <c r="I188" s="599"/>
      <c r="J188" s="599"/>
      <c r="K188" s="599"/>
      <c r="L188" s="599"/>
      <c r="M188" s="599">
        <v>0</v>
      </c>
      <c r="N188" s="592"/>
      <c r="O188" s="592"/>
      <c r="P188" s="882">
        <f t="shared" si="8"/>
        <v>0</v>
      </c>
      <c r="Q188" s="599"/>
      <c r="R188" s="882">
        <f t="shared" si="9"/>
        <v>0</v>
      </c>
      <c r="S188" s="599">
        <f t="shared" si="9"/>
        <v>0</v>
      </c>
      <c r="T188" s="620"/>
      <c r="U188" s="621"/>
      <c r="V188" s="882">
        <f t="shared" si="10"/>
        <v>0</v>
      </c>
      <c r="W188" s="882">
        <f t="shared" si="11"/>
        <v>0</v>
      </c>
    </row>
    <row r="189" spans="1:23" ht="27" hidden="1" customHeight="1">
      <c r="A189" s="583">
        <v>406</v>
      </c>
      <c r="B189" s="581">
        <v>4</v>
      </c>
      <c r="C189" s="583" t="s">
        <v>347</v>
      </c>
      <c r="D189" s="583" t="s">
        <v>1060</v>
      </c>
      <c r="E189" s="599">
        <v>3205885</v>
      </c>
      <c r="F189" s="599"/>
      <c r="G189" s="599"/>
      <c r="H189" s="599"/>
      <c r="I189" s="599"/>
      <c r="J189" s="599"/>
      <c r="K189" s="599"/>
      <c r="L189" s="599"/>
      <c r="M189" s="599">
        <v>0</v>
      </c>
      <c r="N189" s="592"/>
      <c r="O189" s="592"/>
      <c r="P189" s="882">
        <f t="shared" si="8"/>
        <v>3205885</v>
      </c>
      <c r="Q189" s="599">
        <v>667310285</v>
      </c>
      <c r="R189" s="882">
        <f t="shared" si="9"/>
        <v>3</v>
      </c>
      <c r="S189" s="599">
        <f t="shared" si="9"/>
        <v>667</v>
      </c>
      <c r="T189" s="620"/>
      <c r="U189" s="621"/>
      <c r="V189" s="882">
        <f t="shared" si="10"/>
        <v>3205885</v>
      </c>
      <c r="W189" s="882">
        <f t="shared" si="11"/>
        <v>3</v>
      </c>
    </row>
    <row r="190" spans="1:23" ht="27" hidden="1" customHeight="1">
      <c r="A190" s="583">
        <v>406</v>
      </c>
      <c r="B190" s="581">
        <v>4</v>
      </c>
      <c r="C190" s="583" t="s">
        <v>270</v>
      </c>
      <c r="D190" s="583" t="s">
        <v>271</v>
      </c>
      <c r="E190" s="599"/>
      <c r="F190" s="599"/>
      <c r="G190" s="599"/>
      <c r="H190" s="599"/>
      <c r="I190" s="599"/>
      <c r="J190" s="599"/>
      <c r="K190" s="599"/>
      <c r="L190" s="599"/>
      <c r="M190" s="599">
        <v>0</v>
      </c>
      <c r="N190" s="592"/>
      <c r="O190" s="592"/>
      <c r="P190" s="882">
        <f t="shared" si="8"/>
        <v>0</v>
      </c>
      <c r="Q190" s="599"/>
      <c r="R190" s="882">
        <f t="shared" si="9"/>
        <v>0</v>
      </c>
      <c r="S190" s="599">
        <f t="shared" si="9"/>
        <v>0</v>
      </c>
      <c r="T190" s="620"/>
      <c r="U190" s="621"/>
      <c r="V190" s="882">
        <f t="shared" si="10"/>
        <v>0</v>
      </c>
      <c r="W190" s="882">
        <f t="shared" si="11"/>
        <v>0</v>
      </c>
    </row>
    <row r="191" spans="1:23" ht="27" hidden="1" customHeight="1">
      <c r="A191" s="583">
        <v>1001</v>
      </c>
      <c r="B191" s="581">
        <v>10</v>
      </c>
      <c r="C191" s="583" t="s">
        <v>968</v>
      </c>
      <c r="D191" s="583" t="s">
        <v>969</v>
      </c>
      <c r="E191" s="599">
        <v>-852630225</v>
      </c>
      <c r="F191" s="599">
        <v>-312306800</v>
      </c>
      <c r="G191" s="599"/>
      <c r="H191" s="599"/>
      <c r="I191" s="599"/>
      <c r="J191" s="599"/>
      <c r="K191" s="599"/>
      <c r="L191" s="599"/>
      <c r="M191" s="599">
        <v>0</v>
      </c>
      <c r="N191" s="592"/>
      <c r="O191" s="592"/>
      <c r="P191" s="882">
        <f t="shared" si="8"/>
        <v>-1164937025</v>
      </c>
      <c r="Q191" s="599">
        <f>-1216068950-764803</f>
        <v>-1216833753</v>
      </c>
      <c r="R191" s="882">
        <f t="shared" si="9"/>
        <v>-1165</v>
      </c>
      <c r="S191" s="599">
        <f t="shared" si="9"/>
        <v>-1217</v>
      </c>
      <c r="T191" s="620"/>
      <c r="U191" s="621"/>
      <c r="V191" s="882">
        <f t="shared" si="10"/>
        <v>-1164937025</v>
      </c>
      <c r="W191" s="882">
        <f t="shared" si="11"/>
        <v>-1165</v>
      </c>
    </row>
    <row r="192" spans="1:23" ht="27" hidden="1" customHeight="1">
      <c r="A192" s="583">
        <v>1001</v>
      </c>
      <c r="B192" s="581">
        <v>10</v>
      </c>
      <c r="C192" s="583" t="s">
        <v>349</v>
      </c>
      <c r="D192" s="583" t="s">
        <v>285</v>
      </c>
      <c r="E192" s="599"/>
      <c r="F192" s="599"/>
      <c r="G192" s="599"/>
      <c r="H192" s="599"/>
      <c r="I192" s="599"/>
      <c r="J192" s="599"/>
      <c r="K192" s="599"/>
      <c r="L192" s="599"/>
      <c r="M192" s="599">
        <v>0</v>
      </c>
      <c r="N192" s="592"/>
      <c r="O192" s="592"/>
      <c r="P192" s="882">
        <f t="shared" si="8"/>
        <v>0</v>
      </c>
      <c r="Q192" s="599">
        <v>0</v>
      </c>
      <c r="R192" s="882">
        <f t="shared" si="9"/>
        <v>0</v>
      </c>
      <c r="S192" s="599">
        <f t="shared" si="9"/>
        <v>0</v>
      </c>
      <c r="T192" s="620"/>
      <c r="U192" s="621"/>
      <c r="V192" s="882">
        <f t="shared" si="10"/>
        <v>0</v>
      </c>
      <c r="W192" s="882">
        <f t="shared" si="11"/>
        <v>0</v>
      </c>
    </row>
    <row r="193" spans="1:23" ht="27" hidden="1" customHeight="1">
      <c r="A193" s="583">
        <v>1001</v>
      </c>
      <c r="B193" s="581">
        <v>10</v>
      </c>
      <c r="C193" s="583" t="s">
        <v>1064</v>
      </c>
      <c r="D193" s="583" t="s">
        <v>1240</v>
      </c>
      <c r="E193" s="599">
        <v>-324000000</v>
      </c>
      <c r="F193" s="599"/>
      <c r="G193" s="599"/>
      <c r="H193" s="599"/>
      <c r="I193" s="599"/>
      <c r="J193" s="599"/>
      <c r="K193" s="599"/>
      <c r="L193" s="599"/>
      <c r="M193" s="599">
        <v>0</v>
      </c>
      <c r="N193" s="592"/>
      <c r="O193" s="592"/>
      <c r="P193" s="882">
        <f t="shared" si="8"/>
        <v>-324000000</v>
      </c>
      <c r="Q193" s="599">
        <v>-324000000</v>
      </c>
      <c r="R193" s="882">
        <f t="shared" si="9"/>
        <v>-324</v>
      </c>
      <c r="S193" s="599">
        <f t="shared" si="9"/>
        <v>-324</v>
      </c>
      <c r="T193" s="620"/>
      <c r="U193" s="621"/>
      <c r="V193" s="882">
        <f t="shared" si="10"/>
        <v>-324000000</v>
      </c>
      <c r="W193" s="882">
        <f t="shared" si="11"/>
        <v>-324</v>
      </c>
    </row>
    <row r="194" spans="1:23" ht="27" hidden="1" customHeight="1">
      <c r="A194" s="583">
        <v>406</v>
      </c>
      <c r="B194" s="581">
        <v>4</v>
      </c>
      <c r="C194" s="583" t="s">
        <v>1061</v>
      </c>
      <c r="D194" s="583" t="s">
        <v>1062</v>
      </c>
      <c r="E194" s="599">
        <v>537808263</v>
      </c>
      <c r="F194" s="599"/>
      <c r="G194" s="599"/>
      <c r="H194" s="599"/>
      <c r="I194" s="599"/>
      <c r="J194" s="599"/>
      <c r="K194" s="599"/>
      <c r="L194" s="599"/>
      <c r="M194" s="599">
        <v>0</v>
      </c>
      <c r="N194" s="592"/>
      <c r="O194" s="592"/>
      <c r="P194" s="882">
        <f t="shared" si="8"/>
        <v>537808263</v>
      </c>
      <c r="Q194" s="599">
        <v>537808263</v>
      </c>
      <c r="R194" s="882">
        <f t="shared" si="9"/>
        <v>538</v>
      </c>
      <c r="S194" s="599">
        <f t="shared" si="9"/>
        <v>538</v>
      </c>
      <c r="T194" s="620"/>
      <c r="U194" s="621"/>
      <c r="V194" s="882">
        <f t="shared" si="10"/>
        <v>537808263</v>
      </c>
      <c r="W194" s="882">
        <f t="shared" si="11"/>
        <v>538</v>
      </c>
    </row>
    <row r="195" spans="1:23" ht="27" hidden="1" customHeight="1">
      <c r="A195" s="583">
        <v>1001</v>
      </c>
      <c r="B195" s="581">
        <v>10</v>
      </c>
      <c r="C195" s="583" t="s">
        <v>657</v>
      </c>
      <c r="D195" s="583" t="s">
        <v>658</v>
      </c>
      <c r="E195" s="599"/>
      <c r="F195" s="599"/>
      <c r="G195" s="599"/>
      <c r="H195" s="599"/>
      <c r="I195" s="599"/>
      <c r="J195" s="599"/>
      <c r="K195" s="599"/>
      <c r="L195" s="599"/>
      <c r="M195" s="599">
        <v>0</v>
      </c>
      <c r="N195" s="592"/>
      <c r="O195" s="592"/>
      <c r="P195" s="882">
        <f t="shared" si="8"/>
        <v>0</v>
      </c>
      <c r="Q195" s="599"/>
      <c r="R195" s="882">
        <f t="shared" si="9"/>
        <v>0</v>
      </c>
      <c r="S195" s="599">
        <f t="shared" si="9"/>
        <v>0</v>
      </c>
      <c r="T195" s="620"/>
      <c r="U195" s="621"/>
      <c r="V195" s="882">
        <f t="shared" si="10"/>
        <v>0</v>
      </c>
      <c r="W195" s="882">
        <f t="shared" si="11"/>
        <v>0</v>
      </c>
    </row>
    <row r="196" spans="1:23" ht="27" hidden="1" customHeight="1">
      <c r="A196" s="583">
        <v>406</v>
      </c>
      <c r="B196" s="581">
        <v>4</v>
      </c>
      <c r="C196" s="583" t="s">
        <v>272</v>
      </c>
      <c r="D196" s="583" t="s">
        <v>970</v>
      </c>
      <c r="E196" s="599">
        <v>191255809</v>
      </c>
      <c r="F196" s="599"/>
      <c r="G196" s="599"/>
      <c r="H196" s="599"/>
      <c r="I196" s="599"/>
      <c r="J196" s="599"/>
      <c r="K196" s="599"/>
      <c r="L196" s="599"/>
      <c r="M196" s="599">
        <v>0</v>
      </c>
      <c r="N196" s="592"/>
      <c r="O196" s="592"/>
      <c r="P196" s="882">
        <f t="shared" ref="P196:P259" si="12">E196+F196+G196-N196+O196+H196+I196+J196+K196+L196</f>
        <v>191255809</v>
      </c>
      <c r="Q196" s="599">
        <v>191255809</v>
      </c>
      <c r="R196" s="882">
        <f t="shared" ref="R196:S259" si="13">ROUND((P196/1000000),0)</f>
        <v>191</v>
      </c>
      <c r="S196" s="599">
        <f t="shared" si="13"/>
        <v>191</v>
      </c>
      <c r="T196" s="620"/>
      <c r="U196" s="621"/>
      <c r="V196" s="882">
        <f t="shared" ref="V196:V259" si="14">P196-U196+T196</f>
        <v>191255809</v>
      </c>
      <c r="W196" s="882">
        <f t="shared" ref="W196:W259" si="15">ROUND((V196/1000000),0)</f>
        <v>191</v>
      </c>
    </row>
    <row r="197" spans="1:23" ht="27" hidden="1" customHeight="1">
      <c r="A197" s="583">
        <v>406</v>
      </c>
      <c r="B197" s="581">
        <v>4</v>
      </c>
      <c r="C197" s="583" t="s">
        <v>235</v>
      </c>
      <c r="D197" s="583" t="s">
        <v>1063</v>
      </c>
      <c r="E197" s="599">
        <v>634644529</v>
      </c>
      <c r="F197" s="599">
        <v>-2834000</v>
      </c>
      <c r="G197" s="599"/>
      <c r="H197" s="599"/>
      <c r="I197" s="599"/>
      <c r="J197" s="599"/>
      <c r="K197" s="599"/>
      <c r="L197" s="599"/>
      <c r="M197" s="599">
        <v>0</v>
      </c>
      <c r="N197" s="592"/>
      <c r="O197" s="592"/>
      <c r="P197" s="882">
        <f t="shared" si="12"/>
        <v>631810529</v>
      </c>
      <c r="Q197" s="599">
        <v>639168529</v>
      </c>
      <c r="R197" s="882">
        <f t="shared" si="13"/>
        <v>632</v>
      </c>
      <c r="S197" s="599">
        <f t="shared" si="13"/>
        <v>639</v>
      </c>
      <c r="T197" s="620"/>
      <c r="U197" s="621"/>
      <c r="V197" s="882">
        <f t="shared" si="14"/>
        <v>631810529</v>
      </c>
      <c r="W197" s="882">
        <f t="shared" si="15"/>
        <v>632</v>
      </c>
    </row>
    <row r="198" spans="1:23" ht="27" hidden="1" customHeight="1">
      <c r="A198" s="583">
        <v>1001</v>
      </c>
      <c r="B198" s="581">
        <v>10</v>
      </c>
      <c r="C198" s="583" t="s">
        <v>237</v>
      </c>
      <c r="D198" s="583" t="s">
        <v>1003</v>
      </c>
      <c r="E198" s="599">
        <v>-70333100</v>
      </c>
      <c r="F198" s="599"/>
      <c r="G198" s="599"/>
      <c r="H198" s="599"/>
      <c r="I198" s="599"/>
      <c r="J198" s="599"/>
      <c r="K198" s="599"/>
      <c r="L198" s="599"/>
      <c r="M198" s="599">
        <v>0</v>
      </c>
      <c r="N198" s="592"/>
      <c r="O198" s="592"/>
      <c r="P198" s="882">
        <f t="shared" si="12"/>
        <v>-70333100</v>
      </c>
      <c r="Q198" s="599">
        <v>-70333100</v>
      </c>
      <c r="R198" s="882">
        <f t="shared" si="13"/>
        <v>-70</v>
      </c>
      <c r="S198" s="599">
        <f t="shared" si="13"/>
        <v>-70</v>
      </c>
      <c r="T198" s="620"/>
      <c r="U198" s="621"/>
      <c r="V198" s="882">
        <f t="shared" si="14"/>
        <v>-70333100</v>
      </c>
      <c r="W198" s="882">
        <f t="shared" si="15"/>
        <v>-70</v>
      </c>
    </row>
    <row r="199" spans="1:23" ht="27" hidden="1" customHeight="1">
      <c r="A199" s="583">
        <v>406</v>
      </c>
      <c r="B199" s="581">
        <v>4</v>
      </c>
      <c r="C199" s="583" t="s">
        <v>971</v>
      </c>
      <c r="D199" s="583" t="s">
        <v>972</v>
      </c>
      <c r="E199" s="599">
        <v>281224593</v>
      </c>
      <c r="F199" s="599"/>
      <c r="G199" s="599"/>
      <c r="H199" s="599"/>
      <c r="I199" s="599"/>
      <c r="J199" s="599"/>
      <c r="K199" s="599"/>
      <c r="L199" s="599"/>
      <c r="M199" s="599">
        <v>0</v>
      </c>
      <c r="N199" s="592"/>
      <c r="O199" s="592"/>
      <c r="P199" s="882">
        <f t="shared" si="12"/>
        <v>281224593</v>
      </c>
      <c r="Q199" s="599">
        <v>122371200</v>
      </c>
      <c r="R199" s="882">
        <f t="shared" si="13"/>
        <v>281</v>
      </c>
      <c r="S199" s="599">
        <f t="shared" si="13"/>
        <v>122</v>
      </c>
      <c r="T199" s="620"/>
      <c r="U199" s="621"/>
      <c r="V199" s="882">
        <f t="shared" si="14"/>
        <v>281224593</v>
      </c>
      <c r="W199" s="882">
        <f t="shared" si="15"/>
        <v>281</v>
      </c>
    </row>
    <row r="200" spans="1:23" ht="27" hidden="1" customHeight="1">
      <c r="A200" s="583">
        <v>406</v>
      </c>
      <c r="B200" s="581">
        <v>4</v>
      </c>
      <c r="C200" s="583" t="s">
        <v>1267</v>
      </c>
      <c r="D200" s="583" t="s">
        <v>1065</v>
      </c>
      <c r="E200" s="599"/>
      <c r="F200" s="599"/>
      <c r="G200" s="599"/>
      <c r="H200" s="599"/>
      <c r="I200" s="599"/>
      <c r="J200" s="599"/>
      <c r="K200" s="599"/>
      <c r="L200" s="599"/>
      <c r="M200" s="599">
        <v>0</v>
      </c>
      <c r="N200" s="592"/>
      <c r="O200" s="592"/>
      <c r="P200" s="882">
        <f t="shared" si="12"/>
        <v>0</v>
      </c>
      <c r="Q200" s="599">
        <v>0</v>
      </c>
      <c r="R200" s="882">
        <f t="shared" si="13"/>
        <v>0</v>
      </c>
      <c r="S200" s="599">
        <f t="shared" si="13"/>
        <v>0</v>
      </c>
      <c r="T200" s="620"/>
      <c r="U200" s="621"/>
      <c r="V200" s="882">
        <f t="shared" si="14"/>
        <v>0</v>
      </c>
      <c r="W200" s="882">
        <f t="shared" si="15"/>
        <v>0</v>
      </c>
    </row>
    <row r="201" spans="1:23" ht="27" hidden="1" customHeight="1">
      <c r="A201" s="583">
        <v>406</v>
      </c>
      <c r="B201" s="581">
        <v>4</v>
      </c>
      <c r="C201" s="583" t="s">
        <v>210</v>
      </c>
      <c r="D201" s="583" t="s">
        <v>211</v>
      </c>
      <c r="E201" s="599">
        <v>474224426</v>
      </c>
      <c r="F201" s="599"/>
      <c r="G201" s="599"/>
      <c r="H201" s="599"/>
      <c r="I201" s="599"/>
      <c r="J201" s="599"/>
      <c r="K201" s="599"/>
      <c r="L201" s="599"/>
      <c r="M201" s="599">
        <v>0</v>
      </c>
      <c r="N201" s="592"/>
      <c r="O201" s="592"/>
      <c r="P201" s="882">
        <f t="shared" si="12"/>
        <v>474224426</v>
      </c>
      <c r="Q201" s="599">
        <v>474224426</v>
      </c>
      <c r="R201" s="882">
        <f t="shared" si="13"/>
        <v>474</v>
      </c>
      <c r="S201" s="599">
        <f t="shared" si="13"/>
        <v>474</v>
      </c>
      <c r="T201" s="620"/>
      <c r="U201" s="621"/>
      <c r="V201" s="882">
        <f t="shared" si="14"/>
        <v>474224426</v>
      </c>
      <c r="W201" s="882">
        <f t="shared" si="15"/>
        <v>474</v>
      </c>
    </row>
    <row r="202" spans="1:23" ht="27" hidden="1" customHeight="1">
      <c r="A202" s="583">
        <v>406</v>
      </c>
      <c r="B202" s="581">
        <v>4</v>
      </c>
      <c r="C202" s="583" t="s">
        <v>274</v>
      </c>
      <c r="D202" s="583" t="s">
        <v>276</v>
      </c>
      <c r="E202" s="599"/>
      <c r="F202" s="599"/>
      <c r="G202" s="599"/>
      <c r="H202" s="599"/>
      <c r="I202" s="599"/>
      <c r="J202" s="599"/>
      <c r="K202" s="599"/>
      <c r="L202" s="599"/>
      <c r="M202" s="599">
        <v>0</v>
      </c>
      <c r="N202" s="592"/>
      <c r="O202" s="592"/>
      <c r="P202" s="882">
        <f t="shared" si="12"/>
        <v>0</v>
      </c>
      <c r="Q202" s="599"/>
      <c r="R202" s="882">
        <f t="shared" si="13"/>
        <v>0</v>
      </c>
      <c r="S202" s="599">
        <f t="shared" si="13"/>
        <v>0</v>
      </c>
      <c r="T202" s="620"/>
      <c r="U202" s="621"/>
      <c r="V202" s="882">
        <f t="shared" si="14"/>
        <v>0</v>
      </c>
      <c r="W202" s="882">
        <f t="shared" si="15"/>
        <v>0</v>
      </c>
    </row>
    <row r="203" spans="1:23" ht="27" hidden="1" customHeight="1">
      <c r="A203" s="583">
        <v>406</v>
      </c>
      <c r="B203" s="581">
        <v>4</v>
      </c>
      <c r="C203" s="583" t="s">
        <v>1031</v>
      </c>
      <c r="D203" s="583" t="s">
        <v>1032</v>
      </c>
      <c r="E203" s="599">
        <v>32791521</v>
      </c>
      <c r="F203" s="599"/>
      <c r="G203" s="599"/>
      <c r="H203" s="599"/>
      <c r="I203" s="599"/>
      <c r="J203" s="599"/>
      <c r="K203" s="599"/>
      <c r="L203" s="599"/>
      <c r="M203" s="599">
        <v>0</v>
      </c>
      <c r="N203" s="592"/>
      <c r="O203" s="592"/>
      <c r="P203" s="882">
        <f t="shared" si="12"/>
        <v>32791521</v>
      </c>
      <c r="Q203" s="599">
        <v>32791521</v>
      </c>
      <c r="R203" s="882">
        <f t="shared" si="13"/>
        <v>33</v>
      </c>
      <c r="S203" s="599">
        <f t="shared" si="13"/>
        <v>33</v>
      </c>
      <c r="T203" s="620"/>
      <c r="U203" s="621"/>
      <c r="V203" s="882">
        <f t="shared" si="14"/>
        <v>32791521</v>
      </c>
      <c r="W203" s="882">
        <f t="shared" si="15"/>
        <v>33</v>
      </c>
    </row>
    <row r="204" spans="1:23" ht="27" hidden="1" customHeight="1">
      <c r="A204" s="583">
        <v>406</v>
      </c>
      <c r="B204" s="581">
        <v>4</v>
      </c>
      <c r="C204" s="583" t="s">
        <v>1005</v>
      </c>
      <c r="D204" s="583" t="s">
        <v>841</v>
      </c>
      <c r="E204" s="599"/>
      <c r="F204" s="599"/>
      <c r="G204" s="599"/>
      <c r="H204" s="599"/>
      <c r="I204" s="599"/>
      <c r="J204" s="599"/>
      <c r="K204" s="599"/>
      <c r="L204" s="599"/>
      <c r="M204" s="599">
        <v>0</v>
      </c>
      <c r="N204" s="592"/>
      <c r="O204" s="592"/>
      <c r="P204" s="882">
        <f t="shared" si="12"/>
        <v>0</v>
      </c>
      <c r="Q204" s="599"/>
      <c r="R204" s="882">
        <f t="shared" si="13"/>
        <v>0</v>
      </c>
      <c r="S204" s="599">
        <f t="shared" si="13"/>
        <v>0</v>
      </c>
      <c r="T204" s="620"/>
      <c r="U204" s="621"/>
      <c r="V204" s="882">
        <f t="shared" si="14"/>
        <v>0</v>
      </c>
      <c r="W204" s="882">
        <f t="shared" si="15"/>
        <v>0</v>
      </c>
    </row>
    <row r="205" spans="1:23" ht="27" hidden="1" customHeight="1">
      <c r="A205" s="583">
        <v>1001</v>
      </c>
      <c r="B205" s="581">
        <v>10</v>
      </c>
      <c r="C205" s="583" t="s">
        <v>65</v>
      </c>
      <c r="D205" s="583" t="s">
        <v>1337</v>
      </c>
      <c r="E205" s="599">
        <v>-50135441</v>
      </c>
      <c r="F205" s="599"/>
      <c r="G205" s="599"/>
      <c r="H205" s="599"/>
      <c r="I205" s="599"/>
      <c r="J205" s="599"/>
      <c r="K205" s="599"/>
      <c r="L205" s="599"/>
      <c r="M205" s="599">
        <v>0</v>
      </c>
      <c r="N205" s="592"/>
      <c r="O205" s="592"/>
      <c r="P205" s="882">
        <f t="shared" si="12"/>
        <v>-50135441</v>
      </c>
      <c r="Q205" s="599"/>
      <c r="R205" s="882">
        <f t="shared" si="13"/>
        <v>-50</v>
      </c>
      <c r="S205" s="599">
        <f t="shared" si="13"/>
        <v>0</v>
      </c>
      <c r="T205" s="620"/>
      <c r="U205" s="621"/>
      <c r="V205" s="882">
        <f t="shared" si="14"/>
        <v>-50135441</v>
      </c>
      <c r="W205" s="882">
        <f t="shared" si="15"/>
        <v>-50</v>
      </c>
    </row>
    <row r="206" spans="1:23" ht="27" hidden="1" customHeight="1">
      <c r="A206" s="583">
        <v>1001</v>
      </c>
      <c r="B206" s="581">
        <v>10</v>
      </c>
      <c r="C206" s="583" t="s">
        <v>1066</v>
      </c>
      <c r="D206" s="583" t="s">
        <v>1067</v>
      </c>
      <c r="E206" s="599"/>
      <c r="F206" s="599"/>
      <c r="G206" s="599"/>
      <c r="H206" s="599"/>
      <c r="I206" s="599"/>
      <c r="J206" s="599"/>
      <c r="K206" s="599"/>
      <c r="L206" s="599"/>
      <c r="M206" s="599">
        <v>0</v>
      </c>
      <c r="N206" s="592"/>
      <c r="O206" s="592"/>
      <c r="P206" s="882">
        <f t="shared" si="12"/>
        <v>0</v>
      </c>
      <c r="Q206" s="599"/>
      <c r="R206" s="882">
        <f t="shared" si="13"/>
        <v>0</v>
      </c>
      <c r="S206" s="599">
        <f t="shared" si="13"/>
        <v>0</v>
      </c>
      <c r="T206" s="620"/>
      <c r="U206" s="621"/>
      <c r="V206" s="882">
        <f t="shared" si="14"/>
        <v>0</v>
      </c>
      <c r="W206" s="882">
        <f t="shared" si="15"/>
        <v>0</v>
      </c>
    </row>
    <row r="207" spans="1:23" ht="27" hidden="1" customHeight="1">
      <c r="A207" s="583">
        <v>406</v>
      </c>
      <c r="B207" s="581">
        <v>4</v>
      </c>
      <c r="C207" s="583" t="s">
        <v>1068</v>
      </c>
      <c r="D207" s="583" t="s">
        <v>1069</v>
      </c>
      <c r="E207" s="599">
        <v>97274274</v>
      </c>
      <c r="F207" s="599"/>
      <c r="G207" s="599"/>
      <c r="H207" s="599"/>
      <c r="I207" s="599"/>
      <c r="J207" s="599"/>
      <c r="K207" s="599"/>
      <c r="L207" s="599"/>
      <c r="M207" s="599">
        <v>0</v>
      </c>
      <c r="N207" s="592"/>
      <c r="O207" s="592"/>
      <c r="P207" s="882">
        <f t="shared" si="12"/>
        <v>97274274</v>
      </c>
      <c r="Q207" s="599">
        <v>97274274</v>
      </c>
      <c r="R207" s="882">
        <f t="shared" si="13"/>
        <v>97</v>
      </c>
      <c r="S207" s="599">
        <f t="shared" si="13"/>
        <v>97</v>
      </c>
      <c r="T207" s="620"/>
      <c r="U207" s="621"/>
      <c r="V207" s="882">
        <f t="shared" si="14"/>
        <v>97274274</v>
      </c>
      <c r="W207" s="882">
        <f t="shared" si="15"/>
        <v>97</v>
      </c>
    </row>
    <row r="208" spans="1:23" ht="27" hidden="1" customHeight="1">
      <c r="A208" s="583">
        <v>406</v>
      </c>
      <c r="B208" s="581">
        <v>4</v>
      </c>
      <c r="C208" s="583" t="s">
        <v>1070</v>
      </c>
      <c r="D208" s="583" t="s">
        <v>1071</v>
      </c>
      <c r="E208" s="599">
        <v>102917700</v>
      </c>
      <c r="F208" s="599"/>
      <c r="G208" s="599"/>
      <c r="H208" s="599"/>
      <c r="I208" s="599"/>
      <c r="J208" s="599"/>
      <c r="K208" s="599"/>
      <c r="L208" s="599"/>
      <c r="M208" s="599">
        <v>0</v>
      </c>
      <c r="N208" s="592"/>
      <c r="O208" s="592"/>
      <c r="P208" s="882">
        <f t="shared" si="12"/>
        <v>102917700</v>
      </c>
      <c r="Q208" s="599"/>
      <c r="R208" s="882">
        <f t="shared" si="13"/>
        <v>103</v>
      </c>
      <c r="S208" s="599">
        <f t="shared" si="13"/>
        <v>0</v>
      </c>
      <c r="T208" s="620"/>
      <c r="U208" s="621"/>
      <c r="V208" s="882">
        <f t="shared" si="14"/>
        <v>102917700</v>
      </c>
      <c r="W208" s="882">
        <f t="shared" si="15"/>
        <v>103</v>
      </c>
    </row>
    <row r="209" spans="1:23" ht="27" hidden="1" customHeight="1">
      <c r="A209" s="583">
        <v>1001</v>
      </c>
      <c r="B209" s="581">
        <v>10</v>
      </c>
      <c r="C209" s="583" t="s">
        <v>1073</v>
      </c>
      <c r="D209" s="583" t="s">
        <v>1072</v>
      </c>
      <c r="E209" s="599"/>
      <c r="F209" s="599"/>
      <c r="G209" s="599"/>
      <c r="H209" s="599"/>
      <c r="I209" s="599"/>
      <c r="J209" s="599"/>
      <c r="K209" s="599"/>
      <c r="L209" s="599"/>
      <c r="M209" s="599">
        <v>0</v>
      </c>
      <c r="N209" s="592"/>
      <c r="O209" s="592"/>
      <c r="P209" s="882">
        <f t="shared" si="12"/>
        <v>0</v>
      </c>
      <c r="Q209" s="599"/>
      <c r="R209" s="882">
        <f t="shared" si="13"/>
        <v>0</v>
      </c>
      <c r="S209" s="599">
        <f t="shared" si="13"/>
        <v>0</v>
      </c>
      <c r="T209" s="620"/>
      <c r="U209" s="621"/>
      <c r="V209" s="882">
        <f t="shared" si="14"/>
        <v>0</v>
      </c>
      <c r="W209" s="882">
        <f t="shared" si="15"/>
        <v>0</v>
      </c>
    </row>
    <row r="210" spans="1:23" ht="27" hidden="1" customHeight="1">
      <c r="A210" s="583">
        <v>406</v>
      </c>
      <c r="B210" s="581">
        <v>4</v>
      </c>
      <c r="C210" s="583" t="s">
        <v>974</v>
      </c>
      <c r="D210" s="583" t="s">
        <v>973</v>
      </c>
      <c r="E210" s="599"/>
      <c r="F210" s="599"/>
      <c r="G210" s="599"/>
      <c r="H210" s="599"/>
      <c r="I210" s="599"/>
      <c r="J210" s="599"/>
      <c r="K210" s="599"/>
      <c r="L210" s="599"/>
      <c r="M210" s="599">
        <v>0</v>
      </c>
      <c r="N210" s="592"/>
      <c r="O210" s="592"/>
      <c r="P210" s="882">
        <f t="shared" si="12"/>
        <v>0</v>
      </c>
      <c r="Q210" s="599"/>
      <c r="R210" s="882">
        <f t="shared" si="13"/>
        <v>0</v>
      </c>
      <c r="S210" s="599">
        <f t="shared" si="13"/>
        <v>0</v>
      </c>
      <c r="T210" s="620"/>
      <c r="U210" s="621"/>
      <c r="V210" s="882">
        <f t="shared" si="14"/>
        <v>0</v>
      </c>
      <c r="W210" s="882">
        <f t="shared" si="15"/>
        <v>0</v>
      </c>
    </row>
    <row r="211" spans="1:23" ht="27" hidden="1" customHeight="1">
      <c r="A211" s="583">
        <v>406</v>
      </c>
      <c r="B211" s="581">
        <v>4</v>
      </c>
      <c r="C211" s="583" t="s">
        <v>975</v>
      </c>
      <c r="D211" s="583" t="s">
        <v>976</v>
      </c>
      <c r="E211" s="599">
        <v>29739600</v>
      </c>
      <c r="F211" s="599"/>
      <c r="G211" s="599"/>
      <c r="H211" s="599"/>
      <c r="I211" s="599"/>
      <c r="J211" s="599"/>
      <c r="K211" s="599"/>
      <c r="L211" s="599"/>
      <c r="M211" s="599">
        <v>0</v>
      </c>
      <c r="N211" s="592"/>
      <c r="O211" s="592"/>
      <c r="P211" s="882">
        <f t="shared" si="12"/>
        <v>29739600</v>
      </c>
      <c r="Q211" s="599">
        <v>21106800</v>
      </c>
      <c r="R211" s="882">
        <f t="shared" si="13"/>
        <v>30</v>
      </c>
      <c r="S211" s="599">
        <f t="shared" si="13"/>
        <v>21</v>
      </c>
      <c r="T211" s="620"/>
      <c r="U211" s="621"/>
      <c r="V211" s="882">
        <f t="shared" si="14"/>
        <v>29739600</v>
      </c>
      <c r="W211" s="882">
        <f t="shared" si="15"/>
        <v>30</v>
      </c>
    </row>
    <row r="212" spans="1:23" ht="27" hidden="1" customHeight="1">
      <c r="A212" s="583">
        <v>1001</v>
      </c>
      <c r="B212" s="581">
        <v>10</v>
      </c>
      <c r="C212" s="583" t="s">
        <v>977</v>
      </c>
      <c r="D212" s="583" t="s">
        <v>978</v>
      </c>
      <c r="E212" s="599">
        <v>-135245103</v>
      </c>
      <c r="F212" s="599"/>
      <c r="G212" s="599"/>
      <c r="H212" s="599"/>
      <c r="I212" s="599"/>
      <c r="J212" s="599"/>
      <c r="K212" s="599"/>
      <c r="L212" s="599"/>
      <c r="M212" s="599">
        <v>0</v>
      </c>
      <c r="N212" s="592"/>
      <c r="O212" s="592"/>
      <c r="P212" s="882">
        <f t="shared" si="12"/>
        <v>-135245103</v>
      </c>
      <c r="Q212" s="599">
        <v>-135245103</v>
      </c>
      <c r="R212" s="882">
        <f t="shared" si="13"/>
        <v>-135</v>
      </c>
      <c r="S212" s="599">
        <f t="shared" si="13"/>
        <v>-135</v>
      </c>
      <c r="T212" s="620"/>
      <c r="U212" s="621"/>
      <c r="V212" s="882">
        <f t="shared" si="14"/>
        <v>-135245103</v>
      </c>
      <c r="W212" s="882">
        <f t="shared" si="15"/>
        <v>-135</v>
      </c>
    </row>
    <row r="213" spans="1:23" ht="27" hidden="1" customHeight="1">
      <c r="A213" s="583">
        <v>1001</v>
      </c>
      <c r="B213" s="581">
        <v>10</v>
      </c>
      <c r="C213" s="583" t="s">
        <v>746</v>
      </c>
      <c r="D213" s="583" t="s">
        <v>745</v>
      </c>
      <c r="E213" s="599">
        <v>-49599999</v>
      </c>
      <c r="F213" s="599"/>
      <c r="G213" s="599"/>
      <c r="H213" s="599"/>
      <c r="I213" s="599"/>
      <c r="J213" s="599"/>
      <c r="K213" s="599"/>
      <c r="L213" s="599"/>
      <c r="M213" s="599">
        <v>0</v>
      </c>
      <c r="N213" s="592"/>
      <c r="O213" s="592"/>
      <c r="P213" s="882">
        <f t="shared" si="12"/>
        <v>-49599999</v>
      </c>
      <c r="Q213" s="599">
        <v>1</v>
      </c>
      <c r="R213" s="882">
        <f t="shared" si="13"/>
        <v>-50</v>
      </c>
      <c r="S213" s="599">
        <f t="shared" si="13"/>
        <v>0</v>
      </c>
      <c r="T213" s="620"/>
      <c r="U213" s="621"/>
      <c r="V213" s="882">
        <f t="shared" si="14"/>
        <v>-49599999</v>
      </c>
      <c r="W213" s="882">
        <f t="shared" si="15"/>
        <v>-50</v>
      </c>
    </row>
    <row r="214" spans="1:23" ht="27" hidden="1" customHeight="1">
      <c r="A214" s="583">
        <v>1001</v>
      </c>
      <c r="B214" s="581">
        <v>10</v>
      </c>
      <c r="C214" s="583" t="s">
        <v>979</v>
      </c>
      <c r="D214" s="583" t="s">
        <v>980</v>
      </c>
      <c r="E214" s="599">
        <v>-188555697</v>
      </c>
      <c r="F214" s="599"/>
      <c r="G214" s="599"/>
      <c r="H214" s="599"/>
      <c r="I214" s="599"/>
      <c r="J214" s="599"/>
      <c r="K214" s="599"/>
      <c r="L214" s="599"/>
      <c r="M214" s="599">
        <v>0</v>
      </c>
      <c r="N214" s="592"/>
      <c r="O214" s="592"/>
      <c r="P214" s="882">
        <f t="shared" si="12"/>
        <v>-188555697</v>
      </c>
      <c r="Q214" s="599">
        <v>-186354853</v>
      </c>
      <c r="R214" s="882">
        <f t="shared" si="13"/>
        <v>-189</v>
      </c>
      <c r="S214" s="599">
        <f t="shared" si="13"/>
        <v>-186</v>
      </c>
      <c r="T214" s="620"/>
      <c r="U214" s="621"/>
      <c r="V214" s="882">
        <f t="shared" si="14"/>
        <v>-188555697</v>
      </c>
      <c r="W214" s="882">
        <f t="shared" si="15"/>
        <v>-189</v>
      </c>
    </row>
    <row r="215" spans="1:23" ht="27" hidden="1" customHeight="1">
      <c r="A215" s="583">
        <v>1001</v>
      </c>
      <c r="B215" s="581">
        <v>10</v>
      </c>
      <c r="C215" s="583" t="s">
        <v>275</v>
      </c>
      <c r="D215" s="583" t="s">
        <v>844</v>
      </c>
      <c r="E215" s="599"/>
      <c r="F215" s="599">
        <v>-7891600</v>
      </c>
      <c r="G215" s="599">
        <v>7891600</v>
      </c>
      <c r="H215" s="599"/>
      <c r="I215" s="599"/>
      <c r="J215" s="599"/>
      <c r="K215" s="599"/>
      <c r="L215" s="599"/>
      <c r="M215" s="599">
        <v>0</v>
      </c>
      <c r="N215" s="592"/>
      <c r="O215" s="592"/>
      <c r="P215" s="882">
        <f t="shared" si="12"/>
        <v>0</v>
      </c>
      <c r="Q215" s="599"/>
      <c r="R215" s="882">
        <f t="shared" si="13"/>
        <v>0</v>
      </c>
      <c r="S215" s="599">
        <f t="shared" si="13"/>
        <v>0</v>
      </c>
      <c r="T215" s="620"/>
      <c r="U215" s="621"/>
      <c r="V215" s="882">
        <f t="shared" si="14"/>
        <v>0</v>
      </c>
      <c r="W215" s="882">
        <f t="shared" si="15"/>
        <v>0</v>
      </c>
    </row>
    <row r="216" spans="1:23" ht="27" hidden="1" customHeight="1">
      <c r="A216" s="583">
        <v>406</v>
      </c>
      <c r="B216" s="581">
        <v>4</v>
      </c>
      <c r="C216" s="583" t="s">
        <v>981</v>
      </c>
      <c r="D216" s="583" t="s">
        <v>982</v>
      </c>
      <c r="E216" s="599">
        <v>6000000</v>
      </c>
      <c r="F216" s="599"/>
      <c r="G216" s="599"/>
      <c r="H216" s="599"/>
      <c r="I216" s="599"/>
      <c r="J216" s="599"/>
      <c r="K216" s="599"/>
      <c r="L216" s="599"/>
      <c r="M216" s="599">
        <v>0</v>
      </c>
      <c r="N216" s="592"/>
      <c r="O216" s="592"/>
      <c r="P216" s="882">
        <f t="shared" si="12"/>
        <v>6000000</v>
      </c>
      <c r="Q216" s="599"/>
      <c r="R216" s="882">
        <f t="shared" si="13"/>
        <v>6</v>
      </c>
      <c r="S216" s="599">
        <f t="shared" si="13"/>
        <v>0</v>
      </c>
      <c r="T216" s="620"/>
      <c r="U216" s="621"/>
      <c r="V216" s="882">
        <f t="shared" si="14"/>
        <v>6000000</v>
      </c>
      <c r="W216" s="882">
        <f t="shared" si="15"/>
        <v>6</v>
      </c>
    </row>
    <row r="217" spans="1:23" ht="27" hidden="1" customHeight="1">
      <c r="A217" s="583">
        <v>406</v>
      </c>
      <c r="B217" s="581">
        <v>4</v>
      </c>
      <c r="C217" s="583" t="s">
        <v>983</v>
      </c>
      <c r="D217" s="583" t="s">
        <v>984</v>
      </c>
      <c r="E217" s="599"/>
      <c r="F217" s="599"/>
      <c r="G217" s="599"/>
      <c r="H217" s="599"/>
      <c r="I217" s="599"/>
      <c r="J217" s="599"/>
      <c r="K217" s="599"/>
      <c r="L217" s="599"/>
      <c r="M217" s="599">
        <v>0</v>
      </c>
      <c r="N217" s="592"/>
      <c r="O217" s="592"/>
      <c r="P217" s="882">
        <f t="shared" si="12"/>
        <v>0</v>
      </c>
      <c r="Q217" s="599"/>
      <c r="R217" s="882">
        <f t="shared" si="13"/>
        <v>0</v>
      </c>
      <c r="S217" s="599">
        <f t="shared" si="13"/>
        <v>0</v>
      </c>
      <c r="T217" s="620"/>
      <c r="U217" s="621"/>
      <c r="V217" s="882">
        <f t="shared" si="14"/>
        <v>0</v>
      </c>
      <c r="W217" s="882">
        <f t="shared" si="15"/>
        <v>0</v>
      </c>
    </row>
    <row r="218" spans="1:23" ht="27" hidden="1" customHeight="1">
      <c r="A218" s="583">
        <v>1001</v>
      </c>
      <c r="B218" s="581">
        <v>10</v>
      </c>
      <c r="C218" s="583" t="s">
        <v>1338</v>
      </c>
      <c r="D218" s="583" t="s">
        <v>1339</v>
      </c>
      <c r="E218" s="599">
        <v>-95972588</v>
      </c>
      <c r="F218" s="599"/>
      <c r="G218" s="599"/>
      <c r="H218" s="599"/>
      <c r="I218" s="599"/>
      <c r="J218" s="599"/>
      <c r="K218" s="599"/>
      <c r="L218" s="599"/>
      <c r="M218" s="599">
        <v>0</v>
      </c>
      <c r="N218" s="592"/>
      <c r="O218" s="592"/>
      <c r="P218" s="882">
        <f t="shared" si="12"/>
        <v>-95972588</v>
      </c>
      <c r="Q218" s="599"/>
      <c r="R218" s="882">
        <f t="shared" si="13"/>
        <v>-96</v>
      </c>
      <c r="S218" s="599">
        <f t="shared" si="13"/>
        <v>0</v>
      </c>
      <c r="T218" s="620"/>
      <c r="U218" s="621"/>
      <c r="V218" s="882">
        <f t="shared" si="14"/>
        <v>-95972588</v>
      </c>
      <c r="W218" s="882">
        <f t="shared" si="15"/>
        <v>-96</v>
      </c>
    </row>
    <row r="219" spans="1:23" ht="27" hidden="1" customHeight="1">
      <c r="A219" s="583">
        <v>406</v>
      </c>
      <c r="B219" s="581">
        <v>4</v>
      </c>
      <c r="C219" s="583" t="s">
        <v>985</v>
      </c>
      <c r="D219" s="583" t="s">
        <v>986</v>
      </c>
      <c r="E219" s="599"/>
      <c r="F219" s="599"/>
      <c r="G219" s="599"/>
      <c r="H219" s="599"/>
      <c r="I219" s="599"/>
      <c r="J219" s="599"/>
      <c r="K219" s="599"/>
      <c r="L219" s="599"/>
      <c r="M219" s="599">
        <v>0</v>
      </c>
      <c r="N219" s="592"/>
      <c r="O219" s="592"/>
      <c r="P219" s="882">
        <f t="shared" si="12"/>
        <v>0</v>
      </c>
      <c r="Q219" s="599"/>
      <c r="R219" s="882">
        <f t="shared" si="13"/>
        <v>0</v>
      </c>
      <c r="S219" s="599">
        <f t="shared" si="13"/>
        <v>0</v>
      </c>
      <c r="T219" s="620"/>
      <c r="U219" s="621"/>
      <c r="V219" s="882">
        <f t="shared" si="14"/>
        <v>0</v>
      </c>
      <c r="W219" s="882">
        <f t="shared" si="15"/>
        <v>0</v>
      </c>
    </row>
    <row r="220" spans="1:23" ht="27" hidden="1" customHeight="1">
      <c r="A220" s="583">
        <v>1001</v>
      </c>
      <c r="B220" s="581">
        <v>10</v>
      </c>
      <c r="C220" s="583" t="s">
        <v>1074</v>
      </c>
      <c r="D220" s="583" t="s">
        <v>1075</v>
      </c>
      <c r="E220" s="599"/>
      <c r="F220" s="599"/>
      <c r="G220" s="599"/>
      <c r="H220" s="599"/>
      <c r="I220" s="599"/>
      <c r="J220" s="599"/>
      <c r="K220" s="599"/>
      <c r="L220" s="599"/>
      <c r="M220" s="599">
        <v>0</v>
      </c>
      <c r="N220" s="592"/>
      <c r="O220" s="592"/>
      <c r="P220" s="882">
        <f t="shared" si="12"/>
        <v>0</v>
      </c>
      <c r="Q220" s="599"/>
      <c r="R220" s="882">
        <f t="shared" si="13"/>
        <v>0</v>
      </c>
      <c r="S220" s="599">
        <f t="shared" si="13"/>
        <v>0</v>
      </c>
      <c r="T220" s="620"/>
      <c r="U220" s="621"/>
      <c r="V220" s="882">
        <f t="shared" si="14"/>
        <v>0</v>
      </c>
      <c r="W220" s="882">
        <f t="shared" si="15"/>
        <v>0</v>
      </c>
    </row>
    <row r="221" spans="1:23" ht="27" hidden="1" customHeight="1">
      <c r="A221" s="583">
        <v>1001</v>
      </c>
      <c r="B221" s="581">
        <v>10</v>
      </c>
      <c r="C221" s="583" t="s">
        <v>1241</v>
      </c>
      <c r="D221" s="583" t="s">
        <v>1242</v>
      </c>
      <c r="E221" s="599">
        <v>-144808599</v>
      </c>
      <c r="F221" s="599"/>
      <c r="G221" s="599"/>
      <c r="H221" s="599"/>
      <c r="I221" s="599"/>
      <c r="J221" s="599"/>
      <c r="K221" s="599"/>
      <c r="L221" s="599"/>
      <c r="M221" s="599">
        <v>0</v>
      </c>
      <c r="N221" s="592"/>
      <c r="O221" s="592"/>
      <c r="P221" s="882">
        <f t="shared" si="12"/>
        <v>-144808599</v>
      </c>
      <c r="Q221" s="599">
        <v>-144808599</v>
      </c>
      <c r="R221" s="882">
        <f t="shared" si="13"/>
        <v>-145</v>
      </c>
      <c r="S221" s="599">
        <f t="shared" si="13"/>
        <v>-145</v>
      </c>
      <c r="T221" s="620"/>
      <c r="U221" s="621"/>
      <c r="V221" s="882">
        <f t="shared" si="14"/>
        <v>-144808599</v>
      </c>
      <c r="W221" s="882">
        <f t="shared" si="15"/>
        <v>-145</v>
      </c>
    </row>
    <row r="222" spans="1:23" ht="27" hidden="1" customHeight="1">
      <c r="A222" s="583">
        <v>406</v>
      </c>
      <c r="B222" s="581">
        <v>4</v>
      </c>
      <c r="C222" s="583" t="s">
        <v>987</v>
      </c>
      <c r="D222" s="583" t="s">
        <v>988</v>
      </c>
      <c r="E222" s="599">
        <v>273371250</v>
      </c>
      <c r="F222" s="599"/>
      <c r="G222" s="599"/>
      <c r="H222" s="599"/>
      <c r="I222" s="599"/>
      <c r="J222" s="599"/>
      <c r="K222" s="599"/>
      <c r="L222" s="599"/>
      <c r="M222" s="599">
        <v>0</v>
      </c>
      <c r="N222" s="592"/>
      <c r="O222" s="592"/>
      <c r="P222" s="882">
        <f t="shared" si="12"/>
        <v>273371250</v>
      </c>
      <c r="Q222" s="599">
        <v>250392965</v>
      </c>
      <c r="R222" s="882">
        <f t="shared" si="13"/>
        <v>273</v>
      </c>
      <c r="S222" s="599">
        <f t="shared" si="13"/>
        <v>250</v>
      </c>
      <c r="T222" s="620"/>
      <c r="U222" s="621"/>
      <c r="V222" s="882">
        <f t="shared" si="14"/>
        <v>273371250</v>
      </c>
      <c r="W222" s="882">
        <f t="shared" si="15"/>
        <v>273</v>
      </c>
    </row>
    <row r="223" spans="1:23" ht="27" hidden="1" customHeight="1">
      <c r="A223" s="583">
        <v>406</v>
      </c>
      <c r="B223" s="581">
        <v>4</v>
      </c>
      <c r="C223" s="583" t="s">
        <v>1076</v>
      </c>
      <c r="D223" s="583" t="s">
        <v>1077</v>
      </c>
      <c r="E223" s="599">
        <v>23760781</v>
      </c>
      <c r="F223" s="599"/>
      <c r="G223" s="599"/>
      <c r="H223" s="599"/>
      <c r="I223" s="599"/>
      <c r="J223" s="599"/>
      <c r="K223" s="599"/>
      <c r="L223" s="599"/>
      <c r="M223" s="599">
        <v>0</v>
      </c>
      <c r="N223" s="592"/>
      <c r="O223" s="592"/>
      <c r="P223" s="882">
        <f t="shared" si="12"/>
        <v>23760781</v>
      </c>
      <c r="Q223" s="599">
        <v>23760781</v>
      </c>
      <c r="R223" s="882">
        <f t="shared" si="13"/>
        <v>24</v>
      </c>
      <c r="S223" s="599">
        <f t="shared" si="13"/>
        <v>24</v>
      </c>
      <c r="T223" s="620"/>
      <c r="U223" s="621"/>
      <c r="V223" s="882">
        <f t="shared" si="14"/>
        <v>23760781</v>
      </c>
      <c r="W223" s="882">
        <f t="shared" si="15"/>
        <v>24</v>
      </c>
    </row>
    <row r="224" spans="1:23" ht="27" hidden="1" customHeight="1">
      <c r="A224" s="583">
        <v>1001</v>
      </c>
      <c r="B224" s="581">
        <v>10</v>
      </c>
      <c r="C224" s="583" t="s">
        <v>1243</v>
      </c>
      <c r="D224" s="583" t="s">
        <v>1244</v>
      </c>
      <c r="E224" s="599">
        <v>-130582467</v>
      </c>
      <c r="F224" s="599"/>
      <c r="G224" s="599"/>
      <c r="H224" s="599"/>
      <c r="I224" s="599"/>
      <c r="J224" s="599"/>
      <c r="K224" s="599"/>
      <c r="L224" s="599"/>
      <c r="M224" s="599">
        <v>0</v>
      </c>
      <c r="N224" s="592"/>
      <c r="O224" s="592"/>
      <c r="P224" s="882">
        <f t="shared" si="12"/>
        <v>-130582467</v>
      </c>
      <c r="Q224" s="599">
        <v>-130582467</v>
      </c>
      <c r="R224" s="882">
        <f t="shared" si="13"/>
        <v>-131</v>
      </c>
      <c r="S224" s="599">
        <f t="shared" si="13"/>
        <v>-131</v>
      </c>
      <c r="T224" s="620"/>
      <c r="U224" s="621"/>
      <c r="V224" s="882">
        <f t="shared" si="14"/>
        <v>-130582467</v>
      </c>
      <c r="W224" s="882">
        <f t="shared" si="15"/>
        <v>-131</v>
      </c>
    </row>
    <row r="225" spans="1:23" ht="27" hidden="1" customHeight="1">
      <c r="A225" s="583">
        <v>1001</v>
      </c>
      <c r="B225" s="581">
        <v>10</v>
      </c>
      <c r="C225" s="583" t="s">
        <v>241</v>
      </c>
      <c r="D225" s="583" t="s">
        <v>755</v>
      </c>
      <c r="E225" s="599">
        <v>-41753248</v>
      </c>
      <c r="F225" s="599"/>
      <c r="G225" s="599"/>
      <c r="H225" s="599"/>
      <c r="I225" s="599"/>
      <c r="J225" s="599"/>
      <c r="K225" s="599"/>
      <c r="L225" s="599"/>
      <c r="M225" s="599">
        <v>0</v>
      </c>
      <c r="N225" s="592"/>
      <c r="O225" s="592"/>
      <c r="P225" s="882">
        <f t="shared" si="12"/>
        <v>-41753248</v>
      </c>
      <c r="Q225" s="599">
        <v>-41753248</v>
      </c>
      <c r="R225" s="882">
        <f t="shared" si="13"/>
        <v>-42</v>
      </c>
      <c r="S225" s="599">
        <f t="shared" si="13"/>
        <v>-42</v>
      </c>
      <c r="T225" s="620"/>
      <c r="U225" s="621"/>
      <c r="V225" s="882">
        <f t="shared" si="14"/>
        <v>-41753248</v>
      </c>
      <c r="W225" s="882">
        <f t="shared" si="15"/>
        <v>-42</v>
      </c>
    </row>
    <row r="226" spans="1:23" ht="27" hidden="1" customHeight="1">
      <c r="A226" s="583">
        <v>406</v>
      </c>
      <c r="B226" s="581">
        <v>4</v>
      </c>
      <c r="C226" s="583" t="s">
        <v>1246</v>
      </c>
      <c r="D226" s="583" t="s">
        <v>1245</v>
      </c>
      <c r="E226" s="599">
        <v>42771997</v>
      </c>
      <c r="F226" s="599"/>
      <c r="G226" s="599"/>
      <c r="H226" s="599"/>
      <c r="I226" s="599"/>
      <c r="J226" s="599"/>
      <c r="K226" s="599"/>
      <c r="L226" s="599"/>
      <c r="M226" s="599">
        <v>0</v>
      </c>
      <c r="N226" s="592"/>
      <c r="O226" s="592"/>
      <c r="P226" s="882">
        <f t="shared" si="12"/>
        <v>42771997</v>
      </c>
      <c r="Q226" s="599">
        <v>3967857</v>
      </c>
      <c r="R226" s="882">
        <f t="shared" si="13"/>
        <v>43</v>
      </c>
      <c r="S226" s="599">
        <f t="shared" si="13"/>
        <v>4</v>
      </c>
      <c r="T226" s="620"/>
      <c r="U226" s="621"/>
      <c r="V226" s="882">
        <f t="shared" si="14"/>
        <v>42771997</v>
      </c>
      <c r="W226" s="882">
        <f t="shared" si="15"/>
        <v>43</v>
      </c>
    </row>
    <row r="227" spans="1:23" ht="27" hidden="1" customHeight="1">
      <c r="A227" s="583">
        <v>406</v>
      </c>
      <c r="B227" s="581">
        <v>4</v>
      </c>
      <c r="C227" s="583" t="s">
        <v>491</v>
      </c>
      <c r="D227" s="583" t="s">
        <v>659</v>
      </c>
      <c r="E227" s="599">
        <v>57543009</v>
      </c>
      <c r="F227" s="599"/>
      <c r="G227" s="599"/>
      <c r="H227" s="599"/>
      <c r="I227" s="599"/>
      <c r="J227" s="599"/>
      <c r="K227" s="599"/>
      <c r="L227" s="599"/>
      <c r="M227" s="599">
        <v>0</v>
      </c>
      <c r="N227" s="592"/>
      <c r="O227" s="592"/>
      <c r="P227" s="882">
        <f t="shared" si="12"/>
        <v>57543009</v>
      </c>
      <c r="Q227" s="599">
        <v>57543009</v>
      </c>
      <c r="R227" s="882">
        <f t="shared" si="13"/>
        <v>58</v>
      </c>
      <c r="S227" s="599">
        <f t="shared" si="13"/>
        <v>58</v>
      </c>
      <c r="T227" s="620"/>
      <c r="U227" s="621"/>
      <c r="V227" s="882">
        <f t="shared" si="14"/>
        <v>57543009</v>
      </c>
      <c r="W227" s="882">
        <f t="shared" si="15"/>
        <v>58</v>
      </c>
    </row>
    <row r="228" spans="1:23" ht="27" hidden="1" customHeight="1">
      <c r="A228" s="583">
        <v>406</v>
      </c>
      <c r="B228" s="581">
        <v>4</v>
      </c>
      <c r="C228" s="583" t="s">
        <v>1033</v>
      </c>
      <c r="D228" s="583" t="s">
        <v>1034</v>
      </c>
      <c r="E228" s="599">
        <v>889165580</v>
      </c>
      <c r="F228" s="599"/>
      <c r="G228" s="599"/>
      <c r="H228" s="599"/>
      <c r="I228" s="599"/>
      <c r="J228" s="599"/>
      <c r="K228" s="599"/>
      <c r="L228" s="599"/>
      <c r="M228" s="599">
        <v>0</v>
      </c>
      <c r="N228" s="592"/>
      <c r="O228" s="592"/>
      <c r="P228" s="882">
        <f t="shared" si="12"/>
        <v>889165580</v>
      </c>
      <c r="Q228" s="599">
        <v>856797150</v>
      </c>
      <c r="R228" s="882">
        <f t="shared" si="13"/>
        <v>889</v>
      </c>
      <c r="S228" s="599">
        <f t="shared" si="13"/>
        <v>857</v>
      </c>
      <c r="T228" s="620"/>
      <c r="U228" s="621"/>
      <c r="V228" s="882">
        <f t="shared" si="14"/>
        <v>889165580</v>
      </c>
      <c r="W228" s="882">
        <f t="shared" si="15"/>
        <v>889</v>
      </c>
    </row>
    <row r="229" spans="1:23" ht="27" hidden="1" customHeight="1">
      <c r="A229" s="583">
        <v>406</v>
      </c>
      <c r="B229" s="581">
        <v>4</v>
      </c>
      <c r="C229" s="583" t="s">
        <v>660</v>
      </c>
      <c r="D229" s="583" t="s">
        <v>661</v>
      </c>
      <c r="E229" s="599">
        <v>100714224</v>
      </c>
      <c r="F229" s="599"/>
      <c r="G229" s="599"/>
      <c r="H229" s="599"/>
      <c r="I229" s="599"/>
      <c r="J229" s="599"/>
      <c r="K229" s="599"/>
      <c r="L229" s="599"/>
      <c r="M229" s="599">
        <v>0</v>
      </c>
      <c r="N229" s="592"/>
      <c r="O229" s="592"/>
      <c r="P229" s="882">
        <f t="shared" si="12"/>
        <v>100714224</v>
      </c>
      <c r="Q229" s="599">
        <v>-416887946</v>
      </c>
      <c r="R229" s="882">
        <f t="shared" si="13"/>
        <v>101</v>
      </c>
      <c r="S229" s="599">
        <f t="shared" si="13"/>
        <v>-417</v>
      </c>
      <c r="T229" s="620"/>
      <c r="U229" s="621"/>
      <c r="V229" s="882">
        <f t="shared" si="14"/>
        <v>100714224</v>
      </c>
      <c r="W229" s="882">
        <f t="shared" si="15"/>
        <v>101</v>
      </c>
    </row>
    <row r="230" spans="1:23" ht="27" hidden="1" customHeight="1">
      <c r="A230" s="583">
        <v>1001</v>
      </c>
      <c r="B230" s="581">
        <v>10</v>
      </c>
      <c r="C230" s="583" t="s">
        <v>888</v>
      </c>
      <c r="D230" s="583" t="s">
        <v>887</v>
      </c>
      <c r="E230" s="599"/>
      <c r="F230" s="599"/>
      <c r="G230" s="599"/>
      <c r="H230" s="599"/>
      <c r="I230" s="599"/>
      <c r="J230" s="599"/>
      <c r="K230" s="599"/>
      <c r="L230" s="599"/>
      <c r="M230" s="599">
        <v>0</v>
      </c>
      <c r="N230" s="592"/>
      <c r="O230" s="592"/>
      <c r="P230" s="882">
        <f t="shared" si="12"/>
        <v>0</v>
      </c>
      <c r="Q230" s="599">
        <v>0</v>
      </c>
      <c r="R230" s="882">
        <f t="shared" si="13"/>
        <v>0</v>
      </c>
      <c r="S230" s="599">
        <f t="shared" si="13"/>
        <v>0</v>
      </c>
      <c r="T230" s="620"/>
      <c r="U230" s="621"/>
      <c r="V230" s="882">
        <f t="shared" si="14"/>
        <v>0</v>
      </c>
      <c r="W230" s="882">
        <f t="shared" si="15"/>
        <v>0</v>
      </c>
    </row>
    <row r="231" spans="1:23" ht="27" hidden="1" customHeight="1">
      <c r="A231" s="583">
        <v>406</v>
      </c>
      <c r="B231" s="581">
        <v>4</v>
      </c>
      <c r="C231" s="583" t="s">
        <v>493</v>
      </c>
      <c r="D231" s="583" t="s">
        <v>891</v>
      </c>
      <c r="E231" s="599"/>
      <c r="F231" s="599"/>
      <c r="G231" s="599"/>
      <c r="H231" s="599"/>
      <c r="I231" s="599"/>
      <c r="J231" s="599"/>
      <c r="K231" s="599"/>
      <c r="L231" s="599"/>
      <c r="M231" s="599">
        <v>0</v>
      </c>
      <c r="N231" s="592"/>
      <c r="O231" s="592"/>
      <c r="P231" s="882">
        <f t="shared" si="12"/>
        <v>0</v>
      </c>
      <c r="Q231" s="599">
        <v>4812000</v>
      </c>
      <c r="R231" s="882">
        <f t="shared" si="13"/>
        <v>0</v>
      </c>
      <c r="S231" s="599">
        <f t="shared" si="13"/>
        <v>5</v>
      </c>
      <c r="T231" s="620"/>
      <c r="U231" s="621"/>
      <c r="V231" s="882">
        <f t="shared" si="14"/>
        <v>0</v>
      </c>
      <c r="W231" s="882">
        <f t="shared" si="15"/>
        <v>0</v>
      </c>
    </row>
    <row r="232" spans="1:23" ht="27" hidden="1" customHeight="1">
      <c r="A232" s="583"/>
      <c r="B232" s="581">
        <v>4</v>
      </c>
      <c r="C232" s="583" t="s">
        <v>842</v>
      </c>
      <c r="D232" s="583" t="s">
        <v>1247</v>
      </c>
      <c r="E232" s="599"/>
      <c r="F232" s="599"/>
      <c r="G232" s="599"/>
      <c r="H232" s="599"/>
      <c r="I232" s="599"/>
      <c r="J232" s="599"/>
      <c r="K232" s="599"/>
      <c r="L232" s="599"/>
      <c r="M232" s="599">
        <v>0</v>
      </c>
      <c r="N232" s="592"/>
      <c r="O232" s="592"/>
      <c r="P232" s="882">
        <f t="shared" si="12"/>
        <v>0</v>
      </c>
      <c r="Q232" s="599"/>
      <c r="R232" s="882">
        <f t="shared" si="13"/>
        <v>0</v>
      </c>
      <c r="S232" s="599">
        <f t="shared" si="13"/>
        <v>0</v>
      </c>
      <c r="T232" s="620"/>
      <c r="U232" s="621"/>
      <c r="V232" s="882">
        <f t="shared" si="14"/>
        <v>0</v>
      </c>
      <c r="W232" s="882">
        <f t="shared" si="15"/>
        <v>0</v>
      </c>
    </row>
    <row r="233" spans="1:23" ht="27" hidden="1" customHeight="1">
      <c r="A233" s="583">
        <v>406</v>
      </c>
      <c r="B233" s="581">
        <v>4</v>
      </c>
      <c r="C233" s="583" t="s">
        <v>843</v>
      </c>
      <c r="D233" s="583" t="s">
        <v>889</v>
      </c>
      <c r="E233" s="599"/>
      <c r="F233" s="599"/>
      <c r="G233" s="599"/>
      <c r="H233" s="599"/>
      <c r="I233" s="599"/>
      <c r="J233" s="599"/>
      <c r="K233" s="599"/>
      <c r="L233" s="599"/>
      <c r="M233" s="599">
        <v>0</v>
      </c>
      <c r="N233" s="592"/>
      <c r="O233" s="592"/>
      <c r="P233" s="882">
        <f t="shared" si="12"/>
        <v>0</v>
      </c>
      <c r="Q233" s="599"/>
      <c r="R233" s="882">
        <f t="shared" si="13"/>
        <v>0</v>
      </c>
      <c r="S233" s="599">
        <f t="shared" si="13"/>
        <v>0</v>
      </c>
      <c r="T233" s="620"/>
      <c r="U233" s="621"/>
      <c r="V233" s="882">
        <f t="shared" si="14"/>
        <v>0</v>
      </c>
      <c r="W233" s="882">
        <f t="shared" si="15"/>
        <v>0</v>
      </c>
    </row>
    <row r="234" spans="1:23" ht="27" hidden="1" customHeight="1">
      <c r="A234" s="583">
        <v>406</v>
      </c>
      <c r="B234" s="581">
        <v>4</v>
      </c>
      <c r="C234" s="583" t="s">
        <v>1078</v>
      </c>
      <c r="D234" s="583" t="s">
        <v>1079</v>
      </c>
      <c r="E234" s="599"/>
      <c r="F234" s="599"/>
      <c r="G234" s="599"/>
      <c r="H234" s="599"/>
      <c r="I234" s="599"/>
      <c r="J234" s="599"/>
      <c r="K234" s="599"/>
      <c r="L234" s="599"/>
      <c r="M234" s="599">
        <v>0</v>
      </c>
      <c r="N234" s="592"/>
      <c r="O234" s="592"/>
      <c r="P234" s="882">
        <f t="shared" si="12"/>
        <v>0</v>
      </c>
      <c r="Q234" s="599"/>
      <c r="R234" s="882">
        <f t="shared" si="13"/>
        <v>0</v>
      </c>
      <c r="S234" s="599">
        <f t="shared" si="13"/>
        <v>0</v>
      </c>
      <c r="T234" s="620"/>
      <c r="U234" s="621"/>
      <c r="V234" s="882">
        <f t="shared" si="14"/>
        <v>0</v>
      </c>
      <c r="W234" s="882">
        <f t="shared" si="15"/>
        <v>0</v>
      </c>
    </row>
    <row r="235" spans="1:23" ht="27" hidden="1" customHeight="1">
      <c r="A235" s="583">
        <v>406</v>
      </c>
      <c r="B235" s="581">
        <v>4</v>
      </c>
      <c r="C235" s="583" t="s">
        <v>1080</v>
      </c>
      <c r="D235" s="583" t="s">
        <v>1081</v>
      </c>
      <c r="E235" s="599"/>
      <c r="F235" s="599"/>
      <c r="G235" s="599"/>
      <c r="H235" s="599"/>
      <c r="I235" s="599"/>
      <c r="J235" s="599"/>
      <c r="K235" s="599"/>
      <c r="L235" s="599"/>
      <c r="M235" s="599">
        <v>0</v>
      </c>
      <c r="N235" s="592"/>
      <c r="O235" s="592"/>
      <c r="P235" s="882">
        <f t="shared" si="12"/>
        <v>0</v>
      </c>
      <c r="Q235" s="599"/>
      <c r="R235" s="882">
        <f t="shared" si="13"/>
        <v>0</v>
      </c>
      <c r="S235" s="599">
        <f t="shared" si="13"/>
        <v>0</v>
      </c>
      <c r="T235" s="620"/>
      <c r="U235" s="621"/>
      <c r="V235" s="882">
        <f t="shared" si="14"/>
        <v>0</v>
      </c>
      <c r="W235" s="882">
        <f t="shared" si="15"/>
        <v>0</v>
      </c>
    </row>
    <row r="236" spans="1:23" ht="27" hidden="1" customHeight="1">
      <c r="A236" s="583">
        <v>406</v>
      </c>
      <c r="B236" s="581">
        <v>4</v>
      </c>
      <c r="C236" s="583" t="s">
        <v>560</v>
      </c>
      <c r="D236" s="583" t="s">
        <v>1181</v>
      </c>
      <c r="E236" s="599">
        <v>1338356479</v>
      </c>
      <c r="F236" s="599"/>
      <c r="G236" s="599"/>
      <c r="H236" s="599"/>
      <c r="I236" s="599"/>
      <c r="J236" s="599"/>
      <c r="K236" s="599"/>
      <c r="L236" s="599"/>
      <c r="M236" s="599">
        <v>0</v>
      </c>
      <c r="N236" s="592"/>
      <c r="O236" s="592"/>
      <c r="P236" s="882">
        <f t="shared" si="12"/>
        <v>1338356479</v>
      </c>
      <c r="Q236" s="599"/>
      <c r="R236" s="882">
        <f t="shared" si="13"/>
        <v>1338</v>
      </c>
      <c r="S236" s="599">
        <f t="shared" si="13"/>
        <v>0</v>
      </c>
      <c r="T236" s="620"/>
      <c r="U236" s="621"/>
      <c r="V236" s="882">
        <f t="shared" si="14"/>
        <v>1338356479</v>
      </c>
      <c r="W236" s="882">
        <f t="shared" si="15"/>
        <v>1338</v>
      </c>
    </row>
    <row r="237" spans="1:23" ht="27" hidden="1" customHeight="1">
      <c r="A237" s="583">
        <v>406</v>
      </c>
      <c r="B237" s="581">
        <v>4</v>
      </c>
      <c r="C237" s="583" t="s">
        <v>1248</v>
      </c>
      <c r="D237" s="583" t="s">
        <v>1249</v>
      </c>
      <c r="E237" s="599">
        <v>236402848</v>
      </c>
      <c r="F237" s="599"/>
      <c r="G237" s="599"/>
      <c r="H237" s="599"/>
      <c r="I237" s="599"/>
      <c r="J237" s="599"/>
      <c r="K237" s="599"/>
      <c r="L237" s="599"/>
      <c r="M237" s="599">
        <v>0</v>
      </c>
      <c r="N237" s="592"/>
      <c r="O237" s="592"/>
      <c r="P237" s="882">
        <f t="shared" si="12"/>
        <v>236402848</v>
      </c>
      <c r="Q237" s="599">
        <v>-210679029</v>
      </c>
      <c r="R237" s="882">
        <f t="shared" si="13"/>
        <v>236</v>
      </c>
      <c r="S237" s="599">
        <f t="shared" si="13"/>
        <v>-211</v>
      </c>
      <c r="T237" s="620"/>
      <c r="U237" s="621"/>
      <c r="V237" s="882">
        <f t="shared" si="14"/>
        <v>236402848</v>
      </c>
      <c r="W237" s="882">
        <f t="shared" si="15"/>
        <v>236</v>
      </c>
    </row>
    <row r="238" spans="1:23" ht="27" hidden="1" customHeight="1">
      <c r="A238" s="583">
        <v>406</v>
      </c>
      <c r="B238" s="581">
        <v>4</v>
      </c>
      <c r="C238" s="583" t="s">
        <v>662</v>
      </c>
      <c r="D238" s="583" t="s">
        <v>989</v>
      </c>
      <c r="E238" s="599">
        <v>8789324456</v>
      </c>
      <c r="F238" s="599">
        <v>1378200</v>
      </c>
      <c r="G238" s="599"/>
      <c r="H238" s="599"/>
      <c r="I238" s="599"/>
      <c r="J238" s="599"/>
      <c r="K238" s="599"/>
      <c r="L238" s="599"/>
      <c r="M238" s="599">
        <v>0</v>
      </c>
      <c r="N238" s="592"/>
      <c r="O238" s="592"/>
      <c r="P238" s="882">
        <f t="shared" si="12"/>
        <v>8790702656</v>
      </c>
      <c r="Q238" s="599">
        <v>3999186144</v>
      </c>
      <c r="R238" s="882">
        <f>ROUND((P238/1000000),0)</f>
        <v>8791</v>
      </c>
      <c r="S238" s="599">
        <f t="shared" si="13"/>
        <v>3999</v>
      </c>
      <c r="T238" s="620"/>
      <c r="U238" s="621"/>
      <c r="V238" s="882">
        <f t="shared" si="14"/>
        <v>8790702656</v>
      </c>
      <c r="W238" s="882">
        <f t="shared" si="15"/>
        <v>8791</v>
      </c>
    </row>
    <row r="239" spans="1:23" ht="27" hidden="1" customHeight="1">
      <c r="A239" s="583">
        <v>1018</v>
      </c>
      <c r="B239" s="581">
        <v>10</v>
      </c>
      <c r="C239" s="583" t="s">
        <v>890</v>
      </c>
      <c r="D239" s="583" t="s">
        <v>892</v>
      </c>
      <c r="E239" s="599"/>
      <c r="F239" s="599"/>
      <c r="G239" s="599"/>
      <c r="H239" s="599"/>
      <c r="I239" s="599"/>
      <c r="J239" s="599"/>
      <c r="K239" s="599"/>
      <c r="L239" s="599"/>
      <c r="M239" s="599">
        <v>0</v>
      </c>
      <c r="N239" s="592"/>
      <c r="O239" s="592"/>
      <c r="P239" s="882">
        <f t="shared" si="12"/>
        <v>0</v>
      </c>
      <c r="Q239" s="599"/>
      <c r="R239" s="882">
        <f t="shared" si="13"/>
        <v>0</v>
      </c>
      <c r="S239" s="599">
        <f t="shared" si="13"/>
        <v>0</v>
      </c>
      <c r="T239" s="620"/>
      <c r="U239" s="621"/>
      <c r="V239" s="882">
        <f t="shared" si="14"/>
        <v>0</v>
      </c>
      <c r="W239" s="882">
        <f t="shared" si="15"/>
        <v>0</v>
      </c>
    </row>
    <row r="240" spans="1:23" ht="27" hidden="1" customHeight="1">
      <c r="A240" s="583">
        <v>1001</v>
      </c>
      <c r="B240" s="581">
        <v>10</v>
      </c>
      <c r="C240" s="583" t="s">
        <v>116</v>
      </c>
      <c r="D240" s="583" t="s">
        <v>1268</v>
      </c>
      <c r="E240" s="599">
        <v>-179950000</v>
      </c>
      <c r="F240" s="599"/>
      <c r="G240" s="599"/>
      <c r="H240" s="599"/>
      <c r="I240" s="599"/>
      <c r="J240" s="599"/>
      <c r="K240" s="599"/>
      <c r="L240" s="599"/>
      <c r="M240" s="599">
        <v>0</v>
      </c>
      <c r="N240" s="592"/>
      <c r="O240" s="592"/>
      <c r="P240" s="882">
        <f t="shared" si="12"/>
        <v>-179950000</v>
      </c>
      <c r="Q240" s="599">
        <v>49817987</v>
      </c>
      <c r="R240" s="882">
        <f t="shared" si="13"/>
        <v>-180</v>
      </c>
      <c r="S240" s="599">
        <f t="shared" si="13"/>
        <v>50</v>
      </c>
      <c r="T240" s="620"/>
      <c r="U240" s="621"/>
      <c r="V240" s="882">
        <f t="shared" si="14"/>
        <v>-179950000</v>
      </c>
      <c r="W240" s="882">
        <f t="shared" si="15"/>
        <v>-180</v>
      </c>
    </row>
    <row r="241" spans="1:23" ht="27" hidden="1" customHeight="1">
      <c r="A241" s="583">
        <v>1001</v>
      </c>
      <c r="B241" s="581">
        <v>10</v>
      </c>
      <c r="C241" s="583" t="s">
        <v>485</v>
      </c>
      <c r="D241" s="583" t="s">
        <v>899</v>
      </c>
      <c r="E241" s="599">
        <v>-183310155</v>
      </c>
      <c r="F241" s="599">
        <v>202785566</v>
      </c>
      <c r="G241" s="599"/>
      <c r="H241" s="599"/>
      <c r="I241" s="599"/>
      <c r="J241" s="599"/>
      <c r="K241" s="599"/>
      <c r="L241" s="599"/>
      <c r="M241" s="599">
        <v>0</v>
      </c>
      <c r="N241" s="592"/>
      <c r="O241" s="592"/>
      <c r="P241" s="882">
        <f t="shared" si="12"/>
        <v>19475411</v>
      </c>
      <c r="Q241" s="599">
        <v>18116199</v>
      </c>
      <c r="R241" s="882">
        <f t="shared" si="13"/>
        <v>19</v>
      </c>
      <c r="S241" s="599">
        <f t="shared" si="13"/>
        <v>18</v>
      </c>
      <c r="T241" s="620"/>
      <c r="U241" s="621"/>
      <c r="V241" s="882">
        <f t="shared" si="14"/>
        <v>19475411</v>
      </c>
      <c r="W241" s="882">
        <f t="shared" si="15"/>
        <v>19</v>
      </c>
    </row>
    <row r="242" spans="1:23" ht="27" hidden="1" customHeight="1">
      <c r="A242" s="583">
        <v>1018</v>
      </c>
      <c r="B242" s="581">
        <v>10</v>
      </c>
      <c r="C242" s="583" t="s">
        <v>846</v>
      </c>
      <c r="D242" s="583" t="s">
        <v>900</v>
      </c>
      <c r="E242" s="599">
        <v>-87381229</v>
      </c>
      <c r="F242" s="599">
        <v>87381229</v>
      </c>
      <c r="G242" s="599"/>
      <c r="H242" s="599"/>
      <c r="I242" s="599"/>
      <c r="J242" s="599"/>
      <c r="K242" s="599"/>
      <c r="L242" s="599"/>
      <c r="M242" s="599">
        <v>0</v>
      </c>
      <c r="N242" s="592"/>
      <c r="O242" s="592"/>
      <c r="P242" s="882">
        <f t="shared" si="12"/>
        <v>0</v>
      </c>
      <c r="Q242" s="599">
        <v>0</v>
      </c>
      <c r="R242" s="882">
        <f t="shared" si="13"/>
        <v>0</v>
      </c>
      <c r="S242" s="599">
        <f t="shared" si="13"/>
        <v>0</v>
      </c>
      <c r="T242" s="620"/>
      <c r="U242" s="621"/>
      <c r="V242" s="882">
        <f t="shared" si="14"/>
        <v>0</v>
      </c>
      <c r="W242" s="882">
        <f t="shared" si="15"/>
        <v>0</v>
      </c>
    </row>
    <row r="243" spans="1:23" ht="27" hidden="1" customHeight="1">
      <c r="A243" s="583">
        <v>1018</v>
      </c>
      <c r="B243" s="581">
        <v>10</v>
      </c>
      <c r="C243" s="583" t="s">
        <v>893</v>
      </c>
      <c r="D243" s="583" t="s">
        <v>1182</v>
      </c>
      <c r="E243" s="599">
        <v>-13336199</v>
      </c>
      <c r="F243" s="599">
        <v>1540000</v>
      </c>
      <c r="G243" s="599"/>
      <c r="H243" s="599"/>
      <c r="I243" s="599"/>
      <c r="J243" s="599"/>
      <c r="K243" s="599"/>
      <c r="L243" s="599"/>
      <c r="M243" s="599">
        <v>0</v>
      </c>
      <c r="N243" s="592"/>
      <c r="O243" s="592"/>
      <c r="P243" s="882">
        <f t="shared" si="12"/>
        <v>-11796199</v>
      </c>
      <c r="Q243" s="599">
        <v>-11796199</v>
      </c>
      <c r="R243" s="882">
        <f t="shared" si="13"/>
        <v>-12</v>
      </c>
      <c r="S243" s="599">
        <f t="shared" si="13"/>
        <v>-12</v>
      </c>
      <c r="T243" s="620"/>
      <c r="U243" s="621"/>
      <c r="V243" s="882">
        <f t="shared" si="14"/>
        <v>-11796199</v>
      </c>
      <c r="W243" s="882">
        <f t="shared" si="15"/>
        <v>-12</v>
      </c>
    </row>
    <row r="244" spans="1:23" ht="27" hidden="1" customHeight="1">
      <c r="A244" s="583">
        <v>1018</v>
      </c>
      <c r="B244" s="581">
        <v>10</v>
      </c>
      <c r="C244" s="583" t="s">
        <v>1183</v>
      </c>
      <c r="D244" s="583" t="s">
        <v>1184</v>
      </c>
      <c r="E244" s="599">
        <v>-270000</v>
      </c>
      <c r="F244" s="599">
        <v>270000</v>
      </c>
      <c r="G244" s="599"/>
      <c r="H244" s="599"/>
      <c r="I244" s="599"/>
      <c r="J244" s="599"/>
      <c r="K244" s="599"/>
      <c r="L244" s="599"/>
      <c r="M244" s="599">
        <v>0</v>
      </c>
      <c r="N244" s="592"/>
      <c r="O244" s="592"/>
      <c r="P244" s="882">
        <f t="shared" si="12"/>
        <v>0</v>
      </c>
      <c r="Q244" s="599">
        <v>0</v>
      </c>
      <c r="R244" s="882">
        <f t="shared" si="13"/>
        <v>0</v>
      </c>
      <c r="S244" s="599">
        <f t="shared" si="13"/>
        <v>0</v>
      </c>
      <c r="T244" s="620"/>
      <c r="U244" s="621"/>
      <c r="V244" s="882">
        <f t="shared" si="14"/>
        <v>0</v>
      </c>
      <c r="W244" s="882">
        <f t="shared" si="15"/>
        <v>0</v>
      </c>
    </row>
    <row r="245" spans="1:23" ht="27" hidden="1" customHeight="1">
      <c r="A245" s="583">
        <v>1018</v>
      </c>
      <c r="B245" s="581">
        <v>10</v>
      </c>
      <c r="C245" s="583" t="s">
        <v>1185</v>
      </c>
      <c r="D245" s="583" t="s">
        <v>1186</v>
      </c>
      <c r="E245" s="599">
        <v>-6320000</v>
      </c>
      <c r="F245" s="599"/>
      <c r="G245" s="599"/>
      <c r="H245" s="599"/>
      <c r="I245" s="599"/>
      <c r="J245" s="599"/>
      <c r="K245" s="599"/>
      <c r="L245" s="599"/>
      <c r="M245" s="599">
        <v>0</v>
      </c>
      <c r="N245" s="592"/>
      <c r="O245" s="592"/>
      <c r="P245" s="882">
        <f t="shared" si="12"/>
        <v>-6320000</v>
      </c>
      <c r="Q245" s="599">
        <v>-6320000</v>
      </c>
      <c r="R245" s="882">
        <f t="shared" si="13"/>
        <v>-6</v>
      </c>
      <c r="S245" s="599">
        <f t="shared" si="13"/>
        <v>-6</v>
      </c>
      <c r="T245" s="620"/>
      <c r="U245" s="621"/>
      <c r="V245" s="882">
        <f t="shared" si="14"/>
        <v>-6320000</v>
      </c>
      <c r="W245" s="882">
        <f t="shared" si="15"/>
        <v>-6</v>
      </c>
    </row>
    <row r="246" spans="1:23" ht="27" hidden="1" customHeight="1">
      <c r="A246" s="583">
        <v>1018</v>
      </c>
      <c r="B246" s="581">
        <v>10</v>
      </c>
      <c r="C246" s="583" t="s">
        <v>1187</v>
      </c>
      <c r="D246" s="583" t="s">
        <v>1188</v>
      </c>
      <c r="E246" s="599">
        <v>-790000</v>
      </c>
      <c r="F246" s="599">
        <v>790000</v>
      </c>
      <c r="G246" s="599"/>
      <c r="H246" s="599"/>
      <c r="I246" s="599"/>
      <c r="J246" s="599"/>
      <c r="K246" s="599"/>
      <c r="L246" s="599"/>
      <c r="M246" s="599">
        <v>0</v>
      </c>
      <c r="N246" s="592"/>
      <c r="O246" s="592"/>
      <c r="P246" s="882">
        <f t="shared" si="12"/>
        <v>0</v>
      </c>
      <c r="Q246" s="599">
        <v>0</v>
      </c>
      <c r="R246" s="882">
        <f t="shared" si="13"/>
        <v>0</v>
      </c>
      <c r="S246" s="599">
        <f t="shared" si="13"/>
        <v>0</v>
      </c>
      <c r="T246" s="620"/>
      <c r="U246" s="621"/>
      <c r="V246" s="882">
        <f t="shared" si="14"/>
        <v>0</v>
      </c>
      <c r="W246" s="882">
        <f t="shared" si="15"/>
        <v>0</v>
      </c>
    </row>
    <row r="247" spans="1:23" ht="27" hidden="1" customHeight="1">
      <c r="A247" s="583">
        <v>1018</v>
      </c>
      <c r="B247" s="581">
        <v>10</v>
      </c>
      <c r="C247" s="583" t="s">
        <v>845</v>
      </c>
      <c r="D247" s="583" t="s">
        <v>1189</v>
      </c>
      <c r="E247" s="599">
        <v>-960000</v>
      </c>
      <c r="F247" s="599">
        <v>960000</v>
      </c>
      <c r="G247" s="599"/>
      <c r="H247" s="599"/>
      <c r="I247" s="599"/>
      <c r="J247" s="599"/>
      <c r="K247" s="599"/>
      <c r="L247" s="599"/>
      <c r="M247" s="599">
        <v>0</v>
      </c>
      <c r="N247" s="592"/>
      <c r="O247" s="592"/>
      <c r="P247" s="882">
        <f t="shared" si="12"/>
        <v>0</v>
      </c>
      <c r="Q247" s="599">
        <v>0</v>
      </c>
      <c r="R247" s="882">
        <f t="shared" si="13"/>
        <v>0</v>
      </c>
      <c r="S247" s="599">
        <f t="shared" si="13"/>
        <v>0</v>
      </c>
      <c r="T247" s="620"/>
      <c r="U247" s="621"/>
      <c r="V247" s="882">
        <f t="shared" si="14"/>
        <v>0</v>
      </c>
      <c r="W247" s="882">
        <f t="shared" si="15"/>
        <v>0</v>
      </c>
    </row>
    <row r="248" spans="1:23" ht="27" hidden="1" customHeight="1">
      <c r="A248" s="583">
        <v>1018</v>
      </c>
      <c r="B248" s="581">
        <v>10</v>
      </c>
      <c r="C248" s="583" t="s">
        <v>1250</v>
      </c>
      <c r="D248" s="583" t="s">
        <v>1106</v>
      </c>
      <c r="E248" s="599"/>
      <c r="F248" s="599"/>
      <c r="G248" s="599"/>
      <c r="H248" s="599"/>
      <c r="I248" s="599"/>
      <c r="J248" s="599"/>
      <c r="K248" s="599"/>
      <c r="L248" s="599"/>
      <c r="M248" s="599">
        <v>0</v>
      </c>
      <c r="N248" s="592"/>
      <c r="O248" s="592"/>
      <c r="P248" s="882">
        <f t="shared" si="12"/>
        <v>0</v>
      </c>
      <c r="Q248" s="599">
        <v>0</v>
      </c>
      <c r="R248" s="882">
        <f t="shared" si="13"/>
        <v>0</v>
      </c>
      <c r="S248" s="599">
        <f t="shared" si="13"/>
        <v>0</v>
      </c>
      <c r="T248" s="620"/>
      <c r="U248" s="621"/>
      <c r="V248" s="882">
        <f t="shared" si="14"/>
        <v>0</v>
      </c>
      <c r="W248" s="882">
        <f t="shared" si="15"/>
        <v>0</v>
      </c>
    </row>
    <row r="249" spans="1:23" ht="27" hidden="1" customHeight="1">
      <c r="A249" s="583">
        <v>401</v>
      </c>
      <c r="B249" s="581">
        <v>4</v>
      </c>
      <c r="C249" s="583" t="s">
        <v>487</v>
      </c>
      <c r="D249" s="583" t="s">
        <v>663</v>
      </c>
      <c r="E249" s="599"/>
      <c r="F249" s="599"/>
      <c r="G249" s="599"/>
      <c r="H249" s="599"/>
      <c r="I249" s="599"/>
      <c r="J249" s="599"/>
      <c r="K249" s="599"/>
      <c r="L249" s="599"/>
      <c r="M249" s="599">
        <v>0</v>
      </c>
      <c r="N249" s="592"/>
      <c r="O249" s="592"/>
      <c r="P249" s="882">
        <f t="shared" si="12"/>
        <v>0</v>
      </c>
      <c r="Q249" s="599">
        <v>0</v>
      </c>
      <c r="R249" s="882">
        <f t="shared" si="13"/>
        <v>0</v>
      </c>
      <c r="S249" s="599">
        <f t="shared" si="13"/>
        <v>0</v>
      </c>
      <c r="T249" s="620"/>
      <c r="U249" s="621"/>
      <c r="V249" s="882">
        <f t="shared" si="14"/>
        <v>0</v>
      </c>
      <c r="W249" s="882">
        <f t="shared" si="15"/>
        <v>0</v>
      </c>
    </row>
    <row r="250" spans="1:23" ht="27" hidden="1" customHeight="1">
      <c r="A250" s="583">
        <v>401</v>
      </c>
      <c r="B250" s="581">
        <v>4</v>
      </c>
      <c r="C250" s="583" t="s">
        <v>847</v>
      </c>
      <c r="D250" s="583" t="s">
        <v>848</v>
      </c>
      <c r="E250" s="599"/>
      <c r="F250" s="599"/>
      <c r="G250" s="599"/>
      <c r="H250" s="599"/>
      <c r="I250" s="599"/>
      <c r="J250" s="599"/>
      <c r="K250" s="599"/>
      <c r="L250" s="599"/>
      <c r="M250" s="599">
        <v>0</v>
      </c>
      <c r="N250" s="592"/>
      <c r="O250" s="592"/>
      <c r="P250" s="882">
        <f t="shared" si="12"/>
        <v>0</v>
      </c>
      <c r="Q250" s="599">
        <v>0</v>
      </c>
      <c r="R250" s="882">
        <f t="shared" si="13"/>
        <v>0</v>
      </c>
      <c r="S250" s="599">
        <f t="shared" si="13"/>
        <v>0</v>
      </c>
      <c r="T250" s="620"/>
      <c r="U250" s="621"/>
      <c r="V250" s="882">
        <f t="shared" si="14"/>
        <v>0</v>
      </c>
      <c r="W250" s="882">
        <f t="shared" si="15"/>
        <v>0</v>
      </c>
    </row>
    <row r="251" spans="1:23" ht="27" hidden="1" customHeight="1">
      <c r="A251" s="583">
        <v>1018</v>
      </c>
      <c r="B251" s="581">
        <v>10</v>
      </c>
      <c r="C251" s="583" t="s">
        <v>1190</v>
      </c>
      <c r="D251" s="583" t="s">
        <v>1191</v>
      </c>
      <c r="E251" s="599"/>
      <c r="F251" s="599"/>
      <c r="G251" s="599"/>
      <c r="H251" s="599"/>
      <c r="I251" s="599"/>
      <c r="J251" s="599"/>
      <c r="K251" s="599"/>
      <c r="L251" s="599"/>
      <c r="M251" s="599">
        <v>0</v>
      </c>
      <c r="N251" s="592"/>
      <c r="O251" s="592"/>
      <c r="P251" s="882">
        <f t="shared" si="12"/>
        <v>0</v>
      </c>
      <c r="Q251" s="599">
        <v>-52081976</v>
      </c>
      <c r="R251" s="882">
        <f t="shared" si="13"/>
        <v>0</v>
      </c>
      <c r="S251" s="599">
        <f t="shared" si="13"/>
        <v>-52</v>
      </c>
      <c r="T251" s="620"/>
      <c r="U251" s="621"/>
      <c r="V251" s="882">
        <f t="shared" si="14"/>
        <v>0</v>
      </c>
      <c r="W251" s="882">
        <f t="shared" si="15"/>
        <v>0</v>
      </c>
    </row>
    <row r="252" spans="1:23" ht="27" hidden="1" customHeight="1">
      <c r="A252" s="583">
        <v>1001</v>
      </c>
      <c r="B252" s="581">
        <v>10</v>
      </c>
      <c r="C252" s="583" t="s">
        <v>1340</v>
      </c>
      <c r="D252" s="583" t="s">
        <v>1341</v>
      </c>
      <c r="E252" s="599">
        <f>-4441954-484225-493550-762205-6662931-1936899-987101-1031219</f>
        <v>-16800084</v>
      </c>
      <c r="F252" s="599"/>
      <c r="G252" s="599"/>
      <c r="H252" s="599"/>
      <c r="I252" s="599"/>
      <c r="J252" s="599"/>
      <c r="K252" s="599"/>
      <c r="L252" s="599"/>
      <c r="M252" s="599">
        <v>0</v>
      </c>
      <c r="N252" s="592"/>
      <c r="O252" s="592"/>
      <c r="P252" s="882">
        <f t="shared" si="12"/>
        <v>-16800084</v>
      </c>
      <c r="Q252" s="599"/>
      <c r="R252" s="882">
        <f t="shared" si="13"/>
        <v>-17</v>
      </c>
      <c r="S252" s="599">
        <f t="shared" si="13"/>
        <v>0</v>
      </c>
      <c r="T252" s="620"/>
      <c r="U252" s="621"/>
      <c r="V252" s="882">
        <f t="shared" si="14"/>
        <v>-16800084</v>
      </c>
      <c r="W252" s="882">
        <f t="shared" si="15"/>
        <v>-17</v>
      </c>
    </row>
    <row r="253" spans="1:23" ht="27" hidden="1" customHeight="1">
      <c r="A253" s="583">
        <v>406</v>
      </c>
      <c r="B253" s="581">
        <v>4</v>
      </c>
      <c r="C253" s="583" t="s">
        <v>1192</v>
      </c>
      <c r="D253" s="583" t="s">
        <v>1193</v>
      </c>
      <c r="E253" s="599">
        <v>3233832</v>
      </c>
      <c r="F253" s="599"/>
      <c r="G253" s="599"/>
      <c r="H253" s="599"/>
      <c r="I253" s="599"/>
      <c r="J253" s="599"/>
      <c r="K253" s="599"/>
      <c r="L253" s="599"/>
      <c r="M253" s="599">
        <v>0</v>
      </c>
      <c r="N253" s="592"/>
      <c r="O253" s="592"/>
      <c r="P253" s="882">
        <f t="shared" si="12"/>
        <v>3233832</v>
      </c>
      <c r="Q253" s="599">
        <v>3233832</v>
      </c>
      <c r="R253" s="882">
        <f t="shared" si="13"/>
        <v>3</v>
      </c>
      <c r="S253" s="599">
        <f t="shared" si="13"/>
        <v>3</v>
      </c>
      <c r="T253" s="620"/>
      <c r="U253" s="621"/>
      <c r="V253" s="882">
        <f t="shared" si="14"/>
        <v>3233832</v>
      </c>
      <c r="W253" s="882">
        <f t="shared" si="15"/>
        <v>3</v>
      </c>
    </row>
    <row r="254" spans="1:23" ht="27" hidden="1" customHeight="1">
      <c r="A254" s="583">
        <v>1018</v>
      </c>
      <c r="B254" s="581">
        <v>10</v>
      </c>
      <c r="C254" s="583" t="s">
        <v>990</v>
      </c>
      <c r="D254" s="583" t="s">
        <v>991</v>
      </c>
      <c r="E254" s="599"/>
      <c r="F254" s="599"/>
      <c r="G254" s="599"/>
      <c r="H254" s="599"/>
      <c r="I254" s="599"/>
      <c r="J254" s="599"/>
      <c r="K254" s="599"/>
      <c r="L254" s="599"/>
      <c r="M254" s="599">
        <v>0</v>
      </c>
      <c r="N254" s="592"/>
      <c r="O254" s="592"/>
      <c r="P254" s="882">
        <f t="shared" si="12"/>
        <v>0</v>
      </c>
      <c r="Q254" s="599">
        <v>0</v>
      </c>
      <c r="R254" s="882">
        <f t="shared" si="13"/>
        <v>0</v>
      </c>
      <c r="S254" s="599">
        <f t="shared" si="13"/>
        <v>0</v>
      </c>
      <c r="T254" s="620"/>
      <c r="U254" s="621"/>
      <c r="V254" s="882">
        <f t="shared" si="14"/>
        <v>0</v>
      </c>
      <c r="W254" s="882">
        <f t="shared" si="15"/>
        <v>0</v>
      </c>
    </row>
    <row r="255" spans="1:23" ht="27" hidden="1" customHeight="1">
      <c r="A255" s="583">
        <v>1018</v>
      </c>
      <c r="B255" s="581">
        <v>10</v>
      </c>
      <c r="C255" s="583" t="s">
        <v>992</v>
      </c>
      <c r="D255" s="583" t="s">
        <v>993</v>
      </c>
      <c r="E255" s="599"/>
      <c r="F255" s="599"/>
      <c r="G255" s="599"/>
      <c r="H255" s="599"/>
      <c r="I255" s="599"/>
      <c r="J255" s="599"/>
      <c r="K255" s="599"/>
      <c r="L255" s="599"/>
      <c r="M255" s="599">
        <v>0</v>
      </c>
      <c r="N255" s="592"/>
      <c r="O255" s="592"/>
      <c r="P255" s="882">
        <f t="shared" si="12"/>
        <v>0</v>
      </c>
      <c r="Q255" s="599"/>
      <c r="R255" s="882">
        <f t="shared" si="13"/>
        <v>0</v>
      </c>
      <c r="S255" s="599">
        <f t="shared" si="13"/>
        <v>0</v>
      </c>
      <c r="T255" s="620"/>
      <c r="U255" s="621"/>
      <c r="V255" s="882">
        <f t="shared" si="14"/>
        <v>0</v>
      </c>
      <c r="W255" s="882">
        <f t="shared" si="15"/>
        <v>0</v>
      </c>
    </row>
    <row r="256" spans="1:23" ht="27" hidden="1" customHeight="1">
      <c r="A256" s="583">
        <v>1018</v>
      </c>
      <c r="B256" s="581">
        <v>10</v>
      </c>
      <c r="C256" s="583" t="s">
        <v>277</v>
      </c>
      <c r="D256" s="583" t="s">
        <v>278</v>
      </c>
      <c r="E256" s="599"/>
      <c r="F256" s="599"/>
      <c r="G256" s="599"/>
      <c r="H256" s="599"/>
      <c r="I256" s="599"/>
      <c r="J256" s="599"/>
      <c r="K256" s="599"/>
      <c r="L256" s="599"/>
      <c r="M256" s="599">
        <v>0</v>
      </c>
      <c r="N256" s="592"/>
      <c r="O256" s="592"/>
      <c r="P256" s="882">
        <f t="shared" si="12"/>
        <v>0</v>
      </c>
      <c r="Q256" s="599">
        <v>-40392918</v>
      </c>
      <c r="R256" s="882">
        <f t="shared" si="13"/>
        <v>0</v>
      </c>
      <c r="S256" s="599">
        <f t="shared" si="13"/>
        <v>-40</v>
      </c>
      <c r="T256" s="620"/>
      <c r="U256" s="621"/>
      <c r="V256" s="882">
        <f t="shared" si="14"/>
        <v>0</v>
      </c>
      <c r="W256" s="882">
        <f t="shared" si="15"/>
        <v>0</v>
      </c>
    </row>
    <row r="257" spans="1:23" ht="27" hidden="1" customHeight="1">
      <c r="A257" s="583">
        <v>1018</v>
      </c>
      <c r="B257" s="581">
        <v>10</v>
      </c>
      <c r="C257" s="583" t="s">
        <v>994</v>
      </c>
      <c r="D257" s="583" t="s">
        <v>995</v>
      </c>
      <c r="E257" s="599"/>
      <c r="F257" s="599"/>
      <c r="G257" s="599"/>
      <c r="H257" s="599"/>
      <c r="I257" s="599"/>
      <c r="J257" s="599"/>
      <c r="K257" s="599"/>
      <c r="L257" s="599"/>
      <c r="M257" s="599">
        <v>0</v>
      </c>
      <c r="N257" s="592"/>
      <c r="O257" s="592"/>
      <c r="P257" s="882">
        <f t="shared" si="12"/>
        <v>0</v>
      </c>
      <c r="Q257" s="599">
        <v>0</v>
      </c>
      <c r="R257" s="882">
        <f t="shared" si="13"/>
        <v>0</v>
      </c>
      <c r="S257" s="599">
        <f t="shared" si="13"/>
        <v>0</v>
      </c>
      <c r="T257" s="620"/>
      <c r="U257" s="621"/>
      <c r="V257" s="882">
        <f t="shared" si="14"/>
        <v>0</v>
      </c>
      <c r="W257" s="882">
        <f t="shared" si="15"/>
        <v>0</v>
      </c>
    </row>
    <row r="258" spans="1:23" ht="27" hidden="1" customHeight="1">
      <c r="A258" s="583">
        <v>1018</v>
      </c>
      <c r="B258" s="581">
        <v>10</v>
      </c>
      <c r="C258" s="583" t="s">
        <v>996</v>
      </c>
      <c r="D258" s="583" t="s">
        <v>997</v>
      </c>
      <c r="E258" s="599">
        <v>-120000</v>
      </c>
      <c r="F258" s="599">
        <v>120000</v>
      </c>
      <c r="G258" s="599"/>
      <c r="H258" s="599"/>
      <c r="I258" s="599"/>
      <c r="J258" s="599"/>
      <c r="K258" s="599"/>
      <c r="L258" s="599"/>
      <c r="M258" s="599">
        <v>0</v>
      </c>
      <c r="N258" s="592"/>
      <c r="O258" s="592"/>
      <c r="P258" s="882">
        <f t="shared" si="12"/>
        <v>0</v>
      </c>
      <c r="Q258" s="599">
        <v>0</v>
      </c>
      <c r="R258" s="882">
        <f t="shared" si="13"/>
        <v>0</v>
      </c>
      <c r="S258" s="599">
        <f t="shared" si="13"/>
        <v>0</v>
      </c>
      <c r="T258" s="620"/>
      <c r="U258" s="621"/>
      <c r="V258" s="882">
        <f t="shared" si="14"/>
        <v>0</v>
      </c>
      <c r="W258" s="882">
        <f t="shared" si="15"/>
        <v>0</v>
      </c>
    </row>
    <row r="259" spans="1:23" ht="27" hidden="1" customHeight="1">
      <c r="A259" s="583">
        <v>406</v>
      </c>
      <c r="B259" s="581">
        <v>4</v>
      </c>
      <c r="C259" s="583" t="s">
        <v>1107</v>
      </c>
      <c r="D259" s="583" t="s">
        <v>1342</v>
      </c>
      <c r="E259" s="599">
        <v>250000</v>
      </c>
      <c r="F259" s="599"/>
      <c r="G259" s="599"/>
      <c r="H259" s="599"/>
      <c r="I259" s="599"/>
      <c r="J259" s="599"/>
      <c r="K259" s="599"/>
      <c r="L259" s="599"/>
      <c r="M259" s="599">
        <v>0</v>
      </c>
      <c r="N259" s="592"/>
      <c r="O259" s="592"/>
      <c r="P259" s="882">
        <f t="shared" si="12"/>
        <v>250000</v>
      </c>
      <c r="Q259" s="599"/>
      <c r="R259" s="882">
        <f t="shared" si="13"/>
        <v>0</v>
      </c>
      <c r="S259" s="599">
        <f t="shared" si="13"/>
        <v>0</v>
      </c>
      <c r="T259" s="620"/>
      <c r="U259" s="621"/>
      <c r="V259" s="882">
        <f t="shared" si="14"/>
        <v>250000</v>
      </c>
      <c r="W259" s="882">
        <f t="shared" si="15"/>
        <v>0</v>
      </c>
    </row>
    <row r="260" spans="1:23" ht="27" hidden="1" customHeight="1">
      <c r="A260" s="583">
        <v>1018</v>
      </c>
      <c r="B260" s="581">
        <v>10</v>
      </c>
      <c r="C260" s="583" t="s">
        <v>1382</v>
      </c>
      <c r="D260" s="583" t="s">
        <v>1383</v>
      </c>
      <c r="E260" s="599"/>
      <c r="F260" s="599">
        <v>-250000</v>
      </c>
      <c r="G260" s="599"/>
      <c r="H260" s="599"/>
      <c r="I260" s="599"/>
      <c r="J260" s="599"/>
      <c r="K260" s="599"/>
      <c r="L260" s="599"/>
      <c r="M260" s="599">
        <v>0</v>
      </c>
      <c r="N260" s="592"/>
      <c r="O260" s="592"/>
      <c r="P260" s="882">
        <f t="shared" ref="P260:P323" si="16">E260+F260+G260-N260+O260+H260+I260+J260+K260+L260</f>
        <v>-250000</v>
      </c>
      <c r="Q260" s="599"/>
      <c r="R260" s="882">
        <f t="shared" ref="R260:S323" si="17">ROUND((P260/1000000),0)</f>
        <v>0</v>
      </c>
      <c r="S260" s="599">
        <f t="shared" si="17"/>
        <v>0</v>
      </c>
      <c r="T260" s="620"/>
      <c r="U260" s="621"/>
      <c r="V260" s="882">
        <f t="shared" ref="V260:V323" si="18">P260-U260+T260</f>
        <v>-250000</v>
      </c>
      <c r="W260" s="882">
        <f t="shared" ref="W260:W323" si="19">ROUND((V260/1000000),0)</f>
        <v>0</v>
      </c>
    </row>
    <row r="261" spans="1:23" ht="27" hidden="1" customHeight="1">
      <c r="A261" s="583">
        <v>1018</v>
      </c>
      <c r="B261" s="581">
        <v>10</v>
      </c>
      <c r="C261" s="583" t="s">
        <v>1194</v>
      </c>
      <c r="D261" s="583" t="s">
        <v>1195</v>
      </c>
      <c r="E261" s="599">
        <v>-1800000</v>
      </c>
      <c r="F261" s="599">
        <v>1800000</v>
      </c>
      <c r="G261" s="599"/>
      <c r="H261" s="599"/>
      <c r="I261" s="599"/>
      <c r="J261" s="599"/>
      <c r="K261" s="599"/>
      <c r="L261" s="599"/>
      <c r="M261" s="599">
        <v>0</v>
      </c>
      <c r="N261" s="592"/>
      <c r="O261" s="592"/>
      <c r="P261" s="882">
        <f t="shared" si="16"/>
        <v>0</v>
      </c>
      <c r="Q261" s="599">
        <v>0</v>
      </c>
      <c r="R261" s="882">
        <f t="shared" si="17"/>
        <v>0</v>
      </c>
      <c r="S261" s="599">
        <f t="shared" si="17"/>
        <v>0</v>
      </c>
      <c r="T261" s="620"/>
      <c r="U261" s="621"/>
      <c r="V261" s="882">
        <f t="shared" si="18"/>
        <v>0</v>
      </c>
      <c r="W261" s="882">
        <f t="shared" si="19"/>
        <v>0</v>
      </c>
    </row>
    <row r="262" spans="1:23" ht="27" hidden="1" customHeight="1">
      <c r="A262" s="583">
        <v>1001</v>
      </c>
      <c r="B262" s="581">
        <v>10</v>
      </c>
      <c r="C262" s="583" t="s">
        <v>1343</v>
      </c>
      <c r="D262" s="583" t="s">
        <v>1344</v>
      </c>
      <c r="E262" s="599">
        <v>-67990000</v>
      </c>
      <c r="F262" s="599"/>
      <c r="G262" s="599"/>
      <c r="H262" s="599"/>
      <c r="I262" s="599"/>
      <c r="J262" s="599"/>
      <c r="K262" s="599"/>
      <c r="L262" s="599"/>
      <c r="M262" s="599">
        <v>0</v>
      </c>
      <c r="N262" s="592"/>
      <c r="O262" s="592"/>
      <c r="P262" s="882">
        <f t="shared" si="16"/>
        <v>-67990000</v>
      </c>
      <c r="Q262" s="599"/>
      <c r="R262" s="882">
        <f t="shared" si="17"/>
        <v>-68</v>
      </c>
      <c r="S262" s="599">
        <f t="shared" si="17"/>
        <v>0</v>
      </c>
      <c r="T262" s="620"/>
      <c r="U262" s="621"/>
      <c r="V262" s="882">
        <f t="shared" si="18"/>
        <v>-67990000</v>
      </c>
      <c r="W262" s="882">
        <f t="shared" si="19"/>
        <v>-68</v>
      </c>
    </row>
    <row r="263" spans="1:23" ht="27" hidden="1" customHeight="1">
      <c r="A263" s="583">
        <v>1018</v>
      </c>
      <c r="B263" s="581">
        <v>10</v>
      </c>
      <c r="C263" s="583" t="s">
        <v>753</v>
      </c>
      <c r="D263" s="583" t="s">
        <v>998</v>
      </c>
      <c r="E263" s="599"/>
      <c r="F263" s="599"/>
      <c r="G263" s="599"/>
      <c r="H263" s="599"/>
      <c r="I263" s="599"/>
      <c r="J263" s="599"/>
      <c r="K263" s="599"/>
      <c r="L263" s="599"/>
      <c r="M263" s="599">
        <v>0</v>
      </c>
      <c r="N263" s="592"/>
      <c r="O263" s="592"/>
      <c r="P263" s="882">
        <f t="shared" si="16"/>
        <v>0</v>
      </c>
      <c r="Q263" s="599"/>
      <c r="R263" s="882">
        <f t="shared" si="17"/>
        <v>0</v>
      </c>
      <c r="S263" s="599">
        <f t="shared" si="17"/>
        <v>0</v>
      </c>
      <c r="T263" s="620"/>
      <c r="U263" s="621"/>
      <c r="V263" s="882">
        <f t="shared" si="18"/>
        <v>0</v>
      </c>
      <c r="W263" s="882">
        <f t="shared" si="19"/>
        <v>0</v>
      </c>
    </row>
    <row r="264" spans="1:23" ht="27" hidden="1" customHeight="1">
      <c r="A264" s="583">
        <v>1018</v>
      </c>
      <c r="B264" s="581">
        <v>10</v>
      </c>
      <c r="C264" s="583" t="s">
        <v>665</v>
      </c>
      <c r="D264" s="583" t="s">
        <v>664</v>
      </c>
      <c r="E264" s="599"/>
      <c r="F264" s="599"/>
      <c r="G264" s="599"/>
      <c r="H264" s="599"/>
      <c r="I264" s="599"/>
      <c r="J264" s="599"/>
      <c r="K264" s="599"/>
      <c r="L264" s="599"/>
      <c r="M264" s="599">
        <v>0</v>
      </c>
      <c r="N264" s="592"/>
      <c r="O264" s="592"/>
      <c r="P264" s="882">
        <f t="shared" si="16"/>
        <v>0</v>
      </c>
      <c r="Q264" s="599"/>
      <c r="R264" s="882">
        <f t="shared" si="17"/>
        <v>0</v>
      </c>
      <c r="S264" s="599">
        <f t="shared" si="17"/>
        <v>0</v>
      </c>
      <c r="T264" s="620"/>
      <c r="U264" s="621"/>
      <c r="V264" s="882">
        <f t="shared" si="18"/>
        <v>0</v>
      </c>
      <c r="W264" s="882">
        <f t="shared" si="19"/>
        <v>0</v>
      </c>
    </row>
    <row r="265" spans="1:23" ht="27" hidden="1" customHeight="1">
      <c r="A265" s="583">
        <v>406</v>
      </c>
      <c r="B265" s="581">
        <v>4</v>
      </c>
      <c r="C265" s="583" t="s">
        <v>489</v>
      </c>
      <c r="D265" s="583" t="s">
        <v>855</v>
      </c>
      <c r="E265" s="599">
        <v>71320783</v>
      </c>
      <c r="F265" s="599"/>
      <c r="G265" s="599"/>
      <c r="H265" s="599"/>
      <c r="I265" s="599"/>
      <c r="J265" s="599"/>
      <c r="K265" s="599"/>
      <c r="L265" s="599"/>
      <c r="M265" s="599">
        <v>0</v>
      </c>
      <c r="N265" s="592"/>
      <c r="O265" s="592"/>
      <c r="P265" s="882">
        <f t="shared" si="16"/>
        <v>71320783</v>
      </c>
      <c r="Q265" s="599">
        <v>71320783</v>
      </c>
      <c r="R265" s="882">
        <f t="shared" si="17"/>
        <v>71</v>
      </c>
      <c r="S265" s="599">
        <f t="shared" si="17"/>
        <v>71</v>
      </c>
      <c r="T265" s="620"/>
      <c r="U265" s="621"/>
      <c r="V265" s="882">
        <f t="shared" si="18"/>
        <v>71320783</v>
      </c>
      <c r="W265" s="882">
        <f t="shared" si="19"/>
        <v>71</v>
      </c>
    </row>
    <row r="266" spans="1:23" ht="27" hidden="1" customHeight="1">
      <c r="A266" s="583">
        <v>406</v>
      </c>
      <c r="B266" s="581">
        <v>4</v>
      </c>
      <c r="C266" s="583" t="s">
        <v>293</v>
      </c>
      <c r="D266" s="583" t="s">
        <v>467</v>
      </c>
      <c r="E266" s="599">
        <v>4347974151</v>
      </c>
      <c r="F266" s="599"/>
      <c r="G266" s="599"/>
      <c r="H266" s="599"/>
      <c r="I266" s="599"/>
      <c r="J266" s="599"/>
      <c r="K266" s="599"/>
      <c r="L266" s="599"/>
      <c r="M266" s="599">
        <v>0</v>
      </c>
      <c r="N266" s="592"/>
      <c r="O266" s="592"/>
      <c r="P266" s="882">
        <f t="shared" si="16"/>
        <v>4347974151</v>
      </c>
      <c r="Q266" s="599">
        <f>844174550296-4468665731+4468665728+36961412183-36961412180-860511371003+6997956447+11342438691</f>
        <v>2003574431</v>
      </c>
      <c r="R266" s="882">
        <f t="shared" si="17"/>
        <v>4348</v>
      </c>
      <c r="S266" s="599">
        <f t="shared" si="17"/>
        <v>2004</v>
      </c>
      <c r="T266" s="620"/>
      <c r="U266" s="621"/>
      <c r="V266" s="882">
        <f t="shared" si="18"/>
        <v>4347974151</v>
      </c>
      <c r="W266" s="882">
        <f t="shared" si="19"/>
        <v>4348</v>
      </c>
    </row>
    <row r="267" spans="1:23" ht="27" hidden="1" customHeight="1">
      <c r="A267" s="583">
        <v>408</v>
      </c>
      <c r="B267" s="581">
        <v>4</v>
      </c>
      <c r="C267" s="583" t="s">
        <v>293</v>
      </c>
      <c r="D267" s="583" t="s">
        <v>1457</v>
      </c>
      <c r="E267" s="599"/>
      <c r="F267" s="599"/>
      <c r="G267" s="599">
        <v>1257347102785</v>
      </c>
      <c r="H267" s="599"/>
      <c r="I267" s="599"/>
      <c r="J267" s="599"/>
      <c r="K267" s="599">
        <v>496652400</v>
      </c>
      <c r="L267" s="599"/>
      <c r="M267" s="599">
        <v>0</v>
      </c>
      <c r="N267" s="592"/>
      <c r="O267" s="592"/>
      <c r="P267" s="882">
        <f t="shared" si="16"/>
        <v>1257843755185</v>
      </c>
      <c r="Q267" s="599">
        <f>36961412180+860511371003-6997956447-11342438691</f>
        <v>879132388045</v>
      </c>
      <c r="R267" s="882">
        <f t="shared" si="17"/>
        <v>1257844</v>
      </c>
      <c r="S267" s="599">
        <f t="shared" si="17"/>
        <v>879132</v>
      </c>
      <c r="T267" s="620"/>
      <c r="U267" s="624"/>
      <c r="V267" s="882">
        <f t="shared" si="18"/>
        <v>1257843755185</v>
      </c>
      <c r="W267" s="882">
        <f t="shared" si="19"/>
        <v>1257844</v>
      </c>
    </row>
    <row r="268" spans="1:23" ht="39.75" hidden="1" customHeight="1">
      <c r="A268" s="583">
        <v>506</v>
      </c>
      <c r="B268" s="581">
        <v>5</v>
      </c>
      <c r="C268" s="586" t="s">
        <v>298</v>
      </c>
      <c r="D268" s="586" t="s">
        <v>1056</v>
      </c>
      <c r="E268" s="599"/>
      <c r="F268" s="599"/>
      <c r="G268" s="599"/>
      <c r="H268" s="599"/>
      <c r="I268" s="599"/>
      <c r="J268" s="599"/>
      <c r="K268" s="599"/>
      <c r="L268" s="599"/>
      <c r="M268" s="599">
        <v>0</v>
      </c>
      <c r="N268" s="592"/>
      <c r="O268" s="592"/>
      <c r="P268" s="882">
        <f t="shared" si="16"/>
        <v>0</v>
      </c>
      <c r="Q268" s="599"/>
      <c r="R268" s="882">
        <f t="shared" si="17"/>
        <v>0</v>
      </c>
      <c r="S268" s="599">
        <f t="shared" si="17"/>
        <v>0</v>
      </c>
      <c r="T268" s="620"/>
      <c r="U268" s="625"/>
      <c r="V268" s="882">
        <f t="shared" si="18"/>
        <v>0</v>
      </c>
      <c r="W268" s="882">
        <f t="shared" si="19"/>
        <v>0</v>
      </c>
    </row>
    <row r="269" spans="1:23" ht="27" hidden="1" customHeight="1">
      <c r="A269" s="583">
        <v>501</v>
      </c>
      <c r="B269" s="581">
        <v>5</v>
      </c>
      <c r="C269" s="583" t="s">
        <v>449</v>
      </c>
      <c r="D269" s="583" t="s">
        <v>901</v>
      </c>
      <c r="E269" s="600"/>
      <c r="F269" s="600"/>
      <c r="G269" s="600"/>
      <c r="H269" s="600"/>
      <c r="I269" s="600"/>
      <c r="J269" s="600"/>
      <c r="K269" s="600"/>
      <c r="L269" s="600"/>
      <c r="M269" s="600">
        <v>0</v>
      </c>
      <c r="N269" s="593"/>
      <c r="O269" s="593"/>
      <c r="P269" s="882">
        <f t="shared" si="16"/>
        <v>0</v>
      </c>
      <c r="Q269" s="600"/>
      <c r="R269" s="882">
        <f t="shared" si="17"/>
        <v>0</v>
      </c>
      <c r="S269" s="600">
        <f t="shared" si="17"/>
        <v>0</v>
      </c>
      <c r="T269" s="622"/>
      <c r="U269" s="621"/>
      <c r="V269" s="882">
        <f t="shared" si="18"/>
        <v>0</v>
      </c>
      <c r="W269" s="882">
        <f t="shared" si="19"/>
        <v>0</v>
      </c>
    </row>
    <row r="270" spans="1:23" ht="27" hidden="1" customHeight="1">
      <c r="A270" s="583">
        <v>501</v>
      </c>
      <c r="B270" s="581">
        <v>5</v>
      </c>
      <c r="C270" s="583" t="s">
        <v>452</v>
      </c>
      <c r="D270" s="583" t="s">
        <v>901</v>
      </c>
      <c r="E270" s="599">
        <v>1941420</v>
      </c>
      <c r="F270" s="599"/>
      <c r="G270" s="599"/>
      <c r="H270" s="599"/>
      <c r="I270" s="599"/>
      <c r="J270" s="599"/>
      <c r="K270" s="599"/>
      <c r="L270" s="599"/>
      <c r="M270" s="599">
        <v>0</v>
      </c>
      <c r="N270" s="592"/>
      <c r="O270" s="592"/>
      <c r="P270" s="882">
        <f t="shared" si="16"/>
        <v>1941420</v>
      </c>
      <c r="Q270" s="599"/>
      <c r="R270" s="882">
        <f t="shared" si="17"/>
        <v>2</v>
      </c>
      <c r="S270" s="599">
        <f t="shared" si="17"/>
        <v>0</v>
      </c>
      <c r="T270" s="620"/>
      <c r="U270" s="621"/>
      <c r="V270" s="882">
        <f t="shared" si="18"/>
        <v>1941420</v>
      </c>
      <c r="W270" s="882">
        <f t="shared" si="19"/>
        <v>2</v>
      </c>
    </row>
    <row r="271" spans="1:23" ht="27" hidden="1" customHeight="1">
      <c r="A271" s="583">
        <v>501</v>
      </c>
      <c r="B271" s="581">
        <v>5</v>
      </c>
      <c r="C271" s="583" t="s">
        <v>460</v>
      </c>
      <c r="D271" s="583" t="s">
        <v>758</v>
      </c>
      <c r="E271" s="603">
        <v>2195551578739</v>
      </c>
      <c r="F271" s="603"/>
      <c r="G271" s="603"/>
      <c r="H271" s="603"/>
      <c r="I271" s="603"/>
      <c r="J271" s="603"/>
      <c r="K271" s="603"/>
      <c r="L271" s="603"/>
      <c r="M271" s="603">
        <v>0</v>
      </c>
      <c r="N271" s="594"/>
      <c r="O271" s="594"/>
      <c r="P271" s="882">
        <f t="shared" si="16"/>
        <v>2195551578739</v>
      </c>
      <c r="Q271" s="603">
        <v>1873755654805</v>
      </c>
      <c r="R271" s="882">
        <f t="shared" si="17"/>
        <v>2195552</v>
      </c>
      <c r="S271" s="603">
        <f t="shared" si="17"/>
        <v>1873756</v>
      </c>
      <c r="T271" s="626"/>
      <c r="U271" s="621"/>
      <c r="V271" s="882">
        <f t="shared" si="18"/>
        <v>2195551578739</v>
      </c>
      <c r="W271" s="882">
        <f t="shared" si="19"/>
        <v>2195552</v>
      </c>
    </row>
    <row r="272" spans="1:23" ht="27" hidden="1" customHeight="1">
      <c r="A272" s="583">
        <v>501</v>
      </c>
      <c r="B272" s="581">
        <v>5</v>
      </c>
      <c r="C272" s="583" t="s">
        <v>460</v>
      </c>
      <c r="D272" s="583" t="s">
        <v>759</v>
      </c>
      <c r="E272" s="599"/>
      <c r="F272" s="599"/>
      <c r="G272" s="599"/>
      <c r="H272" s="599"/>
      <c r="I272" s="599"/>
      <c r="J272" s="599"/>
      <c r="K272" s="599"/>
      <c r="L272" s="599"/>
      <c r="M272" s="599">
        <v>0</v>
      </c>
      <c r="N272" s="592"/>
      <c r="O272" s="592"/>
      <c r="P272" s="882">
        <f t="shared" si="16"/>
        <v>0</v>
      </c>
      <c r="Q272" s="599"/>
      <c r="R272" s="882">
        <f t="shared" si="17"/>
        <v>0</v>
      </c>
      <c r="S272" s="599">
        <f t="shared" si="17"/>
        <v>0</v>
      </c>
      <c r="T272" s="620"/>
      <c r="U272" s="621"/>
      <c r="V272" s="882">
        <f t="shared" si="18"/>
        <v>0</v>
      </c>
      <c r="W272" s="882">
        <f t="shared" si="19"/>
        <v>0</v>
      </c>
    </row>
    <row r="273" spans="1:23" ht="27" hidden="1" customHeight="1">
      <c r="A273" s="583">
        <v>503</v>
      </c>
      <c r="B273" s="581">
        <v>5</v>
      </c>
      <c r="C273" s="583" t="s">
        <v>460</v>
      </c>
      <c r="D273" s="583" t="s">
        <v>760</v>
      </c>
      <c r="E273" s="599"/>
      <c r="F273" s="599"/>
      <c r="G273" s="599"/>
      <c r="H273" s="599"/>
      <c r="I273" s="599"/>
      <c r="J273" s="599"/>
      <c r="K273" s="599"/>
      <c r="L273" s="599"/>
      <c r="M273" s="599">
        <v>0</v>
      </c>
      <c r="N273" s="592"/>
      <c r="O273" s="592"/>
      <c r="P273" s="882">
        <f t="shared" si="16"/>
        <v>0</v>
      </c>
      <c r="Q273" s="599"/>
      <c r="R273" s="882">
        <f t="shared" si="17"/>
        <v>0</v>
      </c>
      <c r="S273" s="599">
        <f t="shared" si="17"/>
        <v>0</v>
      </c>
      <c r="T273" s="620"/>
      <c r="U273" s="621"/>
      <c r="V273" s="882">
        <f t="shared" si="18"/>
        <v>0</v>
      </c>
      <c r="W273" s="882">
        <f t="shared" si="19"/>
        <v>0</v>
      </c>
    </row>
    <row r="274" spans="1:23" ht="27" hidden="1" customHeight="1">
      <c r="A274" s="583">
        <v>406</v>
      </c>
      <c r="B274" s="581">
        <v>4</v>
      </c>
      <c r="C274" s="583" t="s">
        <v>450</v>
      </c>
      <c r="D274" s="583" t="s">
        <v>1012</v>
      </c>
      <c r="E274" s="599"/>
      <c r="F274" s="599"/>
      <c r="G274" s="599"/>
      <c r="H274" s="599"/>
      <c r="I274" s="599"/>
      <c r="J274" s="599"/>
      <c r="K274" s="599"/>
      <c r="L274" s="599"/>
      <c r="M274" s="599">
        <v>0</v>
      </c>
      <c r="N274" s="592"/>
      <c r="O274" s="592"/>
      <c r="P274" s="882">
        <f t="shared" si="16"/>
        <v>0</v>
      </c>
      <c r="Q274" s="599"/>
      <c r="R274" s="882">
        <f t="shared" si="17"/>
        <v>0</v>
      </c>
      <c r="S274" s="599">
        <f t="shared" si="17"/>
        <v>0</v>
      </c>
      <c r="T274" s="620"/>
      <c r="U274" s="621"/>
      <c r="V274" s="882">
        <f t="shared" si="18"/>
        <v>0</v>
      </c>
      <c r="W274" s="882">
        <f t="shared" si="19"/>
        <v>0</v>
      </c>
    </row>
    <row r="275" spans="1:23" ht="27" hidden="1" customHeight="1">
      <c r="A275" s="583">
        <v>908</v>
      </c>
      <c r="B275" s="581">
        <v>9</v>
      </c>
      <c r="C275" s="583" t="s">
        <v>454</v>
      </c>
      <c r="D275" s="583" t="s">
        <v>1013</v>
      </c>
      <c r="E275" s="599"/>
      <c r="F275" s="599"/>
      <c r="G275" s="599"/>
      <c r="H275" s="599"/>
      <c r="I275" s="599"/>
      <c r="J275" s="599"/>
      <c r="K275" s="599"/>
      <c r="L275" s="599"/>
      <c r="M275" s="599">
        <v>0</v>
      </c>
      <c r="N275" s="592"/>
      <c r="O275" s="592"/>
      <c r="P275" s="882">
        <f t="shared" si="16"/>
        <v>0</v>
      </c>
      <c r="Q275" s="599"/>
      <c r="R275" s="882">
        <f t="shared" si="17"/>
        <v>0</v>
      </c>
      <c r="S275" s="599">
        <f t="shared" si="17"/>
        <v>0</v>
      </c>
      <c r="T275" s="620"/>
      <c r="U275" s="621"/>
      <c r="V275" s="882">
        <f t="shared" si="18"/>
        <v>0</v>
      </c>
      <c r="W275" s="882">
        <f t="shared" si="19"/>
        <v>0</v>
      </c>
    </row>
    <row r="276" spans="1:23" ht="27" hidden="1" customHeight="1">
      <c r="A276" s="583">
        <v>908</v>
      </c>
      <c r="B276" s="581">
        <v>9</v>
      </c>
      <c r="C276" s="583" t="s">
        <v>462</v>
      </c>
      <c r="D276" s="583" t="s">
        <v>463</v>
      </c>
      <c r="E276" s="599">
        <v>533985186443</v>
      </c>
      <c r="F276" s="599"/>
      <c r="G276" s="599"/>
      <c r="H276" s="599"/>
      <c r="I276" s="599"/>
      <c r="J276" s="599"/>
      <c r="K276" s="599"/>
      <c r="L276" s="599"/>
      <c r="M276" s="599">
        <v>0</v>
      </c>
      <c r="N276" s="592"/>
      <c r="O276" s="592"/>
      <c r="P276" s="882">
        <f t="shared" si="16"/>
        <v>533985186443</v>
      </c>
      <c r="Q276" s="599">
        <v>576543745932</v>
      </c>
      <c r="R276" s="882">
        <f t="shared" si="17"/>
        <v>533985</v>
      </c>
      <c r="S276" s="599">
        <f t="shared" si="17"/>
        <v>576544</v>
      </c>
      <c r="T276" s="620"/>
      <c r="U276" s="621"/>
      <c r="V276" s="882">
        <f t="shared" si="18"/>
        <v>533985186443</v>
      </c>
      <c r="W276" s="882">
        <f t="shared" si="19"/>
        <v>533985</v>
      </c>
    </row>
    <row r="277" spans="1:23" ht="27" hidden="1" customHeight="1">
      <c r="A277" s="583">
        <v>501</v>
      </c>
      <c r="B277" s="581">
        <v>5</v>
      </c>
      <c r="C277" s="583" t="s">
        <v>395</v>
      </c>
      <c r="D277" s="583" t="s">
        <v>1028</v>
      </c>
      <c r="E277" s="599"/>
      <c r="F277" s="599"/>
      <c r="G277" s="599"/>
      <c r="H277" s="599"/>
      <c r="I277" s="599"/>
      <c r="J277" s="599"/>
      <c r="K277" s="599"/>
      <c r="L277" s="599"/>
      <c r="M277" s="599">
        <v>0</v>
      </c>
      <c r="N277" s="592"/>
      <c r="O277" s="592"/>
      <c r="P277" s="882">
        <f t="shared" si="16"/>
        <v>0</v>
      </c>
      <c r="Q277" s="599"/>
      <c r="R277" s="882">
        <f t="shared" si="17"/>
        <v>0</v>
      </c>
      <c r="S277" s="599">
        <f t="shared" si="17"/>
        <v>0</v>
      </c>
      <c r="T277" s="620"/>
      <c r="U277" s="621"/>
      <c r="V277" s="882">
        <f t="shared" si="18"/>
        <v>0</v>
      </c>
      <c r="W277" s="882">
        <f t="shared" si="19"/>
        <v>0</v>
      </c>
    </row>
    <row r="278" spans="1:23" ht="27" hidden="1" customHeight="1">
      <c r="A278" s="583">
        <v>501</v>
      </c>
      <c r="B278" s="581">
        <v>5</v>
      </c>
      <c r="C278" s="583" t="s">
        <v>1007</v>
      </c>
      <c r="D278" s="583" t="s">
        <v>1008</v>
      </c>
      <c r="E278" s="599"/>
      <c r="F278" s="599"/>
      <c r="G278" s="599"/>
      <c r="H278" s="599"/>
      <c r="I278" s="599"/>
      <c r="J278" s="599"/>
      <c r="K278" s="599"/>
      <c r="L278" s="599"/>
      <c r="M278" s="599">
        <v>0</v>
      </c>
      <c r="N278" s="592"/>
      <c r="O278" s="592"/>
      <c r="P278" s="882">
        <f t="shared" si="16"/>
        <v>0</v>
      </c>
      <c r="Q278" s="599">
        <v>0</v>
      </c>
      <c r="R278" s="882">
        <f t="shared" si="17"/>
        <v>0</v>
      </c>
      <c r="S278" s="599">
        <f t="shared" si="17"/>
        <v>0</v>
      </c>
      <c r="T278" s="620"/>
      <c r="U278" s="621"/>
      <c r="V278" s="882">
        <f t="shared" si="18"/>
        <v>0</v>
      </c>
      <c r="W278" s="882">
        <f t="shared" si="19"/>
        <v>0</v>
      </c>
    </row>
    <row r="279" spans="1:23" ht="27" hidden="1" customHeight="1">
      <c r="A279" s="583"/>
      <c r="B279" s="581">
        <v>5</v>
      </c>
      <c r="C279" s="583" t="s">
        <v>167</v>
      </c>
      <c r="D279" s="583" t="s">
        <v>1027</v>
      </c>
      <c r="E279" s="599"/>
      <c r="F279" s="599"/>
      <c r="G279" s="599"/>
      <c r="H279" s="599"/>
      <c r="I279" s="599"/>
      <c r="J279" s="599"/>
      <c r="K279" s="599"/>
      <c r="L279" s="599"/>
      <c r="M279" s="599">
        <v>0</v>
      </c>
      <c r="N279" s="592"/>
      <c r="O279" s="592"/>
      <c r="P279" s="882">
        <f t="shared" si="16"/>
        <v>0</v>
      </c>
      <c r="Q279" s="599"/>
      <c r="R279" s="882">
        <f t="shared" si="17"/>
        <v>0</v>
      </c>
      <c r="S279" s="599">
        <f t="shared" si="17"/>
        <v>0</v>
      </c>
      <c r="T279" s="620"/>
      <c r="U279" s="621"/>
      <c r="V279" s="882">
        <f t="shared" si="18"/>
        <v>0</v>
      </c>
      <c r="W279" s="882">
        <f t="shared" si="19"/>
        <v>0</v>
      </c>
    </row>
    <row r="280" spans="1:23" ht="27" hidden="1" customHeight="1">
      <c r="A280" s="583">
        <v>501</v>
      </c>
      <c r="B280" s="581">
        <v>5</v>
      </c>
      <c r="C280" s="583" t="s">
        <v>1009</v>
      </c>
      <c r="D280" s="583" t="s">
        <v>1008</v>
      </c>
      <c r="E280" s="599">
        <v>2017</v>
      </c>
      <c r="F280" s="599"/>
      <c r="G280" s="599"/>
      <c r="H280" s="599"/>
      <c r="I280" s="599"/>
      <c r="J280" s="599"/>
      <c r="K280" s="599"/>
      <c r="L280" s="599"/>
      <c r="M280" s="599">
        <v>0</v>
      </c>
      <c r="N280" s="592"/>
      <c r="O280" s="592"/>
      <c r="P280" s="882">
        <f t="shared" si="16"/>
        <v>2017</v>
      </c>
      <c r="Q280" s="599">
        <v>0</v>
      </c>
      <c r="R280" s="882">
        <f t="shared" si="17"/>
        <v>0</v>
      </c>
      <c r="S280" s="599">
        <f t="shared" si="17"/>
        <v>0</v>
      </c>
      <c r="T280" s="620"/>
      <c r="U280" s="621"/>
      <c r="V280" s="882">
        <f t="shared" si="18"/>
        <v>2017</v>
      </c>
      <c r="W280" s="882">
        <f t="shared" si="19"/>
        <v>0</v>
      </c>
    </row>
    <row r="281" spans="1:23" ht="27" hidden="1" customHeight="1">
      <c r="A281" s="583"/>
      <c r="B281" s="581">
        <v>5</v>
      </c>
      <c r="C281" s="583" t="s">
        <v>1024</v>
      </c>
      <c r="D281" s="583" t="s">
        <v>1025</v>
      </c>
      <c r="E281" s="599"/>
      <c r="F281" s="599"/>
      <c r="G281" s="599"/>
      <c r="H281" s="599"/>
      <c r="I281" s="599"/>
      <c r="J281" s="599"/>
      <c r="K281" s="599"/>
      <c r="L281" s="599"/>
      <c r="M281" s="599">
        <v>0</v>
      </c>
      <c r="N281" s="592"/>
      <c r="O281" s="592"/>
      <c r="P281" s="882">
        <f t="shared" si="16"/>
        <v>0</v>
      </c>
      <c r="Q281" s="599"/>
      <c r="R281" s="882">
        <f t="shared" si="17"/>
        <v>0</v>
      </c>
      <c r="S281" s="599">
        <f t="shared" si="17"/>
        <v>0</v>
      </c>
      <c r="T281" s="620"/>
      <c r="U281" s="621"/>
      <c r="V281" s="882">
        <f t="shared" si="18"/>
        <v>0</v>
      </c>
      <c r="W281" s="882">
        <f t="shared" si="19"/>
        <v>0</v>
      </c>
    </row>
    <row r="282" spans="1:23" ht="27" hidden="1" customHeight="1">
      <c r="A282" s="583">
        <v>506</v>
      </c>
      <c r="B282" s="581">
        <v>5</v>
      </c>
      <c r="C282" s="583" t="s">
        <v>282</v>
      </c>
      <c r="D282" s="583" t="s">
        <v>283</v>
      </c>
      <c r="E282" s="599">
        <v>861775263</v>
      </c>
      <c r="F282" s="599"/>
      <c r="G282" s="599"/>
      <c r="H282" s="599"/>
      <c r="I282" s="599"/>
      <c r="J282" s="599"/>
      <c r="K282" s="599"/>
      <c r="L282" s="599"/>
      <c r="M282" s="599">
        <v>0</v>
      </c>
      <c r="N282" s="592"/>
      <c r="O282" s="592"/>
      <c r="P282" s="882">
        <f t="shared" si="16"/>
        <v>861775263</v>
      </c>
      <c r="Q282" s="599">
        <v>861748308</v>
      </c>
      <c r="R282" s="882">
        <f t="shared" si="17"/>
        <v>862</v>
      </c>
      <c r="S282" s="599">
        <f t="shared" si="17"/>
        <v>862</v>
      </c>
      <c r="T282" s="620"/>
      <c r="U282" s="621"/>
      <c r="V282" s="882">
        <f t="shared" si="18"/>
        <v>861775263</v>
      </c>
      <c r="W282" s="882">
        <f t="shared" si="19"/>
        <v>862</v>
      </c>
    </row>
    <row r="283" spans="1:23" ht="27" hidden="1" customHeight="1">
      <c r="A283" s="583">
        <v>907</v>
      </c>
      <c r="B283" s="581">
        <v>9</v>
      </c>
      <c r="C283" s="583" t="s">
        <v>76</v>
      </c>
      <c r="D283" s="583" t="s">
        <v>77</v>
      </c>
      <c r="E283" s="599">
        <v>103561380</v>
      </c>
      <c r="F283" s="599"/>
      <c r="G283" s="599"/>
      <c r="H283" s="599"/>
      <c r="I283" s="599"/>
      <c r="J283" s="599"/>
      <c r="K283" s="599"/>
      <c r="L283" s="599"/>
      <c r="M283" s="599">
        <v>0</v>
      </c>
      <c r="N283" s="592"/>
      <c r="O283" s="592"/>
      <c r="P283" s="882">
        <f t="shared" si="16"/>
        <v>103561380</v>
      </c>
      <c r="Q283" s="599"/>
      <c r="R283" s="882">
        <f t="shared" si="17"/>
        <v>104</v>
      </c>
      <c r="S283" s="599">
        <f t="shared" si="17"/>
        <v>0</v>
      </c>
      <c r="T283" s="620"/>
      <c r="U283" s="621"/>
      <c r="V283" s="882">
        <f t="shared" si="18"/>
        <v>103561380</v>
      </c>
      <c r="W283" s="882">
        <f t="shared" si="19"/>
        <v>104</v>
      </c>
    </row>
    <row r="284" spans="1:23" ht="27" hidden="1" customHeight="1">
      <c r="A284" s="583">
        <v>506</v>
      </c>
      <c r="B284" s="581">
        <v>5</v>
      </c>
      <c r="C284" s="583" t="s">
        <v>464</v>
      </c>
      <c r="D284" s="583" t="s">
        <v>311</v>
      </c>
      <c r="E284" s="599">
        <v>-744179185</v>
      </c>
      <c r="F284" s="599"/>
      <c r="G284" s="599"/>
      <c r="H284" s="599"/>
      <c r="I284" s="599"/>
      <c r="J284" s="599"/>
      <c r="K284" s="599"/>
      <c r="L284" s="599"/>
      <c r="M284" s="599">
        <v>0</v>
      </c>
      <c r="N284" s="592"/>
      <c r="O284" s="592"/>
      <c r="P284" s="882">
        <f t="shared" si="16"/>
        <v>-744179185</v>
      </c>
      <c r="Q284" s="599">
        <v>-740284669</v>
      </c>
      <c r="R284" s="882">
        <f t="shared" si="17"/>
        <v>-744</v>
      </c>
      <c r="S284" s="599">
        <f t="shared" si="17"/>
        <v>-740</v>
      </c>
      <c r="T284" s="620"/>
      <c r="U284" s="621"/>
      <c r="V284" s="882">
        <f t="shared" si="18"/>
        <v>-744179185</v>
      </c>
      <c r="W284" s="882">
        <f t="shared" si="19"/>
        <v>-744</v>
      </c>
    </row>
    <row r="285" spans="1:23" ht="27" hidden="1" customHeight="1">
      <c r="A285" s="583">
        <v>506</v>
      </c>
      <c r="B285" s="581">
        <v>5</v>
      </c>
      <c r="C285" s="583" t="s">
        <v>594</v>
      </c>
      <c r="D285" s="583" t="s">
        <v>314</v>
      </c>
      <c r="E285" s="599">
        <f>302233-31605</f>
        <v>270628</v>
      </c>
      <c r="F285" s="599"/>
      <c r="G285" s="599"/>
      <c r="H285" s="599"/>
      <c r="I285" s="599"/>
      <c r="J285" s="599"/>
      <c r="K285" s="599"/>
      <c r="L285" s="599"/>
      <c r="M285" s="599">
        <v>0</v>
      </c>
      <c r="N285" s="592"/>
      <c r="O285" s="592"/>
      <c r="P285" s="882">
        <f t="shared" si="16"/>
        <v>270628</v>
      </c>
      <c r="Q285" s="599"/>
      <c r="R285" s="882">
        <f t="shared" si="17"/>
        <v>0</v>
      </c>
      <c r="S285" s="599">
        <f t="shared" si="17"/>
        <v>0</v>
      </c>
      <c r="T285" s="620"/>
      <c r="U285" s="621"/>
      <c r="V285" s="882">
        <f t="shared" si="18"/>
        <v>270628</v>
      </c>
      <c r="W285" s="882">
        <f t="shared" si="19"/>
        <v>0</v>
      </c>
    </row>
    <row r="286" spans="1:23" ht="27" hidden="1" customHeight="1">
      <c r="A286" s="583">
        <v>506</v>
      </c>
      <c r="B286" s="581">
        <v>5</v>
      </c>
      <c r="C286" s="583" t="s">
        <v>595</v>
      </c>
      <c r="D286" s="583" t="s">
        <v>315</v>
      </c>
      <c r="E286" s="599"/>
      <c r="F286" s="599"/>
      <c r="G286" s="599"/>
      <c r="H286" s="599"/>
      <c r="I286" s="599"/>
      <c r="J286" s="599"/>
      <c r="K286" s="599"/>
      <c r="L286" s="599"/>
      <c r="M286" s="599">
        <v>0</v>
      </c>
      <c r="N286" s="592"/>
      <c r="O286" s="592"/>
      <c r="P286" s="882">
        <f t="shared" si="16"/>
        <v>0</v>
      </c>
      <c r="Q286" s="599"/>
      <c r="R286" s="882">
        <f t="shared" si="17"/>
        <v>0</v>
      </c>
      <c r="S286" s="599">
        <f t="shared" si="17"/>
        <v>0</v>
      </c>
      <c r="T286" s="620"/>
      <c r="U286" s="621"/>
      <c r="V286" s="882">
        <f t="shared" si="18"/>
        <v>0</v>
      </c>
      <c r="W286" s="882">
        <f t="shared" si="19"/>
        <v>0</v>
      </c>
    </row>
    <row r="287" spans="1:23" ht="27" hidden="1" customHeight="1">
      <c r="A287" s="583">
        <v>506</v>
      </c>
      <c r="B287" s="581">
        <v>5</v>
      </c>
      <c r="C287" s="583" t="s">
        <v>333</v>
      </c>
      <c r="D287" s="583" t="s">
        <v>334</v>
      </c>
      <c r="E287" s="599">
        <v>525822</v>
      </c>
      <c r="F287" s="599"/>
      <c r="G287" s="599"/>
      <c r="H287" s="599"/>
      <c r="I287" s="599"/>
      <c r="J287" s="599"/>
      <c r="K287" s="599"/>
      <c r="L287" s="599"/>
      <c r="M287" s="599">
        <v>0</v>
      </c>
      <c r="N287" s="592"/>
      <c r="O287" s="592"/>
      <c r="P287" s="882">
        <f t="shared" si="16"/>
        <v>525822</v>
      </c>
      <c r="Q287" s="599">
        <v>-5799740790</v>
      </c>
      <c r="R287" s="882">
        <f t="shared" si="17"/>
        <v>1</v>
      </c>
      <c r="S287" s="599">
        <f t="shared" si="17"/>
        <v>-5800</v>
      </c>
      <c r="T287" s="620"/>
      <c r="U287" s="621"/>
      <c r="V287" s="882">
        <f t="shared" si="18"/>
        <v>525822</v>
      </c>
      <c r="W287" s="882">
        <f t="shared" si="19"/>
        <v>1</v>
      </c>
    </row>
    <row r="288" spans="1:23" ht="27" hidden="1" customHeight="1">
      <c r="A288" s="583"/>
      <c r="B288" s="581">
        <v>5</v>
      </c>
      <c r="C288" s="583" t="s">
        <v>316</v>
      </c>
      <c r="D288" s="583" t="s">
        <v>1030</v>
      </c>
      <c r="E288" s="599">
        <v>1</v>
      </c>
      <c r="F288" s="599"/>
      <c r="G288" s="599"/>
      <c r="H288" s="599"/>
      <c r="I288" s="599"/>
      <c r="J288" s="599"/>
      <c r="K288" s="599"/>
      <c r="L288" s="599"/>
      <c r="M288" s="599">
        <v>0</v>
      </c>
      <c r="N288" s="592"/>
      <c r="O288" s="592"/>
      <c r="P288" s="882">
        <f t="shared" si="16"/>
        <v>1</v>
      </c>
      <c r="Q288" s="599">
        <v>0</v>
      </c>
      <c r="R288" s="882">
        <f t="shared" si="17"/>
        <v>0</v>
      </c>
      <c r="S288" s="599">
        <f t="shared" si="17"/>
        <v>0</v>
      </c>
      <c r="T288" s="620"/>
      <c r="U288" s="621"/>
      <c r="V288" s="882">
        <f t="shared" si="18"/>
        <v>1</v>
      </c>
      <c r="W288" s="882">
        <f t="shared" si="19"/>
        <v>0</v>
      </c>
    </row>
    <row r="289" spans="1:23" ht="27" hidden="1" customHeight="1">
      <c r="A289" s="583">
        <v>506</v>
      </c>
      <c r="B289" s="581">
        <v>5</v>
      </c>
      <c r="C289" s="583" t="s">
        <v>903</v>
      </c>
      <c r="D289" s="583" t="s">
        <v>912</v>
      </c>
      <c r="E289" s="599"/>
      <c r="F289" s="599"/>
      <c r="G289" s="599"/>
      <c r="H289" s="599"/>
      <c r="I289" s="599"/>
      <c r="J289" s="599"/>
      <c r="K289" s="599"/>
      <c r="L289" s="599"/>
      <c r="M289" s="599">
        <v>0</v>
      </c>
      <c r="N289" s="592"/>
      <c r="O289" s="592"/>
      <c r="P289" s="882">
        <f t="shared" si="16"/>
        <v>0</v>
      </c>
      <c r="Q289" s="599"/>
      <c r="R289" s="882">
        <f t="shared" si="17"/>
        <v>0</v>
      </c>
      <c r="S289" s="599">
        <f t="shared" si="17"/>
        <v>0</v>
      </c>
      <c r="T289" s="620"/>
      <c r="U289" s="621"/>
      <c r="V289" s="882">
        <f t="shared" si="18"/>
        <v>0</v>
      </c>
      <c r="W289" s="882">
        <f t="shared" si="19"/>
        <v>0</v>
      </c>
    </row>
    <row r="290" spans="1:23" ht="27" hidden="1" customHeight="1">
      <c r="A290" s="583">
        <v>506</v>
      </c>
      <c r="B290" s="581">
        <v>5</v>
      </c>
      <c r="C290" s="583" t="s">
        <v>596</v>
      </c>
      <c r="D290" s="583" t="s">
        <v>762</v>
      </c>
      <c r="E290" s="599">
        <v>8158654264</v>
      </c>
      <c r="F290" s="599"/>
      <c r="G290" s="599"/>
      <c r="H290" s="599"/>
      <c r="I290" s="599"/>
      <c r="J290" s="599"/>
      <c r="K290" s="599"/>
      <c r="L290" s="599"/>
      <c r="M290" s="599">
        <v>0</v>
      </c>
      <c r="N290" s="592"/>
      <c r="O290" s="592"/>
      <c r="P290" s="882">
        <f t="shared" si="16"/>
        <v>8158654264</v>
      </c>
      <c r="Q290" s="599">
        <f>12149735011+887217907-5870260377</f>
        <v>7166692541</v>
      </c>
      <c r="R290" s="882">
        <f t="shared" si="17"/>
        <v>8159</v>
      </c>
      <c r="S290" s="599">
        <f t="shared" si="17"/>
        <v>7167</v>
      </c>
      <c r="T290" s="620"/>
      <c r="U290" s="621"/>
      <c r="V290" s="882">
        <f t="shared" si="18"/>
        <v>8158654264</v>
      </c>
      <c r="W290" s="882">
        <f t="shared" si="19"/>
        <v>8159</v>
      </c>
    </row>
    <row r="291" spans="1:23" ht="27" hidden="1" customHeight="1">
      <c r="A291" s="583">
        <v>907</v>
      </c>
      <c r="B291" s="581">
        <v>9</v>
      </c>
      <c r="C291" s="583" t="s">
        <v>596</v>
      </c>
      <c r="D291" s="587" t="s">
        <v>1458</v>
      </c>
      <c r="E291" s="599"/>
      <c r="F291" s="599"/>
      <c r="G291" s="599"/>
      <c r="H291" s="599"/>
      <c r="I291" s="599"/>
      <c r="J291" s="599"/>
      <c r="K291" s="599"/>
      <c r="L291" s="599"/>
      <c r="M291" s="599">
        <v>0</v>
      </c>
      <c r="N291" s="592"/>
      <c r="O291" s="592"/>
      <c r="P291" s="882">
        <f t="shared" si="16"/>
        <v>0</v>
      </c>
      <c r="Q291" s="599">
        <f>887217907+5870260377</f>
        <v>6757478284</v>
      </c>
      <c r="R291" s="882">
        <f t="shared" si="17"/>
        <v>0</v>
      </c>
      <c r="S291" s="599">
        <f t="shared" si="17"/>
        <v>6757</v>
      </c>
      <c r="T291" s="620"/>
      <c r="U291" s="627"/>
      <c r="V291" s="882">
        <f t="shared" si="18"/>
        <v>0</v>
      </c>
      <c r="W291" s="882">
        <f t="shared" si="19"/>
        <v>0</v>
      </c>
    </row>
    <row r="292" spans="1:23" ht="27" hidden="1" customHeight="1">
      <c r="A292" s="583">
        <v>403</v>
      </c>
      <c r="B292" s="581">
        <v>4</v>
      </c>
      <c r="C292" s="583" t="s">
        <v>1385</v>
      </c>
      <c r="D292" s="583" t="s">
        <v>740</v>
      </c>
      <c r="E292" s="599">
        <v>4208778662</v>
      </c>
      <c r="F292" s="599"/>
      <c r="G292" s="599"/>
      <c r="H292" s="599"/>
      <c r="I292" s="599"/>
      <c r="J292" s="599"/>
      <c r="K292" s="599"/>
      <c r="L292" s="599"/>
      <c r="M292" s="599">
        <v>0</v>
      </c>
      <c r="N292" s="592"/>
      <c r="O292" s="592"/>
      <c r="P292" s="882">
        <f t="shared" si="16"/>
        <v>4208778662</v>
      </c>
      <c r="Q292" s="599">
        <v>-321331009</v>
      </c>
      <c r="R292" s="882">
        <f t="shared" si="17"/>
        <v>4209</v>
      </c>
      <c r="S292" s="599">
        <f t="shared" si="17"/>
        <v>-321</v>
      </c>
      <c r="T292" s="620"/>
      <c r="U292" s="621"/>
      <c r="V292" s="882">
        <f t="shared" si="18"/>
        <v>4208778662</v>
      </c>
      <c r="W292" s="882">
        <f t="shared" si="19"/>
        <v>4209</v>
      </c>
    </row>
    <row r="293" spans="1:23" ht="27" hidden="1" customHeight="1">
      <c r="A293" s="583">
        <v>506</v>
      </c>
      <c r="B293" s="581">
        <v>5</v>
      </c>
      <c r="C293" s="583" t="s">
        <v>1384</v>
      </c>
      <c r="D293" s="583" t="s">
        <v>1401</v>
      </c>
      <c r="E293" s="599">
        <v>20942892857</v>
      </c>
      <c r="F293" s="599"/>
      <c r="G293" s="599"/>
      <c r="H293" s="599"/>
      <c r="I293" s="599"/>
      <c r="J293" s="599"/>
      <c r="K293" s="599"/>
      <c r="L293" s="599"/>
      <c r="M293" s="599">
        <v>0</v>
      </c>
      <c r="N293" s="592"/>
      <c r="O293" s="592"/>
      <c r="P293" s="882">
        <f t="shared" si="16"/>
        <v>20942892857</v>
      </c>
      <c r="Q293" s="599">
        <v>12554021114</v>
      </c>
      <c r="R293" s="882">
        <f t="shared" si="17"/>
        <v>20943</v>
      </c>
      <c r="S293" s="599">
        <f t="shared" si="17"/>
        <v>12554</v>
      </c>
      <c r="T293" s="620"/>
      <c r="U293" s="621"/>
      <c r="V293" s="882">
        <f t="shared" si="18"/>
        <v>20942892857</v>
      </c>
      <c r="W293" s="882">
        <f t="shared" si="19"/>
        <v>20943</v>
      </c>
    </row>
    <row r="294" spans="1:23" ht="27" hidden="1" customHeight="1">
      <c r="A294" s="583">
        <v>603</v>
      </c>
      <c r="B294" s="581">
        <v>6</v>
      </c>
      <c r="C294" s="583" t="s">
        <v>319</v>
      </c>
      <c r="D294" s="583" t="s">
        <v>1035</v>
      </c>
      <c r="E294" s="599"/>
      <c r="F294" s="599"/>
      <c r="G294" s="599"/>
      <c r="H294" s="599"/>
      <c r="I294" s="599"/>
      <c r="J294" s="599"/>
      <c r="K294" s="599"/>
      <c r="L294" s="599"/>
      <c r="M294" s="599">
        <v>0</v>
      </c>
      <c r="N294" s="592"/>
      <c r="O294" s="592"/>
      <c r="P294" s="882">
        <f t="shared" si="16"/>
        <v>0</v>
      </c>
      <c r="Q294" s="599"/>
      <c r="R294" s="882">
        <f t="shared" si="17"/>
        <v>0</v>
      </c>
      <c r="S294" s="599">
        <f t="shared" si="17"/>
        <v>0</v>
      </c>
      <c r="T294" s="620"/>
      <c r="U294" s="621"/>
      <c r="V294" s="882">
        <f t="shared" si="18"/>
        <v>0</v>
      </c>
      <c r="W294" s="882">
        <f t="shared" si="19"/>
        <v>0</v>
      </c>
    </row>
    <row r="295" spans="1:23" ht="27" hidden="1" customHeight="1">
      <c r="A295" s="583">
        <v>607</v>
      </c>
      <c r="B295" s="581">
        <v>6</v>
      </c>
      <c r="C295" s="583" t="s">
        <v>321</v>
      </c>
      <c r="D295" s="583" t="s">
        <v>741</v>
      </c>
      <c r="E295" s="599">
        <v>9256064000</v>
      </c>
      <c r="F295" s="599"/>
      <c r="G295" s="599">
        <v>294880000</v>
      </c>
      <c r="H295" s="599"/>
      <c r="I295" s="599"/>
      <c r="J295" s="599"/>
      <c r="K295" s="599"/>
      <c r="L295" s="599"/>
      <c r="M295" s="599">
        <v>0</v>
      </c>
      <c r="N295" s="592"/>
      <c r="O295" s="592"/>
      <c r="P295" s="882">
        <f t="shared" si="16"/>
        <v>9550944000</v>
      </c>
      <c r="Q295" s="599">
        <v>13303650541</v>
      </c>
      <c r="R295" s="882">
        <f t="shared" si="17"/>
        <v>9551</v>
      </c>
      <c r="S295" s="599">
        <f t="shared" si="17"/>
        <v>13304</v>
      </c>
      <c r="T295" s="620"/>
      <c r="U295" s="621"/>
      <c r="V295" s="882">
        <f t="shared" si="18"/>
        <v>9550944000</v>
      </c>
      <c r="W295" s="882">
        <f t="shared" si="19"/>
        <v>9551</v>
      </c>
    </row>
    <row r="296" spans="1:23" ht="27" hidden="1" customHeight="1">
      <c r="A296" s="583">
        <v>403</v>
      </c>
      <c r="B296" s="581">
        <v>4</v>
      </c>
      <c r="C296" s="583" t="s">
        <v>323</v>
      </c>
      <c r="D296" s="583" t="s">
        <v>1036</v>
      </c>
      <c r="E296" s="599">
        <v>-16110379536</v>
      </c>
      <c r="F296" s="599"/>
      <c r="G296" s="599"/>
      <c r="H296" s="599"/>
      <c r="I296" s="599"/>
      <c r="J296" s="599"/>
      <c r="K296" s="599"/>
      <c r="L296" s="599"/>
      <c r="M296" s="599">
        <v>0</v>
      </c>
      <c r="N296" s="592"/>
      <c r="O296" s="592"/>
      <c r="P296" s="882">
        <f t="shared" si="16"/>
        <v>-16110379536</v>
      </c>
      <c r="Q296" s="599">
        <f>5640431421-16110379536-887217907</f>
        <v>-11357166022</v>
      </c>
      <c r="R296" s="882">
        <f t="shared" si="17"/>
        <v>-16110</v>
      </c>
      <c r="S296" s="599">
        <f t="shared" si="17"/>
        <v>-11357</v>
      </c>
      <c r="T296" s="620"/>
      <c r="U296" s="621"/>
      <c r="V296" s="882">
        <f t="shared" si="18"/>
        <v>-16110379536</v>
      </c>
      <c r="W296" s="882">
        <f t="shared" si="19"/>
        <v>-16110</v>
      </c>
    </row>
    <row r="297" spans="1:23" ht="27" hidden="1" customHeight="1">
      <c r="A297" s="583">
        <v>506</v>
      </c>
      <c r="B297" s="581">
        <v>5</v>
      </c>
      <c r="C297" s="583" t="s">
        <v>323</v>
      </c>
      <c r="D297" s="583" t="s">
        <v>1037</v>
      </c>
      <c r="E297" s="599">
        <v>105005572657</v>
      </c>
      <c r="F297" s="599"/>
      <c r="G297" s="599"/>
      <c r="H297" s="599"/>
      <c r="I297" s="599"/>
      <c r="J297" s="599"/>
      <c r="K297" s="599"/>
      <c r="L297" s="599"/>
      <c r="M297" s="599">
        <v>0</v>
      </c>
      <c r="N297" s="592"/>
      <c r="O297" s="592"/>
      <c r="P297" s="882">
        <f t="shared" si="16"/>
        <v>105005572657</v>
      </c>
      <c r="Q297" s="599"/>
      <c r="R297" s="882">
        <f t="shared" si="17"/>
        <v>105006</v>
      </c>
      <c r="S297" s="599">
        <f t="shared" si="17"/>
        <v>0</v>
      </c>
      <c r="T297" s="620"/>
      <c r="U297" s="621"/>
      <c r="V297" s="882">
        <f t="shared" si="18"/>
        <v>105005572657</v>
      </c>
      <c r="W297" s="882">
        <f t="shared" si="19"/>
        <v>105006</v>
      </c>
    </row>
    <row r="298" spans="1:23" ht="27" hidden="1" customHeight="1">
      <c r="A298" s="583">
        <v>907</v>
      </c>
      <c r="B298" s="581">
        <v>9</v>
      </c>
      <c r="C298" s="583" t="s">
        <v>325</v>
      </c>
      <c r="D298" s="583" t="s">
        <v>1038</v>
      </c>
      <c r="E298" s="599"/>
      <c r="F298" s="599"/>
      <c r="G298" s="599"/>
      <c r="H298" s="599"/>
      <c r="I298" s="599"/>
      <c r="J298" s="599"/>
      <c r="K298" s="599"/>
      <c r="L298" s="599"/>
      <c r="M298" s="599">
        <v>0</v>
      </c>
      <c r="N298" s="592"/>
      <c r="O298" s="592"/>
      <c r="P298" s="882">
        <f t="shared" si="16"/>
        <v>0</v>
      </c>
      <c r="Q298" s="599">
        <v>148838935014</v>
      </c>
      <c r="R298" s="882">
        <f t="shared" si="17"/>
        <v>0</v>
      </c>
      <c r="S298" s="599">
        <f t="shared" si="17"/>
        <v>148839</v>
      </c>
      <c r="T298" s="620"/>
      <c r="U298" s="621"/>
      <c r="V298" s="882">
        <f t="shared" si="18"/>
        <v>0</v>
      </c>
      <c r="W298" s="882">
        <f t="shared" si="19"/>
        <v>0</v>
      </c>
    </row>
    <row r="299" spans="1:23" ht="27" hidden="1" customHeight="1">
      <c r="A299" s="583">
        <v>601</v>
      </c>
      <c r="B299" s="581">
        <v>6</v>
      </c>
      <c r="C299" s="583" t="s">
        <v>751</v>
      </c>
      <c r="D299" s="583" t="s">
        <v>752</v>
      </c>
      <c r="E299" s="599"/>
      <c r="F299" s="599"/>
      <c r="G299" s="599"/>
      <c r="H299" s="599"/>
      <c r="I299" s="599"/>
      <c r="J299" s="599"/>
      <c r="K299" s="599"/>
      <c r="L299" s="599"/>
      <c r="M299" s="599">
        <v>0</v>
      </c>
      <c r="N299" s="592"/>
      <c r="O299" s="592"/>
      <c r="P299" s="882">
        <f t="shared" si="16"/>
        <v>0</v>
      </c>
      <c r="Q299" s="599"/>
      <c r="R299" s="882">
        <f t="shared" si="17"/>
        <v>0</v>
      </c>
      <c r="S299" s="599">
        <f t="shared" si="17"/>
        <v>0</v>
      </c>
      <c r="T299" s="620"/>
      <c r="U299" s="621"/>
      <c r="V299" s="882">
        <f t="shared" si="18"/>
        <v>0</v>
      </c>
      <c r="W299" s="882">
        <f t="shared" si="19"/>
        <v>0</v>
      </c>
    </row>
    <row r="300" spans="1:23" ht="27" hidden="1" customHeight="1">
      <c r="A300" s="583">
        <v>907</v>
      </c>
      <c r="B300" s="581">
        <v>9</v>
      </c>
      <c r="C300" s="583" t="s">
        <v>751</v>
      </c>
      <c r="D300" s="583" t="s">
        <v>752</v>
      </c>
      <c r="E300" s="599"/>
      <c r="F300" s="599"/>
      <c r="G300" s="599"/>
      <c r="H300" s="599"/>
      <c r="I300" s="599"/>
      <c r="J300" s="599"/>
      <c r="K300" s="599"/>
      <c r="L300" s="599"/>
      <c r="M300" s="599">
        <v>0</v>
      </c>
      <c r="N300" s="592"/>
      <c r="O300" s="592"/>
      <c r="P300" s="882">
        <f t="shared" si="16"/>
        <v>0</v>
      </c>
      <c r="Q300" s="599"/>
      <c r="R300" s="882">
        <f t="shared" si="17"/>
        <v>0</v>
      </c>
      <c r="S300" s="599">
        <f t="shared" si="17"/>
        <v>0</v>
      </c>
      <c r="T300" s="620"/>
      <c r="U300" s="621"/>
      <c r="V300" s="882">
        <f t="shared" si="18"/>
        <v>0</v>
      </c>
      <c r="W300" s="882">
        <f t="shared" si="19"/>
        <v>0</v>
      </c>
    </row>
    <row r="301" spans="1:23" ht="27" hidden="1" customHeight="1">
      <c r="A301" s="583">
        <v>601</v>
      </c>
      <c r="B301" s="581">
        <v>6</v>
      </c>
      <c r="C301" s="583" t="s">
        <v>750</v>
      </c>
      <c r="D301" s="583" t="s">
        <v>752</v>
      </c>
      <c r="E301" s="599"/>
      <c r="F301" s="599"/>
      <c r="G301" s="599"/>
      <c r="H301" s="599"/>
      <c r="I301" s="599"/>
      <c r="J301" s="599"/>
      <c r="K301" s="599"/>
      <c r="L301" s="599"/>
      <c r="M301" s="599">
        <v>0</v>
      </c>
      <c r="N301" s="592"/>
      <c r="O301" s="592"/>
      <c r="P301" s="882">
        <f t="shared" si="16"/>
        <v>0</v>
      </c>
      <c r="Q301" s="599"/>
      <c r="R301" s="882">
        <f t="shared" si="17"/>
        <v>0</v>
      </c>
      <c r="S301" s="599">
        <f t="shared" si="17"/>
        <v>0</v>
      </c>
      <c r="T301" s="620"/>
      <c r="U301" s="621"/>
      <c r="V301" s="882">
        <f t="shared" si="18"/>
        <v>0</v>
      </c>
      <c r="W301" s="882">
        <f t="shared" si="19"/>
        <v>0</v>
      </c>
    </row>
    <row r="302" spans="1:23" ht="27" hidden="1" customHeight="1">
      <c r="A302" s="583">
        <v>302</v>
      </c>
      <c r="B302" s="581">
        <v>3</v>
      </c>
      <c r="C302" s="583" t="s">
        <v>750</v>
      </c>
      <c r="D302" s="583" t="s">
        <v>752</v>
      </c>
      <c r="E302" s="599"/>
      <c r="F302" s="599"/>
      <c r="G302" s="599"/>
      <c r="H302" s="599"/>
      <c r="I302" s="599"/>
      <c r="J302" s="599"/>
      <c r="K302" s="599"/>
      <c r="L302" s="599"/>
      <c r="M302" s="599">
        <v>0</v>
      </c>
      <c r="N302" s="592"/>
      <c r="O302" s="592"/>
      <c r="P302" s="882">
        <f t="shared" si="16"/>
        <v>0</v>
      </c>
      <c r="Q302" s="599"/>
      <c r="R302" s="882">
        <f t="shared" si="17"/>
        <v>0</v>
      </c>
      <c r="S302" s="599">
        <f t="shared" si="17"/>
        <v>0</v>
      </c>
      <c r="T302" s="620"/>
      <c r="U302" s="621"/>
      <c r="V302" s="882">
        <f t="shared" si="18"/>
        <v>0</v>
      </c>
      <c r="W302" s="882">
        <f t="shared" si="19"/>
        <v>0</v>
      </c>
    </row>
    <row r="303" spans="1:23" ht="27" hidden="1" customHeight="1">
      <c r="A303" s="583"/>
      <c r="B303" s="581">
        <v>13</v>
      </c>
      <c r="C303" s="583" t="s">
        <v>327</v>
      </c>
      <c r="D303" s="583" t="s">
        <v>328</v>
      </c>
      <c r="E303" s="599">
        <v>-12000000000000</v>
      </c>
      <c r="F303" s="599"/>
      <c r="G303" s="599"/>
      <c r="H303" s="599"/>
      <c r="I303" s="599"/>
      <c r="J303" s="599"/>
      <c r="K303" s="599"/>
      <c r="L303" s="599"/>
      <c r="M303" s="599">
        <v>0</v>
      </c>
      <c r="N303" s="592"/>
      <c r="O303" s="592"/>
      <c r="P303" s="882">
        <f t="shared" si="16"/>
        <v>-12000000000000</v>
      </c>
      <c r="Q303" s="599">
        <v>-12000000000000</v>
      </c>
      <c r="R303" s="882">
        <f t="shared" si="17"/>
        <v>-12000000</v>
      </c>
      <c r="S303" s="599">
        <f t="shared" si="17"/>
        <v>-12000000</v>
      </c>
      <c r="T303" s="620"/>
      <c r="U303" s="621"/>
      <c r="V303" s="882">
        <f t="shared" si="18"/>
        <v>-12000000000000</v>
      </c>
      <c r="W303" s="882">
        <f t="shared" si="19"/>
        <v>-12000000</v>
      </c>
    </row>
    <row r="304" spans="1:23" ht="27" hidden="1" customHeight="1">
      <c r="A304" s="583">
        <v>10040</v>
      </c>
      <c r="B304" s="581">
        <v>14</v>
      </c>
      <c r="C304" s="583" t="s">
        <v>1345</v>
      </c>
      <c r="D304" s="583" t="s">
        <v>1346</v>
      </c>
      <c r="E304" s="599">
        <v>-3516164071595</v>
      </c>
      <c r="F304" s="599"/>
      <c r="G304" s="599"/>
      <c r="H304" s="599"/>
      <c r="I304" s="599"/>
      <c r="J304" s="599"/>
      <c r="K304" s="599"/>
      <c r="L304" s="599">
        <v>-3201925273476</v>
      </c>
      <c r="M304" s="599">
        <v>-3201925273476</v>
      </c>
      <c r="N304" s="592"/>
      <c r="O304" s="592"/>
      <c r="P304" s="882">
        <f t="shared" si="16"/>
        <v>-6718089345071</v>
      </c>
      <c r="Q304" s="599"/>
      <c r="R304" s="882">
        <f t="shared" si="17"/>
        <v>-6718089</v>
      </c>
      <c r="S304" s="599">
        <f t="shared" si="17"/>
        <v>0</v>
      </c>
      <c r="T304" s="620"/>
      <c r="U304" s="621"/>
      <c r="V304" s="882">
        <f t="shared" si="18"/>
        <v>-6718089345071</v>
      </c>
      <c r="W304" s="882">
        <f t="shared" si="19"/>
        <v>-6718089</v>
      </c>
    </row>
    <row r="305" spans="1:23" ht="27" hidden="1" customHeight="1">
      <c r="A305" s="583">
        <v>1502</v>
      </c>
      <c r="B305" s="581">
        <v>15</v>
      </c>
      <c r="C305" s="583" t="s">
        <v>329</v>
      </c>
      <c r="D305" s="583" t="s">
        <v>330</v>
      </c>
      <c r="E305" s="599">
        <v>-500000</v>
      </c>
      <c r="F305" s="599"/>
      <c r="G305" s="599"/>
      <c r="H305" s="599"/>
      <c r="I305" s="599"/>
      <c r="J305" s="599"/>
      <c r="K305" s="599"/>
      <c r="L305" s="599"/>
      <c r="M305" s="599">
        <v>0</v>
      </c>
      <c r="N305" s="592"/>
      <c r="O305" s="592"/>
      <c r="P305" s="882">
        <f t="shared" si="16"/>
        <v>-500000</v>
      </c>
      <c r="Q305" s="599">
        <f>-34123500000+34123000000</f>
        <v>-500000</v>
      </c>
      <c r="R305" s="882">
        <f t="shared" si="17"/>
        <v>-1</v>
      </c>
      <c r="S305" s="599">
        <f t="shared" si="17"/>
        <v>-1</v>
      </c>
      <c r="T305" s="620"/>
      <c r="U305" s="621"/>
      <c r="V305" s="882">
        <f t="shared" si="18"/>
        <v>-500000</v>
      </c>
      <c r="W305" s="882">
        <f t="shared" si="19"/>
        <v>-1</v>
      </c>
    </row>
    <row r="306" spans="1:23" ht="27" hidden="1" customHeight="1">
      <c r="A306" s="583">
        <v>1501</v>
      </c>
      <c r="B306" s="581">
        <v>15</v>
      </c>
      <c r="C306" s="583" t="s">
        <v>331</v>
      </c>
      <c r="D306" s="583" t="s">
        <v>332</v>
      </c>
      <c r="E306" s="599">
        <v>-2735500000</v>
      </c>
      <c r="F306" s="599"/>
      <c r="G306" s="599"/>
      <c r="H306" s="599"/>
      <c r="I306" s="599"/>
      <c r="J306" s="599"/>
      <c r="K306" s="599"/>
      <c r="L306" s="599"/>
      <c r="M306" s="599">
        <v>0</v>
      </c>
      <c r="N306" s="592"/>
      <c r="O306" s="592"/>
      <c r="P306" s="882">
        <f t="shared" si="16"/>
        <v>-2735500000</v>
      </c>
      <c r="Q306" s="599">
        <v>-2735500000</v>
      </c>
      <c r="R306" s="882">
        <f t="shared" si="17"/>
        <v>-2736</v>
      </c>
      <c r="S306" s="599">
        <f t="shared" si="17"/>
        <v>-2736</v>
      </c>
      <c r="T306" s="620"/>
      <c r="U306" s="621"/>
      <c r="V306" s="882">
        <f t="shared" si="18"/>
        <v>-2735500000</v>
      </c>
      <c r="W306" s="882">
        <f t="shared" si="19"/>
        <v>-2736</v>
      </c>
    </row>
    <row r="307" spans="1:23" ht="27" hidden="1" customHeight="1">
      <c r="A307" s="583">
        <v>406</v>
      </c>
      <c r="B307" s="581">
        <v>4</v>
      </c>
      <c r="C307" s="583" t="s">
        <v>1211</v>
      </c>
      <c r="D307" s="583" t="s">
        <v>1165</v>
      </c>
      <c r="E307" s="599"/>
      <c r="F307" s="599"/>
      <c r="G307" s="599"/>
      <c r="H307" s="599"/>
      <c r="I307" s="599"/>
      <c r="J307" s="599"/>
      <c r="K307" s="599"/>
      <c r="L307" s="599"/>
      <c r="M307" s="599">
        <v>0</v>
      </c>
      <c r="N307" s="592"/>
      <c r="O307" s="592"/>
      <c r="P307" s="882">
        <f t="shared" si="16"/>
        <v>0</v>
      </c>
      <c r="Q307" s="599"/>
      <c r="R307" s="882">
        <f t="shared" si="17"/>
        <v>0</v>
      </c>
      <c r="S307" s="599">
        <f t="shared" si="17"/>
        <v>0</v>
      </c>
      <c r="T307" s="620"/>
      <c r="U307" s="621"/>
      <c r="V307" s="882">
        <f t="shared" si="18"/>
        <v>0</v>
      </c>
      <c r="W307" s="882">
        <f t="shared" si="19"/>
        <v>0</v>
      </c>
    </row>
    <row r="308" spans="1:23" ht="27" hidden="1" customHeight="1">
      <c r="A308" s="583">
        <v>901</v>
      </c>
      <c r="B308" s="581">
        <v>9</v>
      </c>
      <c r="C308" s="583" t="s">
        <v>112</v>
      </c>
      <c r="D308" s="583" t="s">
        <v>113</v>
      </c>
      <c r="E308" s="599">
        <v>1947588804588</v>
      </c>
      <c r="F308" s="599">
        <v>111153654239</v>
      </c>
      <c r="G308" s="599"/>
      <c r="H308" s="599"/>
      <c r="I308" s="599"/>
      <c r="J308" s="599"/>
      <c r="K308" s="599"/>
      <c r="L308" s="599"/>
      <c r="M308" s="599">
        <v>0</v>
      </c>
      <c r="N308" s="592"/>
      <c r="O308" s="592"/>
      <c r="P308" s="882">
        <f t="shared" si="16"/>
        <v>2058742458827</v>
      </c>
      <c r="Q308" s="599">
        <v>1947588804588</v>
      </c>
      <c r="R308" s="882">
        <f t="shared" si="17"/>
        <v>2058742</v>
      </c>
      <c r="S308" s="599">
        <f t="shared" si="17"/>
        <v>1947589</v>
      </c>
      <c r="T308" s="620"/>
      <c r="U308" s="621"/>
      <c r="V308" s="882">
        <f t="shared" si="18"/>
        <v>2058742458827</v>
      </c>
      <c r="W308" s="882">
        <f t="shared" si="19"/>
        <v>2058742</v>
      </c>
    </row>
    <row r="309" spans="1:23" ht="27" hidden="1" customHeight="1">
      <c r="A309" s="583">
        <v>901</v>
      </c>
      <c r="B309" s="581">
        <v>9</v>
      </c>
      <c r="C309" s="583" t="s">
        <v>1016</v>
      </c>
      <c r="D309" s="583" t="s">
        <v>1017</v>
      </c>
      <c r="E309" s="599"/>
      <c r="F309" s="599"/>
      <c r="G309" s="599"/>
      <c r="H309" s="599"/>
      <c r="I309" s="599"/>
      <c r="J309" s="599"/>
      <c r="K309" s="599"/>
      <c r="L309" s="599"/>
      <c r="M309" s="599">
        <v>0</v>
      </c>
      <c r="N309" s="592"/>
      <c r="O309" s="592"/>
      <c r="P309" s="882">
        <f t="shared" si="16"/>
        <v>0</v>
      </c>
      <c r="Q309" s="599"/>
      <c r="R309" s="882">
        <f t="shared" si="17"/>
        <v>0</v>
      </c>
      <c r="S309" s="599">
        <f t="shared" si="17"/>
        <v>0</v>
      </c>
      <c r="T309" s="620"/>
      <c r="U309" s="621"/>
      <c r="V309" s="882">
        <f t="shared" si="18"/>
        <v>0</v>
      </c>
      <c r="W309" s="882">
        <f t="shared" si="19"/>
        <v>0</v>
      </c>
    </row>
    <row r="310" spans="1:23" ht="27" hidden="1" customHeight="1">
      <c r="A310" s="583">
        <v>902</v>
      </c>
      <c r="B310" s="581">
        <v>9</v>
      </c>
      <c r="C310" s="583" t="s">
        <v>114</v>
      </c>
      <c r="D310" s="583" t="s">
        <v>921</v>
      </c>
      <c r="E310" s="599">
        <v>27885186308826</v>
      </c>
      <c r="F310" s="599">
        <v>175913391691</v>
      </c>
      <c r="G310" s="599">
        <v>269010816846</v>
      </c>
      <c r="H310" s="599"/>
      <c r="I310" s="599">
        <v>14681392797</v>
      </c>
      <c r="J310" s="599"/>
      <c r="K310" s="599"/>
      <c r="L310" s="599"/>
      <c r="M310" s="599">
        <v>0</v>
      </c>
      <c r="N310" s="592"/>
      <c r="O310" s="592"/>
      <c r="P310" s="882">
        <f t="shared" si="16"/>
        <v>28344791910160</v>
      </c>
      <c r="Q310" s="599">
        <v>27029140966274</v>
      </c>
      <c r="R310" s="882">
        <f t="shared" si="17"/>
        <v>28344792</v>
      </c>
      <c r="S310" s="599">
        <f t="shared" si="17"/>
        <v>27029141</v>
      </c>
      <c r="T310" s="620"/>
      <c r="U310" s="621"/>
      <c r="V310" s="882">
        <f t="shared" si="18"/>
        <v>28344791910160</v>
      </c>
      <c r="W310" s="882">
        <f t="shared" si="19"/>
        <v>28344792</v>
      </c>
    </row>
    <row r="311" spans="1:23" ht="27" hidden="1" customHeight="1">
      <c r="A311" s="583"/>
      <c r="B311" s="581">
        <v>8</v>
      </c>
      <c r="C311" s="583" t="s">
        <v>667</v>
      </c>
      <c r="D311" s="583" t="s">
        <v>666</v>
      </c>
      <c r="E311" s="599">
        <v>8557763010</v>
      </c>
      <c r="F311" s="599"/>
      <c r="G311" s="599"/>
      <c r="H311" s="599"/>
      <c r="I311" s="599"/>
      <c r="J311" s="599"/>
      <c r="K311" s="599"/>
      <c r="L311" s="599"/>
      <c r="M311" s="599">
        <v>0</v>
      </c>
      <c r="N311" s="592"/>
      <c r="O311" s="592"/>
      <c r="P311" s="882">
        <f t="shared" si="16"/>
        <v>8557763010</v>
      </c>
      <c r="Q311" s="599">
        <v>8557763010</v>
      </c>
      <c r="R311" s="882">
        <f t="shared" si="17"/>
        <v>8558</v>
      </c>
      <c r="S311" s="599">
        <f t="shared" si="17"/>
        <v>8558</v>
      </c>
      <c r="T311" s="620"/>
      <c r="U311" s="621"/>
      <c r="V311" s="882">
        <f t="shared" si="18"/>
        <v>8557763010</v>
      </c>
      <c r="W311" s="882">
        <f t="shared" si="19"/>
        <v>8558</v>
      </c>
    </row>
    <row r="312" spans="1:23" ht="27" hidden="1" customHeight="1">
      <c r="A312" s="583">
        <v>903</v>
      </c>
      <c r="B312" s="581">
        <v>9</v>
      </c>
      <c r="C312" s="583" t="s">
        <v>105</v>
      </c>
      <c r="D312" s="583" t="s">
        <v>914</v>
      </c>
      <c r="E312" s="599">
        <v>886901633307</v>
      </c>
      <c r="F312" s="599">
        <v>144636595777</v>
      </c>
      <c r="G312" s="599">
        <v>-45400000</v>
      </c>
      <c r="H312" s="599"/>
      <c r="I312" s="599"/>
      <c r="J312" s="599"/>
      <c r="K312" s="599"/>
      <c r="L312" s="599"/>
      <c r="M312" s="599">
        <v>0</v>
      </c>
      <c r="N312" s="592"/>
      <c r="O312" s="592"/>
      <c r="P312" s="882">
        <f t="shared" si="16"/>
        <v>1031492829084</v>
      </c>
      <c r="Q312" s="599">
        <v>886901633307</v>
      </c>
      <c r="R312" s="882">
        <f t="shared" si="17"/>
        <v>1031493</v>
      </c>
      <c r="S312" s="599">
        <f t="shared" si="17"/>
        <v>886902</v>
      </c>
      <c r="T312" s="620"/>
      <c r="U312" s="621"/>
      <c r="V312" s="882">
        <f t="shared" si="18"/>
        <v>1031492829084</v>
      </c>
      <c r="W312" s="882">
        <f t="shared" si="19"/>
        <v>1031493</v>
      </c>
    </row>
    <row r="313" spans="1:23" ht="27" hidden="1" customHeight="1">
      <c r="A313" s="583">
        <v>903</v>
      </c>
      <c r="B313" s="581">
        <v>9</v>
      </c>
      <c r="C313" s="583" t="s">
        <v>1108</v>
      </c>
      <c r="D313" s="583" t="s">
        <v>1109</v>
      </c>
      <c r="E313" s="599">
        <v>140384253736</v>
      </c>
      <c r="F313" s="599">
        <v>-140384253736</v>
      </c>
      <c r="G313" s="599"/>
      <c r="H313" s="599"/>
      <c r="I313" s="599"/>
      <c r="J313" s="599"/>
      <c r="K313" s="599"/>
      <c r="L313" s="599"/>
      <c r="M313" s="599">
        <v>0</v>
      </c>
      <c r="N313" s="592"/>
      <c r="O313" s="592"/>
      <c r="P313" s="882">
        <f t="shared" si="16"/>
        <v>0</v>
      </c>
      <c r="Q313" s="599">
        <v>0</v>
      </c>
      <c r="R313" s="882">
        <f t="shared" si="17"/>
        <v>0</v>
      </c>
      <c r="S313" s="599">
        <f t="shared" si="17"/>
        <v>0</v>
      </c>
      <c r="T313" s="620"/>
      <c r="U313" s="621"/>
      <c r="V313" s="882">
        <f t="shared" si="18"/>
        <v>0</v>
      </c>
      <c r="W313" s="882">
        <f t="shared" si="19"/>
        <v>0</v>
      </c>
    </row>
    <row r="314" spans="1:23" ht="27" hidden="1" customHeight="1">
      <c r="A314" s="583">
        <v>903</v>
      </c>
      <c r="B314" s="581">
        <v>9</v>
      </c>
      <c r="C314" s="583" t="s">
        <v>1110</v>
      </c>
      <c r="D314" s="583" t="s">
        <v>1111</v>
      </c>
      <c r="E314" s="599">
        <v>-2923549656</v>
      </c>
      <c r="F314" s="599">
        <v>2923549656</v>
      </c>
      <c r="G314" s="599"/>
      <c r="H314" s="599"/>
      <c r="I314" s="599"/>
      <c r="J314" s="599"/>
      <c r="K314" s="599"/>
      <c r="L314" s="599"/>
      <c r="M314" s="599">
        <v>0</v>
      </c>
      <c r="N314" s="592"/>
      <c r="O314" s="592"/>
      <c r="P314" s="882">
        <f t="shared" si="16"/>
        <v>0</v>
      </c>
      <c r="Q314" s="599">
        <v>0</v>
      </c>
      <c r="R314" s="882">
        <f t="shared" si="17"/>
        <v>0</v>
      </c>
      <c r="S314" s="599">
        <f t="shared" si="17"/>
        <v>0</v>
      </c>
      <c r="T314" s="620"/>
      <c r="U314" s="621"/>
      <c r="V314" s="882">
        <f t="shared" si="18"/>
        <v>0</v>
      </c>
      <c r="W314" s="882">
        <f t="shared" si="19"/>
        <v>0</v>
      </c>
    </row>
    <row r="315" spans="1:23" ht="27" hidden="1" customHeight="1">
      <c r="A315" s="583">
        <v>903</v>
      </c>
      <c r="B315" s="581">
        <v>9</v>
      </c>
      <c r="C315" s="583" t="s">
        <v>1251</v>
      </c>
      <c r="D315" s="583" t="s">
        <v>1112</v>
      </c>
      <c r="E315" s="599"/>
      <c r="F315" s="599"/>
      <c r="G315" s="599"/>
      <c r="H315" s="599"/>
      <c r="I315" s="599"/>
      <c r="J315" s="599"/>
      <c r="K315" s="599"/>
      <c r="L315" s="599"/>
      <c r="M315" s="599">
        <v>0</v>
      </c>
      <c r="N315" s="592"/>
      <c r="O315" s="592"/>
      <c r="P315" s="882">
        <f t="shared" si="16"/>
        <v>0</v>
      </c>
      <c r="Q315" s="599">
        <v>0</v>
      </c>
      <c r="R315" s="882">
        <f t="shared" si="17"/>
        <v>0</v>
      </c>
      <c r="S315" s="599">
        <f t="shared" si="17"/>
        <v>0</v>
      </c>
      <c r="T315" s="620"/>
      <c r="U315" s="621"/>
      <c r="V315" s="882">
        <f t="shared" si="18"/>
        <v>0</v>
      </c>
      <c r="W315" s="882">
        <f t="shared" si="19"/>
        <v>0</v>
      </c>
    </row>
    <row r="316" spans="1:23" ht="27" hidden="1" customHeight="1">
      <c r="A316" s="583">
        <v>905</v>
      </c>
      <c r="B316" s="581">
        <v>9</v>
      </c>
      <c r="C316" s="583" t="s">
        <v>107</v>
      </c>
      <c r="D316" s="583" t="s">
        <v>918</v>
      </c>
      <c r="E316" s="599">
        <v>526166484075</v>
      </c>
      <c r="F316" s="599">
        <v>49951744398</v>
      </c>
      <c r="G316" s="599"/>
      <c r="H316" s="599"/>
      <c r="I316" s="599"/>
      <c r="J316" s="599"/>
      <c r="K316" s="599"/>
      <c r="L316" s="599"/>
      <c r="M316" s="599">
        <v>0</v>
      </c>
      <c r="N316" s="592"/>
      <c r="O316" s="592"/>
      <c r="P316" s="882">
        <f t="shared" si="16"/>
        <v>576118228473</v>
      </c>
      <c r="Q316" s="599">
        <v>526166484075</v>
      </c>
      <c r="R316" s="882">
        <f t="shared" si="17"/>
        <v>576118</v>
      </c>
      <c r="S316" s="599">
        <f t="shared" si="17"/>
        <v>526166</v>
      </c>
      <c r="T316" s="620"/>
      <c r="U316" s="621"/>
      <c r="V316" s="882">
        <f t="shared" si="18"/>
        <v>576118228473</v>
      </c>
      <c r="W316" s="882">
        <f t="shared" si="19"/>
        <v>576118</v>
      </c>
    </row>
    <row r="317" spans="1:23" ht="27" hidden="1" customHeight="1">
      <c r="A317" s="583">
        <v>905</v>
      </c>
      <c r="B317" s="581">
        <v>9</v>
      </c>
      <c r="C317" s="583" t="s">
        <v>1113</v>
      </c>
      <c r="D317" s="583" t="s">
        <v>1114</v>
      </c>
      <c r="E317" s="599">
        <v>49661314403</v>
      </c>
      <c r="F317" s="599">
        <v>-49661314403</v>
      </c>
      <c r="G317" s="599"/>
      <c r="H317" s="599"/>
      <c r="I317" s="599"/>
      <c r="J317" s="599"/>
      <c r="K317" s="599"/>
      <c r="L317" s="599"/>
      <c r="M317" s="599">
        <v>0</v>
      </c>
      <c r="N317" s="592"/>
      <c r="O317" s="592"/>
      <c r="P317" s="882">
        <f t="shared" si="16"/>
        <v>0</v>
      </c>
      <c r="Q317" s="599">
        <v>0</v>
      </c>
      <c r="R317" s="882">
        <f t="shared" si="17"/>
        <v>0</v>
      </c>
      <c r="S317" s="599">
        <f t="shared" si="17"/>
        <v>0</v>
      </c>
      <c r="T317" s="620"/>
      <c r="U317" s="621"/>
      <c r="V317" s="882">
        <f t="shared" si="18"/>
        <v>0</v>
      </c>
      <c r="W317" s="882">
        <f t="shared" si="19"/>
        <v>0</v>
      </c>
    </row>
    <row r="318" spans="1:23" ht="27" hidden="1" customHeight="1">
      <c r="A318" s="583">
        <v>905</v>
      </c>
      <c r="B318" s="581">
        <v>9</v>
      </c>
      <c r="C318" s="583" t="s">
        <v>1116</v>
      </c>
      <c r="D318" s="583" t="s">
        <v>1115</v>
      </c>
      <c r="E318" s="599">
        <v>-5</v>
      </c>
      <c r="F318" s="599">
        <v>5</v>
      </c>
      <c r="G318" s="599"/>
      <c r="H318" s="599"/>
      <c r="I318" s="599"/>
      <c r="J318" s="599"/>
      <c r="K318" s="599"/>
      <c r="L318" s="599"/>
      <c r="M318" s="599">
        <v>0</v>
      </c>
      <c r="N318" s="592"/>
      <c r="O318" s="592"/>
      <c r="P318" s="882">
        <f t="shared" si="16"/>
        <v>0</v>
      </c>
      <c r="Q318" s="599">
        <v>0</v>
      </c>
      <c r="R318" s="882">
        <f t="shared" si="17"/>
        <v>0</v>
      </c>
      <c r="S318" s="599">
        <f t="shared" si="17"/>
        <v>0</v>
      </c>
      <c r="T318" s="620"/>
      <c r="U318" s="621"/>
      <c r="V318" s="882">
        <f t="shared" si="18"/>
        <v>0</v>
      </c>
      <c r="W318" s="882">
        <f t="shared" si="19"/>
        <v>0</v>
      </c>
    </row>
    <row r="319" spans="1:23" ht="27" hidden="1" customHeight="1">
      <c r="A319" s="583"/>
      <c r="B319" s="581">
        <v>9</v>
      </c>
      <c r="C319" s="583" t="s">
        <v>1018</v>
      </c>
      <c r="D319" s="583" t="s">
        <v>1019</v>
      </c>
      <c r="E319" s="599"/>
      <c r="F319" s="599"/>
      <c r="G319" s="599"/>
      <c r="H319" s="599"/>
      <c r="I319" s="599"/>
      <c r="J319" s="599"/>
      <c r="K319" s="599"/>
      <c r="L319" s="599"/>
      <c r="M319" s="599">
        <v>0</v>
      </c>
      <c r="N319" s="592"/>
      <c r="O319" s="592"/>
      <c r="P319" s="882">
        <f t="shared" si="16"/>
        <v>0</v>
      </c>
      <c r="Q319" s="599"/>
      <c r="R319" s="882">
        <f t="shared" si="17"/>
        <v>0</v>
      </c>
      <c r="S319" s="599">
        <f t="shared" si="17"/>
        <v>0</v>
      </c>
      <c r="T319" s="620"/>
      <c r="U319" s="621"/>
      <c r="V319" s="882">
        <f t="shared" si="18"/>
        <v>0</v>
      </c>
      <c r="W319" s="882">
        <f t="shared" si="19"/>
        <v>0</v>
      </c>
    </row>
    <row r="320" spans="1:23" ht="27" hidden="1" customHeight="1">
      <c r="A320" s="583"/>
      <c r="B320" s="581">
        <v>9</v>
      </c>
      <c r="C320" s="583" t="s">
        <v>1198</v>
      </c>
      <c r="D320" s="583" t="s">
        <v>1199</v>
      </c>
      <c r="E320" s="599"/>
      <c r="F320" s="599"/>
      <c r="G320" s="599"/>
      <c r="H320" s="599"/>
      <c r="I320" s="599"/>
      <c r="J320" s="599"/>
      <c r="K320" s="599"/>
      <c r="L320" s="599"/>
      <c r="M320" s="599">
        <v>0</v>
      </c>
      <c r="N320" s="592"/>
      <c r="O320" s="592"/>
      <c r="P320" s="882">
        <f t="shared" si="16"/>
        <v>0</v>
      </c>
      <c r="Q320" s="599"/>
      <c r="R320" s="882">
        <f t="shared" si="17"/>
        <v>0</v>
      </c>
      <c r="S320" s="599">
        <f t="shared" si="17"/>
        <v>0</v>
      </c>
      <c r="T320" s="620"/>
      <c r="U320" s="621"/>
      <c r="V320" s="882">
        <f t="shared" si="18"/>
        <v>0</v>
      </c>
      <c r="W320" s="882">
        <f t="shared" si="19"/>
        <v>0</v>
      </c>
    </row>
    <row r="321" spans="1:23" ht="27" hidden="1" customHeight="1">
      <c r="A321" s="583">
        <v>904</v>
      </c>
      <c r="B321" s="581">
        <v>9</v>
      </c>
      <c r="C321" s="583" t="s">
        <v>149</v>
      </c>
      <c r="D321" s="583" t="s">
        <v>916</v>
      </c>
      <c r="E321" s="599">
        <v>257870152660</v>
      </c>
      <c r="F321" s="599">
        <v>27111721269</v>
      </c>
      <c r="G321" s="599"/>
      <c r="H321" s="599"/>
      <c r="I321" s="599"/>
      <c r="J321" s="599"/>
      <c r="K321" s="599"/>
      <c r="L321" s="599"/>
      <c r="M321" s="599">
        <v>0</v>
      </c>
      <c r="N321" s="592"/>
      <c r="O321" s="592"/>
      <c r="P321" s="882">
        <f t="shared" si="16"/>
        <v>284981873929</v>
      </c>
      <c r="Q321" s="599">
        <v>257870152660</v>
      </c>
      <c r="R321" s="882">
        <f t="shared" si="17"/>
        <v>284982</v>
      </c>
      <c r="S321" s="599">
        <f t="shared" si="17"/>
        <v>257870</v>
      </c>
      <c r="T321" s="620"/>
      <c r="U321" s="621"/>
      <c r="V321" s="882">
        <f t="shared" si="18"/>
        <v>284981873929</v>
      </c>
      <c r="W321" s="882">
        <f t="shared" si="19"/>
        <v>284982</v>
      </c>
    </row>
    <row r="322" spans="1:23" ht="27" hidden="1" customHeight="1">
      <c r="A322" s="583">
        <v>904</v>
      </c>
      <c r="B322" s="581">
        <v>9</v>
      </c>
      <c r="C322" s="583" t="s">
        <v>1117</v>
      </c>
      <c r="D322" s="583" t="s">
        <v>1120</v>
      </c>
      <c r="E322" s="599">
        <v>27428202105</v>
      </c>
      <c r="F322" s="599">
        <v>-27428202105</v>
      </c>
      <c r="G322" s="599"/>
      <c r="H322" s="599"/>
      <c r="I322" s="599"/>
      <c r="J322" s="599"/>
      <c r="K322" s="599"/>
      <c r="L322" s="599"/>
      <c r="M322" s="599">
        <v>0</v>
      </c>
      <c r="N322" s="592"/>
      <c r="O322" s="592"/>
      <c r="P322" s="882">
        <f t="shared" si="16"/>
        <v>0</v>
      </c>
      <c r="Q322" s="599">
        <v>0</v>
      </c>
      <c r="R322" s="882">
        <f t="shared" si="17"/>
        <v>0</v>
      </c>
      <c r="S322" s="599">
        <f t="shared" si="17"/>
        <v>0</v>
      </c>
      <c r="T322" s="620"/>
      <c r="U322" s="621"/>
      <c r="V322" s="882">
        <f t="shared" si="18"/>
        <v>0</v>
      </c>
      <c r="W322" s="882">
        <f t="shared" si="19"/>
        <v>0</v>
      </c>
    </row>
    <row r="323" spans="1:23" ht="27" hidden="1" customHeight="1">
      <c r="A323" s="583">
        <v>904</v>
      </c>
      <c r="B323" s="581">
        <v>9</v>
      </c>
      <c r="C323" s="583" t="s">
        <v>1118</v>
      </c>
      <c r="D323" s="583" t="s">
        <v>1121</v>
      </c>
      <c r="E323" s="599">
        <v>-682013075</v>
      </c>
      <c r="F323" s="599">
        <v>682013075</v>
      </c>
      <c r="G323" s="599"/>
      <c r="H323" s="599"/>
      <c r="I323" s="599"/>
      <c r="J323" s="599"/>
      <c r="K323" s="599"/>
      <c r="L323" s="599"/>
      <c r="M323" s="599">
        <v>0</v>
      </c>
      <c r="N323" s="592"/>
      <c r="O323" s="592"/>
      <c r="P323" s="882">
        <f t="shared" si="16"/>
        <v>0</v>
      </c>
      <c r="Q323" s="599">
        <v>0</v>
      </c>
      <c r="R323" s="882">
        <f t="shared" si="17"/>
        <v>0</v>
      </c>
      <c r="S323" s="599">
        <f t="shared" si="17"/>
        <v>0</v>
      </c>
      <c r="T323" s="620"/>
      <c r="U323" s="621"/>
      <c r="V323" s="882">
        <f t="shared" si="18"/>
        <v>0</v>
      </c>
      <c r="W323" s="882">
        <f t="shared" si="19"/>
        <v>0</v>
      </c>
    </row>
    <row r="324" spans="1:23" ht="27" hidden="1" customHeight="1">
      <c r="A324" s="583">
        <v>904</v>
      </c>
      <c r="B324" s="581">
        <v>9</v>
      </c>
      <c r="C324" s="583" t="s">
        <v>1119</v>
      </c>
      <c r="D324" s="583" t="s">
        <v>1122</v>
      </c>
      <c r="E324" s="599"/>
      <c r="F324" s="599"/>
      <c r="G324" s="599"/>
      <c r="H324" s="599"/>
      <c r="I324" s="599"/>
      <c r="J324" s="599"/>
      <c r="K324" s="599"/>
      <c r="L324" s="599"/>
      <c r="M324" s="599">
        <v>0</v>
      </c>
      <c r="N324" s="592"/>
      <c r="O324" s="592"/>
      <c r="P324" s="882">
        <f t="shared" ref="P324:P387" si="20">E324+F324+G324-N324+O324+H324+I324+J324+K324+L324</f>
        <v>0</v>
      </c>
      <c r="Q324" s="599">
        <v>0</v>
      </c>
      <c r="R324" s="882">
        <f t="shared" ref="R324:S367" si="21">ROUND((P324/1000000),0)</f>
        <v>0</v>
      </c>
      <c r="S324" s="599">
        <f t="shared" si="21"/>
        <v>0</v>
      </c>
      <c r="T324" s="620"/>
      <c r="U324" s="621"/>
      <c r="V324" s="882">
        <f t="shared" ref="V324:V387" si="22">P324-U324+T324</f>
        <v>0</v>
      </c>
      <c r="W324" s="882">
        <f t="shared" ref="W324:W387" si="23">ROUND((V324/1000000),0)</f>
        <v>0</v>
      </c>
    </row>
    <row r="325" spans="1:23" ht="27" hidden="1" customHeight="1">
      <c r="A325" s="583"/>
      <c r="B325" s="581">
        <v>9</v>
      </c>
      <c r="C325" s="583" t="s">
        <v>1020</v>
      </c>
      <c r="D325" s="583" t="s">
        <v>1021</v>
      </c>
      <c r="E325" s="599">
        <v>1536389682</v>
      </c>
      <c r="F325" s="599">
        <v>-1536389682</v>
      </c>
      <c r="G325" s="599"/>
      <c r="H325" s="599"/>
      <c r="I325" s="599"/>
      <c r="J325" s="599"/>
      <c r="K325" s="599"/>
      <c r="L325" s="599"/>
      <c r="M325" s="599">
        <v>0</v>
      </c>
      <c r="N325" s="592"/>
      <c r="O325" s="592"/>
      <c r="P325" s="882">
        <f t="shared" si="20"/>
        <v>0</v>
      </c>
      <c r="Q325" s="599">
        <v>0</v>
      </c>
      <c r="R325" s="882">
        <f t="shared" si="21"/>
        <v>0</v>
      </c>
      <c r="S325" s="599">
        <f t="shared" si="21"/>
        <v>0</v>
      </c>
      <c r="T325" s="620"/>
      <c r="U325" s="621"/>
      <c r="V325" s="882">
        <f t="shared" si="22"/>
        <v>0</v>
      </c>
      <c r="W325" s="882">
        <f t="shared" si="23"/>
        <v>0</v>
      </c>
    </row>
    <row r="326" spans="1:23" ht="27" hidden="1" customHeight="1">
      <c r="A326" s="583">
        <v>902</v>
      </c>
      <c r="B326" s="581">
        <v>9</v>
      </c>
      <c r="C326" s="583" t="s">
        <v>1010</v>
      </c>
      <c r="D326" s="583" t="s">
        <v>1011</v>
      </c>
      <c r="E326" s="599">
        <v>-2548256567962</v>
      </c>
      <c r="F326" s="599">
        <v>2548256567962</v>
      </c>
      <c r="G326" s="599"/>
      <c r="H326" s="599"/>
      <c r="I326" s="599"/>
      <c r="J326" s="599"/>
      <c r="K326" s="599"/>
      <c r="L326" s="599"/>
      <c r="M326" s="599">
        <v>0</v>
      </c>
      <c r="N326" s="592"/>
      <c r="O326" s="592"/>
      <c r="P326" s="882">
        <f t="shared" si="20"/>
        <v>0</v>
      </c>
      <c r="Q326" s="599">
        <v>0</v>
      </c>
      <c r="R326" s="882">
        <f t="shared" si="21"/>
        <v>0</v>
      </c>
      <c r="S326" s="599">
        <f t="shared" si="21"/>
        <v>0</v>
      </c>
      <c r="T326" s="620"/>
      <c r="U326" s="621"/>
      <c r="V326" s="882">
        <f t="shared" si="22"/>
        <v>0</v>
      </c>
      <c r="W326" s="882">
        <f t="shared" si="23"/>
        <v>0</v>
      </c>
    </row>
    <row r="327" spans="1:23" ht="27" hidden="1" customHeight="1">
      <c r="A327" s="583"/>
      <c r="B327" s="581">
        <v>9</v>
      </c>
      <c r="C327" s="583" t="s">
        <v>1253</v>
      </c>
      <c r="D327" s="583" t="s">
        <v>1252</v>
      </c>
      <c r="E327" s="599">
        <v>-7083324</v>
      </c>
      <c r="F327" s="599">
        <v>7083324</v>
      </c>
      <c r="G327" s="599"/>
      <c r="H327" s="599"/>
      <c r="I327" s="599"/>
      <c r="J327" s="599"/>
      <c r="K327" s="599"/>
      <c r="L327" s="599"/>
      <c r="M327" s="599">
        <v>0</v>
      </c>
      <c r="N327" s="592"/>
      <c r="O327" s="592"/>
      <c r="P327" s="882">
        <f t="shared" si="20"/>
        <v>0</v>
      </c>
      <c r="Q327" s="599">
        <v>0</v>
      </c>
      <c r="R327" s="882">
        <f t="shared" si="21"/>
        <v>0</v>
      </c>
      <c r="S327" s="599">
        <f t="shared" si="21"/>
        <v>0</v>
      </c>
      <c r="T327" s="620"/>
      <c r="U327" s="621"/>
      <c r="V327" s="882">
        <f t="shared" si="22"/>
        <v>0</v>
      </c>
      <c r="W327" s="882">
        <f t="shared" si="23"/>
        <v>0</v>
      </c>
    </row>
    <row r="328" spans="1:23" ht="27" hidden="1" customHeight="1">
      <c r="A328" s="583">
        <v>902</v>
      </c>
      <c r="B328" s="581">
        <v>9</v>
      </c>
      <c r="C328" s="583" t="s">
        <v>1123</v>
      </c>
      <c r="D328" s="583" t="s">
        <v>1124</v>
      </c>
      <c r="E328" s="599">
        <v>-92765635923</v>
      </c>
      <c r="F328" s="599">
        <v>92765635923</v>
      </c>
      <c r="G328" s="599"/>
      <c r="H328" s="599"/>
      <c r="I328" s="599"/>
      <c r="J328" s="599"/>
      <c r="K328" s="599"/>
      <c r="L328" s="599"/>
      <c r="M328" s="599">
        <v>0</v>
      </c>
      <c r="N328" s="592"/>
      <c r="O328" s="592"/>
      <c r="P328" s="882">
        <f t="shared" si="20"/>
        <v>0</v>
      </c>
      <c r="Q328" s="599">
        <v>0</v>
      </c>
      <c r="R328" s="882">
        <f t="shared" si="21"/>
        <v>0</v>
      </c>
      <c r="S328" s="599">
        <f t="shared" si="21"/>
        <v>0</v>
      </c>
      <c r="T328" s="620"/>
      <c r="U328" s="621"/>
      <c r="V328" s="882">
        <f t="shared" si="22"/>
        <v>0</v>
      </c>
      <c r="W328" s="882">
        <f t="shared" si="23"/>
        <v>0</v>
      </c>
    </row>
    <row r="329" spans="1:23" ht="27" hidden="1" customHeight="1">
      <c r="A329" s="583"/>
      <c r="B329" s="581">
        <v>9</v>
      </c>
      <c r="C329" s="583" t="s">
        <v>1254</v>
      </c>
      <c r="D329" s="583" t="s">
        <v>1255</v>
      </c>
      <c r="E329" s="599"/>
      <c r="F329" s="599"/>
      <c r="G329" s="599"/>
      <c r="H329" s="599"/>
      <c r="I329" s="599"/>
      <c r="J329" s="599"/>
      <c r="K329" s="599"/>
      <c r="L329" s="599"/>
      <c r="M329" s="599">
        <v>0</v>
      </c>
      <c r="N329" s="592"/>
      <c r="O329" s="592"/>
      <c r="P329" s="882">
        <f t="shared" si="20"/>
        <v>0</v>
      </c>
      <c r="Q329" s="599">
        <v>0</v>
      </c>
      <c r="R329" s="882">
        <f t="shared" si="21"/>
        <v>0</v>
      </c>
      <c r="S329" s="599">
        <f t="shared" si="21"/>
        <v>0</v>
      </c>
      <c r="T329" s="620"/>
      <c r="U329" s="621"/>
      <c r="V329" s="882">
        <f t="shared" si="22"/>
        <v>0</v>
      </c>
      <c r="W329" s="882">
        <f t="shared" si="23"/>
        <v>0</v>
      </c>
    </row>
    <row r="330" spans="1:23" ht="27" hidden="1" customHeight="1">
      <c r="A330" s="583">
        <v>902</v>
      </c>
      <c r="B330" s="581">
        <v>9</v>
      </c>
      <c r="C330" s="583" t="s">
        <v>1125</v>
      </c>
      <c r="D330" s="583" t="s">
        <v>1126</v>
      </c>
      <c r="E330" s="599">
        <v>-64340129450</v>
      </c>
      <c r="F330" s="599">
        <v>64340129450</v>
      </c>
      <c r="G330" s="599"/>
      <c r="H330" s="599"/>
      <c r="I330" s="599"/>
      <c r="J330" s="599"/>
      <c r="K330" s="599"/>
      <c r="L330" s="599"/>
      <c r="M330" s="599">
        <v>0</v>
      </c>
      <c r="N330" s="592"/>
      <c r="O330" s="592"/>
      <c r="P330" s="882">
        <f t="shared" si="20"/>
        <v>0</v>
      </c>
      <c r="Q330" s="599">
        <v>0</v>
      </c>
      <c r="R330" s="882">
        <f t="shared" si="21"/>
        <v>0</v>
      </c>
      <c r="S330" s="599">
        <f t="shared" si="21"/>
        <v>0</v>
      </c>
      <c r="T330" s="620"/>
      <c r="U330" s="621"/>
      <c r="V330" s="882">
        <f t="shared" si="22"/>
        <v>0</v>
      </c>
      <c r="W330" s="882">
        <f t="shared" si="23"/>
        <v>0</v>
      </c>
    </row>
    <row r="331" spans="1:23" ht="27" hidden="1" customHeight="1">
      <c r="A331" s="583"/>
      <c r="B331" s="581">
        <v>9</v>
      </c>
      <c r="C331" s="583" t="s">
        <v>1200</v>
      </c>
      <c r="D331" s="583" t="s">
        <v>1201</v>
      </c>
      <c r="E331" s="599">
        <v>-9</v>
      </c>
      <c r="F331" s="599">
        <v>9</v>
      </c>
      <c r="G331" s="599"/>
      <c r="H331" s="599"/>
      <c r="I331" s="599"/>
      <c r="J331" s="599"/>
      <c r="K331" s="599"/>
      <c r="L331" s="599"/>
      <c r="M331" s="599">
        <v>0</v>
      </c>
      <c r="N331" s="592"/>
      <c r="O331" s="592"/>
      <c r="P331" s="882">
        <f t="shared" si="20"/>
        <v>0</v>
      </c>
      <c r="Q331" s="599">
        <v>0</v>
      </c>
      <c r="R331" s="882">
        <f t="shared" si="21"/>
        <v>0</v>
      </c>
      <c r="S331" s="599">
        <f t="shared" si="21"/>
        <v>0</v>
      </c>
      <c r="T331" s="620"/>
      <c r="U331" s="621"/>
      <c r="V331" s="882">
        <f t="shared" si="22"/>
        <v>0</v>
      </c>
      <c r="W331" s="882">
        <f t="shared" si="23"/>
        <v>0</v>
      </c>
    </row>
    <row r="332" spans="1:23" ht="27" hidden="1" customHeight="1">
      <c r="A332" s="583">
        <v>902</v>
      </c>
      <c r="B332" s="581">
        <v>9</v>
      </c>
      <c r="C332" s="583" t="s">
        <v>151</v>
      </c>
      <c r="D332" s="583" t="s">
        <v>915</v>
      </c>
      <c r="E332" s="599">
        <v>-17493684650114</v>
      </c>
      <c r="F332" s="599">
        <v>-1438752937244</v>
      </c>
      <c r="G332" s="599">
        <v>-22001502065</v>
      </c>
      <c r="H332" s="599"/>
      <c r="I332" s="599">
        <v>-1216223364</v>
      </c>
      <c r="J332" s="599">
        <v>-7226036</v>
      </c>
      <c r="K332" s="599"/>
      <c r="L332" s="599"/>
      <c r="M332" s="599">
        <v>0</v>
      </c>
      <c r="N332" s="592"/>
      <c r="O332" s="592"/>
      <c r="P332" s="882">
        <f t="shared" si="20"/>
        <v>-18955662538823</v>
      </c>
      <c r="Q332" s="599">
        <v>-17493684650114</v>
      </c>
      <c r="R332" s="882">
        <f t="shared" si="21"/>
        <v>-18955663</v>
      </c>
      <c r="S332" s="599">
        <f t="shared" si="21"/>
        <v>-17493685</v>
      </c>
      <c r="T332" s="620"/>
      <c r="U332" s="621"/>
      <c r="V332" s="882">
        <f t="shared" si="22"/>
        <v>-18955662538823</v>
      </c>
      <c r="W332" s="882">
        <f t="shared" si="23"/>
        <v>-18955663</v>
      </c>
    </row>
    <row r="333" spans="1:23" ht="27" hidden="1" customHeight="1">
      <c r="A333" s="583"/>
      <c r="B333" s="581">
        <v>9</v>
      </c>
      <c r="C333" s="583" t="s">
        <v>1256</v>
      </c>
      <c r="D333" s="583" t="s">
        <v>1257</v>
      </c>
      <c r="E333" s="599"/>
      <c r="F333" s="599"/>
      <c r="G333" s="599"/>
      <c r="H333" s="599"/>
      <c r="I333" s="599"/>
      <c r="J333" s="599"/>
      <c r="K333" s="599"/>
      <c r="L333" s="599"/>
      <c r="M333" s="599">
        <v>0</v>
      </c>
      <c r="N333" s="592"/>
      <c r="O333" s="592"/>
      <c r="P333" s="882">
        <f t="shared" si="20"/>
        <v>0</v>
      </c>
      <c r="Q333" s="599">
        <v>0</v>
      </c>
      <c r="R333" s="882">
        <f t="shared" si="21"/>
        <v>0</v>
      </c>
      <c r="S333" s="599">
        <f t="shared" si="21"/>
        <v>0</v>
      </c>
      <c r="T333" s="620"/>
      <c r="U333" s="621"/>
      <c r="V333" s="882">
        <f t="shared" si="22"/>
        <v>0</v>
      </c>
      <c r="W333" s="882">
        <f t="shared" si="23"/>
        <v>0</v>
      </c>
    </row>
    <row r="334" spans="1:23" ht="27" hidden="1" customHeight="1">
      <c r="A334" s="583">
        <v>902</v>
      </c>
      <c r="B334" s="581">
        <v>9</v>
      </c>
      <c r="C334" s="583" t="s">
        <v>1127</v>
      </c>
      <c r="D334" s="583" t="s">
        <v>1128</v>
      </c>
      <c r="E334" s="599">
        <v>-3474888542</v>
      </c>
      <c r="F334" s="599">
        <v>3474888542</v>
      </c>
      <c r="G334" s="599"/>
      <c r="H334" s="599"/>
      <c r="I334" s="599"/>
      <c r="J334" s="599"/>
      <c r="K334" s="599"/>
      <c r="L334" s="599"/>
      <c r="M334" s="599">
        <v>0</v>
      </c>
      <c r="N334" s="592"/>
      <c r="O334" s="592"/>
      <c r="P334" s="882">
        <f t="shared" si="20"/>
        <v>0</v>
      </c>
      <c r="Q334" s="599">
        <v>0</v>
      </c>
      <c r="R334" s="882">
        <f t="shared" si="21"/>
        <v>0</v>
      </c>
      <c r="S334" s="599">
        <f t="shared" si="21"/>
        <v>0</v>
      </c>
      <c r="T334" s="620"/>
      <c r="U334" s="621"/>
      <c r="V334" s="882">
        <f t="shared" si="22"/>
        <v>0</v>
      </c>
      <c r="W334" s="882">
        <f t="shared" si="23"/>
        <v>0</v>
      </c>
    </row>
    <row r="335" spans="1:23" ht="27" hidden="1" customHeight="1">
      <c r="A335" s="583">
        <v>903</v>
      </c>
      <c r="B335" s="581">
        <v>9</v>
      </c>
      <c r="C335" s="583" t="s">
        <v>509</v>
      </c>
      <c r="D335" s="583" t="s">
        <v>922</v>
      </c>
      <c r="E335" s="599">
        <v>-465173329923</v>
      </c>
      <c r="F335" s="599">
        <v>-72463512338</v>
      </c>
      <c r="G335" s="599">
        <v>38398863</v>
      </c>
      <c r="H335" s="599"/>
      <c r="I335" s="599"/>
      <c r="J335" s="599"/>
      <c r="K335" s="599"/>
      <c r="L335" s="599"/>
      <c r="M335" s="599">
        <v>0</v>
      </c>
      <c r="N335" s="592"/>
      <c r="O335" s="592"/>
      <c r="P335" s="882">
        <f t="shared" si="20"/>
        <v>-537598443398</v>
      </c>
      <c r="Q335" s="599">
        <v>-465173329923</v>
      </c>
      <c r="R335" s="882">
        <f t="shared" si="21"/>
        <v>-537598</v>
      </c>
      <c r="S335" s="599">
        <f t="shared" si="21"/>
        <v>-465173</v>
      </c>
      <c r="T335" s="620"/>
      <c r="U335" s="621"/>
      <c r="V335" s="882">
        <f t="shared" si="22"/>
        <v>-537598443398</v>
      </c>
      <c r="W335" s="882">
        <f t="shared" si="23"/>
        <v>-537598</v>
      </c>
    </row>
    <row r="336" spans="1:23" ht="27" hidden="1" customHeight="1">
      <c r="A336" s="583">
        <v>903</v>
      </c>
      <c r="B336" s="581">
        <v>9</v>
      </c>
      <c r="C336" s="583" t="s">
        <v>1129</v>
      </c>
      <c r="D336" s="583" t="s">
        <v>1134</v>
      </c>
      <c r="E336" s="599">
        <v>-80951904602</v>
      </c>
      <c r="F336" s="599">
        <v>80951904602</v>
      </c>
      <c r="G336" s="599"/>
      <c r="H336" s="599"/>
      <c r="I336" s="599"/>
      <c r="J336" s="599"/>
      <c r="K336" s="599"/>
      <c r="L336" s="599"/>
      <c r="M336" s="599">
        <v>0</v>
      </c>
      <c r="N336" s="592"/>
      <c r="O336" s="592"/>
      <c r="P336" s="882">
        <f t="shared" si="20"/>
        <v>0</v>
      </c>
      <c r="Q336" s="599">
        <v>0</v>
      </c>
      <c r="R336" s="882">
        <f t="shared" si="21"/>
        <v>0</v>
      </c>
      <c r="S336" s="599">
        <f t="shared" si="21"/>
        <v>0</v>
      </c>
      <c r="T336" s="620"/>
      <c r="U336" s="621"/>
      <c r="V336" s="882">
        <f t="shared" si="22"/>
        <v>0</v>
      </c>
      <c r="W336" s="882">
        <f t="shared" si="23"/>
        <v>0</v>
      </c>
    </row>
    <row r="337" spans="1:23" ht="27" hidden="1" customHeight="1">
      <c r="A337" s="583">
        <v>903</v>
      </c>
      <c r="B337" s="581">
        <v>9</v>
      </c>
      <c r="C337" s="583" t="s">
        <v>1130</v>
      </c>
      <c r="D337" s="583" t="s">
        <v>1132</v>
      </c>
      <c r="E337" s="599">
        <v>2341895195</v>
      </c>
      <c r="F337" s="599">
        <v>-2341895195</v>
      </c>
      <c r="G337" s="599"/>
      <c r="H337" s="599"/>
      <c r="I337" s="599"/>
      <c r="J337" s="599"/>
      <c r="K337" s="599"/>
      <c r="L337" s="599"/>
      <c r="M337" s="599">
        <v>0</v>
      </c>
      <c r="N337" s="592"/>
      <c r="O337" s="592"/>
      <c r="P337" s="882">
        <f t="shared" si="20"/>
        <v>0</v>
      </c>
      <c r="Q337" s="599">
        <v>0</v>
      </c>
      <c r="R337" s="882">
        <f t="shared" si="21"/>
        <v>0</v>
      </c>
      <c r="S337" s="599">
        <f t="shared" si="21"/>
        <v>0</v>
      </c>
      <c r="T337" s="620"/>
      <c r="U337" s="621"/>
      <c r="V337" s="882">
        <f t="shared" si="22"/>
        <v>0</v>
      </c>
      <c r="W337" s="882">
        <f t="shared" si="23"/>
        <v>0</v>
      </c>
    </row>
    <row r="338" spans="1:23" ht="27" hidden="1" customHeight="1">
      <c r="A338" s="583"/>
      <c r="B338" s="581">
        <v>9</v>
      </c>
      <c r="C338" s="583" t="s">
        <v>1131</v>
      </c>
      <c r="D338" s="583" t="s">
        <v>1133</v>
      </c>
      <c r="E338" s="599"/>
      <c r="F338" s="599"/>
      <c r="G338" s="599"/>
      <c r="H338" s="599"/>
      <c r="I338" s="599"/>
      <c r="J338" s="599"/>
      <c r="K338" s="599"/>
      <c r="L338" s="599"/>
      <c r="M338" s="599">
        <v>0</v>
      </c>
      <c r="N338" s="592"/>
      <c r="O338" s="592"/>
      <c r="P338" s="882">
        <f t="shared" si="20"/>
        <v>0</v>
      </c>
      <c r="Q338" s="599">
        <v>0</v>
      </c>
      <c r="R338" s="882">
        <f t="shared" si="21"/>
        <v>0</v>
      </c>
      <c r="S338" s="599">
        <f t="shared" si="21"/>
        <v>0</v>
      </c>
      <c r="T338" s="620"/>
      <c r="U338" s="621"/>
      <c r="V338" s="882">
        <f t="shared" si="22"/>
        <v>0</v>
      </c>
      <c r="W338" s="882">
        <f t="shared" si="23"/>
        <v>0</v>
      </c>
    </row>
    <row r="339" spans="1:23" ht="27" hidden="1" customHeight="1">
      <c r="A339" s="583">
        <v>905</v>
      </c>
      <c r="B339" s="581">
        <v>9</v>
      </c>
      <c r="C339" s="583" t="s">
        <v>287</v>
      </c>
      <c r="D339" s="583" t="s">
        <v>919</v>
      </c>
      <c r="E339" s="599">
        <v>-383412456101</v>
      </c>
      <c r="F339" s="599">
        <v>-48471453296</v>
      </c>
      <c r="G339" s="599"/>
      <c r="H339" s="599"/>
      <c r="I339" s="599"/>
      <c r="J339" s="599"/>
      <c r="K339" s="599"/>
      <c r="L339" s="599"/>
      <c r="M339" s="599">
        <v>0</v>
      </c>
      <c r="N339" s="592"/>
      <c r="O339" s="592"/>
      <c r="P339" s="882">
        <f t="shared" si="20"/>
        <v>-431883909397</v>
      </c>
      <c r="Q339" s="599">
        <v>-383412456101</v>
      </c>
      <c r="R339" s="882">
        <f t="shared" si="21"/>
        <v>-431884</v>
      </c>
      <c r="S339" s="599">
        <f t="shared" si="21"/>
        <v>-383412</v>
      </c>
      <c r="T339" s="620"/>
      <c r="U339" s="621"/>
      <c r="V339" s="882">
        <f t="shared" si="22"/>
        <v>-431883909397</v>
      </c>
      <c r="W339" s="882">
        <f t="shared" si="23"/>
        <v>-431884</v>
      </c>
    </row>
    <row r="340" spans="1:23" ht="27" hidden="1" customHeight="1">
      <c r="A340" s="583">
        <v>905</v>
      </c>
      <c r="B340" s="581">
        <v>9</v>
      </c>
      <c r="C340" s="583" t="s">
        <v>1135</v>
      </c>
      <c r="D340" s="583" t="s">
        <v>1137</v>
      </c>
      <c r="E340" s="599">
        <v>-52336759552</v>
      </c>
      <c r="F340" s="599">
        <v>52336759552</v>
      </c>
      <c r="G340" s="599"/>
      <c r="H340" s="599"/>
      <c r="I340" s="599"/>
      <c r="J340" s="599"/>
      <c r="K340" s="599"/>
      <c r="L340" s="599"/>
      <c r="M340" s="599">
        <v>0</v>
      </c>
      <c r="N340" s="592"/>
      <c r="O340" s="592"/>
      <c r="P340" s="882">
        <f t="shared" si="20"/>
        <v>0</v>
      </c>
      <c r="Q340" s="599">
        <v>0</v>
      </c>
      <c r="R340" s="882">
        <f t="shared" si="21"/>
        <v>0</v>
      </c>
      <c r="S340" s="599">
        <f t="shared" si="21"/>
        <v>0</v>
      </c>
      <c r="T340" s="620"/>
      <c r="U340" s="621"/>
      <c r="V340" s="882">
        <f t="shared" si="22"/>
        <v>0</v>
      </c>
      <c r="W340" s="882">
        <f t="shared" si="23"/>
        <v>0</v>
      </c>
    </row>
    <row r="341" spans="1:23" ht="27" hidden="1" customHeight="1">
      <c r="A341" s="583">
        <v>905</v>
      </c>
      <c r="B341" s="581">
        <v>9</v>
      </c>
      <c r="C341" s="583" t="s">
        <v>1136</v>
      </c>
      <c r="D341" s="583" t="s">
        <v>1138</v>
      </c>
      <c r="E341" s="599">
        <v>-2</v>
      </c>
      <c r="F341" s="599">
        <v>2</v>
      </c>
      <c r="G341" s="599"/>
      <c r="H341" s="599"/>
      <c r="I341" s="599"/>
      <c r="J341" s="599"/>
      <c r="K341" s="599"/>
      <c r="L341" s="599"/>
      <c r="M341" s="599">
        <v>0</v>
      </c>
      <c r="N341" s="592"/>
      <c r="O341" s="592"/>
      <c r="P341" s="882">
        <f t="shared" si="20"/>
        <v>0</v>
      </c>
      <c r="Q341" s="599">
        <v>0</v>
      </c>
      <c r="R341" s="882">
        <f t="shared" si="21"/>
        <v>0</v>
      </c>
      <c r="S341" s="599">
        <f t="shared" si="21"/>
        <v>0</v>
      </c>
      <c r="T341" s="620"/>
      <c r="U341" s="621"/>
      <c r="V341" s="882">
        <f t="shared" si="22"/>
        <v>0</v>
      </c>
      <c r="W341" s="882">
        <f t="shared" si="23"/>
        <v>0</v>
      </c>
    </row>
    <row r="342" spans="1:23" ht="27" hidden="1" customHeight="1">
      <c r="A342" s="583"/>
      <c r="B342" s="581">
        <v>9</v>
      </c>
      <c r="C342" s="583" t="s">
        <v>1022</v>
      </c>
      <c r="D342" s="583" t="s">
        <v>1023</v>
      </c>
      <c r="E342" s="599"/>
      <c r="F342" s="599"/>
      <c r="G342" s="599"/>
      <c r="H342" s="599"/>
      <c r="I342" s="599"/>
      <c r="J342" s="599"/>
      <c r="K342" s="599"/>
      <c r="L342" s="599"/>
      <c r="M342" s="599">
        <v>0</v>
      </c>
      <c r="N342" s="592"/>
      <c r="O342" s="592"/>
      <c r="P342" s="882">
        <f t="shared" si="20"/>
        <v>0</v>
      </c>
      <c r="Q342" s="599">
        <v>0</v>
      </c>
      <c r="R342" s="882">
        <f t="shared" si="21"/>
        <v>0</v>
      </c>
      <c r="S342" s="599">
        <f t="shared" si="21"/>
        <v>0</v>
      </c>
      <c r="T342" s="620"/>
      <c r="U342" s="621"/>
      <c r="V342" s="882">
        <f t="shared" si="22"/>
        <v>0</v>
      </c>
      <c r="W342" s="882">
        <f t="shared" si="23"/>
        <v>0</v>
      </c>
    </row>
    <row r="343" spans="1:23" ht="27" hidden="1" customHeight="1">
      <c r="A343" s="583">
        <v>904</v>
      </c>
      <c r="B343" s="581">
        <v>9</v>
      </c>
      <c r="C343" s="583" t="s">
        <v>289</v>
      </c>
      <c r="D343" s="583" t="s">
        <v>917</v>
      </c>
      <c r="E343" s="599">
        <v>-125116163040</v>
      </c>
      <c r="F343" s="599">
        <v>-28961030398</v>
      </c>
      <c r="G343" s="599"/>
      <c r="H343" s="599"/>
      <c r="I343" s="599"/>
      <c r="J343" s="599"/>
      <c r="K343" s="599"/>
      <c r="L343" s="599"/>
      <c r="M343" s="599">
        <v>0</v>
      </c>
      <c r="N343" s="592"/>
      <c r="O343" s="592"/>
      <c r="P343" s="882">
        <f t="shared" si="20"/>
        <v>-154077193438</v>
      </c>
      <c r="Q343" s="599">
        <v>-125116163040</v>
      </c>
      <c r="R343" s="882">
        <f t="shared" si="21"/>
        <v>-154077</v>
      </c>
      <c r="S343" s="599">
        <f t="shared" si="21"/>
        <v>-125116</v>
      </c>
      <c r="T343" s="620"/>
      <c r="U343" s="621"/>
      <c r="V343" s="882">
        <f t="shared" si="22"/>
        <v>-154077193438</v>
      </c>
      <c r="W343" s="882">
        <f t="shared" si="23"/>
        <v>-154077</v>
      </c>
    </row>
    <row r="344" spans="1:23" ht="27" hidden="1" customHeight="1">
      <c r="A344" s="583">
        <v>904</v>
      </c>
      <c r="B344" s="581">
        <v>9</v>
      </c>
      <c r="C344" s="583" t="s">
        <v>1139</v>
      </c>
      <c r="D344" s="583" t="s">
        <v>1142</v>
      </c>
      <c r="E344" s="599">
        <v>-31151197271</v>
      </c>
      <c r="F344" s="599">
        <v>31151197271</v>
      </c>
      <c r="G344" s="599"/>
      <c r="H344" s="599"/>
      <c r="I344" s="599"/>
      <c r="J344" s="599"/>
      <c r="K344" s="599"/>
      <c r="L344" s="599"/>
      <c r="M344" s="599">
        <v>0</v>
      </c>
      <c r="N344" s="592"/>
      <c r="O344" s="592"/>
      <c r="P344" s="882">
        <f t="shared" si="20"/>
        <v>0</v>
      </c>
      <c r="Q344" s="599">
        <v>0</v>
      </c>
      <c r="R344" s="882">
        <f t="shared" si="21"/>
        <v>0</v>
      </c>
      <c r="S344" s="599">
        <f t="shared" si="21"/>
        <v>0</v>
      </c>
      <c r="T344" s="620"/>
      <c r="U344" s="621"/>
      <c r="V344" s="882">
        <f t="shared" si="22"/>
        <v>0</v>
      </c>
      <c r="W344" s="882">
        <f t="shared" si="23"/>
        <v>0</v>
      </c>
    </row>
    <row r="345" spans="1:23" ht="27" hidden="1" customHeight="1">
      <c r="A345" s="583">
        <v>904</v>
      </c>
      <c r="B345" s="581">
        <v>9</v>
      </c>
      <c r="C345" s="583" t="s">
        <v>1140</v>
      </c>
      <c r="D345" s="583" t="s">
        <v>1143</v>
      </c>
      <c r="E345" s="599">
        <v>616185301</v>
      </c>
      <c r="F345" s="599">
        <v>-616185301</v>
      </c>
      <c r="G345" s="599"/>
      <c r="H345" s="599"/>
      <c r="I345" s="599"/>
      <c r="J345" s="599"/>
      <c r="K345" s="599"/>
      <c r="L345" s="599"/>
      <c r="M345" s="599">
        <v>0</v>
      </c>
      <c r="N345" s="592"/>
      <c r="O345" s="592"/>
      <c r="P345" s="882">
        <f t="shared" si="20"/>
        <v>0</v>
      </c>
      <c r="Q345" s="599">
        <v>0</v>
      </c>
      <c r="R345" s="882">
        <f t="shared" si="21"/>
        <v>0</v>
      </c>
      <c r="S345" s="599">
        <f t="shared" si="21"/>
        <v>0</v>
      </c>
      <c r="T345" s="620"/>
      <c r="U345" s="621"/>
      <c r="V345" s="882">
        <f t="shared" si="22"/>
        <v>0</v>
      </c>
      <c r="W345" s="882">
        <f t="shared" si="23"/>
        <v>0</v>
      </c>
    </row>
    <row r="346" spans="1:23" ht="27" hidden="1" customHeight="1">
      <c r="A346" s="583">
        <v>904</v>
      </c>
      <c r="B346" s="581">
        <v>9</v>
      </c>
      <c r="C346" s="583" t="s">
        <v>1141</v>
      </c>
      <c r="D346" s="583" t="s">
        <v>1144</v>
      </c>
      <c r="E346" s="599"/>
      <c r="F346" s="599"/>
      <c r="G346" s="599"/>
      <c r="H346" s="599"/>
      <c r="I346" s="599"/>
      <c r="J346" s="599"/>
      <c r="K346" s="599"/>
      <c r="L346" s="599"/>
      <c r="M346" s="599">
        <v>0</v>
      </c>
      <c r="N346" s="592"/>
      <c r="O346" s="592"/>
      <c r="P346" s="882">
        <f t="shared" si="20"/>
        <v>0</v>
      </c>
      <c r="Q346" s="599">
        <v>0</v>
      </c>
      <c r="R346" s="882">
        <f t="shared" si="21"/>
        <v>0</v>
      </c>
      <c r="S346" s="599">
        <f t="shared" si="21"/>
        <v>0</v>
      </c>
      <c r="T346" s="620"/>
      <c r="U346" s="621"/>
      <c r="V346" s="882">
        <f t="shared" si="22"/>
        <v>0</v>
      </c>
      <c r="W346" s="882">
        <f t="shared" si="23"/>
        <v>0</v>
      </c>
    </row>
    <row r="347" spans="1:23" ht="27" hidden="1" customHeight="1">
      <c r="A347" s="583">
        <v>904</v>
      </c>
      <c r="B347" s="581">
        <v>9</v>
      </c>
      <c r="C347" s="583" t="s">
        <v>1145</v>
      </c>
      <c r="D347" s="583" t="s">
        <v>1147</v>
      </c>
      <c r="E347" s="599">
        <v>-2317267729</v>
      </c>
      <c r="F347" s="599">
        <v>2317267729</v>
      </c>
      <c r="G347" s="599"/>
      <c r="H347" s="599"/>
      <c r="I347" s="599"/>
      <c r="J347" s="599"/>
      <c r="K347" s="599"/>
      <c r="L347" s="599"/>
      <c r="M347" s="599">
        <v>0</v>
      </c>
      <c r="N347" s="592"/>
      <c r="O347" s="592"/>
      <c r="P347" s="882">
        <f t="shared" si="20"/>
        <v>0</v>
      </c>
      <c r="Q347" s="599">
        <v>0</v>
      </c>
      <c r="R347" s="882">
        <f t="shared" si="21"/>
        <v>0</v>
      </c>
      <c r="S347" s="599">
        <f t="shared" si="21"/>
        <v>0</v>
      </c>
      <c r="T347" s="620"/>
      <c r="U347" s="621"/>
      <c r="V347" s="882">
        <f t="shared" si="22"/>
        <v>0</v>
      </c>
      <c r="W347" s="882">
        <f t="shared" si="23"/>
        <v>0</v>
      </c>
    </row>
    <row r="348" spans="1:23" ht="27" hidden="1" customHeight="1">
      <c r="A348" s="583">
        <v>904</v>
      </c>
      <c r="B348" s="581">
        <v>9</v>
      </c>
      <c r="C348" s="583" t="s">
        <v>1146</v>
      </c>
      <c r="D348" s="583" t="s">
        <v>1148</v>
      </c>
      <c r="E348" s="599">
        <v>129893412</v>
      </c>
      <c r="F348" s="599">
        <v>-129893412</v>
      </c>
      <c r="G348" s="599"/>
      <c r="H348" s="599"/>
      <c r="I348" s="599"/>
      <c r="J348" s="599"/>
      <c r="K348" s="599"/>
      <c r="L348" s="599"/>
      <c r="M348" s="599">
        <v>0</v>
      </c>
      <c r="N348" s="592"/>
      <c r="O348" s="592"/>
      <c r="P348" s="882">
        <f t="shared" si="20"/>
        <v>0</v>
      </c>
      <c r="Q348" s="599">
        <v>0</v>
      </c>
      <c r="R348" s="882">
        <f t="shared" si="21"/>
        <v>0</v>
      </c>
      <c r="S348" s="599">
        <f t="shared" si="21"/>
        <v>0</v>
      </c>
      <c r="T348" s="620"/>
      <c r="U348" s="621"/>
      <c r="V348" s="882">
        <f t="shared" si="22"/>
        <v>0</v>
      </c>
      <c r="W348" s="882">
        <f t="shared" si="23"/>
        <v>0</v>
      </c>
    </row>
    <row r="349" spans="1:23" ht="27" hidden="1" customHeight="1">
      <c r="A349" s="583">
        <v>906</v>
      </c>
      <c r="B349" s="581">
        <v>9</v>
      </c>
      <c r="C349" s="583" t="s">
        <v>771</v>
      </c>
      <c r="D349" s="583" t="s">
        <v>773</v>
      </c>
      <c r="E349" s="599">
        <v>6598973423016</v>
      </c>
      <c r="F349" s="599">
        <v>-238464886049</v>
      </c>
      <c r="G349" s="599">
        <v>1576221353685</v>
      </c>
      <c r="H349" s="599"/>
      <c r="I349" s="599">
        <f>-14681392797+12102670192+14681392797</f>
        <v>12102670192</v>
      </c>
      <c r="J349" s="599">
        <v>15358203555</v>
      </c>
      <c r="K349" s="599">
        <v>-12102670192</v>
      </c>
      <c r="L349" s="599"/>
      <c r="M349" s="599">
        <v>0</v>
      </c>
      <c r="N349" s="592"/>
      <c r="O349" s="592"/>
      <c r="P349" s="882">
        <f t="shared" si="20"/>
        <v>7952088094207</v>
      </c>
      <c r="Q349" s="599">
        <f>6136842640999+11293310669+1105000000+2856707513+844279899-7849634228+8760946457+7621823175-381287639-2856707513-844279899+4133052571+520052967-19808123288+67114650+13440846000+82748250+1158475500</f>
        <v>6156986966083</v>
      </c>
      <c r="R349" s="882">
        <f t="shared" si="21"/>
        <v>7952088</v>
      </c>
      <c r="S349" s="599">
        <f t="shared" si="21"/>
        <v>6156987</v>
      </c>
      <c r="T349" s="620"/>
      <c r="U349" s="621"/>
      <c r="V349" s="882">
        <f t="shared" si="22"/>
        <v>7952088094207</v>
      </c>
      <c r="W349" s="882">
        <f t="shared" si="23"/>
        <v>7952088</v>
      </c>
    </row>
    <row r="350" spans="1:23" ht="27" hidden="1" customHeight="1">
      <c r="A350" s="583"/>
      <c r="B350" s="581">
        <v>9</v>
      </c>
      <c r="C350" s="583" t="s">
        <v>1014</v>
      </c>
      <c r="D350" s="583" t="s">
        <v>1015</v>
      </c>
      <c r="E350" s="599">
        <v>1115418060</v>
      </c>
      <c r="F350" s="599">
        <v>-1115418060</v>
      </c>
      <c r="G350" s="599"/>
      <c r="H350" s="599"/>
      <c r="I350" s="599"/>
      <c r="J350" s="599"/>
      <c r="K350" s="599"/>
      <c r="L350" s="599"/>
      <c r="M350" s="599">
        <v>0</v>
      </c>
      <c r="N350" s="592"/>
      <c r="O350" s="592"/>
      <c r="P350" s="882">
        <f t="shared" si="20"/>
        <v>0</v>
      </c>
      <c r="Q350" s="599">
        <v>0</v>
      </c>
      <c r="R350" s="882">
        <f t="shared" si="21"/>
        <v>0</v>
      </c>
      <c r="S350" s="599">
        <f t="shared" si="21"/>
        <v>0</v>
      </c>
      <c r="T350" s="620"/>
      <c r="U350" s="621"/>
      <c r="V350" s="882">
        <f t="shared" si="22"/>
        <v>0</v>
      </c>
      <c r="W350" s="882">
        <f t="shared" si="23"/>
        <v>0</v>
      </c>
    </row>
    <row r="351" spans="1:23" ht="27" hidden="1" customHeight="1">
      <c r="A351" s="583">
        <v>906</v>
      </c>
      <c r="B351" s="581">
        <v>9</v>
      </c>
      <c r="C351" s="583" t="s">
        <v>772</v>
      </c>
      <c r="D351" s="583" t="s">
        <v>774</v>
      </c>
      <c r="E351" s="599">
        <v>12441341071</v>
      </c>
      <c r="F351" s="599">
        <v>-218943032</v>
      </c>
      <c r="G351" s="599"/>
      <c r="H351" s="599"/>
      <c r="I351" s="599"/>
      <c r="J351" s="599"/>
      <c r="K351" s="599"/>
      <c r="L351" s="599"/>
      <c r="M351" s="599">
        <v>0</v>
      </c>
      <c r="N351" s="592"/>
      <c r="O351" s="592"/>
      <c r="P351" s="882">
        <f t="shared" si="20"/>
        <v>12222398039</v>
      </c>
      <c r="Q351" s="599">
        <v>12984627599</v>
      </c>
      <c r="R351" s="882">
        <f t="shared" si="21"/>
        <v>12222</v>
      </c>
      <c r="S351" s="599">
        <f t="shared" si="21"/>
        <v>12985</v>
      </c>
      <c r="T351" s="620"/>
      <c r="U351" s="621"/>
      <c r="V351" s="882">
        <f t="shared" si="22"/>
        <v>12222398039</v>
      </c>
      <c r="W351" s="882">
        <f t="shared" si="23"/>
        <v>12222</v>
      </c>
    </row>
    <row r="352" spans="1:23" ht="27" hidden="1" customHeight="1">
      <c r="A352" s="583"/>
      <c r="B352" s="581">
        <v>7</v>
      </c>
      <c r="C352" s="583" t="s">
        <v>291</v>
      </c>
      <c r="D352" s="583" t="s">
        <v>495</v>
      </c>
      <c r="E352" s="599">
        <v>47500000</v>
      </c>
      <c r="F352" s="599"/>
      <c r="G352" s="599"/>
      <c r="H352" s="599"/>
      <c r="I352" s="599"/>
      <c r="J352" s="599"/>
      <c r="K352" s="599"/>
      <c r="L352" s="599"/>
      <c r="M352" s="599">
        <v>0</v>
      </c>
      <c r="N352" s="592"/>
      <c r="O352" s="592"/>
      <c r="P352" s="882">
        <f t="shared" si="20"/>
        <v>47500000</v>
      </c>
      <c r="Q352" s="599">
        <v>60055700</v>
      </c>
      <c r="R352" s="882">
        <f t="shared" si="21"/>
        <v>48</v>
      </c>
      <c r="S352" s="599">
        <f t="shared" si="21"/>
        <v>60</v>
      </c>
      <c r="T352" s="620"/>
      <c r="U352" s="621"/>
      <c r="V352" s="882">
        <f t="shared" si="22"/>
        <v>47500000</v>
      </c>
      <c r="W352" s="882">
        <f t="shared" si="23"/>
        <v>48</v>
      </c>
    </row>
    <row r="353" spans="1:23" ht="27" hidden="1" customHeight="1">
      <c r="A353" s="583">
        <v>421</v>
      </c>
      <c r="B353" s="581">
        <v>4</v>
      </c>
      <c r="C353" s="583" t="s">
        <v>610</v>
      </c>
      <c r="D353" s="583" t="s">
        <v>611</v>
      </c>
      <c r="E353" s="599">
        <v>37961714147</v>
      </c>
      <c r="F353" s="599"/>
      <c r="G353" s="599"/>
      <c r="H353" s="599"/>
      <c r="I353" s="599"/>
      <c r="J353" s="599"/>
      <c r="K353" s="599"/>
      <c r="L353" s="599"/>
      <c r="M353" s="599">
        <v>0</v>
      </c>
      <c r="N353" s="592"/>
      <c r="O353" s="592"/>
      <c r="P353" s="882">
        <f t="shared" si="20"/>
        <v>37961714147</v>
      </c>
      <c r="Q353" s="599">
        <v>48977633615</v>
      </c>
      <c r="R353" s="882">
        <f t="shared" si="21"/>
        <v>37962</v>
      </c>
      <c r="S353" s="599">
        <f t="shared" si="21"/>
        <v>48978</v>
      </c>
      <c r="T353" s="620"/>
      <c r="U353" s="621"/>
      <c r="V353" s="882">
        <f t="shared" si="22"/>
        <v>37961714147</v>
      </c>
      <c r="W353" s="882">
        <f t="shared" si="23"/>
        <v>37962</v>
      </c>
    </row>
    <row r="354" spans="1:23" ht="27" hidden="1" customHeight="1">
      <c r="A354" s="583">
        <v>410</v>
      </c>
      <c r="B354" s="581">
        <v>4</v>
      </c>
      <c r="C354" s="583" t="s">
        <v>610</v>
      </c>
      <c r="D354" s="583" t="s">
        <v>611</v>
      </c>
      <c r="E354" s="599"/>
      <c r="F354" s="599"/>
      <c r="G354" s="599"/>
      <c r="H354" s="599"/>
      <c r="I354" s="599"/>
      <c r="J354" s="599"/>
      <c r="K354" s="599"/>
      <c r="L354" s="599"/>
      <c r="M354" s="599">
        <v>0</v>
      </c>
      <c r="N354" s="592"/>
      <c r="O354" s="592"/>
      <c r="P354" s="882">
        <f t="shared" si="20"/>
        <v>0</v>
      </c>
      <c r="Q354" s="599"/>
      <c r="R354" s="882">
        <f t="shared" si="21"/>
        <v>0</v>
      </c>
      <c r="S354" s="599">
        <f t="shared" si="21"/>
        <v>0</v>
      </c>
      <c r="T354" s="620"/>
      <c r="U354" s="621"/>
      <c r="V354" s="882">
        <f t="shared" si="22"/>
        <v>0</v>
      </c>
      <c r="W354" s="882">
        <f t="shared" si="23"/>
        <v>0</v>
      </c>
    </row>
    <row r="355" spans="1:23" ht="27" hidden="1" customHeight="1">
      <c r="A355" s="583">
        <v>406</v>
      </c>
      <c r="B355" s="581">
        <v>4</v>
      </c>
      <c r="C355" s="583" t="s">
        <v>894</v>
      </c>
      <c r="D355" s="583" t="s">
        <v>895</v>
      </c>
      <c r="E355" s="599"/>
      <c r="F355" s="599"/>
      <c r="G355" s="599"/>
      <c r="H355" s="599"/>
      <c r="I355" s="599"/>
      <c r="J355" s="599"/>
      <c r="K355" s="599"/>
      <c r="L355" s="599"/>
      <c r="M355" s="599">
        <v>0</v>
      </c>
      <c r="N355" s="592"/>
      <c r="O355" s="592"/>
      <c r="P355" s="882">
        <f t="shared" si="20"/>
        <v>0</v>
      </c>
      <c r="Q355" s="599"/>
      <c r="R355" s="882">
        <f t="shared" si="21"/>
        <v>0</v>
      </c>
      <c r="S355" s="599">
        <f t="shared" si="21"/>
        <v>0</v>
      </c>
      <c r="T355" s="620"/>
      <c r="U355" s="621"/>
      <c r="V355" s="882">
        <f t="shared" si="22"/>
        <v>0</v>
      </c>
      <c r="W355" s="882">
        <f t="shared" si="23"/>
        <v>0</v>
      </c>
    </row>
    <row r="356" spans="1:23" ht="27" hidden="1" customHeight="1">
      <c r="A356" s="583">
        <v>506</v>
      </c>
      <c r="B356" s="581">
        <v>5</v>
      </c>
      <c r="C356" s="583" t="s">
        <v>145</v>
      </c>
      <c r="D356" s="583" t="s">
        <v>761</v>
      </c>
      <c r="E356" s="599">
        <v>214844387</v>
      </c>
      <c r="F356" s="599"/>
      <c r="G356" s="599"/>
      <c r="H356" s="599"/>
      <c r="I356" s="599"/>
      <c r="J356" s="599"/>
      <c r="K356" s="599"/>
      <c r="L356" s="599"/>
      <c r="M356" s="599">
        <v>0</v>
      </c>
      <c r="N356" s="592"/>
      <c r="O356" s="592"/>
      <c r="P356" s="882">
        <f t="shared" si="20"/>
        <v>214844387</v>
      </c>
      <c r="Q356" s="599">
        <v>214844387</v>
      </c>
      <c r="R356" s="882">
        <f t="shared" si="21"/>
        <v>215</v>
      </c>
      <c r="S356" s="599">
        <f t="shared" si="21"/>
        <v>215</v>
      </c>
      <c r="T356" s="620"/>
      <c r="U356" s="621"/>
      <c r="V356" s="882">
        <f t="shared" si="22"/>
        <v>214844387</v>
      </c>
      <c r="W356" s="882">
        <f t="shared" si="23"/>
        <v>215</v>
      </c>
    </row>
    <row r="357" spans="1:23" ht="27" hidden="1" customHeight="1">
      <c r="A357" s="583">
        <v>504</v>
      </c>
      <c r="B357" s="581">
        <v>5</v>
      </c>
      <c r="C357" s="583" t="s">
        <v>119</v>
      </c>
      <c r="D357" s="583" t="s">
        <v>1149</v>
      </c>
      <c r="E357" s="599">
        <v>35432355000</v>
      </c>
      <c r="F357" s="599"/>
      <c r="G357" s="599"/>
      <c r="H357" s="599"/>
      <c r="I357" s="599"/>
      <c r="J357" s="599"/>
      <c r="K357" s="599"/>
      <c r="L357" s="599"/>
      <c r="M357" s="599">
        <v>0</v>
      </c>
      <c r="N357" s="592"/>
      <c r="O357" s="592"/>
      <c r="P357" s="882">
        <f t="shared" si="20"/>
        <v>35432355000</v>
      </c>
      <c r="Q357" s="599">
        <f>80653768180-40630761500-27910857180</f>
        <v>12112149500</v>
      </c>
      <c r="R357" s="882">
        <f t="shared" si="21"/>
        <v>35432</v>
      </c>
      <c r="S357" s="599">
        <f t="shared" si="21"/>
        <v>12112</v>
      </c>
      <c r="T357" s="620"/>
      <c r="U357" s="621"/>
      <c r="V357" s="882">
        <f t="shared" si="22"/>
        <v>35432355000</v>
      </c>
      <c r="W357" s="882">
        <f t="shared" si="23"/>
        <v>35432</v>
      </c>
    </row>
    <row r="358" spans="1:23" ht="27" hidden="1" customHeight="1">
      <c r="A358" s="583">
        <v>1022</v>
      </c>
      <c r="B358" s="581">
        <v>10</v>
      </c>
      <c r="C358" s="583" t="s">
        <v>121</v>
      </c>
      <c r="D358" s="583" t="s">
        <v>1150</v>
      </c>
      <c r="E358" s="599">
        <v>-355683309000</v>
      </c>
      <c r="F358" s="599">
        <v>-17104472900</v>
      </c>
      <c r="G358" s="599">
        <v>3104992000</v>
      </c>
      <c r="H358" s="599"/>
      <c r="I358" s="599"/>
      <c r="J358" s="599"/>
      <c r="K358" s="599"/>
      <c r="L358" s="599"/>
      <c r="M358" s="599">
        <v>0</v>
      </c>
      <c r="N358" s="592"/>
      <c r="O358" s="592"/>
      <c r="P358" s="882">
        <f t="shared" si="20"/>
        <v>-369682789900</v>
      </c>
      <c r="Q358" s="599">
        <v>-283404044500</v>
      </c>
      <c r="R358" s="882">
        <f>ROUND((P358/1000000),0)</f>
        <v>-369683</v>
      </c>
      <c r="S358" s="599">
        <f t="shared" si="21"/>
        <v>-283404</v>
      </c>
      <c r="T358" s="620"/>
      <c r="U358" s="621"/>
      <c r="V358" s="882">
        <f t="shared" si="22"/>
        <v>-369682789900</v>
      </c>
      <c r="W358" s="882">
        <f t="shared" si="23"/>
        <v>-369683</v>
      </c>
    </row>
    <row r="359" spans="1:23" ht="27" hidden="1" customHeight="1">
      <c r="A359" s="583">
        <v>505</v>
      </c>
      <c r="B359" s="581">
        <v>5</v>
      </c>
      <c r="C359" s="583" t="s">
        <v>123</v>
      </c>
      <c r="D359" s="583" t="s">
        <v>124</v>
      </c>
      <c r="E359" s="599">
        <v>5458552985</v>
      </c>
      <c r="F359" s="599"/>
      <c r="G359" s="599"/>
      <c r="H359" s="599"/>
      <c r="I359" s="599"/>
      <c r="J359" s="599"/>
      <c r="K359" s="599"/>
      <c r="L359" s="599"/>
      <c r="M359" s="599">
        <v>0</v>
      </c>
      <c r="N359" s="592"/>
      <c r="O359" s="592"/>
      <c r="P359" s="882">
        <f t="shared" si="20"/>
        <v>5458552985</v>
      </c>
      <c r="Q359" s="599">
        <v>12005434849</v>
      </c>
      <c r="R359" s="882">
        <f t="shared" si="21"/>
        <v>5459</v>
      </c>
      <c r="S359" s="599">
        <f t="shared" si="21"/>
        <v>12005</v>
      </c>
      <c r="T359" s="620"/>
      <c r="U359" s="621"/>
      <c r="V359" s="882">
        <f t="shared" si="22"/>
        <v>5458552985</v>
      </c>
      <c r="W359" s="882">
        <f t="shared" si="23"/>
        <v>5459</v>
      </c>
    </row>
    <row r="360" spans="1:23" ht="27" hidden="1" customHeight="1">
      <c r="A360" s="583"/>
      <c r="B360" s="581">
        <v>8</v>
      </c>
      <c r="C360" s="583" t="s">
        <v>125</v>
      </c>
      <c r="D360" s="583" t="s">
        <v>999</v>
      </c>
      <c r="E360" s="599">
        <v>60121191597</v>
      </c>
      <c r="F360" s="599"/>
      <c r="G360" s="599"/>
      <c r="H360" s="599"/>
      <c r="I360" s="599"/>
      <c r="J360" s="599"/>
      <c r="K360" s="599"/>
      <c r="L360" s="599"/>
      <c r="M360" s="599">
        <v>0</v>
      </c>
      <c r="N360" s="592"/>
      <c r="O360" s="592"/>
      <c r="P360" s="882">
        <f t="shared" si="20"/>
        <v>60121191597</v>
      </c>
      <c r="Q360" s="599">
        <v>58355115883</v>
      </c>
      <c r="R360" s="882">
        <f t="shared" si="21"/>
        <v>60121</v>
      </c>
      <c r="S360" s="599">
        <f t="shared" si="21"/>
        <v>58355</v>
      </c>
      <c r="T360" s="620"/>
      <c r="U360" s="621"/>
      <c r="V360" s="882">
        <f t="shared" si="22"/>
        <v>60121191597</v>
      </c>
      <c r="W360" s="882">
        <f t="shared" si="23"/>
        <v>60121</v>
      </c>
    </row>
    <row r="361" spans="1:23" ht="27" hidden="1" customHeight="1">
      <c r="A361" s="583">
        <v>406</v>
      </c>
      <c r="B361" s="581">
        <v>4</v>
      </c>
      <c r="C361" s="583" t="s">
        <v>63</v>
      </c>
      <c r="D361" s="583" t="s">
        <v>559</v>
      </c>
      <c r="E361" s="599">
        <v>19540869411</v>
      </c>
      <c r="F361" s="599"/>
      <c r="G361" s="599"/>
      <c r="H361" s="599"/>
      <c r="I361" s="599"/>
      <c r="J361" s="599"/>
      <c r="K361" s="599"/>
      <c r="L361" s="599"/>
      <c r="M361" s="599">
        <v>0</v>
      </c>
      <c r="N361" s="592"/>
      <c r="O361" s="592"/>
      <c r="P361" s="882">
        <f t="shared" si="20"/>
        <v>19540869411</v>
      </c>
      <c r="Q361" s="599">
        <v>20328221891</v>
      </c>
      <c r="R361" s="882">
        <f t="shared" si="21"/>
        <v>19541</v>
      </c>
      <c r="S361" s="599">
        <f t="shared" si="21"/>
        <v>20328</v>
      </c>
      <c r="T361" s="620"/>
      <c r="U361" s="621"/>
      <c r="V361" s="882">
        <f t="shared" si="22"/>
        <v>19540869411</v>
      </c>
      <c r="W361" s="882">
        <f t="shared" si="23"/>
        <v>19541</v>
      </c>
    </row>
    <row r="362" spans="1:23" ht="27" hidden="1" customHeight="1">
      <c r="A362" s="583">
        <v>606</v>
      </c>
      <c r="B362" s="581">
        <v>6</v>
      </c>
      <c r="C362" s="583" t="s">
        <v>849</v>
      </c>
      <c r="D362" s="583" t="s">
        <v>920</v>
      </c>
      <c r="E362" s="599">
        <v>6197239785</v>
      </c>
      <c r="F362" s="599"/>
      <c r="G362" s="599"/>
      <c r="H362" s="599"/>
      <c r="I362" s="599"/>
      <c r="J362" s="599"/>
      <c r="K362" s="599"/>
      <c r="L362" s="599"/>
      <c r="M362" s="599">
        <v>0</v>
      </c>
      <c r="N362" s="592"/>
      <c r="O362" s="592"/>
      <c r="P362" s="882">
        <f t="shared" si="20"/>
        <v>6197239785</v>
      </c>
      <c r="Q362" s="599">
        <v>22711086235</v>
      </c>
      <c r="R362" s="882">
        <f t="shared" si="21"/>
        <v>6197</v>
      </c>
      <c r="S362" s="599">
        <f t="shared" si="21"/>
        <v>22711</v>
      </c>
      <c r="T362" s="620"/>
      <c r="U362" s="621"/>
      <c r="V362" s="882">
        <f t="shared" si="22"/>
        <v>6197239785</v>
      </c>
      <c r="W362" s="882">
        <f t="shared" si="23"/>
        <v>6197</v>
      </c>
    </row>
    <row r="363" spans="1:23" ht="27" hidden="1" customHeight="1">
      <c r="A363" s="583">
        <v>604</v>
      </c>
      <c r="B363" s="581">
        <v>6</v>
      </c>
      <c r="C363" s="583" t="s">
        <v>69</v>
      </c>
      <c r="D363" s="583" t="s">
        <v>70</v>
      </c>
      <c r="E363" s="599">
        <v>295564797</v>
      </c>
      <c r="F363" s="599"/>
      <c r="G363" s="599"/>
      <c r="H363" s="599"/>
      <c r="I363" s="599"/>
      <c r="J363" s="599"/>
      <c r="K363" s="599"/>
      <c r="L363" s="599"/>
      <c r="M363" s="599">
        <v>0</v>
      </c>
      <c r="N363" s="592"/>
      <c r="O363" s="592"/>
      <c r="P363" s="882">
        <f t="shared" si="20"/>
        <v>295564797</v>
      </c>
      <c r="Q363" s="599">
        <v>295564797</v>
      </c>
      <c r="R363" s="882">
        <f t="shared" si="21"/>
        <v>296</v>
      </c>
      <c r="S363" s="599">
        <f t="shared" si="21"/>
        <v>296</v>
      </c>
      <c r="T363" s="620"/>
      <c r="U363" s="621"/>
      <c r="V363" s="882">
        <f t="shared" si="22"/>
        <v>295564797</v>
      </c>
      <c r="W363" s="882">
        <f t="shared" si="23"/>
        <v>296</v>
      </c>
    </row>
    <row r="364" spans="1:23" ht="27" hidden="1" customHeight="1">
      <c r="A364" s="583">
        <v>406</v>
      </c>
      <c r="B364" s="581">
        <v>4</v>
      </c>
      <c r="C364" s="583" t="s">
        <v>1151</v>
      </c>
      <c r="D364" s="583" t="s">
        <v>1152</v>
      </c>
      <c r="E364" s="599">
        <v>29946341365</v>
      </c>
      <c r="F364" s="599"/>
      <c r="G364" s="599"/>
      <c r="H364" s="599"/>
      <c r="I364" s="599"/>
      <c r="J364" s="599"/>
      <c r="K364" s="599"/>
      <c r="L364" s="599"/>
      <c r="M364" s="599">
        <v>0</v>
      </c>
      <c r="N364" s="592"/>
      <c r="O364" s="592"/>
      <c r="P364" s="882">
        <f t="shared" si="20"/>
        <v>29946341365</v>
      </c>
      <c r="Q364" s="599">
        <v>28420359765</v>
      </c>
      <c r="R364" s="882">
        <f t="shared" si="21"/>
        <v>29946</v>
      </c>
      <c r="S364" s="599">
        <f t="shared" si="21"/>
        <v>28420</v>
      </c>
      <c r="T364" s="620"/>
      <c r="U364" s="621"/>
      <c r="V364" s="882">
        <f t="shared" si="22"/>
        <v>29946341365</v>
      </c>
      <c r="W364" s="882">
        <f t="shared" si="23"/>
        <v>29946</v>
      </c>
    </row>
    <row r="365" spans="1:23" ht="27" hidden="1" customHeight="1">
      <c r="A365" s="583">
        <v>907</v>
      </c>
      <c r="B365" s="581">
        <v>9</v>
      </c>
      <c r="C365" s="583" t="s">
        <v>71</v>
      </c>
      <c r="D365" s="583" t="s">
        <v>72</v>
      </c>
      <c r="E365" s="599">
        <v>37392943450</v>
      </c>
      <c r="F365" s="599"/>
      <c r="G365" s="599"/>
      <c r="H365" s="599"/>
      <c r="I365" s="599"/>
      <c r="J365" s="599"/>
      <c r="K365" s="599"/>
      <c r="L365" s="599"/>
      <c r="M365" s="599">
        <v>0</v>
      </c>
      <c r="N365" s="592"/>
      <c r="O365" s="592"/>
      <c r="P365" s="882">
        <f t="shared" si="20"/>
        <v>37392943450</v>
      </c>
      <c r="Q365" s="599">
        <f>264432017472+7310000000+1119797292-250299188115-1119797292</f>
        <v>21442829357</v>
      </c>
      <c r="R365" s="882">
        <f t="shared" si="21"/>
        <v>37393</v>
      </c>
      <c r="S365" s="599">
        <f t="shared" si="21"/>
        <v>21443</v>
      </c>
      <c r="T365" s="620"/>
      <c r="U365" s="621"/>
      <c r="V365" s="882">
        <f t="shared" si="22"/>
        <v>37392943450</v>
      </c>
      <c r="W365" s="882">
        <f t="shared" si="23"/>
        <v>37393</v>
      </c>
    </row>
    <row r="366" spans="1:23" ht="27" hidden="1" customHeight="1">
      <c r="A366" s="583">
        <v>907</v>
      </c>
      <c r="B366" s="581">
        <v>9</v>
      </c>
      <c r="C366" s="583" t="s">
        <v>71</v>
      </c>
      <c r="D366" s="584" t="s">
        <v>1459</v>
      </c>
      <c r="E366" s="599"/>
      <c r="F366" s="599"/>
      <c r="G366" s="599">
        <v>207478871578</v>
      </c>
      <c r="H366" s="599"/>
      <c r="I366" s="599"/>
      <c r="J366" s="599"/>
      <c r="K366" s="599"/>
      <c r="L366" s="599"/>
      <c r="M366" s="599">
        <v>0</v>
      </c>
      <c r="N366" s="592"/>
      <c r="O366" s="592"/>
      <c r="P366" s="882">
        <f t="shared" si="20"/>
        <v>207478871578</v>
      </c>
      <c r="Q366" s="599">
        <f>250299188115+1119797292</f>
        <v>251418985407</v>
      </c>
      <c r="R366" s="882">
        <f t="shared" si="21"/>
        <v>207479</v>
      </c>
      <c r="S366" s="599">
        <f t="shared" si="21"/>
        <v>251419</v>
      </c>
      <c r="T366" s="620"/>
      <c r="U366" s="623"/>
      <c r="V366" s="882">
        <f t="shared" si="22"/>
        <v>207478871578</v>
      </c>
      <c r="W366" s="882">
        <f t="shared" si="23"/>
        <v>207479</v>
      </c>
    </row>
    <row r="367" spans="1:23" ht="27" hidden="1" customHeight="1">
      <c r="A367" s="583">
        <v>406</v>
      </c>
      <c r="B367" s="581">
        <v>4</v>
      </c>
      <c r="C367" s="583" t="s">
        <v>73</v>
      </c>
      <c r="D367" s="583" t="s">
        <v>74</v>
      </c>
      <c r="E367" s="599">
        <v>9610677754</v>
      </c>
      <c r="F367" s="599">
        <v>295701074</v>
      </c>
      <c r="G367" s="599">
        <v>-329819200</v>
      </c>
      <c r="H367" s="599"/>
      <c r="I367" s="599"/>
      <c r="J367" s="599"/>
      <c r="K367" s="599"/>
      <c r="L367" s="599"/>
      <c r="M367" s="599">
        <v>0</v>
      </c>
      <c r="N367" s="592"/>
      <c r="O367" s="592"/>
      <c r="P367" s="882">
        <f t="shared" si="20"/>
        <v>9576559628</v>
      </c>
      <c r="Q367" s="599">
        <v>16623444233</v>
      </c>
      <c r="R367" s="882">
        <f t="shared" si="21"/>
        <v>9577</v>
      </c>
      <c r="S367" s="599">
        <f t="shared" si="21"/>
        <v>16623</v>
      </c>
      <c r="T367" s="620"/>
      <c r="U367" s="621"/>
      <c r="V367" s="882">
        <f t="shared" si="22"/>
        <v>9576559628</v>
      </c>
      <c r="W367" s="882">
        <f t="shared" si="23"/>
        <v>9577</v>
      </c>
    </row>
    <row r="368" spans="1:23" ht="27" hidden="1" customHeight="1">
      <c r="A368" s="583">
        <v>605</v>
      </c>
      <c r="B368" s="581">
        <v>6</v>
      </c>
      <c r="C368" s="583" t="s">
        <v>1153</v>
      </c>
      <c r="D368" s="583" t="s">
        <v>1154</v>
      </c>
      <c r="E368" s="599">
        <v>1173414755202</v>
      </c>
      <c r="F368" s="599">
        <v>14280160827</v>
      </c>
      <c r="G368" s="599">
        <v>-68444588253</v>
      </c>
      <c r="H368" s="599">
        <v>-2800620</v>
      </c>
      <c r="I368" s="599"/>
      <c r="J368" s="599"/>
      <c r="K368" s="599">
        <v>5307469517</v>
      </c>
      <c r="L368" s="599"/>
      <c r="M368" s="599">
        <v>0</v>
      </c>
      <c r="N368" s="592"/>
      <c r="O368" s="592"/>
      <c r="P368" s="882">
        <f t="shared" si="20"/>
        <v>1124554996673</v>
      </c>
      <c r="Q368" s="599">
        <f>957504782861+3754508142+2392654495+1065600000+1335766011+1383968782+480000+83322718159</f>
        <v>1050760478450</v>
      </c>
      <c r="R368" s="882">
        <f>ROUND((P368/1000000),0)</f>
        <v>1124555</v>
      </c>
      <c r="S368" s="599">
        <f>ROUND((Q368/1000000),0)-2</f>
        <v>1050758</v>
      </c>
      <c r="T368" s="620"/>
      <c r="U368" s="621"/>
      <c r="V368" s="882">
        <f t="shared" si="22"/>
        <v>1124554996673</v>
      </c>
      <c r="W368" s="882">
        <f t="shared" si="23"/>
        <v>1124555</v>
      </c>
    </row>
    <row r="369" spans="1:23" ht="27" hidden="1" customHeight="1">
      <c r="A369" s="583">
        <v>406</v>
      </c>
      <c r="B369" s="581">
        <v>4</v>
      </c>
      <c r="C369" s="583" t="s">
        <v>75</v>
      </c>
      <c r="D369" s="583" t="s">
        <v>406</v>
      </c>
      <c r="E369" s="599">
        <v>17734709800</v>
      </c>
      <c r="F369" s="599"/>
      <c r="G369" s="599"/>
      <c r="H369" s="599"/>
      <c r="I369" s="599"/>
      <c r="J369" s="599"/>
      <c r="K369" s="599"/>
      <c r="L369" s="599"/>
      <c r="M369" s="599">
        <v>0</v>
      </c>
      <c r="N369" s="592"/>
      <c r="O369" s="592"/>
      <c r="P369" s="882">
        <f t="shared" si="20"/>
        <v>17734709800</v>
      </c>
      <c r="Q369" s="599">
        <v>18820932989</v>
      </c>
      <c r="R369" s="882">
        <f t="shared" ref="R369:S400" si="24">ROUND((P369/1000000),0)</f>
        <v>17735</v>
      </c>
      <c r="S369" s="599">
        <f t="shared" si="24"/>
        <v>18821</v>
      </c>
      <c r="T369" s="620"/>
      <c r="U369" s="621"/>
      <c r="V369" s="882">
        <f t="shared" si="22"/>
        <v>17734709800</v>
      </c>
      <c r="W369" s="882">
        <f t="shared" si="23"/>
        <v>17735</v>
      </c>
    </row>
    <row r="370" spans="1:23" ht="27" hidden="1" customHeight="1">
      <c r="A370" s="583">
        <v>406</v>
      </c>
      <c r="B370" s="581">
        <v>4</v>
      </c>
      <c r="C370" s="583" t="s">
        <v>407</v>
      </c>
      <c r="D370" s="583" t="s">
        <v>408</v>
      </c>
      <c r="E370" s="599">
        <v>199100360</v>
      </c>
      <c r="F370" s="599"/>
      <c r="G370" s="599"/>
      <c r="H370" s="599"/>
      <c r="I370" s="599"/>
      <c r="J370" s="599"/>
      <c r="K370" s="599"/>
      <c r="L370" s="599"/>
      <c r="M370" s="599">
        <v>0</v>
      </c>
      <c r="N370" s="592"/>
      <c r="O370" s="592"/>
      <c r="P370" s="882">
        <f t="shared" si="20"/>
        <v>199100360</v>
      </c>
      <c r="Q370" s="599">
        <v>199100360</v>
      </c>
      <c r="R370" s="882">
        <f t="shared" si="24"/>
        <v>199</v>
      </c>
      <c r="S370" s="599">
        <f t="shared" si="24"/>
        <v>199</v>
      </c>
      <c r="T370" s="620"/>
      <c r="U370" s="621"/>
      <c r="V370" s="882">
        <f t="shared" si="22"/>
        <v>199100360</v>
      </c>
      <c r="W370" s="882">
        <f t="shared" si="23"/>
        <v>199</v>
      </c>
    </row>
    <row r="371" spans="1:23" ht="27" hidden="1" customHeight="1">
      <c r="A371" s="583">
        <v>406</v>
      </c>
      <c r="B371" s="581">
        <v>4</v>
      </c>
      <c r="C371" s="583" t="s">
        <v>409</v>
      </c>
      <c r="D371" s="583" t="s">
        <v>410</v>
      </c>
      <c r="E371" s="599">
        <v>23147853693</v>
      </c>
      <c r="F371" s="599"/>
      <c r="G371" s="599"/>
      <c r="H371" s="599"/>
      <c r="I371" s="599"/>
      <c r="J371" s="599"/>
      <c r="K371" s="599"/>
      <c r="L371" s="599"/>
      <c r="M371" s="599">
        <v>0</v>
      </c>
      <c r="N371" s="592"/>
      <c r="O371" s="592"/>
      <c r="P371" s="882">
        <f t="shared" si="20"/>
        <v>23147853693</v>
      </c>
      <c r="Q371" s="599"/>
      <c r="R371" s="882">
        <f t="shared" si="24"/>
        <v>23148</v>
      </c>
      <c r="S371" s="599">
        <f t="shared" si="24"/>
        <v>0</v>
      </c>
      <c r="T371" s="620"/>
      <c r="U371" s="621"/>
      <c r="V371" s="882">
        <f t="shared" si="22"/>
        <v>23147853693</v>
      </c>
      <c r="W371" s="882">
        <f t="shared" si="23"/>
        <v>23148</v>
      </c>
    </row>
    <row r="372" spans="1:23" ht="27" hidden="1" customHeight="1">
      <c r="A372" s="583">
        <v>408</v>
      </c>
      <c r="B372" s="581">
        <v>4</v>
      </c>
      <c r="C372" s="583" t="s">
        <v>409</v>
      </c>
      <c r="D372" s="583" t="s">
        <v>1460</v>
      </c>
      <c r="E372" s="599"/>
      <c r="F372" s="599"/>
      <c r="G372" s="599">
        <v>275488814311</v>
      </c>
      <c r="H372" s="599"/>
      <c r="I372" s="599"/>
      <c r="J372" s="599"/>
      <c r="K372" s="599"/>
      <c r="L372" s="599"/>
      <c r="M372" s="599">
        <v>0</v>
      </c>
      <c r="N372" s="592"/>
      <c r="O372" s="592"/>
      <c r="P372" s="882">
        <f t="shared" si="20"/>
        <v>275488814311</v>
      </c>
      <c r="Q372" s="599">
        <f>132939300094-291683735</f>
        <v>132647616359</v>
      </c>
      <c r="R372" s="882">
        <f t="shared" si="24"/>
        <v>275489</v>
      </c>
      <c r="S372" s="599">
        <f t="shared" si="24"/>
        <v>132648</v>
      </c>
      <c r="T372" s="620"/>
      <c r="U372" s="621"/>
      <c r="V372" s="882">
        <f t="shared" si="22"/>
        <v>275488814311</v>
      </c>
      <c r="W372" s="882">
        <f t="shared" si="23"/>
        <v>275489</v>
      </c>
    </row>
    <row r="373" spans="1:23" ht="27" hidden="1" customHeight="1">
      <c r="A373" s="583">
        <v>907</v>
      </c>
      <c r="B373" s="581">
        <v>9</v>
      </c>
      <c r="C373" s="583" t="s">
        <v>411</v>
      </c>
      <c r="D373" s="583" t="s">
        <v>769</v>
      </c>
      <c r="E373" s="599">
        <v>195204712063</v>
      </c>
      <c r="F373" s="599"/>
      <c r="G373" s="599"/>
      <c r="H373" s="599"/>
      <c r="I373" s="599"/>
      <c r="J373" s="599"/>
      <c r="K373" s="599"/>
      <c r="L373" s="599"/>
      <c r="M373" s="599">
        <v>0</v>
      </c>
      <c r="N373" s="592"/>
      <c r="O373" s="592"/>
      <c r="P373" s="882">
        <f t="shared" si="20"/>
        <v>195204712063</v>
      </c>
      <c r="Q373" s="599">
        <f>1791468192342-1518394078609</f>
        <v>273074113733</v>
      </c>
      <c r="R373" s="882">
        <f t="shared" si="24"/>
        <v>195205</v>
      </c>
      <c r="S373" s="599">
        <f t="shared" si="24"/>
        <v>273074</v>
      </c>
      <c r="T373" s="620"/>
      <c r="U373" s="621"/>
      <c r="V373" s="882">
        <f t="shared" si="22"/>
        <v>195204712063</v>
      </c>
      <c r="W373" s="882">
        <f t="shared" si="23"/>
        <v>195205</v>
      </c>
    </row>
    <row r="374" spans="1:23" ht="27" hidden="1" customHeight="1">
      <c r="A374" s="583">
        <v>907</v>
      </c>
      <c r="B374" s="581">
        <v>9</v>
      </c>
      <c r="C374" s="583" t="s">
        <v>411</v>
      </c>
      <c r="D374" s="585" t="s">
        <v>1461</v>
      </c>
      <c r="E374" s="599"/>
      <c r="F374" s="599"/>
      <c r="G374" s="599">
        <v>1436486056974</v>
      </c>
      <c r="H374" s="599"/>
      <c r="I374" s="599">
        <v>-11607670192</v>
      </c>
      <c r="J374" s="599"/>
      <c r="K374" s="599">
        <v>11607670192</v>
      </c>
      <c r="L374" s="599"/>
      <c r="M374" s="599">
        <v>0</v>
      </c>
      <c r="N374" s="592"/>
      <c r="O374" s="592"/>
      <c r="P374" s="882">
        <f t="shared" si="20"/>
        <v>1436486056974</v>
      </c>
      <c r="Q374" s="599">
        <f>1518394078609+6556600000</f>
        <v>1524950678609</v>
      </c>
      <c r="R374" s="882">
        <f t="shared" si="24"/>
        <v>1436486</v>
      </c>
      <c r="S374" s="599">
        <f t="shared" si="24"/>
        <v>1524951</v>
      </c>
      <c r="T374" s="620"/>
      <c r="U374" s="624"/>
      <c r="V374" s="882">
        <f t="shared" si="22"/>
        <v>1436486056974</v>
      </c>
      <c r="W374" s="882">
        <f t="shared" si="23"/>
        <v>1436486</v>
      </c>
    </row>
    <row r="375" spans="1:23" ht="27" hidden="1" customHeight="1">
      <c r="A375" s="583">
        <v>603</v>
      </c>
      <c r="B375" s="581">
        <v>6</v>
      </c>
      <c r="C375" s="583" t="s">
        <v>353</v>
      </c>
      <c r="D375" s="583" t="s">
        <v>354</v>
      </c>
      <c r="E375" s="599">
        <v>38395483931</v>
      </c>
      <c r="F375" s="599"/>
      <c r="G375" s="599"/>
      <c r="H375" s="599"/>
      <c r="I375" s="599"/>
      <c r="J375" s="599"/>
      <c r="K375" s="599"/>
      <c r="L375" s="599"/>
      <c r="M375" s="599">
        <v>0</v>
      </c>
      <c r="N375" s="592"/>
      <c r="O375" s="592"/>
      <c r="P375" s="882">
        <f t="shared" si="20"/>
        <v>38395483931</v>
      </c>
      <c r="Q375" s="599">
        <v>38974279189</v>
      </c>
      <c r="R375" s="882">
        <f t="shared" si="24"/>
        <v>38395</v>
      </c>
      <c r="S375" s="599">
        <f t="shared" si="24"/>
        <v>38974</v>
      </c>
      <c r="T375" s="620"/>
      <c r="U375" s="621"/>
      <c r="V375" s="882">
        <f t="shared" si="22"/>
        <v>38395483931</v>
      </c>
      <c r="W375" s="882">
        <f t="shared" si="23"/>
        <v>38395</v>
      </c>
    </row>
    <row r="376" spans="1:23" ht="27" hidden="1" customHeight="1">
      <c r="A376" s="583">
        <v>1015</v>
      </c>
      <c r="B376" s="581">
        <v>10</v>
      </c>
      <c r="C376" s="583" t="s">
        <v>355</v>
      </c>
      <c r="D376" s="583" t="s">
        <v>356</v>
      </c>
      <c r="E376" s="599">
        <f>14779883-4191999666</f>
        <v>-4177219783</v>
      </c>
      <c r="F376" s="599">
        <v>-11629883</v>
      </c>
      <c r="G376" s="599"/>
      <c r="H376" s="599"/>
      <c r="I376" s="599"/>
      <c r="J376" s="599"/>
      <c r="K376" s="599"/>
      <c r="L376" s="599"/>
      <c r="M376" s="599">
        <v>0</v>
      </c>
      <c r="N376" s="592"/>
      <c r="O376" s="592"/>
      <c r="P376" s="882">
        <f t="shared" si="20"/>
        <v>-4188849666</v>
      </c>
      <c r="Q376" s="599">
        <f>-5745283047+677657825</f>
        <v>-5067625222</v>
      </c>
      <c r="R376" s="882">
        <f t="shared" si="24"/>
        <v>-4189</v>
      </c>
      <c r="S376" s="599">
        <f t="shared" si="24"/>
        <v>-5068</v>
      </c>
      <c r="T376" s="620"/>
      <c r="U376" s="621"/>
      <c r="V376" s="882">
        <f t="shared" si="22"/>
        <v>-4188849666</v>
      </c>
      <c r="W376" s="882">
        <f t="shared" si="23"/>
        <v>-4189</v>
      </c>
    </row>
    <row r="377" spans="1:23" ht="27" hidden="1" customHeight="1">
      <c r="A377" s="583">
        <v>1015</v>
      </c>
      <c r="B377" s="581">
        <v>10</v>
      </c>
      <c r="C377" s="583" t="s">
        <v>355</v>
      </c>
      <c r="D377" s="584" t="s">
        <v>1462</v>
      </c>
      <c r="E377" s="599"/>
      <c r="F377" s="599"/>
      <c r="G377" s="599">
        <v>-15023655268</v>
      </c>
      <c r="H377" s="599"/>
      <c r="I377" s="599">
        <v>-491085180</v>
      </c>
      <c r="J377" s="599"/>
      <c r="K377" s="599">
        <v>491085180</v>
      </c>
      <c r="L377" s="599"/>
      <c r="M377" s="599">
        <v>0</v>
      </c>
      <c r="N377" s="592"/>
      <c r="O377" s="592"/>
      <c r="P377" s="882">
        <f t="shared" si="20"/>
        <v>-15023655268</v>
      </c>
      <c r="Q377" s="599">
        <f>-677657825-532625898</f>
        <v>-1210283723</v>
      </c>
      <c r="R377" s="882">
        <f t="shared" si="24"/>
        <v>-15024</v>
      </c>
      <c r="S377" s="599">
        <f t="shared" si="24"/>
        <v>-1210</v>
      </c>
      <c r="T377" s="620"/>
      <c r="U377" s="623"/>
      <c r="V377" s="882">
        <f t="shared" si="22"/>
        <v>-15023655268</v>
      </c>
      <c r="W377" s="882">
        <f t="shared" si="23"/>
        <v>-15024</v>
      </c>
    </row>
    <row r="378" spans="1:23" ht="27" hidden="1" customHeight="1">
      <c r="A378" s="583">
        <v>1015</v>
      </c>
      <c r="B378" s="581">
        <v>10</v>
      </c>
      <c r="C378" s="583" t="s">
        <v>1258</v>
      </c>
      <c r="D378" s="583" t="s">
        <v>1259</v>
      </c>
      <c r="E378" s="599">
        <v>-4678514</v>
      </c>
      <c r="F378" s="599"/>
      <c r="G378" s="599"/>
      <c r="H378" s="599"/>
      <c r="I378" s="599"/>
      <c r="J378" s="599"/>
      <c r="K378" s="599"/>
      <c r="L378" s="599"/>
      <c r="M378" s="599">
        <v>0</v>
      </c>
      <c r="N378" s="592"/>
      <c r="O378" s="592"/>
      <c r="P378" s="882">
        <f t="shared" si="20"/>
        <v>-4678514</v>
      </c>
      <c r="Q378" s="599">
        <v>-38514964</v>
      </c>
      <c r="R378" s="882">
        <f t="shared" si="24"/>
        <v>-5</v>
      </c>
      <c r="S378" s="599">
        <f t="shared" si="24"/>
        <v>-39</v>
      </c>
      <c r="T378" s="620"/>
      <c r="U378" s="621"/>
      <c r="V378" s="882">
        <f t="shared" si="22"/>
        <v>-4678514</v>
      </c>
      <c r="W378" s="882">
        <f t="shared" si="23"/>
        <v>-5</v>
      </c>
    </row>
    <row r="379" spans="1:23" ht="27" hidden="1" customHeight="1">
      <c r="A379" s="583">
        <v>1015</v>
      </c>
      <c r="B379" s="581">
        <v>10</v>
      </c>
      <c r="C379" s="583" t="s">
        <v>357</v>
      </c>
      <c r="D379" s="583" t="s">
        <v>358</v>
      </c>
      <c r="E379" s="599">
        <v>-5837053825</v>
      </c>
      <c r="F379" s="599"/>
      <c r="G379" s="599"/>
      <c r="H379" s="599"/>
      <c r="I379" s="599"/>
      <c r="J379" s="599"/>
      <c r="K379" s="599"/>
      <c r="L379" s="599"/>
      <c r="M379" s="599">
        <v>0</v>
      </c>
      <c r="N379" s="592"/>
      <c r="O379" s="592"/>
      <c r="P379" s="882">
        <f t="shared" si="20"/>
        <v>-5837053825</v>
      </c>
      <c r="Q379" s="599">
        <f>92618193-4625751786</f>
        <v>-4533133593</v>
      </c>
      <c r="R379" s="882">
        <f t="shared" si="24"/>
        <v>-5837</v>
      </c>
      <c r="S379" s="599">
        <f t="shared" si="24"/>
        <v>-4533</v>
      </c>
      <c r="T379" s="620"/>
      <c r="U379" s="621"/>
      <c r="V379" s="882">
        <f t="shared" si="22"/>
        <v>-5837053825</v>
      </c>
      <c r="W379" s="882">
        <f t="shared" si="23"/>
        <v>-5837</v>
      </c>
    </row>
    <row r="380" spans="1:23" ht="27" hidden="1" customHeight="1">
      <c r="A380" s="583">
        <v>1015</v>
      </c>
      <c r="B380" s="581">
        <v>10</v>
      </c>
      <c r="C380" s="583" t="s">
        <v>359</v>
      </c>
      <c r="D380" s="583" t="s">
        <v>896</v>
      </c>
      <c r="E380" s="599"/>
      <c r="F380" s="599"/>
      <c r="G380" s="599"/>
      <c r="H380" s="599"/>
      <c r="I380" s="599"/>
      <c r="J380" s="599"/>
      <c r="K380" s="599"/>
      <c r="L380" s="599"/>
      <c r="M380" s="599">
        <v>0</v>
      </c>
      <c r="N380" s="592"/>
      <c r="O380" s="592"/>
      <c r="P380" s="882">
        <f t="shared" si="20"/>
        <v>0</v>
      </c>
      <c r="Q380" s="599">
        <v>-9853200</v>
      </c>
      <c r="R380" s="882">
        <f t="shared" si="24"/>
        <v>0</v>
      </c>
      <c r="S380" s="599">
        <f t="shared" si="24"/>
        <v>-10</v>
      </c>
      <c r="T380" s="620"/>
      <c r="U380" s="621"/>
      <c r="V380" s="882">
        <f t="shared" si="22"/>
        <v>0</v>
      </c>
      <c r="W380" s="882">
        <f t="shared" si="23"/>
        <v>0</v>
      </c>
    </row>
    <row r="381" spans="1:23" ht="27" hidden="1" customHeight="1">
      <c r="A381" s="583">
        <v>1015</v>
      </c>
      <c r="B381" s="581">
        <v>10</v>
      </c>
      <c r="C381" s="583" t="s">
        <v>598</v>
      </c>
      <c r="D381" s="583" t="s">
        <v>850</v>
      </c>
      <c r="E381" s="599">
        <v>-97583</v>
      </c>
      <c r="F381" s="599"/>
      <c r="G381" s="599"/>
      <c r="H381" s="599"/>
      <c r="I381" s="599"/>
      <c r="J381" s="599"/>
      <c r="K381" s="599"/>
      <c r="L381" s="599"/>
      <c r="M381" s="599">
        <v>0</v>
      </c>
      <c r="N381" s="592"/>
      <c r="O381" s="592"/>
      <c r="P381" s="882">
        <f t="shared" si="20"/>
        <v>-97583</v>
      </c>
      <c r="Q381" s="599"/>
      <c r="R381" s="882">
        <f t="shared" si="24"/>
        <v>0</v>
      </c>
      <c r="S381" s="599">
        <f t="shared" si="24"/>
        <v>0</v>
      </c>
      <c r="T381" s="620"/>
      <c r="U381" s="621"/>
      <c r="V381" s="882">
        <f t="shared" si="22"/>
        <v>-97583</v>
      </c>
      <c r="W381" s="882">
        <f t="shared" si="23"/>
        <v>0</v>
      </c>
    </row>
    <row r="382" spans="1:23" ht="27" hidden="1" customHeight="1">
      <c r="A382" s="583">
        <v>602</v>
      </c>
      <c r="B382" s="581">
        <v>6</v>
      </c>
      <c r="C382" s="583" t="s">
        <v>600</v>
      </c>
      <c r="D382" s="583" t="s">
        <v>601</v>
      </c>
      <c r="E382" s="599">
        <v>-170965558106</v>
      </c>
      <c r="F382" s="599"/>
      <c r="G382" s="599">
        <v>35956824097</v>
      </c>
      <c r="H382" s="599"/>
      <c r="I382" s="599"/>
      <c r="J382" s="599"/>
      <c r="K382" s="599">
        <v>23191823744</v>
      </c>
      <c r="L382" s="599"/>
      <c r="M382" s="599">
        <v>-4005074515</v>
      </c>
      <c r="N382" s="815">
        <v>0</v>
      </c>
      <c r="O382" s="815">
        <v>4005074515</v>
      </c>
      <c r="P382" s="882">
        <f t="shared" si="20"/>
        <v>-107811835750</v>
      </c>
      <c r="Q382" s="599">
        <v>-170965558106</v>
      </c>
      <c r="R382" s="882">
        <f t="shared" si="24"/>
        <v>-107812</v>
      </c>
      <c r="S382" s="599">
        <f t="shared" si="24"/>
        <v>-170966</v>
      </c>
      <c r="T382" s="620"/>
      <c r="U382" s="620">
        <f>(T453+T449+T448+T447+T445-U443+T395)*0.25</f>
        <v>4005074515</v>
      </c>
      <c r="V382" s="882">
        <f t="shared" si="22"/>
        <v>-111816910265</v>
      </c>
      <c r="W382" s="882">
        <f t="shared" si="23"/>
        <v>-111817</v>
      </c>
    </row>
    <row r="383" spans="1:23" ht="27" hidden="1" customHeight="1">
      <c r="A383" s="583">
        <v>1015</v>
      </c>
      <c r="B383" s="581">
        <v>10</v>
      </c>
      <c r="C383" s="583" t="s">
        <v>1264</v>
      </c>
      <c r="D383" s="583" t="s">
        <v>1259</v>
      </c>
      <c r="E383" s="599">
        <v>-21182134</v>
      </c>
      <c r="F383" s="599"/>
      <c r="G383" s="599"/>
      <c r="H383" s="599"/>
      <c r="I383" s="599"/>
      <c r="J383" s="599"/>
      <c r="K383" s="599"/>
      <c r="L383" s="599"/>
      <c r="M383" s="599">
        <v>0</v>
      </c>
      <c r="N383" s="592"/>
      <c r="O383" s="592"/>
      <c r="P383" s="882">
        <f t="shared" si="20"/>
        <v>-21182134</v>
      </c>
      <c r="Q383" s="599">
        <v>-2049000</v>
      </c>
      <c r="R383" s="882">
        <f t="shared" si="24"/>
        <v>-21</v>
      </c>
      <c r="S383" s="599">
        <f t="shared" si="24"/>
        <v>-2</v>
      </c>
      <c r="T383" s="620"/>
      <c r="U383" s="621"/>
      <c r="V383" s="882">
        <f t="shared" si="22"/>
        <v>-21182134</v>
      </c>
      <c r="W383" s="882">
        <f t="shared" si="23"/>
        <v>-21</v>
      </c>
    </row>
    <row r="384" spans="1:23" ht="27" hidden="1" customHeight="1">
      <c r="A384" s="583">
        <v>1015</v>
      </c>
      <c r="B384" s="581">
        <v>10</v>
      </c>
      <c r="C384" s="583" t="s">
        <v>602</v>
      </c>
      <c r="D384" s="583" t="s">
        <v>603</v>
      </c>
      <c r="E384" s="599">
        <f>576168866-1000434744</f>
        <v>-424265878</v>
      </c>
      <c r="F384" s="599"/>
      <c r="G384" s="599">
        <v>-178500</v>
      </c>
      <c r="H384" s="599"/>
      <c r="I384" s="599"/>
      <c r="J384" s="599"/>
      <c r="K384" s="599"/>
      <c r="L384" s="599"/>
      <c r="M384" s="599">
        <v>0</v>
      </c>
      <c r="N384" s="592"/>
      <c r="O384" s="592"/>
      <c r="P384" s="882">
        <f t="shared" si="20"/>
        <v>-424444378</v>
      </c>
      <c r="Q384" s="599">
        <f>644233589-869979768</f>
        <v>-225746179</v>
      </c>
      <c r="R384" s="882">
        <f t="shared" si="24"/>
        <v>-424</v>
      </c>
      <c r="S384" s="599">
        <f t="shared" si="24"/>
        <v>-226</v>
      </c>
      <c r="T384" s="620"/>
      <c r="U384" s="621"/>
      <c r="V384" s="882">
        <f t="shared" si="22"/>
        <v>-424444378</v>
      </c>
      <c r="W384" s="882">
        <f t="shared" si="23"/>
        <v>-424</v>
      </c>
    </row>
    <row r="385" spans="1:23" ht="27" hidden="1" customHeight="1">
      <c r="A385" s="583">
        <v>406</v>
      </c>
      <c r="B385" s="581">
        <v>4</v>
      </c>
      <c r="C385" s="583" t="s">
        <v>668</v>
      </c>
      <c r="D385" s="583" t="s">
        <v>669</v>
      </c>
      <c r="E385" s="599"/>
      <c r="F385" s="599"/>
      <c r="G385" s="599"/>
      <c r="H385" s="599"/>
      <c r="I385" s="599"/>
      <c r="J385" s="599"/>
      <c r="K385" s="599"/>
      <c r="L385" s="599"/>
      <c r="M385" s="599">
        <v>0</v>
      </c>
      <c r="N385" s="592"/>
      <c r="O385" s="592"/>
      <c r="P385" s="882">
        <f t="shared" si="20"/>
        <v>0</v>
      </c>
      <c r="Q385" s="599">
        <f>14749184400-14749184400</f>
        <v>0</v>
      </c>
      <c r="R385" s="882">
        <f t="shared" si="24"/>
        <v>0</v>
      </c>
      <c r="S385" s="599">
        <f t="shared" si="24"/>
        <v>0</v>
      </c>
      <c r="T385" s="620"/>
      <c r="U385" s="621"/>
      <c r="V385" s="882">
        <f t="shared" si="22"/>
        <v>0</v>
      </c>
      <c r="W385" s="882">
        <f t="shared" si="23"/>
        <v>0</v>
      </c>
    </row>
    <row r="386" spans="1:23" ht="27" hidden="1" customHeight="1">
      <c r="A386" s="583">
        <v>10040</v>
      </c>
      <c r="B386" s="581">
        <v>10</v>
      </c>
      <c r="C386" s="583" t="s">
        <v>604</v>
      </c>
      <c r="D386" s="583" t="s">
        <v>532</v>
      </c>
      <c r="E386" s="599">
        <v>-1669572741463</v>
      </c>
      <c r="F386" s="599"/>
      <c r="G386" s="599"/>
      <c r="H386" s="599">
        <v>1669572741463</v>
      </c>
      <c r="I386" s="599"/>
      <c r="J386" s="599"/>
      <c r="K386" s="599"/>
      <c r="L386" s="599"/>
      <c r="M386" s="599">
        <v>0</v>
      </c>
      <c r="N386" s="592"/>
      <c r="O386" s="592"/>
      <c r="P386" s="882">
        <f t="shared" si="20"/>
        <v>0</v>
      </c>
      <c r="Q386" s="599">
        <v>-1669572741463</v>
      </c>
      <c r="R386" s="882">
        <f t="shared" si="24"/>
        <v>0</v>
      </c>
      <c r="S386" s="599">
        <f t="shared" si="24"/>
        <v>-1669573</v>
      </c>
      <c r="T386" s="620"/>
      <c r="U386" s="621"/>
      <c r="V386" s="882">
        <f t="shared" si="22"/>
        <v>0</v>
      </c>
      <c r="W386" s="882">
        <f t="shared" si="23"/>
        <v>0</v>
      </c>
    </row>
    <row r="387" spans="1:23" ht="27" hidden="1" customHeight="1">
      <c r="A387" s="583">
        <v>1018</v>
      </c>
      <c r="B387" s="581">
        <v>10</v>
      </c>
      <c r="C387" s="583" t="s">
        <v>605</v>
      </c>
      <c r="D387" s="583" t="s">
        <v>227</v>
      </c>
      <c r="E387" s="599">
        <v>-7973723704</v>
      </c>
      <c r="F387" s="599"/>
      <c r="G387" s="599"/>
      <c r="H387" s="599"/>
      <c r="I387" s="599"/>
      <c r="J387" s="599"/>
      <c r="K387" s="599"/>
      <c r="L387" s="599"/>
      <c r="M387" s="599">
        <v>0</v>
      </c>
      <c r="N387" s="592"/>
      <c r="O387" s="592"/>
      <c r="P387" s="882">
        <f t="shared" si="20"/>
        <v>-7973723704</v>
      </c>
      <c r="Q387" s="599">
        <v>-9281068145</v>
      </c>
      <c r="R387" s="882">
        <f t="shared" si="24"/>
        <v>-7974</v>
      </c>
      <c r="S387" s="599">
        <f t="shared" si="24"/>
        <v>-9281</v>
      </c>
      <c r="T387" s="620"/>
      <c r="U387" s="621"/>
      <c r="V387" s="882">
        <f t="shared" si="22"/>
        <v>-7973723704</v>
      </c>
      <c r="W387" s="882">
        <f t="shared" si="23"/>
        <v>-7974</v>
      </c>
    </row>
    <row r="388" spans="1:23" ht="27" hidden="1" customHeight="1">
      <c r="A388" s="583">
        <v>1018</v>
      </c>
      <c r="B388" s="581">
        <v>10</v>
      </c>
      <c r="C388" s="583" t="s">
        <v>1000</v>
      </c>
      <c r="D388" s="583" t="s">
        <v>1001</v>
      </c>
      <c r="E388" s="599">
        <v>-328538368</v>
      </c>
      <c r="F388" s="599"/>
      <c r="G388" s="599"/>
      <c r="H388" s="599"/>
      <c r="I388" s="599"/>
      <c r="J388" s="599"/>
      <c r="K388" s="599"/>
      <c r="L388" s="599"/>
      <c r="M388" s="599">
        <v>0</v>
      </c>
      <c r="N388" s="592"/>
      <c r="O388" s="592"/>
      <c r="P388" s="882">
        <f t="shared" ref="P388:P445" si="25">E388+F388+G388-N388+O388+H388+I388+J388+K388+L388</f>
        <v>-328538368</v>
      </c>
      <c r="Q388" s="599">
        <v>-46954080</v>
      </c>
      <c r="R388" s="882">
        <f t="shared" si="24"/>
        <v>-329</v>
      </c>
      <c r="S388" s="599">
        <f t="shared" si="24"/>
        <v>-47</v>
      </c>
      <c r="T388" s="620"/>
      <c r="U388" s="621"/>
      <c r="V388" s="882">
        <f t="shared" ref="V388:V394" si="26">P388-U388+T388</f>
        <v>-328538368</v>
      </c>
      <c r="W388" s="882">
        <f t="shared" ref="W388:W451" si="27">ROUND((V388/1000000),0)</f>
        <v>-329</v>
      </c>
    </row>
    <row r="389" spans="1:23" ht="27" hidden="1" customHeight="1">
      <c r="A389" s="583">
        <v>1018</v>
      </c>
      <c r="B389" s="581">
        <v>10</v>
      </c>
      <c r="C389" s="583" t="s">
        <v>515</v>
      </c>
      <c r="D389" s="583" t="s">
        <v>516</v>
      </c>
      <c r="E389" s="599">
        <v>-362000000</v>
      </c>
      <c r="F389" s="599"/>
      <c r="G389" s="599"/>
      <c r="H389" s="599"/>
      <c r="I389" s="599"/>
      <c r="J389" s="599"/>
      <c r="K389" s="599"/>
      <c r="L389" s="599"/>
      <c r="M389" s="599">
        <v>0</v>
      </c>
      <c r="N389" s="592"/>
      <c r="O389" s="592"/>
      <c r="P389" s="882">
        <f t="shared" si="25"/>
        <v>-362000000</v>
      </c>
      <c r="Q389" s="599">
        <v>-362000000</v>
      </c>
      <c r="R389" s="882">
        <f t="shared" si="24"/>
        <v>-362</v>
      </c>
      <c r="S389" s="599">
        <f t="shared" si="24"/>
        <v>-362</v>
      </c>
      <c r="T389" s="620"/>
      <c r="U389" s="621"/>
      <c r="V389" s="882">
        <f t="shared" si="26"/>
        <v>-362000000</v>
      </c>
      <c r="W389" s="882">
        <f t="shared" si="27"/>
        <v>-362</v>
      </c>
    </row>
    <row r="390" spans="1:23" ht="27" hidden="1" customHeight="1">
      <c r="A390" s="583">
        <v>1018</v>
      </c>
      <c r="B390" s="581">
        <v>10</v>
      </c>
      <c r="C390" s="583" t="s">
        <v>1347</v>
      </c>
      <c r="D390" s="583" t="s">
        <v>1348</v>
      </c>
      <c r="E390" s="599">
        <v>-135720000</v>
      </c>
      <c r="F390" s="599">
        <v>135720000</v>
      </c>
      <c r="G390" s="599"/>
      <c r="H390" s="599"/>
      <c r="I390" s="599"/>
      <c r="J390" s="599"/>
      <c r="K390" s="599"/>
      <c r="L390" s="599"/>
      <c r="M390" s="599">
        <v>0</v>
      </c>
      <c r="N390" s="592"/>
      <c r="O390" s="592"/>
      <c r="P390" s="882">
        <f t="shared" si="25"/>
        <v>0</v>
      </c>
      <c r="Q390" s="599"/>
      <c r="R390" s="882">
        <f t="shared" si="24"/>
        <v>0</v>
      </c>
      <c r="S390" s="599">
        <f t="shared" si="24"/>
        <v>0</v>
      </c>
      <c r="T390" s="620"/>
      <c r="U390" s="621"/>
      <c r="V390" s="882">
        <f t="shared" si="26"/>
        <v>0</v>
      </c>
      <c r="W390" s="882">
        <f t="shared" si="27"/>
        <v>0</v>
      </c>
    </row>
    <row r="391" spans="1:23" ht="27" hidden="1" customHeight="1">
      <c r="A391" s="583">
        <v>1012</v>
      </c>
      <c r="B391" s="581">
        <v>10</v>
      </c>
      <c r="C391" s="583" t="s">
        <v>18</v>
      </c>
      <c r="D391" s="583" t="s">
        <v>228</v>
      </c>
      <c r="E391" s="599">
        <v>-700973092411</v>
      </c>
      <c r="F391" s="599">
        <v>104886680927</v>
      </c>
      <c r="G391" s="599">
        <v>-720283485</v>
      </c>
      <c r="H391" s="599">
        <v>-3755861665</v>
      </c>
      <c r="I391" s="599"/>
      <c r="J391" s="599">
        <v>12578040000</v>
      </c>
      <c r="K391" s="599"/>
      <c r="L391" s="599"/>
      <c r="M391" s="599">
        <v>0</v>
      </c>
      <c r="N391" s="592"/>
      <c r="O391" s="592"/>
      <c r="P391" s="882">
        <f t="shared" si="25"/>
        <v>-587984516634</v>
      </c>
      <c r="Q391" s="599">
        <v>-1003672000624</v>
      </c>
      <c r="R391" s="882">
        <f t="shared" si="24"/>
        <v>-587985</v>
      </c>
      <c r="S391" s="599">
        <f t="shared" si="24"/>
        <v>-1003672</v>
      </c>
      <c r="T391" s="620"/>
      <c r="U391" s="621"/>
      <c r="V391" s="882">
        <f t="shared" si="26"/>
        <v>-587984516634</v>
      </c>
      <c r="W391" s="882">
        <f t="shared" si="27"/>
        <v>-587985</v>
      </c>
    </row>
    <row r="392" spans="1:23" ht="27" hidden="1" customHeight="1">
      <c r="A392" s="583">
        <v>609</v>
      </c>
      <c r="B392" s="581">
        <v>6</v>
      </c>
      <c r="C392" s="583" t="s">
        <v>201</v>
      </c>
      <c r="D392" s="585" t="s">
        <v>1426</v>
      </c>
      <c r="E392" s="599">
        <v>163167341284</v>
      </c>
      <c r="F392" s="599"/>
      <c r="G392" s="599">
        <v>-65008735552</v>
      </c>
      <c r="H392" s="599"/>
      <c r="I392" s="599"/>
      <c r="J392" s="599"/>
      <c r="K392" s="599">
        <v>56998586522</v>
      </c>
      <c r="L392" s="599"/>
      <c r="M392" s="599">
        <v>-8010149030</v>
      </c>
      <c r="N392" s="815">
        <v>0</v>
      </c>
      <c r="O392" s="815">
        <v>8010149030</v>
      </c>
      <c r="P392" s="882">
        <f t="shared" si="25"/>
        <v>163167341284</v>
      </c>
      <c r="Q392" s="599">
        <v>16834475159</v>
      </c>
      <c r="R392" s="882">
        <f t="shared" si="24"/>
        <v>163167</v>
      </c>
      <c r="S392" s="599">
        <f t="shared" si="24"/>
        <v>16834</v>
      </c>
      <c r="T392" s="620"/>
      <c r="U392" s="620">
        <f>U382*2</f>
        <v>8010149030</v>
      </c>
      <c r="V392" s="882">
        <f t="shared" si="26"/>
        <v>155157192254</v>
      </c>
      <c r="W392" s="882">
        <f t="shared" si="27"/>
        <v>155157</v>
      </c>
    </row>
    <row r="393" spans="1:23" ht="27" hidden="1" customHeight="1">
      <c r="A393" s="583">
        <v>1401</v>
      </c>
      <c r="B393" s="581">
        <v>12</v>
      </c>
      <c r="C393" s="583" t="s">
        <v>1166</v>
      </c>
      <c r="D393" s="583" t="s">
        <v>1165</v>
      </c>
      <c r="E393" s="599"/>
      <c r="F393" s="599"/>
      <c r="G393" s="599"/>
      <c r="H393" s="599"/>
      <c r="I393" s="599"/>
      <c r="J393" s="599"/>
      <c r="K393" s="599"/>
      <c r="L393" s="599"/>
      <c r="M393" s="599">
        <v>0</v>
      </c>
      <c r="N393" s="592"/>
      <c r="O393" s="592"/>
      <c r="P393" s="882">
        <f t="shared" si="25"/>
        <v>0</v>
      </c>
      <c r="Q393" s="599">
        <v>-19070000000</v>
      </c>
      <c r="R393" s="882">
        <f t="shared" si="24"/>
        <v>0</v>
      </c>
      <c r="S393" s="599">
        <f t="shared" si="24"/>
        <v>-19070</v>
      </c>
      <c r="T393" s="620"/>
      <c r="U393" s="621"/>
      <c r="V393" s="882">
        <f t="shared" si="26"/>
        <v>0</v>
      </c>
      <c r="W393" s="882">
        <f t="shared" si="27"/>
        <v>0</v>
      </c>
    </row>
    <row r="394" spans="1:23" ht="27" hidden="1" customHeight="1">
      <c r="A394" s="583">
        <v>406</v>
      </c>
      <c r="B394" s="581">
        <v>4</v>
      </c>
      <c r="C394" s="583" t="s">
        <v>19</v>
      </c>
      <c r="D394" s="583" t="s">
        <v>680</v>
      </c>
      <c r="E394" s="599"/>
      <c r="F394" s="599"/>
      <c r="G394" s="599"/>
      <c r="H394" s="599"/>
      <c r="I394" s="599"/>
      <c r="J394" s="599"/>
      <c r="K394" s="599"/>
      <c r="L394" s="599"/>
      <c r="M394" s="599">
        <v>0</v>
      </c>
      <c r="N394" s="592"/>
      <c r="O394" s="592"/>
      <c r="P394" s="882">
        <f t="shared" si="25"/>
        <v>0</v>
      </c>
      <c r="Q394" s="599"/>
      <c r="R394" s="882">
        <f t="shared" si="24"/>
        <v>0</v>
      </c>
      <c r="S394" s="599">
        <f t="shared" si="24"/>
        <v>0</v>
      </c>
      <c r="T394" s="620"/>
      <c r="U394" s="621"/>
      <c r="V394" s="882">
        <f t="shared" si="26"/>
        <v>0</v>
      </c>
      <c r="W394" s="882">
        <f t="shared" si="27"/>
        <v>0</v>
      </c>
    </row>
    <row r="395" spans="1:23" ht="27" hidden="1" customHeight="1">
      <c r="A395" s="583"/>
      <c r="B395" s="581">
        <v>20</v>
      </c>
      <c r="C395" s="583" t="s">
        <v>897</v>
      </c>
      <c r="D395" s="583" t="s">
        <v>779</v>
      </c>
      <c r="E395" s="599">
        <v>-135000000</v>
      </c>
      <c r="F395" s="599"/>
      <c r="G395" s="599">
        <v>135000000</v>
      </c>
      <c r="H395" s="599"/>
      <c r="I395" s="599"/>
      <c r="J395" s="599"/>
      <c r="K395" s="599"/>
      <c r="L395" s="599"/>
      <c r="M395" s="599">
        <v>135000000</v>
      </c>
      <c r="N395" s="592">
        <v>135000000</v>
      </c>
      <c r="O395" s="592">
        <v>0</v>
      </c>
      <c r="P395" s="882">
        <f t="shared" si="25"/>
        <v>-135000000</v>
      </c>
      <c r="Q395" s="599"/>
      <c r="R395" s="882">
        <f t="shared" si="24"/>
        <v>-135</v>
      </c>
      <c r="S395" s="599">
        <f t="shared" si="24"/>
        <v>0</v>
      </c>
      <c r="T395" s="620">
        <f>-P395</f>
        <v>135000000</v>
      </c>
      <c r="U395" s="628">
        <v>0</v>
      </c>
      <c r="V395" s="882">
        <f>P395-U395+T395</f>
        <v>0</v>
      </c>
      <c r="W395" s="882">
        <f t="shared" si="27"/>
        <v>0</v>
      </c>
    </row>
    <row r="396" spans="1:23" ht="27" hidden="1" customHeight="1">
      <c r="A396" s="583">
        <v>1020</v>
      </c>
      <c r="B396" s="581">
        <v>10</v>
      </c>
      <c r="C396" s="583" t="s">
        <v>1403</v>
      </c>
      <c r="D396" s="583" t="s">
        <v>821</v>
      </c>
      <c r="E396" s="599">
        <f>-125961757094+76931883541</f>
        <v>-49029873553</v>
      </c>
      <c r="F396" s="599">
        <v>-76931883541</v>
      </c>
      <c r="G396" s="599"/>
      <c r="H396" s="599"/>
      <c r="I396" s="599"/>
      <c r="J396" s="599"/>
      <c r="K396" s="599"/>
      <c r="L396" s="599"/>
      <c r="M396" s="599">
        <v>0</v>
      </c>
      <c r="N396" s="592"/>
      <c r="O396" s="592"/>
      <c r="P396" s="882">
        <f t="shared" si="25"/>
        <v>-125961757094</v>
      </c>
      <c r="Q396" s="599">
        <f>-768111049194+654098309676</f>
        <v>-114012739518</v>
      </c>
      <c r="R396" s="882">
        <f t="shared" si="24"/>
        <v>-125962</v>
      </c>
      <c r="S396" s="599">
        <f t="shared" si="24"/>
        <v>-114013</v>
      </c>
      <c r="T396" s="620"/>
      <c r="U396" s="621"/>
      <c r="V396" s="882">
        <f t="shared" ref="V396:V459" si="28">P396-U396+T396</f>
        <v>-125961757094</v>
      </c>
      <c r="W396" s="882">
        <f t="shared" si="27"/>
        <v>-125962</v>
      </c>
    </row>
    <row r="397" spans="1:23" ht="27" hidden="1" customHeight="1">
      <c r="A397" s="583">
        <v>1004</v>
      </c>
      <c r="B397" s="581">
        <v>10</v>
      </c>
      <c r="C397" s="583" t="s">
        <v>1432</v>
      </c>
      <c r="D397" s="583" t="s">
        <v>822</v>
      </c>
      <c r="E397" s="599">
        <v>-680852229940</v>
      </c>
      <c r="F397" s="599"/>
      <c r="G397" s="599"/>
      <c r="H397" s="599"/>
      <c r="I397" s="599"/>
      <c r="J397" s="599"/>
      <c r="K397" s="599"/>
      <c r="L397" s="599"/>
      <c r="M397" s="599">
        <v>0</v>
      </c>
      <c r="N397" s="592"/>
      <c r="O397" s="592"/>
      <c r="P397" s="882">
        <f t="shared" si="25"/>
        <v>-680852229940</v>
      </c>
      <c r="Q397" s="599">
        <v>-654098309676</v>
      </c>
      <c r="R397" s="882">
        <f t="shared" si="24"/>
        <v>-680852</v>
      </c>
      <c r="S397" s="599">
        <f t="shared" si="24"/>
        <v>-654098</v>
      </c>
      <c r="T397" s="620"/>
      <c r="U397" s="621"/>
      <c r="V397" s="882">
        <f t="shared" si="28"/>
        <v>-680852229940</v>
      </c>
      <c r="W397" s="882">
        <f t="shared" si="27"/>
        <v>-680852</v>
      </c>
    </row>
    <row r="398" spans="1:23" ht="27" hidden="1" customHeight="1">
      <c r="A398" s="583">
        <v>1018</v>
      </c>
      <c r="B398" s="581">
        <v>10</v>
      </c>
      <c r="C398" s="583" t="s">
        <v>764</v>
      </c>
      <c r="D398" s="584" t="s">
        <v>824</v>
      </c>
      <c r="E398" s="599"/>
      <c r="F398" s="599"/>
      <c r="G398" s="599"/>
      <c r="H398" s="599"/>
      <c r="I398" s="599"/>
      <c r="J398" s="599"/>
      <c r="K398" s="599"/>
      <c r="L398" s="599"/>
      <c r="M398" s="599">
        <v>0</v>
      </c>
      <c r="N398" s="592"/>
      <c r="O398" s="592"/>
      <c r="P398" s="882">
        <f t="shared" si="25"/>
        <v>0</v>
      </c>
      <c r="Q398" s="599"/>
      <c r="R398" s="882">
        <f t="shared" si="24"/>
        <v>0</v>
      </c>
      <c r="S398" s="599">
        <f t="shared" si="24"/>
        <v>0</v>
      </c>
      <c r="T398" s="620"/>
      <c r="U398" s="623"/>
      <c r="V398" s="882">
        <f t="shared" si="28"/>
        <v>0</v>
      </c>
      <c r="W398" s="882">
        <f t="shared" si="27"/>
        <v>0</v>
      </c>
    </row>
    <row r="399" spans="1:23" ht="27" hidden="1" customHeight="1">
      <c r="A399" s="583">
        <v>10040</v>
      </c>
      <c r="B399" s="581">
        <v>10</v>
      </c>
      <c r="C399" s="583" t="s">
        <v>764</v>
      </c>
      <c r="D399" s="584" t="s">
        <v>823</v>
      </c>
      <c r="E399" s="599"/>
      <c r="F399" s="599"/>
      <c r="G399" s="599"/>
      <c r="H399" s="599"/>
      <c r="I399" s="599"/>
      <c r="J399" s="599"/>
      <c r="K399" s="599"/>
      <c r="L399" s="599"/>
      <c r="M399" s="599">
        <v>0</v>
      </c>
      <c r="N399" s="592"/>
      <c r="O399" s="592"/>
      <c r="P399" s="882">
        <f t="shared" si="25"/>
        <v>0</v>
      </c>
      <c r="Q399" s="599"/>
      <c r="R399" s="882">
        <f t="shared" si="24"/>
        <v>0</v>
      </c>
      <c r="S399" s="599">
        <f t="shared" si="24"/>
        <v>0</v>
      </c>
      <c r="T399" s="620"/>
      <c r="U399" s="623"/>
      <c r="V399" s="882">
        <f t="shared" si="28"/>
        <v>0</v>
      </c>
      <c r="W399" s="882">
        <f t="shared" si="27"/>
        <v>0</v>
      </c>
    </row>
    <row r="400" spans="1:23" ht="27" hidden="1" customHeight="1">
      <c r="A400" s="583">
        <v>1002</v>
      </c>
      <c r="B400" s="581">
        <v>10</v>
      </c>
      <c r="C400" s="583" t="s">
        <v>21</v>
      </c>
      <c r="D400" s="583" t="s">
        <v>22</v>
      </c>
      <c r="E400" s="599">
        <v>-650753814364</v>
      </c>
      <c r="F400" s="599">
        <v>-706985665070</v>
      </c>
      <c r="G400" s="599">
        <v>-2951756982</v>
      </c>
      <c r="H400" s="599">
        <v>-83295186016</v>
      </c>
      <c r="I400" s="599"/>
      <c r="J400" s="599"/>
      <c r="K400" s="599"/>
      <c r="L400" s="599"/>
      <c r="M400" s="599">
        <v>0</v>
      </c>
      <c r="N400" s="592"/>
      <c r="O400" s="592"/>
      <c r="P400" s="882">
        <f t="shared" si="25"/>
        <v>-1443986422432</v>
      </c>
      <c r="Q400" s="599">
        <f>-317427387911-21246333936+6000000000-18640419349+21246333936-435767382600-31976364206</f>
        <v>-797811554066</v>
      </c>
      <c r="R400" s="882">
        <f t="shared" si="24"/>
        <v>-1443986</v>
      </c>
      <c r="S400" s="599">
        <f t="shared" si="24"/>
        <v>-797812</v>
      </c>
      <c r="T400" s="620"/>
      <c r="U400" s="621"/>
      <c r="V400" s="882">
        <f t="shared" si="28"/>
        <v>-1443986422432</v>
      </c>
      <c r="W400" s="882">
        <f t="shared" si="27"/>
        <v>-1443986</v>
      </c>
    </row>
    <row r="401" spans="1:23" ht="27" hidden="1" customHeight="1">
      <c r="A401" s="583">
        <v>1013</v>
      </c>
      <c r="B401" s="581">
        <v>10</v>
      </c>
      <c r="C401" s="583" t="s">
        <v>681</v>
      </c>
      <c r="D401" s="583" t="s">
        <v>682</v>
      </c>
      <c r="E401" s="599">
        <v>226846332842</v>
      </c>
      <c r="F401" s="599">
        <v>505066710</v>
      </c>
      <c r="G401" s="599">
        <v>1322008017</v>
      </c>
      <c r="H401" s="599">
        <v>12369943</v>
      </c>
      <c r="I401" s="599"/>
      <c r="J401" s="599">
        <v>-634936006</v>
      </c>
      <c r="K401" s="599"/>
      <c r="L401" s="599"/>
      <c r="M401" s="599">
        <v>0</v>
      </c>
      <c r="N401" s="592"/>
      <c r="O401" s="592"/>
      <c r="P401" s="882">
        <f t="shared" si="25"/>
        <v>228050841506</v>
      </c>
      <c r="Q401" s="599">
        <f>77534321016+506682</f>
        <v>77534827698</v>
      </c>
      <c r="R401" s="882">
        <f t="shared" ref="R401:S432" si="29">ROUND((P401/1000000),0)</f>
        <v>228051</v>
      </c>
      <c r="S401" s="599">
        <f t="shared" si="29"/>
        <v>77535</v>
      </c>
      <c r="T401" s="620"/>
      <c r="U401" s="621"/>
      <c r="V401" s="882">
        <f t="shared" si="28"/>
        <v>228050841506</v>
      </c>
      <c r="W401" s="882">
        <f t="shared" si="27"/>
        <v>228051</v>
      </c>
    </row>
    <row r="402" spans="1:23" ht="27" hidden="1" customHeight="1">
      <c r="A402" s="583">
        <v>1013</v>
      </c>
      <c r="B402" s="581">
        <v>10</v>
      </c>
      <c r="C402" s="583" t="s">
        <v>683</v>
      </c>
      <c r="D402" s="583" t="s">
        <v>684</v>
      </c>
      <c r="E402" s="599">
        <v>111015589209</v>
      </c>
      <c r="F402" s="599">
        <v>254069405</v>
      </c>
      <c r="G402" s="599">
        <v>660264793</v>
      </c>
      <c r="H402" s="599">
        <v>6184971</v>
      </c>
      <c r="I402" s="599"/>
      <c r="J402" s="599">
        <v>-317467994</v>
      </c>
      <c r="K402" s="599"/>
      <c r="L402" s="599"/>
      <c r="M402" s="599">
        <v>0</v>
      </c>
      <c r="N402" s="592"/>
      <c r="O402" s="592"/>
      <c r="P402" s="882">
        <f t="shared" si="25"/>
        <v>111618640384</v>
      </c>
      <c r="Q402" s="599">
        <f>35244722304-113054237</f>
        <v>35131668067</v>
      </c>
      <c r="R402" s="882">
        <f t="shared" si="29"/>
        <v>111619</v>
      </c>
      <c r="S402" s="599">
        <f t="shared" si="29"/>
        <v>35132</v>
      </c>
      <c r="T402" s="620"/>
      <c r="U402" s="621"/>
      <c r="V402" s="882">
        <f t="shared" si="28"/>
        <v>111618640384</v>
      </c>
      <c r="W402" s="882">
        <f t="shared" si="27"/>
        <v>111619</v>
      </c>
    </row>
    <row r="403" spans="1:23" ht="27" hidden="1" customHeight="1">
      <c r="A403" s="583">
        <v>1013</v>
      </c>
      <c r="B403" s="581">
        <v>10</v>
      </c>
      <c r="C403" s="583" t="s">
        <v>685</v>
      </c>
      <c r="D403" s="583" t="s">
        <v>688</v>
      </c>
      <c r="E403" s="599">
        <f>2524753-509177338561</f>
        <v>-509174813808</v>
      </c>
      <c r="F403" s="599">
        <v>2922292696</v>
      </c>
      <c r="G403" s="599">
        <v>-189381939</v>
      </c>
      <c r="H403" s="599">
        <v>1567545013</v>
      </c>
      <c r="I403" s="599"/>
      <c r="J403" s="599"/>
      <c r="K403" s="599"/>
      <c r="L403" s="599"/>
      <c r="M403" s="599">
        <v>0</v>
      </c>
      <c r="N403" s="592"/>
      <c r="O403" s="592"/>
      <c r="P403" s="882">
        <f t="shared" si="25"/>
        <v>-504874358038</v>
      </c>
      <c r="Q403" s="599">
        <f>-422560745262-124126375-10691832233</f>
        <v>-433376703870</v>
      </c>
      <c r="R403" s="882">
        <f t="shared" si="29"/>
        <v>-504874</v>
      </c>
      <c r="S403" s="599">
        <f t="shared" si="29"/>
        <v>-433377</v>
      </c>
      <c r="T403" s="620"/>
      <c r="U403" s="621"/>
      <c r="V403" s="882">
        <f t="shared" si="28"/>
        <v>-504874358038</v>
      </c>
      <c r="W403" s="882">
        <f t="shared" si="27"/>
        <v>-504874</v>
      </c>
    </row>
    <row r="404" spans="1:23" ht="27" hidden="1" customHeight="1">
      <c r="A404" s="583">
        <v>1013</v>
      </c>
      <c r="B404" s="581">
        <v>10</v>
      </c>
      <c r="C404" s="583" t="s">
        <v>686</v>
      </c>
      <c r="D404" s="583" t="s">
        <v>689</v>
      </c>
      <c r="E404" s="599">
        <f>585034693-379431171697</f>
        <v>-378846137004</v>
      </c>
      <c r="F404" s="599">
        <v>1461146349</v>
      </c>
      <c r="G404" s="599">
        <v>-94690970</v>
      </c>
      <c r="H404" s="599">
        <v>783772506</v>
      </c>
      <c r="I404" s="599"/>
      <c r="J404" s="599"/>
      <c r="K404" s="599"/>
      <c r="L404" s="599"/>
      <c r="M404" s="599">
        <v>0</v>
      </c>
      <c r="N404" s="592"/>
      <c r="O404" s="592"/>
      <c r="P404" s="882">
        <f t="shared" si="25"/>
        <v>-376695909119</v>
      </c>
      <c r="Q404" s="599">
        <f>582893727-220209977796-82750917-5446782458</f>
        <v>-225156617444</v>
      </c>
      <c r="R404" s="882">
        <f t="shared" si="29"/>
        <v>-376696</v>
      </c>
      <c r="S404" s="599">
        <f t="shared" si="29"/>
        <v>-225157</v>
      </c>
      <c r="T404" s="620"/>
      <c r="U404" s="621"/>
      <c r="V404" s="882">
        <f t="shared" si="28"/>
        <v>-376695909119</v>
      </c>
      <c r="W404" s="882">
        <f t="shared" si="27"/>
        <v>-376696</v>
      </c>
    </row>
    <row r="405" spans="1:23" ht="27" hidden="1" customHeight="1">
      <c r="A405" s="583">
        <v>1013</v>
      </c>
      <c r="B405" s="581">
        <v>10</v>
      </c>
      <c r="C405" s="583" t="s">
        <v>687</v>
      </c>
      <c r="D405" s="583" t="s">
        <v>691</v>
      </c>
      <c r="E405" s="599">
        <v>6958914855</v>
      </c>
      <c r="F405" s="599"/>
      <c r="G405" s="599"/>
      <c r="H405" s="599"/>
      <c r="I405" s="599"/>
      <c r="J405" s="599"/>
      <c r="K405" s="599"/>
      <c r="L405" s="599"/>
      <c r="M405" s="599">
        <v>0</v>
      </c>
      <c r="N405" s="592"/>
      <c r="O405" s="592"/>
      <c r="P405" s="882">
        <f t="shared" si="25"/>
        <v>6958914855</v>
      </c>
      <c r="Q405" s="599">
        <v>6958914855</v>
      </c>
      <c r="R405" s="882">
        <f t="shared" si="29"/>
        <v>6959</v>
      </c>
      <c r="S405" s="599">
        <f t="shared" si="29"/>
        <v>6959</v>
      </c>
      <c r="T405" s="620"/>
      <c r="U405" s="621"/>
      <c r="V405" s="882">
        <f t="shared" si="28"/>
        <v>6958914855</v>
      </c>
      <c r="W405" s="882">
        <f t="shared" si="27"/>
        <v>6959</v>
      </c>
    </row>
    <row r="406" spans="1:23" ht="27" hidden="1" customHeight="1">
      <c r="A406" s="583">
        <v>1013</v>
      </c>
      <c r="B406" s="581">
        <v>10</v>
      </c>
      <c r="C406" s="583" t="s">
        <v>690</v>
      </c>
      <c r="D406" s="583" t="s">
        <v>692</v>
      </c>
      <c r="E406" s="599">
        <v>7115226945</v>
      </c>
      <c r="F406" s="599"/>
      <c r="G406" s="599"/>
      <c r="H406" s="599"/>
      <c r="I406" s="599"/>
      <c r="J406" s="599"/>
      <c r="K406" s="599"/>
      <c r="L406" s="599"/>
      <c r="M406" s="599">
        <v>0</v>
      </c>
      <c r="N406" s="592"/>
      <c r="O406" s="592"/>
      <c r="P406" s="882">
        <f t="shared" si="25"/>
        <v>7115226945</v>
      </c>
      <c r="Q406" s="599">
        <v>7115226945</v>
      </c>
      <c r="R406" s="882">
        <f t="shared" si="29"/>
        <v>7115</v>
      </c>
      <c r="S406" s="599">
        <f t="shared" si="29"/>
        <v>7115</v>
      </c>
      <c r="T406" s="620"/>
      <c r="U406" s="621"/>
      <c r="V406" s="882">
        <f t="shared" si="28"/>
        <v>7115226945</v>
      </c>
      <c r="W406" s="882">
        <f t="shared" si="27"/>
        <v>7115</v>
      </c>
    </row>
    <row r="407" spans="1:23" ht="27" hidden="1" customHeight="1">
      <c r="A407" s="583">
        <v>100201</v>
      </c>
      <c r="B407" s="581">
        <v>10</v>
      </c>
      <c r="C407" s="583" t="s">
        <v>23</v>
      </c>
      <c r="D407" s="583" t="s">
        <v>537</v>
      </c>
      <c r="E407" s="599">
        <v>-2109271701212</v>
      </c>
      <c r="F407" s="599"/>
      <c r="G407" s="599"/>
      <c r="H407" s="599"/>
      <c r="I407" s="599"/>
      <c r="J407" s="599"/>
      <c r="K407" s="599"/>
      <c r="L407" s="599"/>
      <c r="M407" s="599">
        <v>0</v>
      </c>
      <c r="N407" s="592"/>
      <c r="O407" s="592"/>
      <c r="P407" s="882">
        <f t="shared" si="25"/>
        <v>-2109271701212</v>
      </c>
      <c r="Q407" s="599">
        <v>-2109271701212</v>
      </c>
      <c r="R407" s="882">
        <f t="shared" si="29"/>
        <v>-2109272</v>
      </c>
      <c r="S407" s="599">
        <f t="shared" si="29"/>
        <v>-2109272</v>
      </c>
      <c r="T407" s="620"/>
      <c r="U407" s="621"/>
      <c r="V407" s="882">
        <f t="shared" si="28"/>
        <v>-2109271701212</v>
      </c>
      <c r="W407" s="882">
        <f t="shared" si="27"/>
        <v>-2109272</v>
      </c>
    </row>
    <row r="408" spans="1:23" ht="27" hidden="1" customHeight="1">
      <c r="A408" s="583">
        <v>100201</v>
      </c>
      <c r="B408" s="581">
        <v>10</v>
      </c>
      <c r="C408" s="583" t="s">
        <v>1160</v>
      </c>
      <c r="D408" s="583" t="s">
        <v>1161</v>
      </c>
      <c r="E408" s="599">
        <v>-122556759860</v>
      </c>
      <c r="F408" s="599"/>
      <c r="G408" s="599"/>
      <c r="H408" s="599"/>
      <c r="I408" s="599"/>
      <c r="J408" s="599">
        <v>-15358203555</v>
      </c>
      <c r="K408" s="599"/>
      <c r="L408" s="599"/>
      <c r="M408" s="599">
        <v>0</v>
      </c>
      <c r="N408" s="592"/>
      <c r="O408" s="592"/>
      <c r="P408" s="882">
        <f t="shared" si="25"/>
        <v>-137914963415</v>
      </c>
      <c r="Q408" s="599">
        <f>-71112701850+25930608586-71252181298-25930608586+19808123288</f>
        <v>-122556759860</v>
      </c>
      <c r="R408" s="882">
        <f t="shared" si="29"/>
        <v>-137915</v>
      </c>
      <c r="S408" s="599">
        <f t="shared" si="29"/>
        <v>-122557</v>
      </c>
      <c r="T408" s="620"/>
      <c r="U408" s="621"/>
      <c r="V408" s="882">
        <f t="shared" si="28"/>
        <v>-137914963415</v>
      </c>
      <c r="W408" s="882">
        <f t="shared" si="27"/>
        <v>-137915</v>
      </c>
    </row>
    <row r="409" spans="1:23" ht="27" hidden="1" customHeight="1">
      <c r="A409" s="583">
        <v>10040</v>
      </c>
      <c r="B409" s="581">
        <v>10</v>
      </c>
      <c r="C409" s="583" t="s">
        <v>1196</v>
      </c>
      <c r="D409" s="583" t="s">
        <v>1197</v>
      </c>
      <c r="E409" s="599">
        <v>-1608227089374</v>
      </c>
      <c r="F409" s="599">
        <v>-33323498867</v>
      </c>
      <c r="G409" s="599">
        <v>-3710285230214</v>
      </c>
      <c r="H409" s="599"/>
      <c r="I409" s="599">
        <f>28784169559-40886839751-28784169559</f>
        <v>-40886839751</v>
      </c>
      <c r="J409" s="599"/>
      <c r="K409" s="599">
        <v>40886839751</v>
      </c>
      <c r="L409" s="599">
        <f>3201925273476+2149910544979</f>
        <v>5351835818455</v>
      </c>
      <c r="M409" s="599">
        <v>5351835818455</v>
      </c>
      <c r="N409" s="592"/>
      <c r="O409" s="592"/>
      <c r="P409" s="882">
        <f t="shared" si="25"/>
        <v>0</v>
      </c>
      <c r="Q409" s="599">
        <f>-5410437093259-153366865840+2453000000+3025688762+74448710110</f>
        <v>-5483876560227</v>
      </c>
      <c r="R409" s="882">
        <f t="shared" si="29"/>
        <v>0</v>
      </c>
      <c r="S409" s="599">
        <f t="shared" si="29"/>
        <v>-5483877</v>
      </c>
      <c r="T409" s="620"/>
      <c r="U409" s="621"/>
      <c r="V409" s="882">
        <f t="shared" si="28"/>
        <v>0</v>
      </c>
      <c r="W409" s="882">
        <f t="shared" si="27"/>
        <v>0</v>
      </c>
    </row>
    <row r="410" spans="1:23" ht="27" hidden="1" customHeight="1">
      <c r="A410" s="583">
        <v>100201</v>
      </c>
      <c r="B410" s="581">
        <v>10</v>
      </c>
      <c r="C410" s="583" t="s">
        <v>1499</v>
      </c>
      <c r="D410" s="583" t="s">
        <v>1523</v>
      </c>
      <c r="E410" s="599"/>
      <c r="F410" s="599"/>
      <c r="G410" s="599"/>
      <c r="H410" s="599"/>
      <c r="I410" s="599"/>
      <c r="J410" s="599"/>
      <c r="K410" s="599"/>
      <c r="L410" s="599">
        <v>-2149910544979</v>
      </c>
      <c r="M410" s="599">
        <v>-2149910544979</v>
      </c>
      <c r="N410" s="592"/>
      <c r="O410" s="592"/>
      <c r="P410" s="882">
        <f t="shared" si="25"/>
        <v>-2149910544979</v>
      </c>
      <c r="Q410" s="599"/>
      <c r="R410" s="882">
        <f t="shared" si="29"/>
        <v>-2149911</v>
      </c>
      <c r="S410" s="599">
        <f t="shared" si="29"/>
        <v>0</v>
      </c>
      <c r="T410" s="620"/>
      <c r="U410" s="621"/>
      <c r="V410" s="882">
        <f t="shared" si="28"/>
        <v>-2149910544979</v>
      </c>
      <c r="W410" s="882">
        <f t="shared" si="27"/>
        <v>-2149911</v>
      </c>
    </row>
    <row r="411" spans="1:23" ht="27" hidden="1" customHeight="1">
      <c r="A411" s="583">
        <v>10040</v>
      </c>
      <c r="B411" s="581">
        <v>10</v>
      </c>
      <c r="C411" s="583" t="s">
        <v>538</v>
      </c>
      <c r="D411" s="583" t="s">
        <v>1463</v>
      </c>
      <c r="E411" s="599">
        <v>-24866347713</v>
      </c>
      <c r="F411" s="599"/>
      <c r="G411" s="599">
        <v>164045000</v>
      </c>
      <c r="H411" s="599">
        <v>24702302713</v>
      </c>
      <c r="I411" s="599"/>
      <c r="J411" s="599"/>
      <c r="K411" s="599"/>
      <c r="L411" s="599"/>
      <c r="M411" s="599">
        <v>0</v>
      </c>
      <c r="N411" s="592"/>
      <c r="O411" s="592"/>
      <c r="P411" s="882">
        <f t="shared" si="25"/>
        <v>0</v>
      </c>
      <c r="Q411" s="599">
        <v>-24866347713</v>
      </c>
      <c r="R411" s="882">
        <f t="shared" si="29"/>
        <v>0</v>
      </c>
      <c r="S411" s="599">
        <f t="shared" si="29"/>
        <v>-24866</v>
      </c>
      <c r="T411" s="620"/>
      <c r="U411" s="621"/>
      <c r="V411" s="882">
        <f t="shared" si="28"/>
        <v>0</v>
      </c>
      <c r="W411" s="882">
        <f t="shared" si="27"/>
        <v>0</v>
      </c>
    </row>
    <row r="412" spans="1:23" ht="27" hidden="1" customHeight="1">
      <c r="A412" s="583">
        <v>1011</v>
      </c>
      <c r="B412" s="581">
        <v>10</v>
      </c>
      <c r="C412" s="583" t="s">
        <v>540</v>
      </c>
      <c r="D412" s="583" t="s">
        <v>229</v>
      </c>
      <c r="E412" s="599">
        <v>-1556493185</v>
      </c>
      <c r="F412" s="599"/>
      <c r="G412" s="599"/>
      <c r="H412" s="599"/>
      <c r="I412" s="599"/>
      <c r="J412" s="599"/>
      <c r="K412" s="599"/>
      <c r="L412" s="599"/>
      <c r="M412" s="599">
        <v>0</v>
      </c>
      <c r="N412" s="592"/>
      <c r="O412" s="592"/>
      <c r="P412" s="882">
        <f t="shared" si="25"/>
        <v>-1556493185</v>
      </c>
      <c r="Q412" s="599">
        <v>-717286400</v>
      </c>
      <c r="R412" s="882">
        <f t="shared" si="29"/>
        <v>-1556</v>
      </c>
      <c r="S412" s="599">
        <f t="shared" si="29"/>
        <v>-717</v>
      </c>
      <c r="T412" s="620"/>
      <c r="U412" s="621"/>
      <c r="V412" s="882">
        <f t="shared" si="28"/>
        <v>-1556493185</v>
      </c>
      <c r="W412" s="882">
        <f t="shared" si="27"/>
        <v>-1556</v>
      </c>
    </row>
    <row r="413" spans="1:23" ht="27" hidden="1" customHeight="1">
      <c r="A413" s="583">
        <v>1014</v>
      </c>
      <c r="B413" s="581">
        <v>10</v>
      </c>
      <c r="C413" s="583" t="s">
        <v>541</v>
      </c>
      <c r="D413" s="583" t="s">
        <v>693</v>
      </c>
      <c r="E413" s="599">
        <v>-23242911820</v>
      </c>
      <c r="F413" s="599"/>
      <c r="G413" s="599"/>
      <c r="H413" s="599"/>
      <c r="I413" s="599"/>
      <c r="J413" s="599"/>
      <c r="K413" s="599"/>
      <c r="L413" s="599"/>
      <c r="M413" s="599">
        <v>0</v>
      </c>
      <c r="N413" s="592"/>
      <c r="O413" s="592"/>
      <c r="P413" s="882">
        <f t="shared" si="25"/>
        <v>-23242911820</v>
      </c>
      <c r="Q413" s="599">
        <v>-17494383078</v>
      </c>
      <c r="R413" s="882">
        <f t="shared" si="29"/>
        <v>-23243</v>
      </c>
      <c r="S413" s="599">
        <f t="shared" si="29"/>
        <v>-17494</v>
      </c>
      <c r="T413" s="620"/>
      <c r="U413" s="621"/>
      <c r="V413" s="882">
        <f t="shared" si="28"/>
        <v>-23242911820</v>
      </c>
      <c r="W413" s="882">
        <f t="shared" si="27"/>
        <v>-23243</v>
      </c>
    </row>
    <row r="414" spans="1:23" ht="27" hidden="1" customHeight="1">
      <c r="A414" s="583">
        <v>1007</v>
      </c>
      <c r="B414" s="581">
        <v>10</v>
      </c>
      <c r="C414" s="583" t="s">
        <v>543</v>
      </c>
      <c r="D414" s="583" t="s">
        <v>544</v>
      </c>
      <c r="E414" s="599">
        <v>-133775096236</v>
      </c>
      <c r="F414" s="599"/>
      <c r="G414" s="599"/>
      <c r="H414" s="599"/>
      <c r="I414" s="599"/>
      <c r="J414" s="599"/>
      <c r="K414" s="599"/>
      <c r="L414" s="599"/>
      <c r="M414" s="599">
        <v>0</v>
      </c>
      <c r="N414" s="592"/>
      <c r="O414" s="592"/>
      <c r="P414" s="882">
        <f t="shared" si="25"/>
        <v>-133775096236</v>
      </c>
      <c r="Q414" s="599"/>
      <c r="R414" s="882">
        <f t="shared" si="29"/>
        <v>-133775</v>
      </c>
      <c r="S414" s="599">
        <f t="shared" si="29"/>
        <v>0</v>
      </c>
      <c r="T414" s="620"/>
      <c r="U414" s="621"/>
      <c r="V414" s="882">
        <f t="shared" si="28"/>
        <v>-133775096236</v>
      </c>
      <c r="W414" s="882">
        <f t="shared" si="27"/>
        <v>-133775</v>
      </c>
    </row>
    <row r="415" spans="1:23" ht="27" hidden="1" customHeight="1">
      <c r="A415" s="583">
        <v>1007</v>
      </c>
      <c r="B415" s="581">
        <v>10</v>
      </c>
      <c r="C415" s="583" t="s">
        <v>543</v>
      </c>
      <c r="D415" s="583" t="s">
        <v>1464</v>
      </c>
      <c r="E415" s="599"/>
      <c r="F415" s="599"/>
      <c r="G415" s="599">
        <v>-271876820753</v>
      </c>
      <c r="H415" s="599"/>
      <c r="I415" s="599">
        <v>492737580</v>
      </c>
      <c r="J415" s="599"/>
      <c r="K415" s="599">
        <v>-492737580</v>
      </c>
      <c r="L415" s="599"/>
      <c r="M415" s="599">
        <v>0</v>
      </c>
      <c r="N415" s="592"/>
      <c r="O415" s="592"/>
      <c r="P415" s="882">
        <f t="shared" si="25"/>
        <v>-271876820753</v>
      </c>
      <c r="Q415" s="599">
        <v>-237313599479</v>
      </c>
      <c r="R415" s="882">
        <f t="shared" si="29"/>
        <v>-271877</v>
      </c>
      <c r="S415" s="599">
        <f t="shared" si="29"/>
        <v>-237314</v>
      </c>
      <c r="T415" s="620"/>
      <c r="U415" s="621"/>
      <c r="V415" s="882">
        <f t="shared" si="28"/>
        <v>-271876820753</v>
      </c>
      <c r="W415" s="882">
        <f t="shared" si="27"/>
        <v>-271877</v>
      </c>
    </row>
    <row r="416" spans="1:23" ht="27" hidden="1" customHeight="1">
      <c r="A416" s="583">
        <v>1007</v>
      </c>
      <c r="B416" s="581">
        <v>10</v>
      </c>
      <c r="C416" s="583" t="s">
        <v>545</v>
      </c>
      <c r="D416" s="583" t="s">
        <v>510</v>
      </c>
      <c r="E416" s="599"/>
      <c r="F416" s="599"/>
      <c r="G416" s="599"/>
      <c r="H416" s="599"/>
      <c r="I416" s="599"/>
      <c r="J416" s="599"/>
      <c r="K416" s="599"/>
      <c r="L416" s="599"/>
      <c r="M416" s="599">
        <v>0</v>
      </c>
      <c r="N416" s="592"/>
      <c r="O416" s="592"/>
      <c r="P416" s="882">
        <f t="shared" si="25"/>
        <v>0</v>
      </c>
      <c r="Q416" s="599">
        <v>-1002800000</v>
      </c>
      <c r="R416" s="882">
        <f t="shared" si="29"/>
        <v>0</v>
      </c>
      <c r="S416" s="599">
        <f t="shared" si="29"/>
        <v>-1003</v>
      </c>
      <c r="T416" s="620"/>
      <c r="U416" s="621"/>
      <c r="V416" s="882">
        <f t="shared" si="28"/>
        <v>0</v>
      </c>
      <c r="W416" s="882">
        <f t="shared" si="27"/>
        <v>0</v>
      </c>
    </row>
    <row r="417" spans="1:23" ht="27" hidden="1" customHeight="1">
      <c r="A417" s="583">
        <v>1008</v>
      </c>
      <c r="B417" s="581">
        <v>10</v>
      </c>
      <c r="C417" s="583" t="s">
        <v>511</v>
      </c>
      <c r="D417" s="583" t="s">
        <v>512</v>
      </c>
      <c r="E417" s="599">
        <v>-1009421168</v>
      </c>
      <c r="F417" s="599"/>
      <c r="G417" s="599"/>
      <c r="H417" s="599"/>
      <c r="I417" s="599"/>
      <c r="J417" s="599"/>
      <c r="K417" s="599"/>
      <c r="L417" s="599"/>
      <c r="M417" s="599">
        <v>0</v>
      </c>
      <c r="N417" s="592"/>
      <c r="O417" s="592"/>
      <c r="P417" s="882">
        <f t="shared" si="25"/>
        <v>-1009421168</v>
      </c>
      <c r="Q417" s="599">
        <v>-1009421168</v>
      </c>
      <c r="R417" s="882">
        <f t="shared" si="29"/>
        <v>-1009</v>
      </c>
      <c r="S417" s="599">
        <f t="shared" si="29"/>
        <v>-1009</v>
      </c>
      <c r="T417" s="620"/>
      <c r="U417" s="621"/>
      <c r="V417" s="882">
        <f t="shared" si="28"/>
        <v>-1009421168</v>
      </c>
      <c r="W417" s="882">
        <f t="shared" si="27"/>
        <v>-1009</v>
      </c>
    </row>
    <row r="418" spans="1:23" ht="27" hidden="1" customHeight="1">
      <c r="A418" s="583">
        <v>1008</v>
      </c>
      <c r="B418" s="581">
        <v>10</v>
      </c>
      <c r="C418" s="583" t="s">
        <v>513</v>
      </c>
      <c r="D418" s="583" t="s">
        <v>279</v>
      </c>
      <c r="E418" s="599">
        <v>-83797997981</v>
      </c>
      <c r="F418" s="599"/>
      <c r="G418" s="599"/>
      <c r="H418" s="599"/>
      <c r="I418" s="599"/>
      <c r="J418" s="599"/>
      <c r="K418" s="599"/>
      <c r="L418" s="599"/>
      <c r="M418" s="599">
        <v>0</v>
      </c>
      <c r="N418" s="592"/>
      <c r="O418" s="592"/>
      <c r="P418" s="882">
        <f t="shared" si="25"/>
        <v>-83797997981</v>
      </c>
      <c r="Q418" s="599"/>
      <c r="R418" s="882">
        <f t="shared" si="29"/>
        <v>-83798</v>
      </c>
      <c r="S418" s="599">
        <f t="shared" si="29"/>
        <v>0</v>
      </c>
      <c r="T418" s="620"/>
      <c r="U418" s="621"/>
      <c r="V418" s="882">
        <f t="shared" si="28"/>
        <v>-83797997981</v>
      </c>
      <c r="W418" s="882">
        <f t="shared" si="27"/>
        <v>-83798</v>
      </c>
    </row>
    <row r="419" spans="1:23" ht="27" hidden="1" customHeight="1">
      <c r="A419" s="583">
        <v>1008</v>
      </c>
      <c r="B419" s="581">
        <v>10</v>
      </c>
      <c r="C419" s="583" t="s">
        <v>513</v>
      </c>
      <c r="D419" s="583" t="s">
        <v>1465</v>
      </c>
      <c r="E419" s="599"/>
      <c r="F419" s="599"/>
      <c r="G419" s="599">
        <v>-103073072284</v>
      </c>
      <c r="H419" s="599"/>
      <c r="I419" s="599"/>
      <c r="J419" s="599"/>
      <c r="K419" s="599"/>
      <c r="L419" s="599"/>
      <c r="M419" s="599">
        <v>0</v>
      </c>
      <c r="N419" s="592"/>
      <c r="O419" s="592"/>
      <c r="P419" s="882">
        <f t="shared" si="25"/>
        <v>-103073072284</v>
      </c>
      <c r="Q419" s="599">
        <v>-156116689814</v>
      </c>
      <c r="R419" s="882">
        <f t="shared" si="29"/>
        <v>-103073</v>
      </c>
      <c r="S419" s="599">
        <f t="shared" si="29"/>
        <v>-156117</v>
      </c>
      <c r="T419" s="620"/>
      <c r="U419" s="621"/>
      <c r="V419" s="882">
        <f t="shared" si="28"/>
        <v>-103073072284</v>
      </c>
      <c r="W419" s="882">
        <f t="shared" si="27"/>
        <v>-103073</v>
      </c>
    </row>
    <row r="420" spans="1:23" ht="27" hidden="1" customHeight="1">
      <c r="A420" s="583">
        <v>1007</v>
      </c>
      <c r="B420" s="581">
        <v>10</v>
      </c>
      <c r="C420" s="583" t="s">
        <v>499</v>
      </c>
      <c r="D420" s="583" t="s">
        <v>694</v>
      </c>
      <c r="E420" s="599">
        <v>-7113932144</v>
      </c>
      <c r="F420" s="599"/>
      <c r="G420" s="599"/>
      <c r="H420" s="599"/>
      <c r="I420" s="599"/>
      <c r="J420" s="599"/>
      <c r="K420" s="599"/>
      <c r="L420" s="599"/>
      <c r="M420" s="599">
        <v>0</v>
      </c>
      <c r="N420" s="592"/>
      <c r="O420" s="592"/>
      <c r="P420" s="882">
        <f t="shared" si="25"/>
        <v>-7113932144</v>
      </c>
      <c r="Q420" s="599"/>
      <c r="R420" s="882">
        <f t="shared" si="29"/>
        <v>-7114</v>
      </c>
      <c r="S420" s="599">
        <f t="shared" si="29"/>
        <v>0</v>
      </c>
      <c r="T420" s="620"/>
      <c r="U420" s="621"/>
      <c r="V420" s="882">
        <f t="shared" si="28"/>
        <v>-7113932144</v>
      </c>
      <c r="W420" s="882">
        <f t="shared" si="27"/>
        <v>-7114</v>
      </c>
    </row>
    <row r="421" spans="1:23" ht="27" hidden="1" customHeight="1">
      <c r="A421" s="583">
        <v>1007</v>
      </c>
      <c r="B421" s="581">
        <v>10</v>
      </c>
      <c r="C421" s="583" t="s">
        <v>499</v>
      </c>
      <c r="D421" s="583" t="s">
        <v>1466</v>
      </c>
      <c r="E421" s="599"/>
      <c r="F421" s="599"/>
      <c r="G421" s="599">
        <v>-268022180425</v>
      </c>
      <c r="H421" s="599"/>
      <c r="I421" s="599"/>
      <c r="J421" s="599"/>
      <c r="K421" s="599"/>
      <c r="L421" s="599"/>
      <c r="M421" s="599">
        <v>0</v>
      </c>
      <c r="N421" s="592"/>
      <c r="O421" s="592"/>
      <c r="P421" s="882">
        <f t="shared" si="25"/>
        <v>-268022180425</v>
      </c>
      <c r="Q421" s="599">
        <f>-446708284084-40338185738+3561546235</f>
        <v>-483484923587</v>
      </c>
      <c r="R421" s="882">
        <f t="shared" si="29"/>
        <v>-268022</v>
      </c>
      <c r="S421" s="599">
        <f t="shared" si="29"/>
        <v>-483485</v>
      </c>
      <c r="T421" s="620"/>
      <c r="U421" s="621"/>
      <c r="V421" s="882">
        <f t="shared" si="28"/>
        <v>-268022180425</v>
      </c>
      <c r="W421" s="882">
        <f t="shared" si="27"/>
        <v>-268022</v>
      </c>
    </row>
    <row r="422" spans="1:23" ht="27" hidden="1" customHeight="1">
      <c r="A422" s="583">
        <v>1018</v>
      </c>
      <c r="B422" s="581">
        <v>10</v>
      </c>
      <c r="C422" s="583" t="s">
        <v>501</v>
      </c>
      <c r="D422" s="583" t="s">
        <v>695</v>
      </c>
      <c r="E422" s="599">
        <v>-50900000</v>
      </c>
      <c r="F422" s="599"/>
      <c r="G422" s="599"/>
      <c r="H422" s="599"/>
      <c r="I422" s="599"/>
      <c r="J422" s="599"/>
      <c r="K422" s="599"/>
      <c r="L422" s="599"/>
      <c r="M422" s="599">
        <v>0</v>
      </c>
      <c r="N422" s="592"/>
      <c r="O422" s="592"/>
      <c r="P422" s="882">
        <f t="shared" si="25"/>
        <v>-50900000</v>
      </c>
      <c r="Q422" s="599">
        <v>-106900000</v>
      </c>
      <c r="R422" s="882">
        <f t="shared" si="29"/>
        <v>-51</v>
      </c>
      <c r="S422" s="599">
        <f t="shared" si="29"/>
        <v>-107</v>
      </c>
      <c r="T422" s="620"/>
      <c r="U422" s="621"/>
      <c r="V422" s="882">
        <f t="shared" si="28"/>
        <v>-50900000</v>
      </c>
      <c r="W422" s="882">
        <f t="shared" si="27"/>
        <v>-51</v>
      </c>
    </row>
    <row r="423" spans="1:23" ht="27" hidden="1" customHeight="1">
      <c r="A423" s="583">
        <v>1016</v>
      </c>
      <c r="B423" s="581">
        <v>10</v>
      </c>
      <c r="C423" s="583" t="s">
        <v>503</v>
      </c>
      <c r="D423" s="583" t="s">
        <v>504</v>
      </c>
      <c r="E423" s="599">
        <v>-50305874180</v>
      </c>
      <c r="F423" s="599"/>
      <c r="G423" s="599"/>
      <c r="H423" s="599"/>
      <c r="I423" s="599"/>
      <c r="J423" s="599"/>
      <c r="K423" s="599"/>
      <c r="L423" s="599"/>
      <c r="M423" s="599">
        <v>0</v>
      </c>
      <c r="N423" s="592"/>
      <c r="O423" s="592"/>
      <c r="P423" s="882">
        <f t="shared" si="25"/>
        <v>-50305874180</v>
      </c>
      <c r="Q423" s="599">
        <v>-11328913444</v>
      </c>
      <c r="R423" s="882">
        <f t="shared" si="29"/>
        <v>-50306</v>
      </c>
      <c r="S423" s="599">
        <f t="shared" si="29"/>
        <v>-11329</v>
      </c>
      <c r="T423" s="620"/>
      <c r="U423" s="621"/>
      <c r="V423" s="882">
        <f t="shared" si="28"/>
        <v>-50305874180</v>
      </c>
      <c r="W423" s="882">
        <f t="shared" si="27"/>
        <v>-50306</v>
      </c>
    </row>
    <row r="424" spans="1:23" ht="27" hidden="1" customHeight="1">
      <c r="A424" s="583">
        <v>1017</v>
      </c>
      <c r="B424" s="581">
        <v>10</v>
      </c>
      <c r="C424" s="583" t="s">
        <v>697</v>
      </c>
      <c r="D424" s="583" t="s">
        <v>696</v>
      </c>
      <c r="E424" s="599">
        <v>-88886635507</v>
      </c>
      <c r="F424" s="599"/>
      <c r="G424" s="599"/>
      <c r="H424" s="599"/>
      <c r="I424" s="599"/>
      <c r="J424" s="599"/>
      <c r="K424" s="599"/>
      <c r="L424" s="599"/>
      <c r="M424" s="599">
        <v>0</v>
      </c>
      <c r="N424" s="592"/>
      <c r="O424" s="592"/>
      <c r="P424" s="882">
        <f t="shared" si="25"/>
        <v>-88886635507</v>
      </c>
      <c r="Q424" s="599">
        <f>153538229-3375137496</f>
        <v>-3221599267</v>
      </c>
      <c r="R424" s="882">
        <f t="shared" si="29"/>
        <v>-88887</v>
      </c>
      <c r="S424" s="599">
        <f t="shared" si="29"/>
        <v>-3222</v>
      </c>
      <c r="T424" s="620"/>
      <c r="U424" s="621"/>
      <c r="V424" s="882">
        <f t="shared" si="28"/>
        <v>-88886635507</v>
      </c>
      <c r="W424" s="882">
        <f t="shared" si="27"/>
        <v>-88887</v>
      </c>
    </row>
    <row r="425" spans="1:23" ht="27" hidden="1" customHeight="1">
      <c r="A425" s="583">
        <v>1007</v>
      </c>
      <c r="B425" s="581">
        <v>10</v>
      </c>
      <c r="C425" s="583" t="s">
        <v>505</v>
      </c>
      <c r="D425" s="583" t="s">
        <v>506</v>
      </c>
      <c r="E425" s="599">
        <v>-8849225650</v>
      </c>
      <c r="F425" s="599"/>
      <c r="G425" s="599"/>
      <c r="H425" s="599"/>
      <c r="I425" s="599"/>
      <c r="J425" s="599"/>
      <c r="K425" s="599"/>
      <c r="L425" s="599"/>
      <c r="M425" s="599">
        <v>0</v>
      </c>
      <c r="N425" s="592"/>
      <c r="O425" s="592"/>
      <c r="P425" s="882">
        <f t="shared" si="25"/>
        <v>-8849225650</v>
      </c>
      <c r="Q425" s="599">
        <v>-7806728836</v>
      </c>
      <c r="R425" s="882">
        <f t="shared" si="29"/>
        <v>-8849</v>
      </c>
      <c r="S425" s="599">
        <f t="shared" si="29"/>
        <v>-7807</v>
      </c>
      <c r="T425" s="620"/>
      <c r="U425" s="621"/>
      <c r="V425" s="882">
        <f t="shared" si="28"/>
        <v>-8849225650</v>
      </c>
      <c r="W425" s="882">
        <f t="shared" si="27"/>
        <v>-8849</v>
      </c>
    </row>
    <row r="426" spans="1:23" ht="27" hidden="1" customHeight="1">
      <c r="A426" s="583">
        <v>1007</v>
      </c>
      <c r="B426" s="581">
        <v>10</v>
      </c>
      <c r="C426" s="583" t="s">
        <v>507</v>
      </c>
      <c r="D426" s="583" t="s">
        <v>185</v>
      </c>
      <c r="E426" s="599"/>
      <c r="F426" s="599"/>
      <c r="G426" s="599"/>
      <c r="H426" s="599"/>
      <c r="I426" s="599"/>
      <c r="J426" s="599"/>
      <c r="K426" s="599"/>
      <c r="L426" s="599"/>
      <c r="M426" s="599">
        <v>0</v>
      </c>
      <c r="N426" s="592"/>
      <c r="O426" s="592"/>
      <c r="P426" s="882">
        <f t="shared" si="25"/>
        <v>0</v>
      </c>
      <c r="Q426" s="599">
        <v>-485122350</v>
      </c>
      <c r="R426" s="882">
        <f t="shared" si="29"/>
        <v>0</v>
      </c>
      <c r="S426" s="599">
        <f t="shared" si="29"/>
        <v>-485</v>
      </c>
      <c r="T426" s="620"/>
      <c r="U426" s="621"/>
      <c r="V426" s="882">
        <f t="shared" si="28"/>
        <v>0</v>
      </c>
      <c r="W426" s="882">
        <f t="shared" si="27"/>
        <v>0</v>
      </c>
    </row>
    <row r="427" spans="1:23" ht="27" hidden="1" customHeight="1">
      <c r="A427" s="583">
        <v>1010</v>
      </c>
      <c r="B427" s="581">
        <v>10</v>
      </c>
      <c r="C427" s="583" t="s">
        <v>186</v>
      </c>
      <c r="D427" s="583" t="s">
        <v>187</v>
      </c>
      <c r="E427" s="599"/>
      <c r="F427" s="599"/>
      <c r="G427" s="599"/>
      <c r="H427" s="599"/>
      <c r="I427" s="599"/>
      <c r="J427" s="599"/>
      <c r="K427" s="599"/>
      <c r="L427" s="599"/>
      <c r="M427" s="599">
        <v>0</v>
      </c>
      <c r="N427" s="592"/>
      <c r="O427" s="592"/>
      <c r="P427" s="882">
        <f t="shared" si="25"/>
        <v>0</v>
      </c>
      <c r="Q427" s="599"/>
      <c r="R427" s="882">
        <f t="shared" si="29"/>
        <v>0</v>
      </c>
      <c r="S427" s="599">
        <f t="shared" si="29"/>
        <v>0</v>
      </c>
      <c r="T427" s="620"/>
      <c r="U427" s="621"/>
      <c r="V427" s="882">
        <f t="shared" si="28"/>
        <v>0</v>
      </c>
      <c r="W427" s="882">
        <f t="shared" si="27"/>
        <v>0</v>
      </c>
    </row>
    <row r="428" spans="1:23" ht="27" hidden="1" customHeight="1">
      <c r="A428" s="583">
        <v>1010</v>
      </c>
      <c r="B428" s="581">
        <v>10</v>
      </c>
      <c r="C428" s="583" t="s">
        <v>188</v>
      </c>
      <c r="D428" s="583" t="s">
        <v>749</v>
      </c>
      <c r="E428" s="599">
        <v>-62833092331</v>
      </c>
      <c r="F428" s="599"/>
      <c r="G428" s="599"/>
      <c r="H428" s="599"/>
      <c r="I428" s="599"/>
      <c r="J428" s="599"/>
      <c r="K428" s="599"/>
      <c r="L428" s="599"/>
      <c r="M428" s="599">
        <v>0</v>
      </c>
      <c r="N428" s="592"/>
      <c r="O428" s="592"/>
      <c r="P428" s="882">
        <f t="shared" si="25"/>
        <v>-62833092331</v>
      </c>
      <c r="Q428" s="599">
        <v>-36661545309</v>
      </c>
      <c r="R428" s="882">
        <f t="shared" si="29"/>
        <v>-62833</v>
      </c>
      <c r="S428" s="599">
        <f t="shared" si="29"/>
        <v>-36662</v>
      </c>
      <c r="T428" s="620"/>
      <c r="U428" s="621"/>
      <c r="V428" s="882">
        <f t="shared" si="28"/>
        <v>-62833092331</v>
      </c>
      <c r="W428" s="882">
        <f t="shared" si="27"/>
        <v>-62833</v>
      </c>
    </row>
    <row r="429" spans="1:23" ht="27" hidden="1" customHeight="1">
      <c r="A429" s="583">
        <v>1007</v>
      </c>
      <c r="B429" s="581">
        <v>10</v>
      </c>
      <c r="C429" s="583" t="s">
        <v>190</v>
      </c>
      <c r="D429" s="583" t="s">
        <v>191</v>
      </c>
      <c r="E429" s="599">
        <v>-6377251561</v>
      </c>
      <c r="F429" s="599"/>
      <c r="G429" s="599">
        <v>-3500000</v>
      </c>
      <c r="H429" s="599"/>
      <c r="I429" s="599"/>
      <c r="J429" s="599"/>
      <c r="K429" s="599"/>
      <c r="L429" s="599"/>
      <c r="M429" s="599">
        <v>0</v>
      </c>
      <c r="N429" s="592"/>
      <c r="O429" s="592"/>
      <c r="P429" s="882">
        <f t="shared" si="25"/>
        <v>-6380751561</v>
      </c>
      <c r="Q429" s="599">
        <v>-4659261666</v>
      </c>
      <c r="R429" s="882">
        <f t="shared" si="29"/>
        <v>-6381</v>
      </c>
      <c r="S429" s="599">
        <f t="shared" si="29"/>
        <v>-4659</v>
      </c>
      <c r="T429" s="620"/>
      <c r="U429" s="621"/>
      <c r="V429" s="882">
        <f t="shared" si="28"/>
        <v>-6380751561</v>
      </c>
      <c r="W429" s="882">
        <f t="shared" si="27"/>
        <v>-6381</v>
      </c>
    </row>
    <row r="430" spans="1:23" ht="27" hidden="1" customHeight="1">
      <c r="A430" s="583">
        <v>1017</v>
      </c>
      <c r="B430" s="581">
        <v>10</v>
      </c>
      <c r="C430" s="583" t="s">
        <v>192</v>
      </c>
      <c r="D430" s="583" t="s">
        <v>25</v>
      </c>
      <c r="E430" s="599">
        <v>-12872422186</v>
      </c>
      <c r="F430" s="599"/>
      <c r="G430" s="599"/>
      <c r="H430" s="599"/>
      <c r="I430" s="599"/>
      <c r="J430" s="599"/>
      <c r="K430" s="599"/>
      <c r="L430" s="599"/>
      <c r="M430" s="599">
        <v>0</v>
      </c>
      <c r="N430" s="592"/>
      <c r="O430" s="592"/>
      <c r="P430" s="882">
        <f t="shared" si="25"/>
        <v>-12872422186</v>
      </c>
      <c r="Q430" s="599">
        <v>-11380167186</v>
      </c>
      <c r="R430" s="882">
        <f t="shared" si="29"/>
        <v>-12872</v>
      </c>
      <c r="S430" s="599">
        <f t="shared" si="29"/>
        <v>-11380</v>
      </c>
      <c r="T430" s="620"/>
      <c r="U430" s="621"/>
      <c r="V430" s="882">
        <f t="shared" si="28"/>
        <v>-12872422186</v>
      </c>
      <c r="W430" s="882">
        <f t="shared" si="27"/>
        <v>-12872</v>
      </c>
    </row>
    <row r="431" spans="1:23" ht="27" hidden="1" customHeight="1">
      <c r="A431" s="583">
        <v>302</v>
      </c>
      <c r="B431" s="581">
        <v>3</v>
      </c>
      <c r="C431" s="583" t="s">
        <v>26</v>
      </c>
      <c r="D431" s="583" t="s">
        <v>27</v>
      </c>
      <c r="E431" s="599">
        <v>1110000000</v>
      </c>
      <c r="F431" s="599"/>
      <c r="G431" s="599"/>
      <c r="H431" s="599"/>
      <c r="I431" s="599"/>
      <c r="J431" s="599"/>
      <c r="K431" s="599"/>
      <c r="L431" s="599"/>
      <c r="M431" s="599">
        <v>0</v>
      </c>
      <c r="N431" s="592"/>
      <c r="O431" s="592"/>
      <c r="P431" s="882">
        <f t="shared" si="25"/>
        <v>1110000000</v>
      </c>
      <c r="Q431" s="599">
        <v>1105124741</v>
      </c>
      <c r="R431" s="882">
        <f t="shared" si="29"/>
        <v>1110</v>
      </c>
      <c r="S431" s="599">
        <f t="shared" si="29"/>
        <v>1105</v>
      </c>
      <c r="T431" s="620"/>
      <c r="U431" s="621"/>
      <c r="V431" s="882">
        <f t="shared" si="28"/>
        <v>1110000000</v>
      </c>
      <c r="W431" s="882">
        <f t="shared" si="27"/>
        <v>1110</v>
      </c>
    </row>
    <row r="432" spans="1:23" ht="27" hidden="1" customHeight="1">
      <c r="A432" s="583">
        <v>302</v>
      </c>
      <c r="B432" s="581">
        <v>3</v>
      </c>
      <c r="C432" s="583" t="s">
        <v>851</v>
      </c>
      <c r="D432" s="583" t="s">
        <v>852</v>
      </c>
      <c r="E432" s="599">
        <v>1180000</v>
      </c>
      <c r="F432" s="599"/>
      <c r="G432" s="599"/>
      <c r="H432" s="599"/>
      <c r="I432" s="599"/>
      <c r="J432" s="599"/>
      <c r="K432" s="599"/>
      <c r="L432" s="599"/>
      <c r="M432" s="599">
        <v>0</v>
      </c>
      <c r="N432" s="592"/>
      <c r="O432" s="592"/>
      <c r="P432" s="882">
        <f t="shared" si="25"/>
        <v>1180000</v>
      </c>
      <c r="Q432" s="599">
        <v>4130000</v>
      </c>
      <c r="R432" s="882">
        <f t="shared" si="29"/>
        <v>1</v>
      </c>
      <c r="S432" s="599">
        <f t="shared" si="29"/>
        <v>4</v>
      </c>
      <c r="T432" s="620"/>
      <c r="U432" s="621"/>
      <c r="V432" s="882">
        <f t="shared" si="28"/>
        <v>1180000</v>
      </c>
      <c r="W432" s="882">
        <f t="shared" si="27"/>
        <v>1</v>
      </c>
    </row>
    <row r="433" spans="1:23" ht="27" hidden="1" customHeight="1">
      <c r="A433" s="583">
        <v>303</v>
      </c>
      <c r="B433" s="581">
        <v>3</v>
      </c>
      <c r="C433" s="583" t="s">
        <v>28</v>
      </c>
      <c r="D433" s="583" t="s">
        <v>29</v>
      </c>
      <c r="E433" s="599">
        <f>14175797771-2543000000</f>
        <v>11632797771</v>
      </c>
      <c r="F433" s="599">
        <v>2543000000</v>
      </c>
      <c r="G433" s="599"/>
      <c r="H433" s="599"/>
      <c r="I433" s="599"/>
      <c r="J433" s="599"/>
      <c r="K433" s="599"/>
      <c r="L433" s="599"/>
      <c r="M433" s="599">
        <v>0</v>
      </c>
      <c r="N433" s="592"/>
      <c r="O433" s="592"/>
      <c r="P433" s="882">
        <f t="shared" si="25"/>
        <v>14175797771</v>
      </c>
      <c r="Q433" s="599">
        <v>13036178852</v>
      </c>
      <c r="R433" s="882">
        <f t="shared" ref="R433:S465" si="30">ROUND((P433/1000000),0)</f>
        <v>14176</v>
      </c>
      <c r="S433" s="599">
        <f t="shared" si="30"/>
        <v>13036</v>
      </c>
      <c r="T433" s="620"/>
      <c r="U433" s="621"/>
      <c r="V433" s="882">
        <f t="shared" si="28"/>
        <v>14175797771</v>
      </c>
      <c r="W433" s="882">
        <f t="shared" si="27"/>
        <v>14176</v>
      </c>
    </row>
    <row r="434" spans="1:23" ht="27" hidden="1" customHeight="1">
      <c r="A434" s="583">
        <v>1018</v>
      </c>
      <c r="B434" s="581">
        <v>10</v>
      </c>
      <c r="C434" s="583" t="s">
        <v>30</v>
      </c>
      <c r="D434" s="583" t="s">
        <v>31</v>
      </c>
      <c r="E434" s="599"/>
      <c r="F434" s="606"/>
      <c r="G434" s="599"/>
      <c r="H434" s="599"/>
      <c r="I434" s="599"/>
      <c r="J434" s="599"/>
      <c r="K434" s="599"/>
      <c r="L434" s="599"/>
      <c r="M434" s="599">
        <v>0</v>
      </c>
      <c r="N434" s="592"/>
      <c r="O434" s="592"/>
      <c r="P434" s="882">
        <f t="shared" si="25"/>
        <v>0</v>
      </c>
      <c r="Q434" s="599"/>
      <c r="R434" s="882">
        <f t="shared" si="30"/>
        <v>0</v>
      </c>
      <c r="S434" s="599">
        <f t="shared" si="30"/>
        <v>0</v>
      </c>
      <c r="T434" s="620"/>
      <c r="U434" s="621"/>
      <c r="V434" s="882">
        <f t="shared" si="28"/>
        <v>0</v>
      </c>
      <c r="W434" s="882">
        <f t="shared" si="27"/>
        <v>0</v>
      </c>
    </row>
    <row r="435" spans="1:23" ht="27" hidden="1" customHeight="1">
      <c r="A435" s="583"/>
      <c r="B435" s="581">
        <v>3</v>
      </c>
      <c r="C435" s="583" t="s">
        <v>1155</v>
      </c>
      <c r="D435" s="583" t="s">
        <v>1156</v>
      </c>
      <c r="E435" s="599">
        <f>332654456-5880000</f>
        <v>326774456</v>
      </c>
      <c r="F435" s="599">
        <v>-326774456</v>
      </c>
      <c r="G435" s="599"/>
      <c r="H435" s="599"/>
      <c r="I435" s="599"/>
      <c r="J435" s="599"/>
      <c r="K435" s="599"/>
      <c r="L435" s="599"/>
      <c r="M435" s="599">
        <v>0</v>
      </c>
      <c r="N435" s="592"/>
      <c r="O435" s="592"/>
      <c r="P435" s="882">
        <f t="shared" si="25"/>
        <v>0</v>
      </c>
      <c r="Q435" s="599"/>
      <c r="R435" s="882">
        <f t="shared" si="30"/>
        <v>0</v>
      </c>
      <c r="S435" s="599">
        <f t="shared" si="30"/>
        <v>0</v>
      </c>
      <c r="T435" s="620"/>
      <c r="U435" s="621"/>
      <c r="V435" s="882">
        <f t="shared" si="28"/>
        <v>0</v>
      </c>
      <c r="W435" s="882">
        <f t="shared" si="27"/>
        <v>0</v>
      </c>
    </row>
    <row r="436" spans="1:23" ht="27" hidden="1" customHeight="1">
      <c r="A436" s="583"/>
      <c r="B436" s="581">
        <v>3</v>
      </c>
      <c r="C436" s="583" t="s">
        <v>1157</v>
      </c>
      <c r="D436" s="583" t="s">
        <v>1156</v>
      </c>
      <c r="E436" s="599">
        <f>5880000-332654456</f>
        <v>-326774456</v>
      </c>
      <c r="F436" s="599">
        <v>326774456</v>
      </c>
      <c r="G436" s="599"/>
      <c r="H436" s="599"/>
      <c r="I436" s="599"/>
      <c r="J436" s="599"/>
      <c r="K436" s="599"/>
      <c r="L436" s="599"/>
      <c r="M436" s="599">
        <v>0</v>
      </c>
      <c r="N436" s="592"/>
      <c r="O436" s="592"/>
      <c r="P436" s="882">
        <f t="shared" si="25"/>
        <v>0</v>
      </c>
      <c r="Q436" s="599">
        <v>0</v>
      </c>
      <c r="R436" s="882">
        <f t="shared" si="30"/>
        <v>0</v>
      </c>
      <c r="S436" s="599">
        <f t="shared" si="30"/>
        <v>0</v>
      </c>
      <c r="T436" s="620"/>
      <c r="U436" s="621"/>
      <c r="V436" s="882">
        <f t="shared" si="28"/>
        <v>0</v>
      </c>
      <c r="W436" s="882">
        <f t="shared" si="27"/>
        <v>0</v>
      </c>
    </row>
    <row r="437" spans="1:23" ht="27" hidden="1" customHeight="1">
      <c r="A437" s="583">
        <v>302</v>
      </c>
      <c r="B437" s="581">
        <v>3</v>
      </c>
      <c r="C437" s="583" t="s">
        <v>776</v>
      </c>
      <c r="D437" s="583" t="s">
        <v>1453</v>
      </c>
      <c r="E437" s="599"/>
      <c r="F437" s="599"/>
      <c r="G437" s="599"/>
      <c r="H437" s="599">
        <v>164045000</v>
      </c>
      <c r="I437" s="599"/>
      <c r="J437" s="599"/>
      <c r="K437" s="599"/>
      <c r="L437" s="599"/>
      <c r="M437" s="599">
        <v>0</v>
      </c>
      <c r="N437" s="592"/>
      <c r="O437" s="592"/>
      <c r="P437" s="882">
        <f t="shared" si="25"/>
        <v>164045000</v>
      </c>
      <c r="Q437" s="599"/>
      <c r="R437" s="882">
        <f t="shared" si="30"/>
        <v>164</v>
      </c>
      <c r="S437" s="599">
        <f t="shared" si="30"/>
        <v>0</v>
      </c>
      <c r="T437" s="620"/>
      <c r="U437" s="621"/>
      <c r="V437" s="882">
        <f t="shared" si="28"/>
        <v>164045000</v>
      </c>
      <c r="W437" s="882">
        <f t="shared" si="27"/>
        <v>164</v>
      </c>
    </row>
    <row r="438" spans="1:23" ht="27" hidden="1" customHeight="1">
      <c r="A438" s="583">
        <v>907</v>
      </c>
      <c r="B438" s="581">
        <v>9</v>
      </c>
      <c r="C438" s="583" t="s">
        <v>32</v>
      </c>
      <c r="D438" s="583" t="s">
        <v>770</v>
      </c>
      <c r="E438" s="599">
        <v>377616606194</v>
      </c>
      <c r="F438" s="599"/>
      <c r="G438" s="599"/>
      <c r="H438" s="599"/>
      <c r="I438" s="599"/>
      <c r="J438" s="599"/>
      <c r="K438" s="599"/>
      <c r="L438" s="599"/>
      <c r="M438" s="599">
        <v>0</v>
      </c>
      <c r="N438" s="592"/>
      <c r="O438" s="592"/>
      <c r="P438" s="882">
        <f t="shared" si="25"/>
        <v>377616606194</v>
      </c>
      <c r="Q438" s="599">
        <v>328843423202</v>
      </c>
      <c r="R438" s="882">
        <f t="shared" si="30"/>
        <v>377617</v>
      </c>
      <c r="S438" s="599">
        <f t="shared" si="30"/>
        <v>328843</v>
      </c>
      <c r="T438" s="620"/>
      <c r="U438" s="621"/>
      <c r="V438" s="882">
        <f t="shared" si="28"/>
        <v>377616606194</v>
      </c>
      <c r="W438" s="882">
        <f t="shared" si="27"/>
        <v>377617</v>
      </c>
    </row>
    <row r="439" spans="1:23" ht="27" hidden="1" customHeight="1">
      <c r="A439" s="583">
        <v>909</v>
      </c>
      <c r="B439" s="581">
        <v>9</v>
      </c>
      <c r="C439" s="585" t="s">
        <v>32</v>
      </c>
      <c r="D439" s="585" t="s">
        <v>1467</v>
      </c>
      <c r="E439" s="599"/>
      <c r="F439" s="599"/>
      <c r="G439" s="599"/>
      <c r="H439" s="599"/>
      <c r="I439" s="599"/>
      <c r="J439" s="599"/>
      <c r="K439" s="599"/>
      <c r="L439" s="599"/>
      <c r="M439" s="599">
        <v>0</v>
      </c>
      <c r="N439" s="592"/>
      <c r="O439" s="592"/>
      <c r="P439" s="882">
        <f t="shared" si="25"/>
        <v>0</v>
      </c>
      <c r="Q439" s="599"/>
      <c r="R439" s="882">
        <f t="shared" si="30"/>
        <v>0</v>
      </c>
      <c r="S439" s="599">
        <f t="shared" si="30"/>
        <v>0</v>
      </c>
      <c r="T439" s="620"/>
      <c r="U439" s="624"/>
      <c r="V439" s="882">
        <f t="shared" si="28"/>
        <v>0</v>
      </c>
      <c r="W439" s="882">
        <f t="shared" si="27"/>
        <v>0</v>
      </c>
    </row>
    <row r="440" spans="1:23" ht="27" hidden="1" customHeight="1">
      <c r="A440" s="583">
        <v>601</v>
      </c>
      <c r="B440" s="581">
        <v>6</v>
      </c>
      <c r="C440" s="583" t="s">
        <v>34</v>
      </c>
      <c r="D440" s="583" t="s">
        <v>35</v>
      </c>
      <c r="E440" s="599">
        <v>269965645408</v>
      </c>
      <c r="F440" s="599"/>
      <c r="G440" s="599"/>
      <c r="H440" s="599"/>
      <c r="I440" s="599"/>
      <c r="J440" s="599"/>
      <c r="K440" s="599"/>
      <c r="L440" s="599"/>
      <c r="M440" s="599">
        <v>0</v>
      </c>
      <c r="N440" s="592"/>
      <c r="O440" s="592"/>
      <c r="P440" s="882">
        <f t="shared" si="25"/>
        <v>269965645408</v>
      </c>
      <c r="Q440" s="599">
        <v>76123330006</v>
      </c>
      <c r="R440" s="882">
        <f t="shared" si="30"/>
        <v>269966</v>
      </c>
      <c r="S440" s="599">
        <f t="shared" si="30"/>
        <v>76123</v>
      </c>
      <c r="T440" s="620"/>
      <c r="U440" s="621"/>
      <c r="V440" s="882">
        <f t="shared" si="28"/>
        <v>269965645408</v>
      </c>
      <c r="W440" s="882">
        <f t="shared" si="27"/>
        <v>269966</v>
      </c>
    </row>
    <row r="441" spans="1:23" ht="27" hidden="1" customHeight="1">
      <c r="A441" s="583">
        <v>301</v>
      </c>
      <c r="B441" s="581">
        <v>3</v>
      </c>
      <c r="C441" s="583" t="s">
        <v>36</v>
      </c>
      <c r="D441" s="583" t="s">
        <v>37</v>
      </c>
      <c r="E441" s="599">
        <v>115826676416</v>
      </c>
      <c r="F441" s="599">
        <v>-500000000</v>
      </c>
      <c r="G441" s="599">
        <v>-91555289</v>
      </c>
      <c r="H441" s="599"/>
      <c r="I441" s="599"/>
      <c r="J441" s="599"/>
      <c r="K441" s="599"/>
      <c r="L441" s="599"/>
      <c r="M441" s="599">
        <v>0</v>
      </c>
      <c r="N441" s="592"/>
      <c r="O441" s="592"/>
      <c r="P441" s="882">
        <f t="shared" si="25"/>
        <v>115235121127</v>
      </c>
      <c r="Q441" s="599">
        <v>85363605554</v>
      </c>
      <c r="R441" s="882">
        <f t="shared" si="30"/>
        <v>115235</v>
      </c>
      <c r="S441" s="599">
        <f t="shared" si="30"/>
        <v>85364</v>
      </c>
      <c r="T441" s="620"/>
      <c r="U441" s="621"/>
      <c r="V441" s="882">
        <f t="shared" si="28"/>
        <v>115235121127</v>
      </c>
      <c r="W441" s="882">
        <f t="shared" si="27"/>
        <v>115235</v>
      </c>
    </row>
    <row r="442" spans="1:23" ht="27" hidden="1" customHeight="1">
      <c r="A442" s="583">
        <v>301</v>
      </c>
      <c r="B442" s="581">
        <v>3</v>
      </c>
      <c r="C442" s="583" t="s">
        <v>38</v>
      </c>
      <c r="D442" s="583" t="s">
        <v>624</v>
      </c>
      <c r="E442" s="599">
        <v>251978800792</v>
      </c>
      <c r="F442" s="599"/>
      <c r="G442" s="599"/>
      <c r="H442" s="599"/>
      <c r="I442" s="599"/>
      <c r="J442" s="599"/>
      <c r="K442" s="599"/>
      <c r="L442" s="599"/>
      <c r="M442" s="599">
        <v>0</v>
      </c>
      <c r="N442" s="592"/>
      <c r="O442" s="592"/>
      <c r="P442" s="882">
        <f t="shared" si="25"/>
        <v>251978800792</v>
      </c>
      <c r="Q442" s="599">
        <v>172478031533</v>
      </c>
      <c r="R442" s="882">
        <f t="shared" si="30"/>
        <v>251979</v>
      </c>
      <c r="S442" s="599">
        <f t="shared" si="30"/>
        <v>172478</v>
      </c>
      <c r="T442" s="620"/>
      <c r="U442" s="621"/>
      <c r="V442" s="882">
        <f t="shared" si="28"/>
        <v>251978800792</v>
      </c>
      <c r="W442" s="882">
        <f t="shared" si="27"/>
        <v>251979</v>
      </c>
    </row>
    <row r="443" spans="1:23" ht="27" hidden="1" customHeight="1">
      <c r="A443" s="583"/>
      <c r="B443" s="581">
        <v>20</v>
      </c>
      <c r="C443" s="583" t="s">
        <v>734</v>
      </c>
      <c r="D443" s="583" t="s">
        <v>736</v>
      </c>
      <c r="E443" s="599">
        <v>11900638392216</v>
      </c>
      <c r="F443" s="599">
        <v>-292727433238</v>
      </c>
      <c r="G443" s="599">
        <v>-11607910958978</v>
      </c>
      <c r="H443" s="599">
        <v>98273609424</v>
      </c>
      <c r="I443" s="599">
        <f>1218743342-2519978</f>
        <v>1216223364</v>
      </c>
      <c r="J443" s="599">
        <f>7226036-6991818000-4633818000</f>
        <v>-11618409964</v>
      </c>
      <c r="K443" s="599">
        <v>-87871422824</v>
      </c>
      <c r="L443" s="599"/>
      <c r="M443" s="599">
        <v>-11788593605198</v>
      </c>
      <c r="N443" s="815">
        <v>0</v>
      </c>
      <c r="O443" s="815">
        <v>11788593605198</v>
      </c>
      <c r="P443" s="882">
        <f t="shared" si="25"/>
        <v>11788593605198</v>
      </c>
      <c r="Q443" s="599">
        <f>10679491693015+21246333936-6000000000+1151500000-45395772+18640419349+774487558-123826429921+4535580000-14938000000+435767382600+40630761500+27910857180+31976364206+2586000000</f>
        <v>11119901553651</v>
      </c>
      <c r="R443" s="882">
        <f t="shared" si="30"/>
        <v>11788594</v>
      </c>
      <c r="S443" s="599">
        <f t="shared" si="30"/>
        <v>11119902</v>
      </c>
      <c r="T443" s="620"/>
      <c r="U443" s="628">
        <f>P443</f>
        <v>11788593605198</v>
      </c>
      <c r="V443" s="882">
        <f t="shared" si="28"/>
        <v>0</v>
      </c>
      <c r="W443" s="882">
        <f t="shared" si="27"/>
        <v>0</v>
      </c>
    </row>
    <row r="444" spans="1:23" ht="27" hidden="1" customHeight="1">
      <c r="A444" s="583"/>
      <c r="B444" s="581">
        <v>20</v>
      </c>
      <c r="C444" s="583" t="s">
        <v>735</v>
      </c>
      <c r="D444" s="583" t="s">
        <v>904</v>
      </c>
      <c r="E444" s="599">
        <v>-11458574100</v>
      </c>
      <c r="F444" s="599">
        <v>-27438272756</v>
      </c>
      <c r="G444" s="599">
        <v>38896846856</v>
      </c>
      <c r="H444" s="599">
        <v>-7001137</v>
      </c>
      <c r="I444" s="599"/>
      <c r="J444" s="599"/>
      <c r="K444" s="599">
        <v>7001137</v>
      </c>
      <c r="L444" s="599"/>
      <c r="M444" s="599">
        <v>63778021084</v>
      </c>
      <c r="N444" s="592">
        <v>63778021084</v>
      </c>
      <c r="O444" s="592">
        <v>0</v>
      </c>
      <c r="P444" s="882">
        <f t="shared" si="25"/>
        <v>-63778021084</v>
      </c>
      <c r="Q444" s="599"/>
      <c r="R444" s="882">
        <f t="shared" si="30"/>
        <v>-63778</v>
      </c>
      <c r="S444" s="599">
        <f t="shared" si="30"/>
        <v>0</v>
      </c>
      <c r="T444" s="620">
        <f>-P444</f>
        <v>63778021084</v>
      </c>
      <c r="U444" s="628"/>
      <c r="V444" s="882">
        <f t="shared" si="28"/>
        <v>0</v>
      </c>
      <c r="W444" s="882">
        <f t="shared" si="27"/>
        <v>0</v>
      </c>
    </row>
    <row r="445" spans="1:23" ht="27" hidden="1" customHeight="1">
      <c r="A445" s="583"/>
      <c r="B445" s="581">
        <v>20</v>
      </c>
      <c r="C445" s="583" t="s">
        <v>906</v>
      </c>
      <c r="D445" s="583" t="s">
        <v>905</v>
      </c>
      <c r="E445" s="599">
        <v>-30907149669</v>
      </c>
      <c r="F445" s="599">
        <v>1943437</v>
      </c>
      <c r="G445" s="599">
        <v>30905206232</v>
      </c>
      <c r="H445" s="599"/>
      <c r="I445" s="599"/>
      <c r="J445" s="599"/>
      <c r="K445" s="599"/>
      <c r="L445" s="599"/>
      <c r="M445" s="599">
        <v>31635326232</v>
      </c>
      <c r="N445" s="592">
        <v>31635326232</v>
      </c>
      <c r="O445" s="592">
        <v>0</v>
      </c>
      <c r="P445" s="882">
        <f t="shared" si="25"/>
        <v>-31635326232</v>
      </c>
      <c r="Q445" s="599">
        <v>-36987142262</v>
      </c>
      <c r="R445" s="882">
        <f t="shared" si="30"/>
        <v>-31635</v>
      </c>
      <c r="S445" s="599">
        <f t="shared" si="30"/>
        <v>-36987</v>
      </c>
      <c r="T445" s="620">
        <f>-P445</f>
        <v>31635326232</v>
      </c>
      <c r="U445" s="628"/>
      <c r="V445" s="882">
        <f t="shared" si="28"/>
        <v>0</v>
      </c>
      <c r="W445" s="882">
        <f t="shared" si="27"/>
        <v>0</v>
      </c>
    </row>
    <row r="446" spans="1:23" ht="27" hidden="1" customHeight="1">
      <c r="A446" s="583">
        <v>10010101</v>
      </c>
      <c r="B446" s="581">
        <v>10</v>
      </c>
      <c r="C446" s="583" t="s">
        <v>608</v>
      </c>
      <c r="D446" s="583" t="s">
        <v>609</v>
      </c>
      <c r="E446" s="599">
        <v>-2343123626251</v>
      </c>
      <c r="F446" s="599">
        <v>-202834861740</v>
      </c>
      <c r="G446" s="599">
        <v>204494676922</v>
      </c>
      <c r="H446" s="599">
        <v>-2213170939462</v>
      </c>
      <c r="I446" s="599">
        <f>-14681392797+14681392797</f>
        <v>0</v>
      </c>
      <c r="J446" s="599">
        <v>527267017439</v>
      </c>
      <c r="K446" s="599"/>
      <c r="L446" s="599"/>
      <c r="M446" s="599">
        <v>0</v>
      </c>
      <c r="N446" s="592"/>
      <c r="O446" s="592"/>
      <c r="P446" s="882">
        <f>E446+F446+G446-N446+O446+H446+I446+J446+K446+M446</f>
        <v>-4027367733092</v>
      </c>
      <c r="Q446" s="599">
        <f>-2080482021537+12013021886-1151500000-774487558+123826429921+6461567558-4535580000+14938000000-21246333936+321331009-93773250212</f>
        <v>-2044402822869</v>
      </c>
      <c r="R446" s="882">
        <f t="shared" si="30"/>
        <v>-4027368</v>
      </c>
      <c r="S446" s="599">
        <f t="shared" si="30"/>
        <v>-2044403</v>
      </c>
      <c r="T446" s="620"/>
      <c r="U446" s="621"/>
      <c r="V446" s="882">
        <f t="shared" si="28"/>
        <v>-4027367733092</v>
      </c>
      <c r="W446" s="882">
        <f t="shared" si="27"/>
        <v>-4027368</v>
      </c>
    </row>
    <row r="447" spans="1:23" ht="27" hidden="1" customHeight="1">
      <c r="A447" s="583"/>
      <c r="B447" s="581">
        <v>20</v>
      </c>
      <c r="C447" s="583" t="s">
        <v>738</v>
      </c>
      <c r="D447" s="583" t="s">
        <v>737</v>
      </c>
      <c r="E447" s="599">
        <v>-82828919904</v>
      </c>
      <c r="F447" s="599"/>
      <c r="G447" s="599">
        <v>82828919904</v>
      </c>
      <c r="H447" s="599"/>
      <c r="I447" s="599"/>
      <c r="J447" s="599"/>
      <c r="K447" s="599"/>
      <c r="L447" s="599"/>
      <c r="M447" s="599">
        <v>82828919904</v>
      </c>
      <c r="N447" s="592">
        <v>82828919904</v>
      </c>
      <c r="O447" s="592">
        <v>0</v>
      </c>
      <c r="P447" s="882">
        <f t="shared" ref="P447:P478" si="31">E447+F447+G447-N447+O447+H447+I447+J447+K447+L447</f>
        <v>-82828919904</v>
      </c>
      <c r="Q447" s="599">
        <v>-218560357639</v>
      </c>
      <c r="R447" s="882">
        <f t="shared" si="30"/>
        <v>-82829</v>
      </c>
      <c r="S447" s="599">
        <f t="shared" si="30"/>
        <v>-218560</v>
      </c>
      <c r="T447" s="620">
        <f>-P447</f>
        <v>82828919904</v>
      </c>
      <c r="U447" s="628"/>
      <c r="V447" s="882">
        <f t="shared" si="28"/>
        <v>0</v>
      </c>
      <c r="W447" s="882">
        <f t="shared" si="27"/>
        <v>0</v>
      </c>
    </row>
    <row r="448" spans="1:23" ht="27" hidden="1" customHeight="1">
      <c r="A448" s="583"/>
      <c r="B448" s="581">
        <v>20</v>
      </c>
      <c r="C448" s="583" t="s">
        <v>907</v>
      </c>
      <c r="D448" s="583" t="s">
        <v>908</v>
      </c>
      <c r="E448" s="599">
        <v>-5658337367148</v>
      </c>
      <c r="F448" s="599"/>
      <c r="G448" s="599">
        <v>5658337367148</v>
      </c>
      <c r="H448" s="599"/>
      <c r="I448" s="599"/>
      <c r="J448" s="599"/>
      <c r="K448" s="599"/>
      <c r="L448" s="599"/>
      <c r="M448" s="599">
        <v>5670873284148</v>
      </c>
      <c r="N448" s="592">
        <v>5670873284148</v>
      </c>
      <c r="O448" s="592">
        <v>0</v>
      </c>
      <c r="P448" s="882">
        <f t="shared" si="31"/>
        <v>-5670873284148</v>
      </c>
      <c r="Q448" s="599">
        <v>-5569006456095</v>
      </c>
      <c r="R448" s="882">
        <f t="shared" si="30"/>
        <v>-5670873</v>
      </c>
      <c r="S448" s="599">
        <f t="shared" si="30"/>
        <v>-5569006</v>
      </c>
      <c r="T448" s="620">
        <f>-P448</f>
        <v>5670873284148</v>
      </c>
      <c r="U448" s="628"/>
      <c r="V448" s="882">
        <f t="shared" si="28"/>
        <v>0</v>
      </c>
      <c r="W448" s="882">
        <f t="shared" si="27"/>
        <v>0</v>
      </c>
    </row>
    <row r="449" spans="1:23" ht="27" hidden="1" customHeight="1">
      <c r="A449" s="583"/>
      <c r="B449" s="581">
        <v>20</v>
      </c>
      <c r="C449" s="583" t="s">
        <v>909</v>
      </c>
      <c r="D449" s="583" t="s">
        <v>910</v>
      </c>
      <c r="E449" s="599">
        <v>-6061648448495</v>
      </c>
      <c r="F449" s="599">
        <v>48687904277</v>
      </c>
      <c r="G449" s="599">
        <v>6012960544218</v>
      </c>
      <c r="H449" s="599">
        <v>27548962220</v>
      </c>
      <c r="I449" s="599"/>
      <c r="J449" s="599"/>
      <c r="K449" s="599">
        <v>-27548962220</v>
      </c>
      <c r="L449" s="599"/>
      <c r="M449" s="599">
        <v>5976029438633</v>
      </c>
      <c r="N449" s="592">
        <v>5976029438633</v>
      </c>
      <c r="O449" s="592">
        <v>0</v>
      </c>
      <c r="P449" s="882">
        <f t="shared" si="31"/>
        <v>-5976029438633</v>
      </c>
      <c r="Q449" s="599">
        <f>-5166927158400-201732683645-3447954870</f>
        <v>-5372107796915</v>
      </c>
      <c r="R449" s="882">
        <f t="shared" si="30"/>
        <v>-5976029</v>
      </c>
      <c r="S449" s="599">
        <f t="shared" si="30"/>
        <v>-5372108</v>
      </c>
      <c r="T449" s="620">
        <f>-P449</f>
        <v>5976029438633</v>
      </c>
      <c r="U449" s="628"/>
      <c r="V449" s="882">
        <f t="shared" si="28"/>
        <v>0</v>
      </c>
      <c r="W449" s="882">
        <f t="shared" si="27"/>
        <v>0</v>
      </c>
    </row>
    <row r="450" spans="1:23" ht="27" hidden="1" customHeight="1">
      <c r="A450" s="610"/>
      <c r="B450" s="588">
        <v>20</v>
      </c>
      <c r="C450" s="589" t="s">
        <v>739</v>
      </c>
      <c r="D450" s="589" t="s">
        <v>911</v>
      </c>
      <c r="E450" s="604"/>
      <c r="F450" s="604"/>
      <c r="G450" s="607"/>
      <c r="H450" s="607"/>
      <c r="I450" s="607"/>
      <c r="J450" s="607"/>
      <c r="K450" s="607"/>
      <c r="L450" s="607"/>
      <c r="M450" s="607">
        <v>0</v>
      </c>
      <c r="N450" s="595"/>
      <c r="O450" s="595">
        <v>0</v>
      </c>
      <c r="P450" s="882">
        <f t="shared" si="31"/>
        <v>0</v>
      </c>
      <c r="Q450" s="604">
        <v>-588669356</v>
      </c>
      <c r="R450" s="882">
        <f t="shared" si="30"/>
        <v>0</v>
      </c>
      <c r="S450" s="604">
        <f t="shared" si="30"/>
        <v>-589</v>
      </c>
      <c r="T450" s="629"/>
      <c r="U450" s="630">
        <f>-P450</f>
        <v>0</v>
      </c>
      <c r="V450" s="882">
        <f t="shared" si="28"/>
        <v>0</v>
      </c>
      <c r="W450" s="882">
        <f t="shared" si="27"/>
        <v>0</v>
      </c>
    </row>
    <row r="451" spans="1:23" ht="27" hidden="1" customHeight="1">
      <c r="A451" s="583">
        <v>1001</v>
      </c>
      <c r="B451" s="581">
        <v>10</v>
      </c>
      <c r="C451" s="583" t="s">
        <v>586</v>
      </c>
      <c r="D451" s="583" t="s">
        <v>587</v>
      </c>
      <c r="E451" s="599">
        <v>-1781457351</v>
      </c>
      <c r="F451" s="599"/>
      <c r="G451" s="599">
        <v>173531577</v>
      </c>
      <c r="H451" s="599">
        <v>-290000</v>
      </c>
      <c r="I451" s="599"/>
      <c r="J451" s="599"/>
      <c r="K451" s="599"/>
      <c r="L451" s="599"/>
      <c r="M451" s="599">
        <v>0</v>
      </c>
      <c r="N451" s="592"/>
      <c r="O451" s="592"/>
      <c r="P451" s="882">
        <f t="shared" si="31"/>
        <v>-1608215774</v>
      </c>
      <c r="Q451" s="599">
        <v>14483663</v>
      </c>
      <c r="R451" s="882">
        <f t="shared" si="30"/>
        <v>-1608</v>
      </c>
      <c r="S451" s="599">
        <f t="shared" si="30"/>
        <v>14</v>
      </c>
      <c r="T451" s="620"/>
      <c r="U451" s="621"/>
      <c r="V451" s="882">
        <f t="shared" si="28"/>
        <v>-1608215774</v>
      </c>
      <c r="W451" s="882">
        <f t="shared" si="27"/>
        <v>-1608</v>
      </c>
    </row>
    <row r="452" spans="1:23" ht="27" hidden="1" customHeight="1">
      <c r="A452" s="583">
        <v>1011</v>
      </c>
      <c r="B452" s="581">
        <v>10</v>
      </c>
      <c r="C452" s="583" t="s">
        <v>588</v>
      </c>
      <c r="D452" s="583" t="s">
        <v>468</v>
      </c>
      <c r="E452" s="599">
        <v>-5064396358</v>
      </c>
      <c r="F452" s="599"/>
      <c r="G452" s="599"/>
      <c r="H452" s="599"/>
      <c r="I452" s="599"/>
      <c r="J452" s="599"/>
      <c r="K452" s="599"/>
      <c r="L452" s="599"/>
      <c r="M452" s="599">
        <v>0</v>
      </c>
      <c r="N452" s="592"/>
      <c r="O452" s="592"/>
      <c r="P452" s="882">
        <f t="shared" si="31"/>
        <v>-5064396358</v>
      </c>
      <c r="Q452" s="599">
        <v>-4978596358</v>
      </c>
      <c r="R452" s="882">
        <f t="shared" si="30"/>
        <v>-5064</v>
      </c>
      <c r="S452" s="599">
        <f t="shared" si="30"/>
        <v>-4979</v>
      </c>
      <c r="T452" s="620"/>
      <c r="U452" s="621"/>
      <c r="V452" s="882">
        <f t="shared" si="28"/>
        <v>-5064396358</v>
      </c>
      <c r="W452" s="882">
        <f t="shared" ref="W452:W478" si="32">ROUND((V452/1000000),0)</f>
        <v>-5064</v>
      </c>
    </row>
    <row r="453" spans="1:23" ht="27" hidden="1" customHeight="1">
      <c r="A453" s="583"/>
      <c r="B453" s="581">
        <v>20</v>
      </c>
      <c r="C453" s="583" t="s">
        <v>748</v>
      </c>
      <c r="D453" s="583" t="s">
        <v>747</v>
      </c>
      <c r="E453" s="599">
        <v>-41752700171</v>
      </c>
      <c r="F453" s="599">
        <v>63977830</v>
      </c>
      <c r="G453" s="599">
        <v>41688722341</v>
      </c>
      <c r="H453" s="599">
        <v>-1423212000</v>
      </c>
      <c r="I453" s="599"/>
      <c r="J453" s="599"/>
      <c r="K453" s="599">
        <v>1423212000</v>
      </c>
      <c r="L453" s="599"/>
      <c r="M453" s="599">
        <v>43111934341</v>
      </c>
      <c r="N453" s="592">
        <v>43111934341</v>
      </c>
      <c r="O453" s="592">
        <v>0</v>
      </c>
      <c r="P453" s="882">
        <f t="shared" si="31"/>
        <v>-43111934341</v>
      </c>
      <c r="Q453" s="599">
        <v>-37467710573</v>
      </c>
      <c r="R453" s="882">
        <f t="shared" si="30"/>
        <v>-43112</v>
      </c>
      <c r="S453" s="599">
        <f t="shared" si="30"/>
        <v>-37468</v>
      </c>
      <c r="T453" s="620">
        <f>-P453</f>
        <v>43111934341</v>
      </c>
      <c r="U453" s="628"/>
      <c r="V453" s="882">
        <f t="shared" si="28"/>
        <v>0</v>
      </c>
      <c r="W453" s="882">
        <f t="shared" si="32"/>
        <v>0</v>
      </c>
    </row>
    <row r="454" spans="1:23" ht="27" hidden="1" customHeight="1">
      <c r="A454" s="583"/>
      <c r="B454" s="581">
        <v>20</v>
      </c>
      <c r="C454" s="583" t="s">
        <v>853</v>
      </c>
      <c r="D454" s="583" t="s">
        <v>1041</v>
      </c>
      <c r="E454" s="599"/>
      <c r="F454" s="599"/>
      <c r="G454" s="599"/>
      <c r="H454" s="599"/>
      <c r="I454" s="599"/>
      <c r="J454" s="599"/>
      <c r="K454" s="599"/>
      <c r="L454" s="599"/>
      <c r="M454" s="599"/>
      <c r="N454" s="592">
        <v>4005074515</v>
      </c>
      <c r="O454" s="592">
        <v>16020298060</v>
      </c>
      <c r="P454" s="882">
        <f t="shared" si="31"/>
        <v>12015223545</v>
      </c>
      <c r="Q454" s="599"/>
      <c r="R454" s="882">
        <f t="shared" si="30"/>
        <v>12015</v>
      </c>
      <c r="S454" s="599">
        <f t="shared" si="30"/>
        <v>0</v>
      </c>
      <c r="T454" s="620">
        <f>U454*0.25</f>
        <v>4005074515</v>
      </c>
      <c r="U454" s="620">
        <f>T453+T449+T448+T447+T445-U443+T395</f>
        <v>16020298060</v>
      </c>
      <c r="V454" s="882">
        <f t="shared" si="28"/>
        <v>0</v>
      </c>
      <c r="W454" s="882">
        <f t="shared" si="32"/>
        <v>0</v>
      </c>
    </row>
    <row r="455" spans="1:23" ht="27" hidden="1" customHeight="1">
      <c r="A455" s="583"/>
      <c r="B455" s="581">
        <v>21</v>
      </c>
      <c r="C455" s="583" t="s">
        <v>853</v>
      </c>
      <c r="D455" s="583" t="s">
        <v>1041</v>
      </c>
      <c r="E455" s="599"/>
      <c r="F455" s="599"/>
      <c r="G455" s="599"/>
      <c r="H455" s="599"/>
      <c r="I455" s="599"/>
      <c r="J455" s="599"/>
      <c r="K455" s="599"/>
      <c r="L455" s="599"/>
      <c r="M455" s="599"/>
      <c r="N455" s="592">
        <v>12015223545</v>
      </c>
      <c r="O455" s="592"/>
      <c r="P455" s="882">
        <f t="shared" si="31"/>
        <v>-12015223545</v>
      </c>
      <c r="Q455" s="599"/>
      <c r="R455" s="882">
        <f t="shared" si="30"/>
        <v>-12015</v>
      </c>
      <c r="S455" s="599">
        <f t="shared" si="30"/>
        <v>0</v>
      </c>
      <c r="T455" s="620">
        <f>U454*0.75</f>
        <v>12015223545</v>
      </c>
      <c r="U455" s="620"/>
      <c r="V455" s="882">
        <f t="shared" si="28"/>
        <v>0</v>
      </c>
      <c r="W455" s="882">
        <f t="shared" si="32"/>
        <v>0</v>
      </c>
    </row>
    <row r="456" spans="1:23" ht="27" customHeight="1">
      <c r="A456" s="583"/>
      <c r="B456" s="581">
        <v>20</v>
      </c>
      <c r="C456" s="583" t="s">
        <v>613</v>
      </c>
      <c r="D456" s="583" t="s">
        <v>614</v>
      </c>
      <c r="E456" s="599">
        <v>2217949537543</v>
      </c>
      <c r="F456" s="599"/>
      <c r="G456" s="599">
        <v>-96275387723</v>
      </c>
      <c r="H456" s="599"/>
      <c r="I456" s="599"/>
      <c r="J456" s="599"/>
      <c r="K456" s="599">
        <v>28492292124</v>
      </c>
      <c r="L456" s="599"/>
      <c r="M456" s="599">
        <v>-67783095599</v>
      </c>
      <c r="N456" s="592">
        <v>8010149030</v>
      </c>
      <c r="O456" s="592">
        <v>75793244629</v>
      </c>
      <c r="P456" s="882">
        <f t="shared" si="31"/>
        <v>2217949537543</v>
      </c>
      <c r="Q456" s="599">
        <f>2281419561032+146346000000+116188000000-34123000000-228640000000-24339000000+75910000000</f>
        <v>2332761561032</v>
      </c>
      <c r="R456" s="882">
        <f t="shared" si="30"/>
        <v>2217950</v>
      </c>
      <c r="S456" s="599">
        <f t="shared" si="30"/>
        <v>2332762</v>
      </c>
      <c r="T456" s="620">
        <f>U454*0.5</f>
        <v>8010149030</v>
      </c>
      <c r="U456" s="628">
        <f>T444+T455</f>
        <v>75793244629</v>
      </c>
      <c r="V456" s="882">
        <f t="shared" si="28"/>
        <v>2150166441944</v>
      </c>
      <c r="W456" s="882">
        <f t="shared" si="32"/>
        <v>2150166</v>
      </c>
    </row>
    <row r="457" spans="1:23" ht="27" hidden="1" customHeight="1">
      <c r="A457" s="583"/>
      <c r="B457" s="581">
        <v>4</v>
      </c>
      <c r="C457" s="583" t="s">
        <v>1260</v>
      </c>
      <c r="D457" s="583" t="s">
        <v>1030</v>
      </c>
      <c r="E457" s="599"/>
      <c r="F457" s="599"/>
      <c r="G457" s="599"/>
      <c r="H457" s="599"/>
      <c r="I457" s="599"/>
      <c r="J457" s="599"/>
      <c r="K457" s="599"/>
      <c r="L457" s="599"/>
      <c r="M457" s="599">
        <v>0</v>
      </c>
      <c r="N457" s="592"/>
      <c r="O457" s="592"/>
      <c r="P457" s="882">
        <f t="shared" si="31"/>
        <v>0</v>
      </c>
      <c r="Q457" s="599"/>
      <c r="R457" s="882">
        <f t="shared" si="30"/>
        <v>0</v>
      </c>
      <c r="S457" s="599">
        <f t="shared" si="30"/>
        <v>0</v>
      </c>
      <c r="T457" s="620"/>
      <c r="U457" s="621"/>
      <c r="V457" s="882">
        <f t="shared" si="28"/>
        <v>0</v>
      </c>
      <c r="W457" s="882">
        <f t="shared" si="32"/>
        <v>0</v>
      </c>
    </row>
    <row r="458" spans="1:23" ht="27" hidden="1" customHeight="1">
      <c r="A458" s="583">
        <v>406</v>
      </c>
      <c r="B458" s="581">
        <v>4</v>
      </c>
      <c r="C458" s="583" t="s">
        <v>1158</v>
      </c>
      <c r="D458" s="583" t="s">
        <v>957</v>
      </c>
      <c r="E458" s="599">
        <v>1091133664</v>
      </c>
      <c r="F458" s="599">
        <v>-1091133664</v>
      </c>
      <c r="G458" s="599"/>
      <c r="H458" s="599"/>
      <c r="I458" s="599"/>
      <c r="J458" s="599"/>
      <c r="K458" s="599"/>
      <c r="L458" s="599"/>
      <c r="M458" s="599">
        <v>0</v>
      </c>
      <c r="N458" s="592"/>
      <c r="O458" s="592"/>
      <c r="P458" s="882">
        <f t="shared" si="31"/>
        <v>0</v>
      </c>
      <c r="Q458" s="599"/>
      <c r="R458" s="882">
        <f t="shared" si="30"/>
        <v>0</v>
      </c>
      <c r="S458" s="599">
        <f t="shared" si="30"/>
        <v>0</v>
      </c>
      <c r="T458" s="620"/>
      <c r="U458" s="621"/>
      <c r="V458" s="882">
        <f t="shared" si="28"/>
        <v>0</v>
      </c>
      <c r="W458" s="882">
        <f t="shared" si="32"/>
        <v>0</v>
      </c>
    </row>
    <row r="459" spans="1:23" ht="27" hidden="1" customHeight="1">
      <c r="A459" s="583"/>
      <c r="B459" s="581">
        <v>4</v>
      </c>
      <c r="C459" s="583" t="s">
        <v>1004</v>
      </c>
      <c r="D459" s="583" t="s">
        <v>1261</v>
      </c>
      <c r="E459" s="599"/>
      <c r="F459" s="599"/>
      <c r="G459" s="599"/>
      <c r="H459" s="599"/>
      <c r="I459" s="599"/>
      <c r="J459" s="599"/>
      <c r="K459" s="599"/>
      <c r="L459" s="599"/>
      <c r="M459" s="599">
        <v>0</v>
      </c>
      <c r="N459" s="592"/>
      <c r="O459" s="592"/>
      <c r="P459" s="882">
        <f t="shared" si="31"/>
        <v>0</v>
      </c>
      <c r="Q459" s="599">
        <v>0</v>
      </c>
      <c r="R459" s="882">
        <f t="shared" si="30"/>
        <v>0</v>
      </c>
      <c r="S459" s="599">
        <f t="shared" si="30"/>
        <v>0</v>
      </c>
      <c r="T459" s="620"/>
      <c r="U459" s="621"/>
      <c r="V459" s="882">
        <f t="shared" si="28"/>
        <v>0</v>
      </c>
      <c r="W459" s="882">
        <f t="shared" si="32"/>
        <v>0</v>
      </c>
    </row>
    <row r="460" spans="1:23" ht="27" hidden="1" customHeight="1">
      <c r="A460" s="583"/>
      <c r="B460" s="581">
        <v>4</v>
      </c>
      <c r="C460" s="583" t="s">
        <v>1262</v>
      </c>
      <c r="D460" s="583" t="s">
        <v>1263</v>
      </c>
      <c r="E460" s="599"/>
      <c r="F460" s="599"/>
      <c r="G460" s="599"/>
      <c r="H460" s="599"/>
      <c r="I460" s="599"/>
      <c r="J460" s="599"/>
      <c r="K460" s="599"/>
      <c r="L460" s="599"/>
      <c r="M460" s="599">
        <v>0</v>
      </c>
      <c r="N460" s="592"/>
      <c r="O460" s="592"/>
      <c r="P460" s="882">
        <f t="shared" si="31"/>
        <v>0</v>
      </c>
      <c r="Q460" s="599"/>
      <c r="R460" s="882">
        <f t="shared" si="30"/>
        <v>0</v>
      </c>
      <c r="S460" s="599">
        <f t="shared" si="30"/>
        <v>0</v>
      </c>
      <c r="T460" s="620"/>
      <c r="U460" s="621"/>
      <c r="V460" s="882">
        <f t="shared" ref="V460:V478" si="33">P460-U460+T460</f>
        <v>0</v>
      </c>
      <c r="W460" s="882">
        <f t="shared" si="32"/>
        <v>0</v>
      </c>
    </row>
    <row r="461" spans="1:23" ht="27" hidden="1" customHeight="1">
      <c r="A461" s="583">
        <v>10040</v>
      </c>
      <c r="B461" s="581">
        <v>10</v>
      </c>
      <c r="C461" s="583" t="s">
        <v>615</v>
      </c>
      <c r="D461" s="583" t="s">
        <v>616</v>
      </c>
      <c r="E461" s="599">
        <v>-473188</v>
      </c>
      <c r="F461" s="599"/>
      <c r="G461" s="599"/>
      <c r="H461" s="599"/>
      <c r="I461" s="599"/>
      <c r="J461" s="599"/>
      <c r="K461" s="599"/>
      <c r="L461" s="599"/>
      <c r="M461" s="599">
        <v>0</v>
      </c>
      <c r="N461" s="592"/>
      <c r="O461" s="592"/>
      <c r="P461" s="882">
        <f t="shared" si="31"/>
        <v>-473188</v>
      </c>
      <c r="Q461" s="599">
        <v>-473188</v>
      </c>
      <c r="R461" s="882">
        <f t="shared" si="30"/>
        <v>0</v>
      </c>
      <c r="S461" s="599">
        <f t="shared" si="30"/>
        <v>0</v>
      </c>
      <c r="T461" s="620"/>
      <c r="U461" s="621"/>
      <c r="V461" s="882">
        <f t="shared" si="33"/>
        <v>-473188</v>
      </c>
      <c r="W461" s="882">
        <f t="shared" si="32"/>
        <v>0</v>
      </c>
    </row>
    <row r="462" spans="1:23" ht="27" hidden="1" customHeight="1">
      <c r="A462" s="583"/>
      <c r="B462" s="581">
        <v>19</v>
      </c>
      <c r="C462" s="583" t="s">
        <v>617</v>
      </c>
      <c r="D462" s="583" t="s">
        <v>618</v>
      </c>
      <c r="E462" s="599">
        <v>1325074394539</v>
      </c>
      <c r="F462" s="599">
        <v>-1666200000</v>
      </c>
      <c r="G462" s="599"/>
      <c r="H462" s="599"/>
      <c r="I462" s="599"/>
      <c r="J462" s="599">
        <v>10000000</v>
      </c>
      <c r="K462" s="599"/>
      <c r="L462" s="599"/>
      <c r="M462" s="599">
        <v>0</v>
      </c>
      <c r="N462" s="592"/>
      <c r="O462" s="592"/>
      <c r="P462" s="882">
        <f t="shared" si="31"/>
        <v>1323418194539</v>
      </c>
      <c r="Q462" s="599">
        <v>3562314434167</v>
      </c>
      <c r="R462" s="882">
        <f t="shared" si="30"/>
        <v>1323418</v>
      </c>
      <c r="S462" s="599">
        <f t="shared" si="30"/>
        <v>3562314</v>
      </c>
      <c r="T462" s="620"/>
      <c r="U462" s="621"/>
      <c r="V462" s="882">
        <f t="shared" si="33"/>
        <v>1323418194539</v>
      </c>
      <c r="W462" s="882">
        <f t="shared" si="32"/>
        <v>1323418</v>
      </c>
    </row>
    <row r="463" spans="1:23" ht="27" hidden="1" customHeight="1">
      <c r="A463" s="583"/>
      <c r="B463" s="581">
        <v>19</v>
      </c>
      <c r="C463" s="583" t="s">
        <v>1204</v>
      </c>
      <c r="D463" s="583" t="s">
        <v>1205</v>
      </c>
      <c r="E463" s="599"/>
      <c r="F463" s="599"/>
      <c r="G463" s="599"/>
      <c r="H463" s="599"/>
      <c r="I463" s="599"/>
      <c r="J463" s="599">
        <v>-10000000</v>
      </c>
      <c r="K463" s="599"/>
      <c r="L463" s="599"/>
      <c r="M463" s="599">
        <v>0</v>
      </c>
      <c r="N463" s="592"/>
      <c r="O463" s="592"/>
      <c r="P463" s="882">
        <f t="shared" si="31"/>
        <v>-10000000</v>
      </c>
      <c r="Q463" s="599">
        <v>363696094523</v>
      </c>
      <c r="R463" s="882">
        <f t="shared" si="30"/>
        <v>-10</v>
      </c>
      <c r="S463" s="599">
        <f t="shared" si="30"/>
        <v>363696</v>
      </c>
      <c r="T463" s="620"/>
      <c r="U463" s="621"/>
      <c r="V463" s="882">
        <f t="shared" si="33"/>
        <v>-10000000</v>
      </c>
      <c r="W463" s="882">
        <f t="shared" si="32"/>
        <v>-10</v>
      </c>
    </row>
    <row r="464" spans="1:23" ht="27" hidden="1" customHeight="1">
      <c r="A464" s="583"/>
      <c r="B464" s="581">
        <v>19</v>
      </c>
      <c r="C464" s="583" t="s">
        <v>619</v>
      </c>
      <c r="D464" s="583" t="s">
        <v>620</v>
      </c>
      <c r="E464" s="599">
        <v>-1325074394539</v>
      </c>
      <c r="F464" s="599">
        <v>1666200000</v>
      </c>
      <c r="G464" s="599"/>
      <c r="H464" s="599"/>
      <c r="I464" s="599"/>
      <c r="J464" s="599"/>
      <c r="K464" s="599"/>
      <c r="L464" s="599"/>
      <c r="M464" s="599">
        <v>0</v>
      </c>
      <c r="N464" s="592"/>
      <c r="O464" s="592"/>
      <c r="P464" s="882">
        <f t="shared" si="31"/>
        <v>-1323408194539</v>
      </c>
      <c r="Q464" s="599">
        <v>-3562314434167</v>
      </c>
      <c r="R464" s="882">
        <f t="shared" si="30"/>
        <v>-1323408</v>
      </c>
      <c r="S464" s="599">
        <f t="shared" si="30"/>
        <v>-3562314</v>
      </c>
      <c r="T464" s="620"/>
      <c r="U464" s="621"/>
      <c r="V464" s="882">
        <f t="shared" si="33"/>
        <v>-1323408194539</v>
      </c>
      <c r="W464" s="882">
        <f t="shared" si="32"/>
        <v>-1323408</v>
      </c>
    </row>
    <row r="465" spans="1:23" ht="27" hidden="1" customHeight="1">
      <c r="A465" s="583"/>
      <c r="B465" s="581">
        <v>19</v>
      </c>
      <c r="C465" s="583" t="s">
        <v>1206</v>
      </c>
      <c r="D465" s="583" t="s">
        <v>1207</v>
      </c>
      <c r="E465" s="599"/>
      <c r="F465" s="599"/>
      <c r="G465" s="599"/>
      <c r="H465" s="599"/>
      <c r="I465" s="599"/>
      <c r="J465" s="599"/>
      <c r="K465" s="599"/>
      <c r="L465" s="599"/>
      <c r="M465" s="599">
        <v>0</v>
      </c>
      <c r="N465" s="592"/>
      <c r="O465" s="592"/>
      <c r="P465" s="882">
        <f t="shared" si="31"/>
        <v>0</v>
      </c>
      <c r="Q465" s="599">
        <v>-363696094523</v>
      </c>
      <c r="R465" s="882">
        <f t="shared" si="30"/>
        <v>0</v>
      </c>
      <c r="S465" s="599">
        <f t="shared" si="30"/>
        <v>-363696</v>
      </c>
      <c r="T465" s="620"/>
      <c r="U465" s="621"/>
      <c r="V465" s="882">
        <f t="shared" si="33"/>
        <v>0</v>
      </c>
      <c r="W465" s="882">
        <f t="shared" si="32"/>
        <v>0</v>
      </c>
    </row>
    <row r="466" spans="1:23" ht="27" hidden="1" customHeight="1">
      <c r="A466" s="583">
        <v>501</v>
      </c>
      <c r="B466" s="581">
        <v>5</v>
      </c>
      <c r="C466" s="583" t="s">
        <v>1269</v>
      </c>
      <c r="D466" s="583" t="s">
        <v>1270</v>
      </c>
      <c r="E466" s="599">
        <v>1042687796</v>
      </c>
      <c r="F466" s="599"/>
      <c r="G466" s="599"/>
      <c r="H466" s="599"/>
      <c r="I466" s="599"/>
      <c r="J466" s="599"/>
      <c r="K466" s="599"/>
      <c r="L466" s="599"/>
      <c r="M466" s="599">
        <v>0</v>
      </c>
      <c r="N466" s="592"/>
      <c r="O466" s="592"/>
      <c r="P466" s="882">
        <f t="shared" si="31"/>
        <v>1042687796</v>
      </c>
      <c r="Q466" s="599">
        <v>0</v>
      </c>
      <c r="R466" s="882">
        <f t="shared" ref="R466:S478" si="34">ROUND((P466/1000000),0)</f>
        <v>1043</v>
      </c>
      <c r="S466" s="599">
        <f t="shared" si="34"/>
        <v>0</v>
      </c>
      <c r="T466" s="620"/>
      <c r="U466" s="621"/>
      <c r="V466" s="882">
        <f t="shared" si="33"/>
        <v>1042687796</v>
      </c>
      <c r="W466" s="882">
        <f t="shared" si="32"/>
        <v>1043</v>
      </c>
    </row>
    <row r="467" spans="1:23" ht="27" hidden="1" customHeight="1">
      <c r="A467" s="583">
        <v>506</v>
      </c>
      <c r="B467" s="581">
        <v>5</v>
      </c>
      <c r="C467" s="583" t="s">
        <v>97</v>
      </c>
      <c r="D467" s="583" t="s">
        <v>95</v>
      </c>
      <c r="E467" s="599">
        <v>-103679858706</v>
      </c>
      <c r="F467" s="599"/>
      <c r="G467" s="599"/>
      <c r="H467" s="599"/>
      <c r="I467" s="599"/>
      <c r="J467" s="599"/>
      <c r="K467" s="599"/>
      <c r="L467" s="599"/>
      <c r="M467" s="599">
        <v>0</v>
      </c>
      <c r="N467" s="592"/>
      <c r="O467" s="592"/>
      <c r="P467" s="882">
        <f t="shared" si="31"/>
        <v>-103679858706</v>
      </c>
      <c r="Q467" s="599">
        <v>9239308907</v>
      </c>
      <c r="R467" s="738">
        <f>ROUND((P467/1000000),0)</f>
        <v>-103680</v>
      </c>
      <c r="S467" s="599">
        <f t="shared" si="34"/>
        <v>9239</v>
      </c>
      <c r="T467" s="620"/>
      <c r="U467" s="621"/>
      <c r="V467" s="882">
        <f t="shared" si="33"/>
        <v>-103679858706</v>
      </c>
      <c r="W467" s="882">
        <f t="shared" si="32"/>
        <v>-103680</v>
      </c>
    </row>
    <row r="468" spans="1:23" ht="27" hidden="1" customHeight="1">
      <c r="A468" s="583">
        <v>506</v>
      </c>
      <c r="B468" s="581">
        <v>5</v>
      </c>
      <c r="C468" s="583" t="s">
        <v>471</v>
      </c>
      <c r="D468" s="583" t="s">
        <v>98</v>
      </c>
      <c r="E468" s="599">
        <v>-54076067902</v>
      </c>
      <c r="F468" s="599"/>
      <c r="G468" s="599">
        <v>2063</v>
      </c>
      <c r="H468" s="599"/>
      <c r="I468" s="599"/>
      <c r="J468" s="599"/>
      <c r="K468" s="599"/>
      <c r="L468" s="599"/>
      <c r="M468" s="599">
        <v>0</v>
      </c>
      <c r="N468" s="592"/>
      <c r="O468" s="592"/>
      <c r="P468" s="882">
        <f t="shared" si="31"/>
        <v>-54076065839</v>
      </c>
      <c r="Q468" s="599">
        <v>-35230861792</v>
      </c>
      <c r="R468" s="882">
        <f t="shared" si="34"/>
        <v>-54076</v>
      </c>
      <c r="S468" s="599">
        <f t="shared" si="34"/>
        <v>-35231</v>
      </c>
      <c r="T468" s="620"/>
      <c r="U468" s="621"/>
      <c r="V468" s="882">
        <f t="shared" si="33"/>
        <v>-54076065839</v>
      </c>
      <c r="W468" s="882">
        <f t="shared" si="32"/>
        <v>-54076</v>
      </c>
    </row>
    <row r="469" spans="1:23" ht="27" hidden="1" customHeight="1">
      <c r="A469" s="583">
        <v>506</v>
      </c>
      <c r="B469" s="581">
        <v>5</v>
      </c>
      <c r="C469" s="583" t="s">
        <v>100</v>
      </c>
      <c r="D469" s="583" t="s">
        <v>99</v>
      </c>
      <c r="E469" s="599">
        <v>-4540937004</v>
      </c>
      <c r="F469" s="599">
        <v>-269500000</v>
      </c>
      <c r="G469" s="599"/>
      <c r="H469" s="599"/>
      <c r="I469" s="599"/>
      <c r="J469" s="599"/>
      <c r="K469" s="599"/>
      <c r="L469" s="599"/>
      <c r="M469" s="599">
        <v>0</v>
      </c>
      <c r="N469" s="592"/>
      <c r="O469" s="592"/>
      <c r="P469" s="882">
        <f t="shared" si="31"/>
        <v>-4810437004</v>
      </c>
      <c r="Q469" s="599">
        <v>1973026004</v>
      </c>
      <c r="R469" s="882">
        <f t="shared" si="34"/>
        <v>-4810</v>
      </c>
      <c r="S469" s="599">
        <f t="shared" si="34"/>
        <v>1973</v>
      </c>
      <c r="T469" s="620"/>
      <c r="U469" s="621"/>
      <c r="V469" s="882">
        <f t="shared" si="33"/>
        <v>-4810437004</v>
      </c>
      <c r="W469" s="882">
        <f t="shared" si="32"/>
        <v>-4810</v>
      </c>
    </row>
    <row r="470" spans="1:23" ht="27" hidden="1" customHeight="1">
      <c r="A470" s="583">
        <v>506</v>
      </c>
      <c r="B470" s="581">
        <v>5</v>
      </c>
      <c r="C470" s="583" t="s">
        <v>1369</v>
      </c>
      <c r="D470" s="583" t="s">
        <v>1370</v>
      </c>
      <c r="E470" s="599"/>
      <c r="F470" s="599">
        <v>-1941420</v>
      </c>
      <c r="G470" s="599"/>
      <c r="H470" s="599"/>
      <c r="I470" s="599"/>
      <c r="J470" s="599"/>
      <c r="K470" s="599"/>
      <c r="L470" s="599"/>
      <c r="M470" s="599">
        <v>0</v>
      </c>
      <c r="N470" s="592"/>
      <c r="O470" s="592"/>
      <c r="P470" s="882">
        <f t="shared" si="31"/>
        <v>-1941420</v>
      </c>
      <c r="Q470" s="599"/>
      <c r="R470" s="882">
        <f t="shared" si="34"/>
        <v>-2</v>
      </c>
      <c r="S470" s="599">
        <f t="shared" si="34"/>
        <v>0</v>
      </c>
      <c r="T470" s="620"/>
      <c r="U470" s="621"/>
      <c r="V470" s="882">
        <f t="shared" si="33"/>
        <v>-1941420</v>
      </c>
      <c r="W470" s="882">
        <f t="shared" si="32"/>
        <v>-2</v>
      </c>
    </row>
    <row r="471" spans="1:23" ht="27" hidden="1" customHeight="1">
      <c r="A471" s="583">
        <v>506</v>
      </c>
      <c r="B471" s="581">
        <v>5</v>
      </c>
      <c r="C471" s="583" t="s">
        <v>593</v>
      </c>
      <c r="D471" s="583" t="s">
        <v>99</v>
      </c>
      <c r="E471" s="599">
        <v>9528154498</v>
      </c>
      <c r="F471" s="599"/>
      <c r="G471" s="599"/>
      <c r="H471" s="599"/>
      <c r="I471" s="599"/>
      <c r="J471" s="599"/>
      <c r="K471" s="599"/>
      <c r="L471" s="599"/>
      <c r="M471" s="599">
        <v>0</v>
      </c>
      <c r="N471" s="592"/>
      <c r="O471" s="592"/>
      <c r="P471" s="882">
        <f t="shared" si="31"/>
        <v>9528154498</v>
      </c>
      <c r="Q471" s="599">
        <v>8815267120</v>
      </c>
      <c r="R471" s="882">
        <f t="shared" si="34"/>
        <v>9528</v>
      </c>
      <c r="S471" s="599">
        <f t="shared" si="34"/>
        <v>8815</v>
      </c>
      <c r="T471" s="620"/>
      <c r="U471" s="621"/>
      <c r="V471" s="882">
        <f t="shared" si="33"/>
        <v>9528154498</v>
      </c>
      <c r="W471" s="882">
        <f t="shared" si="32"/>
        <v>9528</v>
      </c>
    </row>
    <row r="472" spans="1:23" ht="27" hidden="1" customHeight="1">
      <c r="A472" s="583">
        <v>506</v>
      </c>
      <c r="B472" s="581">
        <v>5</v>
      </c>
      <c r="C472" s="583" t="s">
        <v>101</v>
      </c>
      <c r="D472" s="583" t="s">
        <v>102</v>
      </c>
      <c r="E472" s="599">
        <v>31678773986</v>
      </c>
      <c r="F472" s="599"/>
      <c r="G472" s="599"/>
      <c r="H472" s="599"/>
      <c r="I472" s="599"/>
      <c r="J472" s="599"/>
      <c r="K472" s="599"/>
      <c r="L472" s="599"/>
      <c r="M472" s="599">
        <v>0</v>
      </c>
      <c r="N472" s="592"/>
      <c r="O472" s="592"/>
      <c r="P472" s="882">
        <f t="shared" si="31"/>
        <v>31678773986</v>
      </c>
      <c r="Q472" s="599">
        <v>-15616363913</v>
      </c>
      <c r="R472" s="882">
        <f t="shared" si="34"/>
        <v>31679</v>
      </c>
      <c r="S472" s="599">
        <f t="shared" si="34"/>
        <v>-15616</v>
      </c>
      <c r="T472" s="620"/>
      <c r="U472" s="621"/>
      <c r="V472" s="882">
        <f t="shared" si="33"/>
        <v>31678773986</v>
      </c>
      <c r="W472" s="882">
        <f t="shared" si="32"/>
        <v>31679</v>
      </c>
    </row>
    <row r="473" spans="1:23" ht="27" hidden="1" customHeight="1">
      <c r="A473" s="583">
        <v>506</v>
      </c>
      <c r="B473" s="581">
        <v>5</v>
      </c>
      <c r="C473" s="583" t="s">
        <v>1371</v>
      </c>
      <c r="D473" s="583" t="s">
        <v>1372</v>
      </c>
      <c r="E473" s="599"/>
      <c r="F473" s="599">
        <v>-2017</v>
      </c>
      <c r="G473" s="599"/>
      <c r="H473" s="599"/>
      <c r="I473" s="599"/>
      <c r="J473" s="599"/>
      <c r="K473" s="599"/>
      <c r="L473" s="599"/>
      <c r="M473" s="599">
        <v>0</v>
      </c>
      <c r="N473" s="592"/>
      <c r="O473" s="592"/>
      <c r="P473" s="882">
        <f t="shared" si="31"/>
        <v>-2017</v>
      </c>
      <c r="Q473" s="599"/>
      <c r="R473" s="882">
        <f t="shared" si="34"/>
        <v>0</v>
      </c>
      <c r="S473" s="599">
        <f t="shared" si="34"/>
        <v>0</v>
      </c>
      <c r="T473" s="620"/>
      <c r="U473" s="621"/>
      <c r="V473" s="882">
        <f t="shared" si="33"/>
        <v>-2017</v>
      </c>
      <c r="W473" s="882">
        <f t="shared" si="32"/>
        <v>0</v>
      </c>
    </row>
    <row r="474" spans="1:23" ht="27" hidden="1" customHeight="1">
      <c r="A474" s="583">
        <v>501</v>
      </c>
      <c r="B474" s="581">
        <v>5</v>
      </c>
      <c r="C474" s="583" t="s">
        <v>913</v>
      </c>
      <c r="D474" s="583" t="s">
        <v>1006</v>
      </c>
      <c r="E474" s="599">
        <v>-339656007</v>
      </c>
      <c r="F474" s="599"/>
      <c r="G474" s="599"/>
      <c r="H474" s="599"/>
      <c r="I474" s="599"/>
      <c r="J474" s="599"/>
      <c r="K474" s="599"/>
      <c r="L474" s="599"/>
      <c r="M474" s="599">
        <v>0</v>
      </c>
      <c r="N474" s="592"/>
      <c r="O474" s="592"/>
      <c r="P474" s="882">
        <f t="shared" si="31"/>
        <v>-339656007</v>
      </c>
      <c r="Q474" s="599">
        <v>-339241760</v>
      </c>
      <c r="R474" s="882">
        <f t="shared" si="34"/>
        <v>-340</v>
      </c>
      <c r="S474" s="599">
        <f t="shared" si="34"/>
        <v>-339</v>
      </c>
      <c r="T474" s="620"/>
      <c r="U474" s="621"/>
      <c r="V474" s="882">
        <f t="shared" si="33"/>
        <v>-339656007</v>
      </c>
      <c r="W474" s="882">
        <f t="shared" si="32"/>
        <v>-340</v>
      </c>
    </row>
    <row r="475" spans="1:23" ht="27" hidden="1" customHeight="1">
      <c r="A475" s="583"/>
      <c r="B475" s="581">
        <v>4</v>
      </c>
      <c r="C475" s="583" t="s">
        <v>1026</v>
      </c>
      <c r="D475" s="583" t="s">
        <v>1030</v>
      </c>
      <c r="E475" s="599">
        <v>1</v>
      </c>
      <c r="F475" s="599"/>
      <c r="G475" s="599"/>
      <c r="H475" s="599"/>
      <c r="I475" s="599"/>
      <c r="J475" s="599"/>
      <c r="K475" s="599"/>
      <c r="L475" s="599"/>
      <c r="M475" s="599">
        <v>0</v>
      </c>
      <c r="N475" s="592"/>
      <c r="O475" s="592"/>
      <c r="P475" s="882">
        <f t="shared" si="31"/>
        <v>1</v>
      </c>
      <c r="Q475" s="599"/>
      <c r="R475" s="882">
        <f t="shared" si="34"/>
        <v>0</v>
      </c>
      <c r="S475" s="599">
        <f t="shared" si="34"/>
        <v>0</v>
      </c>
      <c r="T475" s="620"/>
      <c r="U475" s="621"/>
      <c r="V475" s="882">
        <f t="shared" si="33"/>
        <v>1</v>
      </c>
      <c r="W475" s="882">
        <f t="shared" si="32"/>
        <v>0</v>
      </c>
    </row>
    <row r="476" spans="1:23" ht="27" hidden="1" customHeight="1">
      <c r="A476" s="583">
        <v>501</v>
      </c>
      <c r="B476" s="581">
        <v>5</v>
      </c>
      <c r="C476" s="583" t="s">
        <v>742</v>
      </c>
      <c r="D476" s="583" t="s">
        <v>743</v>
      </c>
      <c r="E476" s="599">
        <v>-3999804000</v>
      </c>
      <c r="F476" s="599"/>
      <c r="G476" s="599"/>
      <c r="H476" s="599"/>
      <c r="I476" s="599"/>
      <c r="J476" s="599"/>
      <c r="K476" s="599"/>
      <c r="L476" s="599"/>
      <c r="M476" s="599">
        <v>0</v>
      </c>
      <c r="N476" s="592"/>
      <c r="O476" s="592"/>
      <c r="P476" s="882">
        <f t="shared" si="31"/>
        <v>-3999804000</v>
      </c>
      <c r="Q476" s="599"/>
      <c r="R476" s="882">
        <f t="shared" si="34"/>
        <v>-4000</v>
      </c>
      <c r="S476" s="599">
        <f t="shared" si="34"/>
        <v>0</v>
      </c>
      <c r="T476" s="620"/>
      <c r="U476" s="621"/>
      <c r="V476" s="882">
        <f t="shared" si="33"/>
        <v>-3999804000</v>
      </c>
      <c r="W476" s="882">
        <f t="shared" si="32"/>
        <v>-4000</v>
      </c>
    </row>
    <row r="477" spans="1:23" ht="27" hidden="1" customHeight="1">
      <c r="A477" s="583"/>
      <c r="B477" s="581">
        <v>19</v>
      </c>
      <c r="C477" s="583" t="s">
        <v>621</v>
      </c>
      <c r="D477" s="583" t="s">
        <v>622</v>
      </c>
      <c r="E477" s="599">
        <v>302030917428</v>
      </c>
      <c r="F477" s="599"/>
      <c r="G477" s="599">
        <v>1065488563495</v>
      </c>
      <c r="H477" s="599"/>
      <c r="I477" s="599"/>
      <c r="J477" s="599"/>
      <c r="K477" s="599"/>
      <c r="L477" s="599"/>
      <c r="M477" s="599">
        <v>0</v>
      </c>
      <c r="N477" s="592"/>
      <c r="O477" s="592"/>
      <c r="P477" s="882">
        <f t="shared" si="31"/>
        <v>1367519480923</v>
      </c>
      <c r="Q477" s="599">
        <v>1114766690053</v>
      </c>
      <c r="R477" s="882">
        <f t="shared" si="34"/>
        <v>1367519</v>
      </c>
      <c r="S477" s="599">
        <f t="shared" si="34"/>
        <v>1114767</v>
      </c>
      <c r="T477" s="620"/>
      <c r="U477" s="621"/>
      <c r="V477" s="882">
        <f t="shared" si="33"/>
        <v>1367519480923</v>
      </c>
      <c r="W477" s="882">
        <f t="shared" si="32"/>
        <v>1367519</v>
      </c>
    </row>
    <row r="478" spans="1:23" ht="27" hidden="1" customHeight="1">
      <c r="A478" s="583"/>
      <c r="B478" s="581">
        <v>19</v>
      </c>
      <c r="C478" s="583" t="s">
        <v>623</v>
      </c>
      <c r="D478" s="583" t="s">
        <v>160</v>
      </c>
      <c r="E478" s="599">
        <v>-302030917428</v>
      </c>
      <c r="F478" s="599"/>
      <c r="G478" s="599">
        <v>-1065488563495</v>
      </c>
      <c r="H478" s="599"/>
      <c r="I478" s="599"/>
      <c r="J478" s="599"/>
      <c r="K478" s="599"/>
      <c r="L478" s="599"/>
      <c r="M478" s="599">
        <v>0</v>
      </c>
      <c r="N478" s="592"/>
      <c r="O478" s="592"/>
      <c r="P478" s="882">
        <f t="shared" si="31"/>
        <v>-1367519480923</v>
      </c>
      <c r="Q478" s="599">
        <v>-1114766690053</v>
      </c>
      <c r="R478" s="882">
        <f t="shared" si="34"/>
        <v>-1367519</v>
      </c>
      <c r="S478" s="599">
        <f>ROUND((Q478/1000000),0)</f>
        <v>-1114767</v>
      </c>
      <c r="T478" s="620"/>
      <c r="U478" s="621"/>
      <c r="V478" s="882">
        <f t="shared" si="33"/>
        <v>-1367519480923</v>
      </c>
      <c r="W478" s="882">
        <f t="shared" si="32"/>
        <v>-1367519</v>
      </c>
    </row>
    <row r="479" spans="1:23" ht="27" customHeight="1">
      <c r="A479" s="591"/>
      <c r="B479" s="590"/>
      <c r="C479" s="591"/>
      <c r="D479" s="591"/>
      <c r="E479" s="596">
        <f t="shared" ref="E479:K479" si="35">SUM(E3:E478)</f>
        <v>21009</v>
      </c>
      <c r="F479" s="596">
        <f t="shared" si="35"/>
        <v>0</v>
      </c>
      <c r="G479" s="596">
        <f t="shared" si="35"/>
        <v>0</v>
      </c>
      <c r="H479" s="596">
        <f t="shared" si="35"/>
        <v>0</v>
      </c>
      <c r="I479" s="596">
        <f t="shared" si="35"/>
        <v>0</v>
      </c>
      <c r="J479" s="596">
        <f t="shared" si="35"/>
        <v>0</v>
      </c>
      <c r="K479" s="596">
        <f t="shared" si="35"/>
        <v>0</v>
      </c>
      <c r="L479" s="596">
        <f>SUM(L3:L478)</f>
        <v>0</v>
      </c>
      <c r="M479" s="596">
        <f>SUM(M3:M478)</f>
        <v>0</v>
      </c>
      <c r="N479" s="596">
        <f t="shared" ref="N479:W479" si="36">SUBTOTAL(9,N3:N478)</f>
        <v>8010149030</v>
      </c>
      <c r="O479" s="596">
        <f t="shared" si="36"/>
        <v>75793244629</v>
      </c>
      <c r="P479" s="605">
        <f t="shared" si="36"/>
        <v>2217949537543</v>
      </c>
      <c r="Q479" s="596">
        <f t="shared" si="36"/>
        <v>2332761561032</v>
      </c>
      <c r="R479" s="605">
        <f t="shared" si="36"/>
        <v>2217950</v>
      </c>
      <c r="S479" s="596">
        <f t="shared" si="36"/>
        <v>2332762</v>
      </c>
      <c r="T479" s="596">
        <f t="shared" si="36"/>
        <v>8010149030</v>
      </c>
      <c r="U479" s="596">
        <f t="shared" si="36"/>
        <v>75793244629</v>
      </c>
      <c r="V479" s="605">
        <f t="shared" si="36"/>
        <v>2150166441944</v>
      </c>
      <c r="W479" s="605">
        <f t="shared" si="36"/>
        <v>2150166</v>
      </c>
    </row>
    <row r="480" spans="1:23" ht="19.5" customHeight="1">
      <c r="P480" s="611"/>
      <c r="R480" s="611"/>
      <c r="V480" s="611"/>
      <c r="W480" s="611"/>
    </row>
    <row r="481" spans="2:23" ht="19.5" customHeight="1">
      <c r="P481" s="597" t="s">
        <v>1562</v>
      </c>
      <c r="R481" s="597">
        <f>R121+R446</f>
        <v>-6549561</v>
      </c>
      <c r="V481" s="597" t="s">
        <v>1562</v>
      </c>
    </row>
    <row r="482" spans="2:23" ht="19.5" customHeight="1">
      <c r="P482" s="597" t="s">
        <v>1563</v>
      </c>
      <c r="R482" s="597">
        <f>R407+R408+R410</f>
        <v>-4397098</v>
      </c>
      <c r="V482" s="597" t="s">
        <v>1563</v>
      </c>
    </row>
    <row r="483" spans="2:23" ht="19.5" customHeight="1">
      <c r="B483" s="597"/>
      <c r="P483" s="597" t="s">
        <v>1564</v>
      </c>
      <c r="R483" s="597">
        <f>R304</f>
        <v>-6718089</v>
      </c>
      <c r="V483" s="597" t="s">
        <v>1564</v>
      </c>
    </row>
    <row r="484" spans="2:23" ht="21">
      <c r="B484" s="597"/>
      <c r="P484" s="598"/>
      <c r="Q484" s="598"/>
      <c r="R484" s="598"/>
      <c r="S484" s="598"/>
      <c r="V484" s="598"/>
      <c r="W484" s="598"/>
    </row>
    <row r="485" spans="2:23" ht="21">
      <c r="B485" s="597"/>
      <c r="P485" s="598"/>
      <c r="Q485" s="598"/>
      <c r="R485" s="598"/>
      <c r="S485" s="598"/>
      <c r="V485" s="598"/>
      <c r="W485" s="598"/>
    </row>
    <row r="486" spans="2:23" ht="21">
      <c r="B486" s="597"/>
      <c r="P486" s="598"/>
      <c r="Q486" s="598"/>
      <c r="R486" s="598"/>
      <c r="S486" s="598"/>
      <c r="V486" s="598"/>
      <c r="W486" s="598"/>
    </row>
    <row r="487" spans="2:23" ht="21">
      <c r="B487" s="597"/>
      <c r="P487" s="612"/>
      <c r="Q487" s="612"/>
      <c r="R487" s="612"/>
      <c r="S487" s="612"/>
      <c r="V487" s="612"/>
      <c r="W487" s="612"/>
    </row>
    <row r="488" spans="2:23" ht="21">
      <c r="B488" s="597"/>
      <c r="P488" s="612"/>
      <c r="Q488" s="612"/>
      <c r="R488" s="612"/>
      <c r="S488" s="612"/>
      <c r="V488" s="612"/>
      <c r="W488" s="612"/>
    </row>
    <row r="489" spans="2:23" ht="21">
      <c r="B489" s="597"/>
      <c r="P489" s="613"/>
      <c r="Q489" s="613"/>
      <c r="R489" s="613"/>
      <c r="S489" s="613"/>
      <c r="V489" s="613"/>
      <c r="W489" s="613"/>
    </row>
    <row r="490" spans="2:23" ht="21">
      <c r="B490" s="597"/>
      <c r="P490" s="612"/>
      <c r="Q490" s="612"/>
      <c r="R490" s="612"/>
      <c r="S490" s="612"/>
      <c r="V490" s="612"/>
      <c r="W490" s="612"/>
    </row>
    <row r="491" spans="2:23" ht="21">
      <c r="B491" s="597"/>
      <c r="C491" s="598"/>
      <c r="D491" s="598"/>
      <c r="E491" s="598"/>
      <c r="F491" s="598"/>
      <c r="G491" s="598"/>
      <c r="H491" s="598"/>
      <c r="I491" s="598"/>
      <c r="J491" s="598"/>
      <c r="K491" s="598"/>
      <c r="L491" s="598"/>
      <c r="M491" s="598"/>
      <c r="N491" s="598"/>
      <c r="O491" s="598"/>
      <c r="P491" s="613"/>
      <c r="Q491" s="613"/>
      <c r="R491" s="613"/>
      <c r="S491" s="613"/>
      <c r="T491" s="598"/>
      <c r="U491" s="598"/>
      <c r="V491" s="613"/>
      <c r="W491" s="613"/>
    </row>
    <row r="492" spans="2:23" ht="21">
      <c r="B492" s="597"/>
      <c r="C492" s="598"/>
      <c r="D492" s="598"/>
      <c r="E492" s="598"/>
      <c r="F492" s="598"/>
      <c r="G492" s="598"/>
      <c r="H492" s="598"/>
      <c r="I492" s="598"/>
      <c r="J492" s="598"/>
      <c r="K492" s="598"/>
      <c r="L492" s="598"/>
      <c r="M492" s="598"/>
      <c r="N492" s="598"/>
      <c r="O492" s="598"/>
      <c r="P492" s="613"/>
      <c r="Q492" s="613"/>
      <c r="R492" s="613"/>
      <c r="S492" s="613"/>
      <c r="T492" s="598"/>
      <c r="U492" s="598"/>
      <c r="V492" s="613"/>
      <c r="W492" s="613"/>
    </row>
    <row r="493" spans="2:23" ht="21">
      <c r="B493" s="597"/>
      <c r="C493" s="598"/>
      <c r="D493" s="598"/>
      <c r="E493" s="598"/>
      <c r="F493" s="598"/>
      <c r="G493" s="598"/>
      <c r="H493" s="598"/>
      <c r="I493" s="598"/>
      <c r="J493" s="598"/>
      <c r="K493" s="598"/>
      <c r="L493" s="598"/>
      <c r="M493" s="598"/>
      <c r="N493" s="598"/>
      <c r="O493" s="598"/>
      <c r="P493" s="613"/>
      <c r="Q493" s="613"/>
      <c r="R493" s="613"/>
      <c r="S493" s="613"/>
      <c r="T493" s="598"/>
      <c r="U493" s="598"/>
      <c r="V493" s="613"/>
      <c r="W493" s="613"/>
    </row>
    <row r="494" spans="2:23" ht="21">
      <c r="B494" s="597"/>
      <c r="C494" s="598"/>
      <c r="D494" s="598"/>
      <c r="E494" s="598"/>
      <c r="F494" s="598"/>
      <c r="G494" s="598"/>
      <c r="H494" s="598"/>
      <c r="I494" s="598"/>
      <c r="J494" s="598"/>
      <c r="K494" s="598"/>
      <c r="L494" s="598"/>
      <c r="M494" s="598"/>
      <c r="N494" s="598"/>
      <c r="O494" s="598"/>
      <c r="P494" s="613"/>
      <c r="Q494" s="613"/>
      <c r="R494" s="613"/>
      <c r="S494" s="613"/>
      <c r="T494" s="598"/>
      <c r="U494" s="598"/>
      <c r="V494" s="613"/>
      <c r="W494" s="613"/>
    </row>
    <row r="495" spans="2:23" ht="21">
      <c r="B495" s="597"/>
      <c r="C495" s="598"/>
      <c r="D495" s="598"/>
      <c r="E495" s="598"/>
      <c r="F495" s="598"/>
      <c r="G495" s="598"/>
      <c r="H495" s="598"/>
      <c r="I495" s="598"/>
      <c r="J495" s="598"/>
      <c r="K495" s="598"/>
      <c r="L495" s="598"/>
      <c r="M495" s="598"/>
      <c r="N495" s="598"/>
      <c r="O495" s="598"/>
      <c r="P495" s="613"/>
      <c r="Q495" s="613"/>
      <c r="R495" s="613"/>
      <c r="S495" s="613"/>
      <c r="T495" s="598"/>
      <c r="U495" s="598"/>
      <c r="V495" s="613"/>
      <c r="W495" s="613"/>
    </row>
    <row r="496" spans="2:23" ht="21">
      <c r="B496" s="597"/>
      <c r="C496" s="598"/>
      <c r="D496" s="598"/>
      <c r="E496" s="598"/>
      <c r="F496" s="598"/>
      <c r="G496" s="598"/>
      <c r="H496" s="598"/>
      <c r="I496" s="598"/>
      <c r="J496" s="598"/>
      <c r="K496" s="598"/>
      <c r="L496" s="598"/>
      <c r="M496" s="598"/>
      <c r="N496" s="598"/>
      <c r="O496" s="598"/>
      <c r="P496" s="612"/>
      <c r="Q496" s="612"/>
      <c r="R496" s="612"/>
      <c r="S496" s="612"/>
      <c r="T496" s="598"/>
      <c r="U496" s="598"/>
      <c r="V496" s="612"/>
      <c r="W496" s="612"/>
    </row>
    <row r="497" spans="2:23" ht="21">
      <c r="B497" s="597"/>
      <c r="P497" s="613"/>
      <c r="Q497" s="613"/>
      <c r="R497" s="613"/>
      <c r="S497" s="613"/>
      <c r="V497" s="613"/>
      <c r="W497" s="613"/>
    </row>
    <row r="498" spans="2:23" ht="21">
      <c r="B498" s="597"/>
      <c r="P498" s="613"/>
      <c r="Q498" s="613"/>
      <c r="R498" s="613"/>
      <c r="S498" s="613"/>
      <c r="V498" s="613"/>
      <c r="W498" s="613"/>
    </row>
    <row r="499" spans="2:23" ht="21">
      <c r="B499" s="597"/>
      <c r="P499" s="613"/>
      <c r="Q499" s="613"/>
      <c r="R499" s="613"/>
      <c r="S499" s="613"/>
      <c r="V499" s="613"/>
      <c r="W499" s="613"/>
    </row>
    <row r="500" spans="2:23" ht="21">
      <c r="B500" s="597"/>
      <c r="P500" s="613"/>
      <c r="Q500" s="613"/>
      <c r="R500" s="613"/>
      <c r="S500" s="613"/>
      <c r="V500" s="613"/>
      <c r="W500" s="613"/>
    </row>
    <row r="501" spans="2:23" ht="21">
      <c r="B501" s="597"/>
      <c r="P501" s="613"/>
      <c r="Q501" s="613"/>
      <c r="R501" s="613"/>
      <c r="S501" s="613"/>
      <c r="V501" s="613"/>
      <c r="W501" s="613"/>
    </row>
    <row r="502" spans="2:23" ht="21">
      <c r="B502" s="597"/>
      <c r="P502" s="613"/>
      <c r="Q502" s="613"/>
      <c r="R502" s="613"/>
      <c r="S502" s="613"/>
      <c r="V502" s="613"/>
      <c r="W502" s="613"/>
    </row>
    <row r="503" spans="2:23" ht="21">
      <c r="B503" s="597"/>
      <c r="P503" s="613"/>
      <c r="Q503" s="613"/>
      <c r="R503" s="613"/>
      <c r="S503" s="613"/>
      <c r="V503" s="613"/>
      <c r="W503" s="613"/>
    </row>
    <row r="504" spans="2:23" ht="21">
      <c r="B504" s="597"/>
      <c r="P504" s="613"/>
      <c r="Q504" s="613"/>
      <c r="R504" s="613"/>
      <c r="S504" s="613"/>
      <c r="V504" s="613"/>
      <c r="W504" s="613"/>
    </row>
    <row r="505" spans="2:23" ht="21">
      <c r="B505" s="597"/>
      <c r="P505" s="613"/>
      <c r="Q505" s="613"/>
      <c r="R505" s="613"/>
      <c r="S505" s="613"/>
      <c r="V505" s="613"/>
      <c r="W505" s="613"/>
    </row>
    <row r="506" spans="2:23" ht="21">
      <c r="B506" s="597"/>
      <c r="P506" s="598"/>
      <c r="Q506" s="598"/>
      <c r="R506" s="598"/>
      <c r="S506" s="598"/>
      <c r="V506" s="598"/>
      <c r="W506" s="598"/>
    </row>
  </sheetData>
  <autoFilter ref="A1:V478">
    <filterColumn colId="2">
      <filters>
        <filter val="90008984"/>
      </filters>
    </filterColumn>
  </autoFilter>
  <mergeCells count="23">
    <mergeCell ref="H1:H2"/>
    <mergeCell ref="I1:I2"/>
    <mergeCell ref="J1:J2"/>
    <mergeCell ref="K1:K2"/>
    <mergeCell ref="O1:O2"/>
    <mergeCell ref="N1:N2"/>
    <mergeCell ref="M1:M2"/>
    <mergeCell ref="W1:W2"/>
    <mergeCell ref="L1:L2"/>
    <mergeCell ref="A1:A2"/>
    <mergeCell ref="B1:B2"/>
    <mergeCell ref="C1:C2"/>
    <mergeCell ref="D1:D2"/>
    <mergeCell ref="E1:E2"/>
    <mergeCell ref="V1:V2"/>
    <mergeCell ref="U1:U2"/>
    <mergeCell ref="T1:T2"/>
    <mergeCell ref="F1:F2"/>
    <mergeCell ref="G1:G2"/>
    <mergeCell ref="S1:S2"/>
    <mergeCell ref="R1:R2"/>
    <mergeCell ref="Q1:Q2"/>
    <mergeCell ref="P1:P2"/>
  </mergeCells>
  <printOptions horizontalCentered="1" verticalCentered="1"/>
  <pageMargins left="0" right="0" top="0.35433070866141736" bottom="0.19685039370078741" header="0.31496062992125984" footer="0.31496062992125984"/>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49"/>
  <sheetViews>
    <sheetView rightToLeft="1" view="pageBreakPreview" topLeftCell="E28" zoomScale="60" zoomScaleNormal="120" workbookViewId="0">
      <selection activeCell="Q46" sqref="Q46"/>
    </sheetView>
  </sheetViews>
  <sheetFormatPr defaultColWidth="2.125" defaultRowHeight="26.25"/>
  <cols>
    <col min="1" max="1" width="1.375" style="353" customWidth="1"/>
    <col min="2" max="2" width="7.625" style="151" bestFit="1" customWidth="1"/>
    <col min="3" max="3" width="7.5" style="1045" customWidth="1"/>
    <col min="4" max="4" width="21.75" style="151" customWidth="1"/>
    <col min="5" max="5" width="86.5" style="151" customWidth="1"/>
    <col min="6" max="6" width="6.5" style="1194" customWidth="1"/>
    <col min="7" max="7" width="7.25" style="255" customWidth="1"/>
    <col min="8" max="8" width="6.5" style="2589" customWidth="1"/>
    <col min="9" max="9" width="7.25" style="2582" customWidth="1"/>
    <col min="10" max="10" width="9" style="151" customWidth="1"/>
    <col min="11" max="11" width="17.25" style="151" customWidth="1"/>
    <col min="12" max="12" width="14" style="498" customWidth="1"/>
    <col min="13" max="13" width="15.5" style="151" customWidth="1"/>
    <col min="14" max="14" width="14.75" style="151" bestFit="1" customWidth="1"/>
    <col min="15" max="15" width="13.25" style="151" customWidth="1"/>
    <col min="16" max="16" width="17.25" style="151" customWidth="1"/>
    <col min="17" max="17" width="14.5" style="151" customWidth="1"/>
    <col min="18" max="18" width="16.875" style="486" customWidth="1"/>
    <col min="19" max="21" width="2.125" style="151"/>
    <col min="22" max="22" width="12.625" style="151" bestFit="1" customWidth="1"/>
    <col min="23" max="16384" width="2.125" style="151"/>
  </cols>
  <sheetData>
    <row r="1" spans="1:22" s="429" customFormat="1" ht="28.5" customHeight="1">
      <c r="A1" s="1217"/>
      <c r="D1" s="3066" t="s">
        <v>612</v>
      </c>
      <c r="E1" s="3066"/>
      <c r="F1" s="3066"/>
      <c r="G1" s="3066"/>
      <c r="H1" s="3066"/>
      <c r="I1" s="3066"/>
      <c r="J1" s="3066"/>
      <c r="K1" s="3066"/>
      <c r="L1" s="3066"/>
      <c r="M1" s="3066"/>
      <c r="N1" s="3066"/>
      <c r="O1" s="3066"/>
      <c r="P1" s="3066"/>
      <c r="Q1" s="3066"/>
      <c r="R1" s="3066"/>
    </row>
    <row r="2" spans="1:22" s="429" customFormat="1" ht="31.5" customHeight="1">
      <c r="A2" s="1217"/>
      <c r="D2" s="3067" t="str">
        <f>مفروضات!A2</f>
        <v>يادداشت هاي توضيحي صورت هاي مالي</v>
      </c>
      <c r="E2" s="3067"/>
      <c r="F2" s="3067"/>
      <c r="G2" s="3067"/>
      <c r="H2" s="3067"/>
      <c r="I2" s="3067"/>
      <c r="J2" s="3067"/>
      <c r="K2" s="3067"/>
      <c r="L2" s="3067"/>
      <c r="M2" s="3067"/>
      <c r="N2" s="3067"/>
      <c r="O2" s="3067"/>
      <c r="P2" s="3067"/>
      <c r="Q2" s="3067"/>
      <c r="R2" s="3067"/>
    </row>
    <row r="3" spans="1:22" s="429" customFormat="1" ht="32.25" customHeight="1">
      <c r="A3" s="1217"/>
      <c r="D3" s="3066" t="str">
        <f>مفروضات!A7</f>
        <v xml:space="preserve"> سال مالي منتهي به 29 اسفند 1401</v>
      </c>
      <c r="E3" s="3066"/>
      <c r="F3" s="3066"/>
      <c r="G3" s="3066"/>
      <c r="H3" s="3066"/>
      <c r="I3" s="3066"/>
      <c r="J3" s="3066"/>
      <c r="K3" s="3066"/>
      <c r="L3" s="3066"/>
      <c r="M3" s="3066"/>
      <c r="N3" s="3066"/>
      <c r="O3" s="3066"/>
      <c r="P3" s="3066"/>
      <c r="Q3" s="3066"/>
      <c r="R3" s="3066"/>
    </row>
    <row r="4" spans="1:22" s="429" customFormat="1" ht="6" customHeight="1">
      <c r="A4" s="1217"/>
      <c r="D4" s="477"/>
      <c r="E4" s="477"/>
      <c r="F4" s="1195"/>
      <c r="G4" s="1349"/>
      <c r="H4" s="2583"/>
      <c r="I4" s="2570"/>
      <c r="J4" s="477"/>
      <c r="K4" s="823"/>
      <c r="L4" s="477"/>
      <c r="M4" s="477"/>
      <c r="N4" s="477"/>
      <c r="O4" s="477"/>
      <c r="P4" s="477"/>
      <c r="Q4" s="823"/>
      <c r="R4" s="477"/>
    </row>
    <row r="5" spans="1:22" s="429" customFormat="1" ht="9.75" hidden="1" customHeight="1">
      <c r="A5" s="1217"/>
      <c r="D5" s="478"/>
      <c r="E5" s="478"/>
      <c r="F5" s="478"/>
      <c r="G5" s="1350"/>
      <c r="H5" s="2584"/>
      <c r="I5" s="2571"/>
      <c r="J5" s="478"/>
      <c r="K5" s="478"/>
      <c r="L5" s="479"/>
      <c r="M5" s="478"/>
      <c r="N5" s="478"/>
      <c r="O5" s="478"/>
      <c r="P5" s="480"/>
      <c r="Q5" s="480"/>
      <c r="R5" s="481"/>
    </row>
    <row r="6" spans="1:22" s="1745" customFormat="1" ht="33" customHeight="1" thickBot="1">
      <c r="A6" s="353"/>
      <c r="B6" s="482" t="s">
        <v>2030</v>
      </c>
      <c r="C6" s="483" t="s">
        <v>1712</v>
      </c>
      <c r="F6" s="484"/>
      <c r="G6" s="1351"/>
      <c r="H6" s="2585"/>
      <c r="I6" s="2572"/>
      <c r="J6" s="485"/>
      <c r="K6" s="485"/>
      <c r="M6" s="3086"/>
      <c r="N6" s="3086"/>
      <c r="O6" s="3086"/>
      <c r="P6" s="3086"/>
      <c r="Q6" s="1744"/>
      <c r="R6" s="486"/>
    </row>
    <row r="7" spans="1:22" s="1745" customFormat="1" ht="33" customHeight="1" thickBot="1">
      <c r="A7" s="353"/>
      <c r="C7" s="1048" t="s">
        <v>1714</v>
      </c>
      <c r="D7" s="2028" t="s">
        <v>1713</v>
      </c>
      <c r="E7" s="1113"/>
      <c r="F7" s="1049"/>
      <c r="G7" s="1050"/>
      <c r="H7" s="1049"/>
      <c r="I7" s="2573"/>
      <c r="J7" s="1049"/>
      <c r="K7" s="1049"/>
      <c r="L7" s="1051"/>
      <c r="M7" s="1052"/>
      <c r="N7" s="1052"/>
      <c r="O7" s="1052"/>
      <c r="P7" s="255"/>
      <c r="Q7" s="255"/>
      <c r="R7" s="103" t="s">
        <v>1729</v>
      </c>
    </row>
    <row r="8" spans="1:22" s="1745" customFormat="1" ht="46.5" customHeight="1" thickBot="1">
      <c r="A8" s="353"/>
      <c r="C8" s="183"/>
      <c r="D8" s="3092" t="s">
        <v>629</v>
      </c>
      <c r="E8" s="3090" t="s">
        <v>707</v>
      </c>
      <c r="F8" s="3080" t="s">
        <v>1803</v>
      </c>
      <c r="G8" s="3081"/>
      <c r="H8" s="3080" t="s">
        <v>1804</v>
      </c>
      <c r="I8" s="3081"/>
      <c r="J8" s="3094" t="s">
        <v>1490</v>
      </c>
      <c r="K8" s="3068" t="s">
        <v>2372</v>
      </c>
      <c r="L8" s="3075" t="s">
        <v>1489</v>
      </c>
      <c r="M8" s="3076"/>
      <c r="N8" s="3076"/>
      <c r="O8" s="3076"/>
      <c r="P8" s="3076"/>
      <c r="Q8" s="3077"/>
      <c r="R8" s="3070" t="s">
        <v>2371</v>
      </c>
    </row>
    <row r="9" spans="1:22" s="487" customFormat="1" ht="21.75" customHeight="1">
      <c r="A9" s="1218"/>
      <c r="C9" s="1048"/>
      <c r="D9" s="3092"/>
      <c r="E9" s="3090"/>
      <c r="F9" s="3082"/>
      <c r="G9" s="3083"/>
      <c r="H9" s="3082"/>
      <c r="I9" s="3083"/>
      <c r="J9" s="3095"/>
      <c r="K9" s="3069"/>
      <c r="L9" s="3072" t="s">
        <v>2481</v>
      </c>
      <c r="M9" s="3089" t="s">
        <v>1797</v>
      </c>
      <c r="N9" s="3078" t="s">
        <v>1721</v>
      </c>
      <c r="O9" s="3087" t="s">
        <v>1488</v>
      </c>
      <c r="P9" s="3088"/>
      <c r="Q9" s="3074" t="s">
        <v>2445</v>
      </c>
      <c r="R9" s="3071"/>
      <c r="V9" s="488"/>
    </row>
    <row r="10" spans="1:22" s="487" customFormat="1" ht="43.5" customHeight="1">
      <c r="A10" s="1218"/>
      <c r="C10" s="1048"/>
      <c r="D10" s="3093"/>
      <c r="E10" s="3091"/>
      <c r="F10" s="1799">
        <v>1401</v>
      </c>
      <c r="G10" s="1798">
        <v>1400</v>
      </c>
      <c r="H10" s="2586">
        <v>1401</v>
      </c>
      <c r="I10" s="2574">
        <v>1400</v>
      </c>
      <c r="J10" s="3096"/>
      <c r="K10" s="3069"/>
      <c r="L10" s="3073"/>
      <c r="M10" s="3088"/>
      <c r="N10" s="3079"/>
      <c r="O10" s="1797" t="s">
        <v>1387</v>
      </c>
      <c r="P10" s="1796" t="s">
        <v>1386</v>
      </c>
      <c r="Q10" s="3073"/>
      <c r="R10" s="3071"/>
      <c r="V10" s="489" t="s">
        <v>1388</v>
      </c>
    </row>
    <row r="11" spans="1:22" s="487" customFormat="1" ht="24.75" customHeight="1">
      <c r="A11" s="1218"/>
      <c r="C11" s="1048"/>
      <c r="D11" s="1755">
        <v>90225</v>
      </c>
      <c r="E11" s="1795" t="s">
        <v>1728</v>
      </c>
      <c r="F11" s="2035">
        <v>99</v>
      </c>
      <c r="G11" s="1767">
        <v>96</v>
      </c>
      <c r="H11" s="2587">
        <v>99.5</v>
      </c>
      <c r="I11" s="2575" t="s">
        <v>2607</v>
      </c>
      <c r="J11" s="3103" t="s">
        <v>2408</v>
      </c>
      <c r="K11" s="1766">
        <v>8171853</v>
      </c>
      <c r="L11" s="1756">
        <f>511015-10475</f>
        <v>500540</v>
      </c>
      <c r="M11" s="1756">
        <v>460773</v>
      </c>
      <c r="N11" s="1756">
        <v>10475</v>
      </c>
      <c r="O11" s="1756">
        <v>-407958</v>
      </c>
      <c r="P11" s="1756">
        <v>-47024</v>
      </c>
      <c r="Q11" s="1756">
        <f>L11+M11+N11+O11+P11</f>
        <v>516806</v>
      </c>
      <c r="R11" s="1760">
        <v>8070620</v>
      </c>
      <c r="V11" s="490">
        <f t="shared" ref="V11:V17" si="0">M11-N11</f>
        <v>450298</v>
      </c>
    </row>
    <row r="12" spans="1:22" s="1745" customFormat="1" ht="24.75" customHeight="1">
      <c r="A12" s="353"/>
      <c r="C12" s="183"/>
      <c r="D12" s="1755">
        <v>90226</v>
      </c>
      <c r="E12" s="1795" t="s">
        <v>708</v>
      </c>
      <c r="F12" s="2035">
        <v>92</v>
      </c>
      <c r="G12" s="1767">
        <v>90</v>
      </c>
      <c r="H12" s="2587" t="s">
        <v>2428</v>
      </c>
      <c r="I12" s="2575" t="s">
        <v>2608</v>
      </c>
      <c r="J12" s="3104"/>
      <c r="K12" s="1766">
        <v>3120934</v>
      </c>
      <c r="L12" s="1756">
        <v>858375</v>
      </c>
      <c r="M12" s="1756">
        <v>497096</v>
      </c>
      <c r="N12" s="1756"/>
      <c r="O12" s="1756">
        <v>-1008</v>
      </c>
      <c r="P12" s="1756">
        <v>-91142</v>
      </c>
      <c r="Q12" s="1756">
        <f t="shared" ref="Q12:Q17" si="1">L12+M12+N12+O12+P12</f>
        <v>1263321</v>
      </c>
      <c r="R12" s="1760">
        <v>2858605</v>
      </c>
      <c r="V12" s="490">
        <f t="shared" si="0"/>
        <v>497096</v>
      </c>
    </row>
    <row r="13" spans="1:22" s="1745" customFormat="1" ht="24.75" customHeight="1">
      <c r="A13" s="353"/>
      <c r="C13" s="183"/>
      <c r="D13" s="1755">
        <v>90227</v>
      </c>
      <c r="E13" s="1795" t="s">
        <v>1544</v>
      </c>
      <c r="F13" s="2035">
        <v>85</v>
      </c>
      <c r="G13" s="1767">
        <v>88</v>
      </c>
      <c r="H13" s="2587" t="s">
        <v>2429</v>
      </c>
      <c r="I13" s="2575" t="s">
        <v>2435</v>
      </c>
      <c r="J13" s="3104"/>
      <c r="K13" s="1766">
        <v>369505</v>
      </c>
      <c r="L13" s="1756">
        <v>34952</v>
      </c>
      <c r="M13" s="1756">
        <v>67446</v>
      </c>
      <c r="N13" s="1756">
        <v>0</v>
      </c>
      <c r="O13" s="1756">
        <v>0</v>
      </c>
      <c r="P13" s="1756">
        <v>-31750</v>
      </c>
      <c r="Q13" s="1756">
        <f t="shared" si="1"/>
        <v>70648</v>
      </c>
      <c r="R13" s="1760">
        <v>312953</v>
      </c>
      <c r="V13" s="490">
        <f t="shared" si="0"/>
        <v>67446</v>
      </c>
    </row>
    <row r="14" spans="1:22" s="1745" customFormat="1" ht="24.75" customHeight="1">
      <c r="A14" s="353"/>
      <c r="C14" s="183"/>
      <c r="D14" s="1755">
        <v>90228</v>
      </c>
      <c r="E14" s="1769" t="s">
        <v>1389</v>
      </c>
      <c r="F14" s="2035">
        <v>100</v>
      </c>
      <c r="G14" s="1767">
        <v>119</v>
      </c>
      <c r="H14" s="2587" t="s">
        <v>2430</v>
      </c>
      <c r="I14" s="2575" t="s">
        <v>2438</v>
      </c>
      <c r="J14" s="3104"/>
      <c r="K14" s="1766">
        <v>5866104</v>
      </c>
      <c r="L14" s="1756">
        <v>3454339</v>
      </c>
      <c r="M14" s="1756">
        <v>839079</v>
      </c>
      <c r="N14" s="1756">
        <v>25</v>
      </c>
      <c r="O14" s="1756">
        <v>0</v>
      </c>
      <c r="P14" s="1756">
        <v>-862600</v>
      </c>
      <c r="Q14" s="1756">
        <f t="shared" si="1"/>
        <v>3430843</v>
      </c>
      <c r="R14" s="1760">
        <v>6862974</v>
      </c>
      <c r="V14" s="490">
        <f t="shared" si="0"/>
        <v>839054</v>
      </c>
    </row>
    <row r="15" spans="1:22" s="1745" customFormat="1" ht="30" customHeight="1">
      <c r="A15" s="353"/>
      <c r="C15" s="183"/>
      <c r="D15" s="1755">
        <v>90229</v>
      </c>
      <c r="E15" s="1769" t="s">
        <v>1390</v>
      </c>
      <c r="F15" s="2035">
        <v>52</v>
      </c>
      <c r="G15" s="1767">
        <v>71</v>
      </c>
      <c r="H15" s="2587" t="s">
        <v>2431</v>
      </c>
      <c r="I15" s="2575">
        <v>72</v>
      </c>
      <c r="J15" s="3104"/>
      <c r="K15" s="1766">
        <v>47299</v>
      </c>
      <c r="L15" s="1756">
        <v>15314</v>
      </c>
      <c r="M15" s="1756">
        <v>0</v>
      </c>
      <c r="N15" s="1756">
        <v>0</v>
      </c>
      <c r="O15" s="1756">
        <v>0</v>
      </c>
      <c r="P15" s="1756">
        <v>-4230</v>
      </c>
      <c r="Q15" s="1756">
        <f t="shared" si="1"/>
        <v>11084</v>
      </c>
      <c r="R15" s="1760">
        <v>24399</v>
      </c>
      <c r="V15" s="490">
        <f t="shared" si="0"/>
        <v>0</v>
      </c>
    </row>
    <row r="16" spans="1:22" s="1745" customFormat="1" ht="28.5" customHeight="1">
      <c r="A16" s="353"/>
      <c r="C16" s="183"/>
      <c r="D16" s="1755">
        <v>90230</v>
      </c>
      <c r="E16" s="1769" t="s">
        <v>1039</v>
      </c>
      <c r="F16" s="2035">
        <v>94</v>
      </c>
      <c r="G16" s="1767">
        <v>95</v>
      </c>
      <c r="H16" s="2587" t="s">
        <v>2432</v>
      </c>
      <c r="I16" s="2575" t="s">
        <v>2442</v>
      </c>
      <c r="J16" s="3104"/>
      <c r="K16" s="1766">
        <v>1362910</v>
      </c>
      <c r="L16" s="1756">
        <v>0</v>
      </c>
      <c r="M16" s="1756">
        <v>24773</v>
      </c>
      <c r="N16" s="1756">
        <v>0</v>
      </c>
      <c r="O16" s="1756">
        <v>0</v>
      </c>
      <c r="P16" s="1756">
        <v>-330</v>
      </c>
      <c r="Q16" s="1756">
        <f t="shared" si="1"/>
        <v>24443</v>
      </c>
      <c r="R16" s="1760">
        <v>1276742</v>
      </c>
      <c r="V16" s="490">
        <f t="shared" si="0"/>
        <v>24773</v>
      </c>
    </row>
    <row r="17" spans="1:22" s="1745" customFormat="1" ht="24.75" customHeight="1" thickBot="1">
      <c r="A17" s="353"/>
      <c r="C17" s="183"/>
      <c r="D17" s="1755">
        <v>90231</v>
      </c>
      <c r="E17" s="1769" t="s">
        <v>1391</v>
      </c>
      <c r="F17" s="2035">
        <v>55</v>
      </c>
      <c r="G17" s="1794">
        <v>78</v>
      </c>
      <c r="H17" s="2587" t="s">
        <v>2433</v>
      </c>
      <c r="I17" s="2576" t="s">
        <v>2433</v>
      </c>
      <c r="J17" s="3105"/>
      <c r="K17" s="1793">
        <v>78579</v>
      </c>
      <c r="L17" s="1792">
        <v>0</v>
      </c>
      <c r="M17" s="1792">
        <v>0</v>
      </c>
      <c r="N17" s="1792">
        <v>0</v>
      </c>
      <c r="O17" s="1792">
        <v>0</v>
      </c>
      <c r="P17" s="1792">
        <v>0</v>
      </c>
      <c r="Q17" s="1756">
        <f t="shared" si="1"/>
        <v>0</v>
      </c>
      <c r="R17" s="1791">
        <v>43594</v>
      </c>
      <c r="V17" s="490">
        <f t="shared" si="0"/>
        <v>0</v>
      </c>
    </row>
    <row r="18" spans="1:22" s="1745" customFormat="1" ht="24.75" customHeight="1" thickBot="1">
      <c r="A18" s="761" t="s">
        <v>2182</v>
      </c>
      <c r="C18" s="183"/>
      <c r="D18" s="1790"/>
      <c r="E18" s="1765" t="s">
        <v>1392</v>
      </c>
      <c r="F18" s="3097"/>
      <c r="G18" s="3098"/>
      <c r="H18" s="3098"/>
      <c r="I18" s="3099"/>
      <c r="J18" s="1758"/>
      <c r="K18" s="1789">
        <f t="shared" ref="K18:R18" si="2">SUM(K11:K17)</f>
        <v>19017184</v>
      </c>
      <c r="L18" s="1789">
        <f t="shared" si="2"/>
        <v>4863520</v>
      </c>
      <c r="M18" s="1789">
        <f t="shared" si="2"/>
        <v>1889167</v>
      </c>
      <c r="N18" s="1789">
        <f t="shared" si="2"/>
        <v>10500</v>
      </c>
      <c r="O18" s="1789">
        <f t="shared" si="2"/>
        <v>-408966</v>
      </c>
      <c r="P18" s="1789">
        <f t="shared" si="2"/>
        <v>-1037076</v>
      </c>
      <c r="Q18" s="1789">
        <f t="shared" si="2"/>
        <v>5317145</v>
      </c>
      <c r="R18" s="1788">
        <f t="shared" si="2"/>
        <v>19449887</v>
      </c>
      <c r="V18" s="492">
        <f>SUM(V11:V17)</f>
        <v>1878667</v>
      </c>
    </row>
    <row r="19" spans="1:22" s="244" customFormat="1" ht="33.75" customHeight="1" thickBot="1">
      <c r="A19" s="914"/>
      <c r="C19" s="1787" t="s">
        <v>1425</v>
      </c>
      <c r="D19" s="2028" t="s">
        <v>1715</v>
      </c>
      <c r="E19" s="1084"/>
      <c r="F19" s="1786"/>
      <c r="G19" s="1784"/>
      <c r="H19" s="2588"/>
      <c r="I19" s="2577"/>
      <c r="J19" s="1785"/>
      <c r="K19" s="1784"/>
      <c r="L19" s="1784"/>
      <c r="M19" s="1784"/>
      <c r="N19" s="1784"/>
      <c r="O19" s="1784"/>
      <c r="P19" s="1784"/>
      <c r="Q19" s="1784"/>
      <c r="R19" s="1783"/>
      <c r="U19" s="493"/>
      <c r="V19" s="494"/>
    </row>
    <row r="20" spans="1:22" s="487" customFormat="1" ht="26.25" customHeight="1" thickBot="1">
      <c r="A20" s="1218"/>
      <c r="C20" s="1048"/>
      <c r="D20" s="1782">
        <v>90232</v>
      </c>
      <c r="E20" s="1781" t="s">
        <v>1545</v>
      </c>
      <c r="F20" s="1780">
        <v>88</v>
      </c>
      <c r="G20" s="1776">
        <v>84</v>
      </c>
      <c r="H20" s="2578" t="s">
        <v>2433</v>
      </c>
      <c r="I20" s="2578" t="s">
        <v>2609</v>
      </c>
      <c r="J20" s="3106" t="s">
        <v>2408</v>
      </c>
      <c r="K20" s="1779">
        <v>4500515</v>
      </c>
      <c r="L20" s="1778">
        <v>523903</v>
      </c>
      <c r="M20" s="1778">
        <v>360396</v>
      </c>
      <c r="N20" s="1778">
        <v>0</v>
      </c>
      <c r="O20" s="1778">
        <v>0</v>
      </c>
      <c r="P20" s="1778">
        <v>-77001</v>
      </c>
      <c r="Q20" s="1756">
        <f>L20+M20+N20+O20+P20</f>
        <v>807298</v>
      </c>
      <c r="R20" s="1777">
        <v>4078608</v>
      </c>
      <c r="T20" s="495"/>
      <c r="V20" s="490">
        <f t="shared" ref="V20:V27" si="3">M20-N20</f>
        <v>360396</v>
      </c>
    </row>
    <row r="21" spans="1:22" s="1745" customFormat="1" ht="26.25" customHeight="1" thickBot="1">
      <c r="A21" s="353"/>
      <c r="C21" s="183"/>
      <c r="D21" s="1755">
        <v>90233</v>
      </c>
      <c r="E21" s="1769" t="s">
        <v>1393</v>
      </c>
      <c r="F21" s="1767">
        <v>78</v>
      </c>
      <c r="G21" s="1767">
        <v>77</v>
      </c>
      <c r="H21" s="2578" t="s">
        <v>2434</v>
      </c>
      <c r="I21" s="2575" t="s">
        <v>2434</v>
      </c>
      <c r="J21" s="3104"/>
      <c r="K21" s="1766">
        <v>7182212</v>
      </c>
      <c r="L21" s="1756">
        <v>295339</v>
      </c>
      <c r="M21" s="1756">
        <v>1698220</v>
      </c>
      <c r="N21" s="1756"/>
      <c r="O21" s="1756">
        <v>0</v>
      </c>
      <c r="P21" s="1756">
        <v>-213270</v>
      </c>
      <c r="Q21" s="1756">
        <f t="shared" ref="Q21:Q27" si="4">L21+M21+N21+O21+P21</f>
        <v>1780289</v>
      </c>
      <c r="R21" s="1760">
        <v>5609534</v>
      </c>
      <c r="V21" s="490">
        <f t="shared" si="3"/>
        <v>1698220</v>
      </c>
    </row>
    <row r="22" spans="1:22" s="1745" customFormat="1" ht="26.25" customHeight="1" thickBot="1">
      <c r="A22" s="353"/>
      <c r="C22" s="183"/>
      <c r="D22" s="1755">
        <v>90234</v>
      </c>
      <c r="E22" s="1769" t="s">
        <v>1546</v>
      </c>
      <c r="F22" s="1767">
        <v>98</v>
      </c>
      <c r="G22" s="1767">
        <v>94</v>
      </c>
      <c r="H22" s="2578" t="s">
        <v>2435</v>
      </c>
      <c r="I22" s="2575">
        <v>88</v>
      </c>
      <c r="J22" s="3104"/>
      <c r="K22" s="1766">
        <v>1125494</v>
      </c>
      <c r="L22" s="1756">
        <v>87131</v>
      </c>
      <c r="M22" s="1756">
        <v>219113</v>
      </c>
      <c r="N22" s="1756">
        <v>0</v>
      </c>
      <c r="O22" s="1756">
        <v>0</v>
      </c>
      <c r="P22" s="1756">
        <v>-99875</v>
      </c>
      <c r="Q22" s="1756">
        <f t="shared" si="4"/>
        <v>206369</v>
      </c>
      <c r="R22" s="1760">
        <v>1103074</v>
      </c>
      <c r="V22" s="490">
        <f t="shared" si="3"/>
        <v>219113</v>
      </c>
    </row>
    <row r="23" spans="1:22" s="487" customFormat="1" ht="26.25" customHeight="1" thickBot="1">
      <c r="A23" s="1218"/>
      <c r="C23" s="1093"/>
      <c r="D23" s="1755">
        <v>90235</v>
      </c>
      <c r="E23" s="1769" t="s">
        <v>1394</v>
      </c>
      <c r="F23" s="1767">
        <v>95</v>
      </c>
      <c r="G23" s="1767">
        <v>75</v>
      </c>
      <c r="H23" s="2578" t="s">
        <v>2436</v>
      </c>
      <c r="I23" s="2575">
        <v>76</v>
      </c>
      <c r="J23" s="3104"/>
      <c r="K23" s="1766">
        <v>1041140</v>
      </c>
      <c r="L23" s="1756">
        <v>133856</v>
      </c>
      <c r="M23" s="1756">
        <v>327637</v>
      </c>
      <c r="N23" s="1756">
        <v>110</v>
      </c>
      <c r="O23" s="1756">
        <v>0</v>
      </c>
      <c r="P23" s="1756">
        <v>-171099</v>
      </c>
      <c r="Q23" s="1756">
        <f t="shared" si="4"/>
        <v>290504</v>
      </c>
      <c r="R23" s="1760">
        <v>989788</v>
      </c>
      <c r="V23" s="490">
        <f t="shared" si="3"/>
        <v>327527</v>
      </c>
    </row>
    <row r="24" spans="1:22" s="1745" customFormat="1" ht="26.25" customHeight="1" thickBot="1">
      <c r="A24" s="353"/>
      <c r="C24" s="183"/>
      <c r="D24" s="1755">
        <v>90236</v>
      </c>
      <c r="E24" s="1769" t="s">
        <v>1395</v>
      </c>
      <c r="F24" s="1767">
        <v>82</v>
      </c>
      <c r="G24" s="1767">
        <v>82</v>
      </c>
      <c r="H24" s="2578" t="s">
        <v>2437</v>
      </c>
      <c r="I24" s="2575">
        <v>80</v>
      </c>
      <c r="J24" s="3104"/>
      <c r="K24" s="1766">
        <v>187673</v>
      </c>
      <c r="L24" s="1756">
        <v>1010</v>
      </c>
      <c r="M24" s="1756">
        <v>668</v>
      </c>
      <c r="N24" s="1756">
        <v>0</v>
      </c>
      <c r="O24" s="1756">
        <v>0</v>
      </c>
      <c r="P24" s="1756">
        <v>0</v>
      </c>
      <c r="Q24" s="1756">
        <f t="shared" si="4"/>
        <v>1678</v>
      </c>
      <c r="R24" s="1760">
        <v>153304</v>
      </c>
      <c r="V24" s="490">
        <f t="shared" si="3"/>
        <v>668</v>
      </c>
    </row>
    <row r="25" spans="1:22" s="487" customFormat="1" ht="26.25" customHeight="1" thickBot="1">
      <c r="A25" s="1218"/>
      <c r="C25" s="1048"/>
      <c r="D25" s="1755">
        <v>90237</v>
      </c>
      <c r="E25" s="1769" t="s">
        <v>1396</v>
      </c>
      <c r="F25" s="1767">
        <v>78</v>
      </c>
      <c r="G25" s="1767">
        <v>70</v>
      </c>
      <c r="H25" s="2578" t="s">
        <v>2438</v>
      </c>
      <c r="I25" s="2575">
        <v>79</v>
      </c>
      <c r="J25" s="3104"/>
      <c r="K25" s="1766">
        <v>975388</v>
      </c>
      <c r="L25" s="1756">
        <v>44078</v>
      </c>
      <c r="M25" s="1756">
        <v>121173</v>
      </c>
      <c r="N25" s="1756">
        <v>0</v>
      </c>
      <c r="O25" s="1756">
        <v>0</v>
      </c>
      <c r="P25" s="1756">
        <v>-10844</v>
      </c>
      <c r="Q25" s="1756">
        <f t="shared" si="4"/>
        <v>154407</v>
      </c>
      <c r="R25" s="1760">
        <v>756096</v>
      </c>
      <c r="V25" s="490">
        <f t="shared" si="3"/>
        <v>121173</v>
      </c>
    </row>
    <row r="26" spans="1:22" s="1745" customFormat="1" ht="26.25" customHeight="1" thickBot="1">
      <c r="A26" s="353"/>
      <c r="C26" s="183"/>
      <c r="D26" s="1755">
        <v>90238</v>
      </c>
      <c r="E26" s="1769" t="s">
        <v>1397</v>
      </c>
      <c r="F26" s="1767">
        <v>77</v>
      </c>
      <c r="G26" s="1767">
        <v>83</v>
      </c>
      <c r="H26" s="2578" t="s">
        <v>2439</v>
      </c>
      <c r="I26" s="2575" t="s">
        <v>2610</v>
      </c>
      <c r="J26" s="3104"/>
      <c r="K26" s="1766">
        <v>1747013</v>
      </c>
      <c r="L26" s="1756">
        <v>0</v>
      </c>
      <c r="M26" s="1756">
        <v>87957</v>
      </c>
      <c r="N26" s="1756">
        <v>0</v>
      </c>
      <c r="O26" s="1756">
        <v>0</v>
      </c>
      <c r="P26" s="1756">
        <v>-58520</v>
      </c>
      <c r="Q26" s="1756">
        <f t="shared" si="4"/>
        <v>29437</v>
      </c>
      <c r="R26" s="1760">
        <v>1343188</v>
      </c>
      <c r="V26" s="490">
        <f t="shared" si="3"/>
        <v>87957</v>
      </c>
    </row>
    <row r="27" spans="1:22" s="487" customFormat="1" ht="26.25" customHeight="1" thickBot="1">
      <c r="A27" s="1218"/>
      <c r="C27" s="1048"/>
      <c r="D27" s="1755">
        <v>90239</v>
      </c>
      <c r="E27" s="1765" t="s">
        <v>1398</v>
      </c>
      <c r="F27" s="1763">
        <v>81</v>
      </c>
      <c r="G27" s="1763">
        <v>100</v>
      </c>
      <c r="H27" s="2578" t="s">
        <v>2440</v>
      </c>
      <c r="I27" s="2579" t="s">
        <v>2611</v>
      </c>
      <c r="J27" s="3105"/>
      <c r="K27" s="1762">
        <v>214625</v>
      </c>
      <c r="L27" s="1761">
        <v>16134</v>
      </c>
      <c r="M27" s="1761">
        <v>23177</v>
      </c>
      <c r="N27" s="1761">
        <v>0</v>
      </c>
      <c r="O27" s="1761">
        <v>0</v>
      </c>
      <c r="P27" s="1761">
        <v>-9375</v>
      </c>
      <c r="Q27" s="1756">
        <f t="shared" si="4"/>
        <v>29936</v>
      </c>
      <c r="R27" s="1775">
        <v>173515</v>
      </c>
      <c r="V27" s="490">
        <f t="shared" si="3"/>
        <v>23177</v>
      </c>
    </row>
    <row r="28" spans="1:22" s="1745" customFormat="1" ht="26.25" customHeight="1" thickBot="1">
      <c r="A28" s="353"/>
      <c r="C28" s="183"/>
      <c r="D28" s="1759"/>
      <c r="E28" s="1774" t="s">
        <v>1399</v>
      </c>
      <c r="F28" s="3100"/>
      <c r="G28" s="3101"/>
      <c r="H28" s="3101"/>
      <c r="I28" s="3102"/>
      <c r="J28" s="1758"/>
      <c r="K28" s="1773">
        <f t="shared" ref="K28:R28" si="5">SUM(K20:K27)</f>
        <v>16974060</v>
      </c>
      <c r="L28" s="1772">
        <f t="shared" si="5"/>
        <v>1101451</v>
      </c>
      <c r="M28" s="1772">
        <f>SUM(M20:M27)</f>
        <v>2838341</v>
      </c>
      <c r="N28" s="1772">
        <f t="shared" si="5"/>
        <v>110</v>
      </c>
      <c r="O28" s="1772">
        <f t="shared" si="5"/>
        <v>0</v>
      </c>
      <c r="P28" s="1772">
        <f t="shared" si="5"/>
        <v>-639984</v>
      </c>
      <c r="Q28" s="1772">
        <f t="shared" si="5"/>
        <v>3299918</v>
      </c>
      <c r="R28" s="1771">
        <f t="shared" si="5"/>
        <v>14207107</v>
      </c>
      <c r="S28" s="386"/>
      <c r="V28" s="492">
        <f>SUM(V20:V27)</f>
        <v>2838231</v>
      </c>
    </row>
    <row r="29" spans="1:22" s="1745" customFormat="1" ht="37.5" customHeight="1" thickBot="1">
      <c r="A29" s="353"/>
      <c r="C29" s="1770" t="s">
        <v>1716</v>
      </c>
      <c r="D29" s="2028" t="s">
        <v>1648</v>
      </c>
      <c r="E29" s="1084"/>
      <c r="F29" s="1084"/>
      <c r="G29" s="1084"/>
      <c r="H29" s="1084"/>
      <c r="I29" s="1084"/>
      <c r="J29" s="1084"/>
      <c r="K29" s="1084"/>
      <c r="L29" s="1084"/>
      <c r="M29" s="1084"/>
      <c r="N29" s="1084"/>
      <c r="O29" s="1084"/>
      <c r="P29" s="1084"/>
      <c r="Q29" s="1084"/>
      <c r="R29" s="1113"/>
      <c r="V29" s="496"/>
    </row>
    <row r="30" spans="1:22" s="1745" customFormat="1" ht="26.25" customHeight="1">
      <c r="A30" s="353"/>
      <c r="C30" s="183"/>
      <c r="D30" s="2676">
        <v>94240</v>
      </c>
      <c r="E30" s="2677" t="s">
        <v>1750</v>
      </c>
      <c r="F30" s="1780">
        <v>100</v>
      </c>
      <c r="G30" s="1776">
        <v>98</v>
      </c>
      <c r="H30" s="2678" t="s">
        <v>2430</v>
      </c>
      <c r="I30" s="2578" t="s">
        <v>2612</v>
      </c>
      <c r="J30" s="3106" t="s">
        <v>2408</v>
      </c>
      <c r="K30" s="1779">
        <v>388800</v>
      </c>
      <c r="L30" s="1778">
        <v>0</v>
      </c>
      <c r="M30" s="1778">
        <v>54034</v>
      </c>
      <c r="N30" s="1778">
        <v>0</v>
      </c>
      <c r="O30" s="1778">
        <v>0</v>
      </c>
      <c r="P30" s="1778">
        <v>-54034</v>
      </c>
      <c r="Q30" s="1778">
        <f>L30+M30+N30+O30+P30</f>
        <v>0</v>
      </c>
      <c r="R30" s="2679">
        <v>413877</v>
      </c>
      <c r="V30" s="490">
        <v>331737</v>
      </c>
    </row>
    <row r="31" spans="1:22" s="487" customFormat="1" ht="26.25" customHeight="1">
      <c r="A31" s="1218"/>
      <c r="C31" s="1093"/>
      <c r="D31" s="2680">
        <v>94241</v>
      </c>
      <c r="E31" s="1769" t="s">
        <v>1751</v>
      </c>
      <c r="F31" s="1768">
        <v>89</v>
      </c>
      <c r="G31" s="2681">
        <v>80</v>
      </c>
      <c r="H31" s="2587" t="s">
        <v>2441</v>
      </c>
      <c r="I31" s="2682" t="s">
        <v>2613</v>
      </c>
      <c r="J31" s="3104"/>
      <c r="K31" s="2683">
        <v>390326</v>
      </c>
      <c r="L31" s="2597">
        <v>0</v>
      </c>
      <c r="M31" s="2597">
        <v>9019</v>
      </c>
      <c r="N31" s="2597">
        <v>0</v>
      </c>
      <c r="O31" s="2597">
        <v>0</v>
      </c>
      <c r="P31" s="2597">
        <v>-522</v>
      </c>
      <c r="Q31" s="2597">
        <f t="shared" ref="Q31:Q35" si="6">L31+M31+N31+O31+P31</f>
        <v>8497</v>
      </c>
      <c r="R31" s="2684">
        <v>346467</v>
      </c>
      <c r="V31" s="490">
        <v>151427</v>
      </c>
    </row>
    <row r="32" spans="1:22" s="1745" customFormat="1" ht="26.25" customHeight="1">
      <c r="A32" s="353"/>
      <c r="C32" s="183"/>
      <c r="D32" s="2680">
        <v>94242</v>
      </c>
      <c r="E32" s="1769" t="s">
        <v>1752</v>
      </c>
      <c r="F32" s="1768">
        <v>93</v>
      </c>
      <c r="G32" s="2681">
        <v>38</v>
      </c>
      <c r="H32" s="2587" t="s">
        <v>2442</v>
      </c>
      <c r="I32" s="2682">
        <v>14</v>
      </c>
      <c r="J32" s="3104"/>
      <c r="K32" s="2683">
        <v>2009000</v>
      </c>
      <c r="L32" s="2597">
        <v>48317</v>
      </c>
      <c r="M32" s="2597">
        <v>1463196</v>
      </c>
      <c r="N32" s="2597">
        <v>0</v>
      </c>
      <c r="O32" s="2597">
        <v>0</v>
      </c>
      <c r="P32" s="2597">
        <v>-145939</v>
      </c>
      <c r="Q32" s="2597">
        <f t="shared" si="6"/>
        <v>1365574</v>
      </c>
      <c r="R32" s="2684">
        <v>1887433</v>
      </c>
      <c r="V32" s="490">
        <v>72089</v>
      </c>
    </row>
    <row r="33" spans="1:22" s="487" customFormat="1" ht="26.25" customHeight="1">
      <c r="A33" s="1218"/>
      <c r="C33" s="1048"/>
      <c r="D33" s="2680">
        <v>94243</v>
      </c>
      <c r="E33" s="1769" t="s">
        <v>1753</v>
      </c>
      <c r="F33" s="1768">
        <v>100</v>
      </c>
      <c r="G33" s="2681">
        <v>80</v>
      </c>
      <c r="H33" s="2587" t="s">
        <v>2432</v>
      </c>
      <c r="I33" s="2682" t="s">
        <v>2614</v>
      </c>
      <c r="J33" s="3104"/>
      <c r="K33" s="2683">
        <v>118186</v>
      </c>
      <c r="L33" s="2597">
        <v>0</v>
      </c>
      <c r="M33" s="2597">
        <v>42504</v>
      </c>
      <c r="N33" s="2597">
        <v>0</v>
      </c>
      <c r="O33" s="2597">
        <v>0</v>
      </c>
      <c r="P33" s="2597">
        <v>-19408</v>
      </c>
      <c r="Q33" s="2597">
        <f t="shared" si="6"/>
        <v>23096</v>
      </c>
      <c r="R33" s="2684">
        <v>136690</v>
      </c>
      <c r="V33" s="490">
        <v>340881</v>
      </c>
    </row>
    <row r="34" spans="1:22" s="1745" customFormat="1" ht="26.25" customHeight="1">
      <c r="A34" s="353"/>
      <c r="C34" s="183"/>
      <c r="D34" s="2680">
        <v>94244</v>
      </c>
      <c r="E34" s="1769" t="s">
        <v>1754</v>
      </c>
      <c r="F34" s="1768">
        <v>98</v>
      </c>
      <c r="G34" s="2681">
        <v>98</v>
      </c>
      <c r="H34" s="2587" t="s">
        <v>2430</v>
      </c>
      <c r="I34" s="2682">
        <v>100</v>
      </c>
      <c r="J34" s="3104"/>
      <c r="K34" s="2683">
        <v>30000</v>
      </c>
      <c r="L34" s="2597">
        <v>0</v>
      </c>
      <c r="M34" s="2597">
        <v>0</v>
      </c>
      <c r="N34" s="2597">
        <v>0</v>
      </c>
      <c r="O34" s="2597">
        <v>0</v>
      </c>
      <c r="P34" s="2597">
        <v>0</v>
      </c>
      <c r="Q34" s="2597">
        <f t="shared" si="6"/>
        <v>0</v>
      </c>
      <c r="R34" s="2684">
        <v>29534</v>
      </c>
      <c r="V34" s="490">
        <v>226287</v>
      </c>
    </row>
    <row r="35" spans="1:22" s="487" customFormat="1" ht="26.25" customHeight="1" thickBot="1">
      <c r="A35" s="1218"/>
      <c r="C35" s="1048"/>
      <c r="D35" s="2680">
        <v>94245</v>
      </c>
      <c r="E35" s="1765" t="s">
        <v>1752</v>
      </c>
      <c r="F35" s="1764">
        <v>100</v>
      </c>
      <c r="G35" s="1763">
        <v>93</v>
      </c>
      <c r="H35" s="2579" t="s">
        <v>2430</v>
      </c>
      <c r="I35" s="2579">
        <v>75</v>
      </c>
      <c r="J35" s="3104"/>
      <c r="K35" s="1762">
        <v>851262</v>
      </c>
      <c r="L35" s="1761">
        <v>156444</v>
      </c>
      <c r="M35" s="1761">
        <v>404428</v>
      </c>
      <c r="N35" s="1761">
        <v>0</v>
      </c>
      <c r="O35" s="1761">
        <v>0</v>
      </c>
      <c r="P35" s="2597">
        <v>-73142</v>
      </c>
      <c r="Q35" s="2597">
        <f t="shared" si="6"/>
        <v>487730</v>
      </c>
      <c r="R35" s="2685">
        <v>979540</v>
      </c>
      <c r="V35" s="491">
        <v>2038</v>
      </c>
    </row>
    <row r="36" spans="1:22" s="1745" customFormat="1" ht="26.25" customHeight="1" thickBot="1">
      <c r="A36" s="353"/>
      <c r="C36" s="183"/>
      <c r="D36" s="2686"/>
      <c r="E36" s="2687" t="s">
        <v>1755</v>
      </c>
      <c r="F36" s="3100"/>
      <c r="G36" s="3101"/>
      <c r="H36" s="3101"/>
      <c r="I36" s="3102"/>
      <c r="J36" s="2688"/>
      <c r="K36" s="2689">
        <f>SUM(K30:K35)</f>
        <v>3787574</v>
      </c>
      <c r="L36" s="1772">
        <f>SUM(L30:L35)</f>
        <v>204761</v>
      </c>
      <c r="M36" s="1772">
        <f t="shared" ref="M36:R36" si="7">SUM(M30:M35)</f>
        <v>1973181</v>
      </c>
      <c r="N36" s="1772">
        <f t="shared" si="7"/>
        <v>0</v>
      </c>
      <c r="O36" s="1772">
        <f t="shared" si="7"/>
        <v>0</v>
      </c>
      <c r="P36" s="1772">
        <f t="shared" si="7"/>
        <v>-293045</v>
      </c>
      <c r="Q36" s="1772">
        <f t="shared" si="7"/>
        <v>1884897</v>
      </c>
      <c r="R36" s="1771">
        <f t="shared" si="7"/>
        <v>3793541</v>
      </c>
      <c r="S36" s="386"/>
      <c r="V36" s="492">
        <f>SUM(V28:V35)</f>
        <v>3962690</v>
      </c>
    </row>
    <row r="37" spans="1:22" s="2670" customFormat="1" ht="31.5" customHeight="1" thickBot="1">
      <c r="A37" s="353"/>
      <c r="C37" s="183" t="s">
        <v>2523</v>
      </c>
      <c r="D37" s="2691" t="s">
        <v>2522</v>
      </c>
      <c r="E37" s="2692"/>
      <c r="F37" s="2690"/>
      <c r="G37" s="2690"/>
      <c r="H37" s="2690"/>
      <c r="I37" s="2690"/>
      <c r="J37" s="2690"/>
      <c r="K37" s="2690"/>
      <c r="L37" s="2690"/>
      <c r="M37" s="2690"/>
      <c r="N37" s="2690"/>
      <c r="O37" s="2690"/>
      <c r="P37" s="2690"/>
      <c r="Q37" s="2690"/>
      <c r="R37" s="2690"/>
      <c r="S37" s="386"/>
      <c r="V37" s="496"/>
    </row>
    <row r="38" spans="1:22" s="2670" customFormat="1" ht="31.5" customHeight="1">
      <c r="A38" s="353"/>
      <c r="C38" s="183"/>
      <c r="D38" s="2700"/>
      <c r="E38" s="2707" t="s">
        <v>2524</v>
      </c>
      <c r="F38" s="2701"/>
      <c r="G38" s="2701"/>
      <c r="H38" s="2701"/>
      <c r="I38" s="2701"/>
      <c r="J38" s="2706" t="s">
        <v>2525</v>
      </c>
      <c r="K38" s="1779">
        <v>810000</v>
      </c>
      <c r="L38" s="1778">
        <v>0</v>
      </c>
      <c r="M38" s="1778">
        <v>0</v>
      </c>
      <c r="N38" s="1778">
        <v>0</v>
      </c>
      <c r="O38" s="1778">
        <v>0</v>
      </c>
      <c r="P38" s="2701"/>
      <c r="Q38" s="2701"/>
      <c r="R38" s="2702"/>
      <c r="S38" s="386"/>
      <c r="V38" s="496"/>
    </row>
    <row r="39" spans="1:22" s="2670" customFormat="1" ht="26.25" customHeight="1" thickBot="1">
      <c r="A39" s="353"/>
      <c r="C39" s="183"/>
      <c r="D39" s="2703"/>
      <c r="E39" s="2704" t="s">
        <v>2526</v>
      </c>
      <c r="F39" s="1794"/>
      <c r="G39" s="1794"/>
      <c r="H39" s="1794"/>
      <c r="I39" s="1794"/>
      <c r="J39" s="2705"/>
      <c r="K39" s="1793">
        <f>SUM(K38)</f>
        <v>810000</v>
      </c>
      <c r="L39" s="1792">
        <v>0</v>
      </c>
      <c r="M39" s="1792">
        <v>0</v>
      </c>
      <c r="N39" s="1792">
        <v>0</v>
      </c>
      <c r="O39" s="1792">
        <v>0</v>
      </c>
      <c r="P39" s="1792"/>
      <c r="Q39" s="1792"/>
      <c r="R39" s="1791"/>
      <c r="S39" s="386"/>
      <c r="V39" s="496"/>
    </row>
    <row r="40" spans="1:22" s="1745" customFormat="1" ht="26.25" customHeight="1">
      <c r="A40" s="353"/>
      <c r="D40" s="2693"/>
      <c r="E40" s="2694" t="s">
        <v>1718</v>
      </c>
      <c r="F40" s="2695"/>
      <c r="G40" s="2695"/>
      <c r="H40" s="2696"/>
      <c r="I40" s="2696"/>
      <c r="J40" s="2697"/>
      <c r="K40" s="2698">
        <f>K36+K28+K18+K39</f>
        <v>40588818</v>
      </c>
      <c r="L40" s="2698">
        <f t="shared" ref="L40:R40" si="8">L36+L28+L18</f>
        <v>6169732</v>
      </c>
      <c r="M40" s="2698">
        <f t="shared" si="8"/>
        <v>6700689</v>
      </c>
      <c r="N40" s="2698">
        <f t="shared" si="8"/>
        <v>10610</v>
      </c>
      <c r="O40" s="2698">
        <f t="shared" si="8"/>
        <v>-408966</v>
      </c>
      <c r="P40" s="2698">
        <f t="shared" si="8"/>
        <v>-1970105</v>
      </c>
      <c r="Q40" s="2698">
        <f t="shared" si="8"/>
        <v>10501960</v>
      </c>
      <c r="R40" s="2699">
        <f t="shared" si="8"/>
        <v>37450535</v>
      </c>
    </row>
    <row r="41" spans="1:22" s="1745" customFormat="1" ht="26.25" customHeight="1">
      <c r="A41" s="353"/>
      <c r="D41" s="1755"/>
      <c r="E41" s="1757" t="s">
        <v>1774</v>
      </c>
      <c r="F41" s="1756"/>
      <c r="G41" s="1756"/>
      <c r="H41" s="2581"/>
      <c r="I41" s="2581"/>
      <c r="J41" s="1758"/>
      <c r="K41" s="1756"/>
      <c r="L41" s="1756">
        <v>-2853920</v>
      </c>
      <c r="M41" s="1756">
        <v>2086024</v>
      </c>
      <c r="N41" s="1756"/>
      <c r="O41" s="1756">
        <v>0</v>
      </c>
      <c r="P41" s="1756">
        <v>0</v>
      </c>
      <c r="Q41" s="1756">
        <v>-767896</v>
      </c>
      <c r="R41" s="1756"/>
      <c r="V41" s="497">
        <v>19802146</v>
      </c>
    </row>
    <row r="42" spans="1:22" s="1745" customFormat="1" ht="26.25" customHeight="1">
      <c r="A42" s="353"/>
      <c r="D42" s="1755"/>
      <c r="E42" s="1754" t="s">
        <v>1798</v>
      </c>
      <c r="F42" s="1750"/>
      <c r="G42" s="1750"/>
      <c r="H42" s="2580"/>
      <c r="I42" s="2580"/>
      <c r="J42" s="1750"/>
      <c r="K42" s="1753">
        <f>K41+K40</f>
        <v>40588818</v>
      </c>
      <c r="L42" s="1753">
        <f>L41+L40</f>
        <v>3315812</v>
      </c>
      <c r="M42" s="1753">
        <f>M41+M40</f>
        <v>8786713</v>
      </c>
      <c r="N42" s="1753">
        <f t="shared" ref="N42:P42" si="9">N41+N40</f>
        <v>10610</v>
      </c>
      <c r="O42" s="1753">
        <f t="shared" si="9"/>
        <v>-408966</v>
      </c>
      <c r="P42" s="1753">
        <f t="shared" si="9"/>
        <v>-1970105</v>
      </c>
      <c r="Q42" s="1753">
        <f>Q40+Q41</f>
        <v>9734064</v>
      </c>
      <c r="R42" s="1753">
        <f>R40+R41</f>
        <v>37450535</v>
      </c>
      <c r="V42" s="497"/>
    </row>
    <row r="43" spans="1:22" s="1745" customFormat="1" ht="26.25" customHeight="1">
      <c r="A43" s="353"/>
      <c r="D43" s="1755"/>
      <c r="E43" s="1757" t="s">
        <v>1799</v>
      </c>
      <c r="F43" s="1756"/>
      <c r="G43" s="1756"/>
      <c r="H43" s="2581"/>
      <c r="I43" s="2581"/>
      <c r="J43" s="1758"/>
      <c r="K43" s="1756">
        <v>76022027</v>
      </c>
      <c r="L43" s="1756">
        <v>17789125</v>
      </c>
      <c r="M43" s="1756">
        <v>30512621</v>
      </c>
      <c r="N43" s="1756">
        <v>-4156193</v>
      </c>
      <c r="O43" s="1756">
        <v>0</v>
      </c>
      <c r="P43" s="1756">
        <v>-8650260</v>
      </c>
      <c r="Q43" s="1756">
        <f>L43+M43+N43+O43+P43</f>
        <v>35495293</v>
      </c>
      <c r="R43" s="1756">
        <v>80587022</v>
      </c>
      <c r="V43" s="497"/>
    </row>
    <row r="44" spans="1:22" s="1745" customFormat="1" ht="26.25" customHeight="1">
      <c r="A44" s="353"/>
      <c r="D44" s="1755"/>
      <c r="E44" s="1757" t="s">
        <v>2026</v>
      </c>
      <c r="F44" s="1756"/>
      <c r="G44" s="1756"/>
      <c r="H44" s="2581"/>
      <c r="I44" s="2581"/>
      <c r="J44" s="1756"/>
      <c r="K44" s="1756"/>
      <c r="L44" s="1756">
        <v>-8903670</v>
      </c>
      <c r="M44" s="1756">
        <v>0</v>
      </c>
      <c r="N44" s="1756">
        <v>4156193</v>
      </c>
      <c r="O44" s="1756"/>
      <c r="P44" s="1756"/>
      <c r="Q44" s="1756">
        <f>N44+L44</f>
        <v>-4747477</v>
      </c>
      <c r="R44" s="1756">
        <f>Q44</f>
        <v>-4747477</v>
      </c>
      <c r="V44" s="497"/>
    </row>
    <row r="45" spans="1:22" s="2595" customFormat="1" ht="26.25" customHeight="1">
      <c r="A45" s="353"/>
      <c r="D45" s="2596"/>
      <c r="E45" s="1757" t="s">
        <v>2446</v>
      </c>
      <c r="F45" s="2597"/>
      <c r="G45" s="2597"/>
      <c r="H45" s="2598"/>
      <c r="I45" s="2598"/>
      <c r="J45" s="2597"/>
      <c r="K45" s="2597"/>
      <c r="L45" s="2597">
        <v>6719938</v>
      </c>
      <c r="M45" s="2597">
        <v>6291484</v>
      </c>
      <c r="N45" s="2597">
        <v>-6719938</v>
      </c>
      <c r="O45" s="2597"/>
      <c r="P45" s="2597"/>
      <c r="Q45" s="2597">
        <f>M45</f>
        <v>6291484</v>
      </c>
      <c r="R45" s="2597">
        <f>Q45</f>
        <v>6291484</v>
      </c>
      <c r="V45" s="497"/>
    </row>
    <row r="46" spans="1:22" s="1745" customFormat="1" ht="26.25" customHeight="1">
      <c r="A46" s="353"/>
      <c r="D46" s="1755">
        <v>3200</v>
      </c>
      <c r="E46" s="1754" t="s">
        <v>1775</v>
      </c>
      <c r="F46" s="1753"/>
      <c r="G46" s="1750"/>
      <c r="H46" s="2580"/>
      <c r="I46" s="2580"/>
      <c r="J46" s="1750"/>
      <c r="K46" s="1753">
        <v>76022027</v>
      </c>
      <c r="L46" s="1753">
        <f>L43+L44+L45</f>
        <v>15605393</v>
      </c>
      <c r="M46" s="1753">
        <f>M43+M44+M45</f>
        <v>36804105</v>
      </c>
      <c r="N46" s="1753">
        <f t="shared" ref="N46:P46" si="10">N43+N44</f>
        <v>0</v>
      </c>
      <c r="O46" s="1753">
        <f t="shared" si="10"/>
        <v>0</v>
      </c>
      <c r="P46" s="1753">
        <f t="shared" si="10"/>
        <v>-8650260</v>
      </c>
      <c r="Q46" s="1753">
        <f>Q43+Q44+Q45</f>
        <v>37039300</v>
      </c>
      <c r="R46" s="1753">
        <f>R43+R44+R45</f>
        <v>82131029</v>
      </c>
      <c r="V46" s="497"/>
    </row>
    <row r="47" spans="1:22" s="1745" customFormat="1" ht="39" customHeight="1">
      <c r="A47" s="353"/>
      <c r="D47" s="1752"/>
      <c r="E47" s="1751" t="s">
        <v>1717</v>
      </c>
      <c r="F47" s="1748"/>
      <c r="G47" s="1750"/>
      <c r="H47" s="2580"/>
      <c r="I47" s="2580"/>
      <c r="J47" s="1749"/>
      <c r="K47" s="1748">
        <f t="shared" ref="K47:P47" si="11">K40+K41+K46</f>
        <v>116610845</v>
      </c>
      <c r="L47" s="1748">
        <f>L40+L41+L46</f>
        <v>18921205</v>
      </c>
      <c r="M47" s="1748">
        <f t="shared" si="11"/>
        <v>45590818</v>
      </c>
      <c r="N47" s="1748">
        <f>N40+N41+N46+N45</f>
        <v>-6709328</v>
      </c>
      <c r="O47" s="1748">
        <f>O40+O41+O46</f>
        <v>-408966</v>
      </c>
      <c r="P47" s="1748">
        <f t="shared" si="11"/>
        <v>-10620365</v>
      </c>
      <c r="Q47" s="1748">
        <f>Q42+Q46</f>
        <v>46773364</v>
      </c>
      <c r="R47" s="1748">
        <f>R46+R42</f>
        <v>119581564</v>
      </c>
    </row>
    <row r="48" spans="1:22" ht="72" customHeight="1">
      <c r="D48" s="3084" t="s">
        <v>2166</v>
      </c>
      <c r="E48" s="3085"/>
      <c r="F48" s="3085"/>
      <c r="G48" s="3085"/>
      <c r="H48" s="3085"/>
      <c r="I48" s="3085"/>
      <c r="J48" s="3085"/>
      <c r="K48" s="3085"/>
      <c r="L48" s="3085"/>
      <c r="M48" s="3085"/>
      <c r="N48" s="3085"/>
      <c r="O48" s="3085"/>
      <c r="P48" s="3085"/>
      <c r="Q48" s="3085"/>
      <c r="R48" s="3085"/>
    </row>
    <row r="49" spans="5:5">
      <c r="E49" s="1059"/>
    </row>
  </sheetData>
  <mergeCells count="24">
    <mergeCell ref="D48:R48"/>
    <mergeCell ref="M6:P6"/>
    <mergeCell ref="O9:P9"/>
    <mergeCell ref="M9:M10"/>
    <mergeCell ref="E8:E10"/>
    <mergeCell ref="D8:D10"/>
    <mergeCell ref="J8:J10"/>
    <mergeCell ref="H8:I9"/>
    <mergeCell ref="F18:I18"/>
    <mergeCell ref="F28:I28"/>
    <mergeCell ref="F36:I36"/>
    <mergeCell ref="J11:J17"/>
    <mergeCell ref="J20:J27"/>
    <mergeCell ref="J30:J35"/>
    <mergeCell ref="D1:R1"/>
    <mergeCell ref="D2:R2"/>
    <mergeCell ref="D3:R3"/>
    <mergeCell ref="K8:K10"/>
    <mergeCell ref="R8:R10"/>
    <mergeCell ref="L9:L10"/>
    <mergeCell ref="Q9:Q10"/>
    <mergeCell ref="L8:Q8"/>
    <mergeCell ref="N9:N10"/>
    <mergeCell ref="F8:G9"/>
  </mergeCells>
  <printOptions horizontalCentered="1" verticalCentered="1"/>
  <pageMargins left="0.17" right="0.17" top="0.17" bottom="0.15748031496062992" header="0.17" footer="0.17"/>
  <pageSetup paperSize="9" scale="42"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pageSetUpPr fitToPage="1"/>
  </sheetPr>
  <dimension ref="A1:BT49"/>
  <sheetViews>
    <sheetView rightToLeft="1" view="pageBreakPreview" topLeftCell="B1" zoomScale="70" zoomScaleNormal="89" zoomScaleSheetLayoutView="70" workbookViewId="0">
      <selection activeCell="U8" sqref="U8"/>
    </sheetView>
  </sheetViews>
  <sheetFormatPr defaultColWidth="1.375" defaultRowHeight="26.25"/>
  <cols>
    <col min="1" max="1" width="5.5" style="890" hidden="1" customWidth="1"/>
    <col min="2" max="2" width="9.875" style="255" customWidth="1"/>
    <col min="3" max="3" width="10.375" style="255" customWidth="1"/>
    <col min="4" max="4" width="1.25" style="255" customWidth="1"/>
    <col min="5" max="5" width="48.875" style="255" customWidth="1"/>
    <col min="6" max="6" width="1.25" style="255" customWidth="1"/>
    <col min="7" max="7" width="15.75" style="255" customWidth="1"/>
    <col min="8" max="8" width="2.5" style="255" customWidth="1"/>
    <col min="9" max="9" width="15.75" style="255" customWidth="1"/>
    <col min="10" max="10" width="5.625" style="255" customWidth="1"/>
    <col min="11" max="11" width="16" style="255" customWidth="1"/>
    <col min="12" max="12" width="3.625" style="255" customWidth="1"/>
    <col min="13" max="13" width="16.875" style="255" customWidth="1"/>
    <col min="14" max="14" width="3" style="255" customWidth="1"/>
    <col min="15" max="15" width="13.5" style="255" customWidth="1"/>
    <col min="16" max="16" width="2.375" style="255" customWidth="1"/>
    <col min="17" max="17" width="15" style="255" customWidth="1"/>
    <col min="18" max="19" width="19.875" style="1053" hidden="1" customWidth="1"/>
    <col min="20" max="20" width="1.625" style="255" customWidth="1"/>
    <col min="21" max="21" width="19.875" style="255" customWidth="1"/>
    <col min="22" max="16384" width="1.375" style="255"/>
  </cols>
  <sheetData>
    <row r="1" spans="1:21" s="254" customFormat="1" ht="42.75" customHeight="1">
      <c r="A1" s="3110" t="s">
        <v>612</v>
      </c>
      <c r="B1" s="3110"/>
      <c r="C1" s="3110"/>
      <c r="D1" s="3110"/>
      <c r="E1" s="3110"/>
      <c r="F1" s="3110"/>
      <c r="G1" s="3110"/>
      <c r="H1" s="3110"/>
      <c r="I1" s="3110"/>
      <c r="J1" s="3110"/>
      <c r="K1" s="3110"/>
      <c r="L1" s="3110"/>
      <c r="M1" s="3110"/>
      <c r="N1" s="3110"/>
      <c r="O1" s="3110"/>
      <c r="P1" s="3110"/>
      <c r="Q1" s="3110"/>
      <c r="R1" s="3110"/>
      <c r="S1" s="3110"/>
      <c r="T1" s="3110"/>
      <c r="U1" s="3110"/>
    </row>
    <row r="2" spans="1:21" s="254" customFormat="1" ht="43.5" customHeight="1">
      <c r="A2" s="3110" t="s">
        <v>1515</v>
      </c>
      <c r="B2" s="3110"/>
      <c r="C2" s="3110"/>
      <c r="D2" s="3110"/>
      <c r="E2" s="3110"/>
      <c r="F2" s="3110"/>
      <c r="G2" s="3110"/>
      <c r="H2" s="3110"/>
      <c r="I2" s="3110"/>
      <c r="J2" s="3110"/>
      <c r="K2" s="3110"/>
      <c r="L2" s="3110"/>
      <c r="M2" s="3110"/>
      <c r="N2" s="3110"/>
      <c r="O2" s="3110"/>
      <c r="P2" s="3110"/>
      <c r="Q2" s="3110"/>
      <c r="R2" s="3110"/>
      <c r="S2" s="3110"/>
      <c r="T2" s="3110"/>
      <c r="U2" s="3110"/>
    </row>
    <row r="3" spans="1:21" s="254" customFormat="1" ht="39" customHeight="1">
      <c r="A3" s="3110" t="str">
        <f>مفروضات!A7:C7</f>
        <v xml:space="preserve"> سال مالي منتهي به 29 اسفند 1401</v>
      </c>
      <c r="B3" s="3110"/>
      <c r="C3" s="3110"/>
      <c r="D3" s="3110"/>
      <c r="E3" s="3110"/>
      <c r="F3" s="3110"/>
      <c r="G3" s="3110"/>
      <c r="H3" s="3110"/>
      <c r="I3" s="3110"/>
      <c r="J3" s="3110"/>
      <c r="K3" s="3110"/>
      <c r="L3" s="3110"/>
      <c r="M3" s="3110"/>
      <c r="N3" s="3110"/>
      <c r="O3" s="3110"/>
      <c r="P3" s="3110"/>
      <c r="Q3" s="3110"/>
      <c r="R3" s="3110"/>
      <c r="S3" s="3110"/>
      <c r="T3" s="3110"/>
      <c r="U3" s="3110"/>
    </row>
    <row r="4" spans="1:21" ht="43.5" hidden="1" customHeight="1">
      <c r="C4" s="256"/>
      <c r="D4" s="256"/>
      <c r="E4" s="256"/>
      <c r="F4" s="256"/>
      <c r="G4" s="256"/>
      <c r="H4" s="256"/>
      <c r="I4" s="256"/>
      <c r="J4" s="256"/>
      <c r="K4" s="256"/>
      <c r="L4" s="256"/>
      <c r="M4" s="256"/>
      <c r="N4" s="256"/>
      <c r="O4" s="256"/>
      <c r="P4" s="256"/>
      <c r="Q4" s="256"/>
    </row>
    <row r="5" spans="1:21" ht="43.5" customHeight="1">
      <c r="C5" s="256"/>
      <c r="D5" s="256"/>
      <c r="E5" s="256"/>
      <c r="F5" s="256"/>
      <c r="G5" s="256"/>
      <c r="H5" s="256"/>
      <c r="I5" s="256"/>
      <c r="J5" s="256"/>
      <c r="K5" s="256"/>
      <c r="L5" s="256"/>
      <c r="M5" s="256"/>
      <c r="N5" s="256"/>
      <c r="O5" s="256"/>
      <c r="P5" s="256"/>
      <c r="Q5" s="256"/>
    </row>
    <row r="6" spans="1:21" ht="39.75" customHeight="1">
      <c r="B6" s="1040" t="s">
        <v>1994</v>
      </c>
      <c r="C6" s="3111" t="s">
        <v>2492</v>
      </c>
      <c r="D6" s="3111"/>
      <c r="E6" s="3111"/>
      <c r="F6" s="3111"/>
      <c r="G6" s="3111"/>
      <c r="H6" s="3111"/>
      <c r="I6" s="3111"/>
      <c r="J6" s="3111"/>
      <c r="K6" s="3111"/>
      <c r="L6" s="3111"/>
      <c r="M6" s="3111"/>
      <c r="N6" s="3111"/>
      <c r="O6" s="3111"/>
      <c r="P6" s="3111"/>
      <c r="Q6" s="3111"/>
      <c r="R6" s="3111"/>
      <c r="S6" s="3111"/>
      <c r="T6" s="3111"/>
      <c r="U6" s="3111"/>
    </row>
    <row r="7" spans="1:21" ht="24.75" customHeight="1" thickBot="1">
      <c r="B7" s="1040"/>
      <c r="C7" s="2631"/>
      <c r="D7" s="2631"/>
      <c r="E7" s="2631"/>
      <c r="F7" s="2631"/>
      <c r="G7" s="3115">
        <v>1400</v>
      </c>
      <c r="H7" s="3115"/>
      <c r="I7" s="3115"/>
      <c r="J7" s="2639"/>
      <c r="K7" s="3115">
        <v>1401</v>
      </c>
      <c r="L7" s="3115"/>
      <c r="M7" s="3115"/>
      <c r="N7" s="3115"/>
      <c r="O7" s="3115"/>
      <c r="P7" s="3115"/>
      <c r="Q7" s="3115"/>
      <c r="R7" s="2641"/>
      <c r="S7" s="2641"/>
      <c r="T7" s="2641" t="s">
        <v>2694</v>
      </c>
      <c r="U7" s="2641" t="s">
        <v>2695</v>
      </c>
    </row>
    <row r="8" spans="1:21" ht="81.75" customHeight="1" thickBot="1">
      <c r="C8" s="1041" t="s">
        <v>671</v>
      </c>
      <c r="D8" s="1042"/>
      <c r="E8" s="1047" t="s">
        <v>62</v>
      </c>
      <c r="F8" s="1054"/>
      <c r="G8" s="2633" t="s">
        <v>2493</v>
      </c>
      <c r="H8" s="2633"/>
      <c r="I8" s="2633" t="s">
        <v>2494</v>
      </c>
      <c r="J8" s="1054"/>
      <c r="K8" s="2633" t="s">
        <v>2496</v>
      </c>
      <c r="L8" s="2630"/>
      <c r="M8" s="2633" t="s">
        <v>2494</v>
      </c>
      <c r="N8" s="2633"/>
      <c r="O8" s="2633" t="s">
        <v>2497</v>
      </c>
      <c r="P8" s="2640"/>
      <c r="Q8" s="2633" t="s">
        <v>2491</v>
      </c>
      <c r="R8" s="3112" t="s">
        <v>1720</v>
      </c>
      <c r="S8" s="3112"/>
      <c r="T8" s="1054"/>
      <c r="U8" s="2630" t="s">
        <v>2495</v>
      </c>
    </row>
    <row r="9" spans="1:21" ht="36.75" customHeight="1">
      <c r="C9" s="257"/>
      <c r="D9" s="257"/>
      <c r="E9" s="258"/>
      <c r="F9" s="258"/>
      <c r="G9" s="259"/>
      <c r="H9" s="259"/>
      <c r="I9" s="259"/>
      <c r="J9" s="259"/>
      <c r="K9" s="259"/>
      <c r="L9" s="259"/>
      <c r="M9" s="2636"/>
      <c r="N9" s="2636"/>
      <c r="O9" s="2637"/>
      <c r="P9" s="2638"/>
      <c r="Q9" s="2638"/>
      <c r="U9" s="2637"/>
    </row>
    <row r="10" spans="1:21" ht="37.5" customHeight="1">
      <c r="C10" s="261">
        <v>3344</v>
      </c>
      <c r="D10" s="268"/>
      <c r="E10" s="263" t="s">
        <v>766</v>
      </c>
      <c r="F10" s="263"/>
      <c r="G10" s="265"/>
      <c r="H10" s="265"/>
      <c r="I10" s="265"/>
      <c r="J10" s="265"/>
      <c r="K10" s="265"/>
      <c r="L10" s="265"/>
      <c r="M10" s="2634"/>
      <c r="N10" s="2634"/>
      <c r="O10" s="2635"/>
      <c r="P10" s="2635"/>
      <c r="Q10" s="2635"/>
      <c r="R10" s="2608"/>
      <c r="S10" s="2608"/>
      <c r="T10" s="1747"/>
      <c r="U10" s="1747"/>
    </row>
    <row r="11" spans="1:21" ht="37.5" customHeight="1">
      <c r="C11" s="261"/>
      <c r="D11" s="268"/>
      <c r="E11" s="263" t="s">
        <v>1042</v>
      </c>
      <c r="F11" s="263"/>
      <c r="G11" s="265">
        <v>1863014</v>
      </c>
      <c r="H11" s="265"/>
      <c r="I11" s="265">
        <v>-1049608</v>
      </c>
      <c r="J11" s="265"/>
      <c r="K11" s="265">
        <v>1972514</v>
      </c>
      <c r="L11" s="265"/>
      <c r="M11" s="265">
        <v>-1049608</v>
      </c>
      <c r="N11" s="265"/>
      <c r="O11" s="265">
        <v>26</v>
      </c>
      <c r="P11" s="265"/>
      <c r="Q11" s="265">
        <v>0</v>
      </c>
      <c r="R11" s="1053">
        <v>191631</v>
      </c>
      <c r="U11" s="265">
        <f>Q11+O11+M11+K11+I11+G11</f>
        <v>1736338</v>
      </c>
    </row>
    <row r="12" spans="1:21" ht="37.5" customHeight="1">
      <c r="C12" s="261"/>
      <c r="D12" s="268"/>
      <c r="E12" s="263" t="s">
        <v>1043</v>
      </c>
      <c r="F12" s="263"/>
      <c r="G12" s="266">
        <v>4682</v>
      </c>
      <c r="H12" s="265"/>
      <c r="I12" s="266">
        <v>0</v>
      </c>
      <c r="J12" s="265"/>
      <c r="K12" s="266">
        <v>0</v>
      </c>
      <c r="L12" s="265"/>
      <c r="M12" s="266">
        <v>0</v>
      </c>
      <c r="N12" s="265"/>
      <c r="O12" s="266">
        <v>0</v>
      </c>
      <c r="P12" s="265"/>
      <c r="Q12" s="266">
        <v>0</v>
      </c>
      <c r="R12" s="1055"/>
      <c r="S12" s="1056"/>
      <c r="U12" s="266">
        <f>G12+K12+M12+O12</f>
        <v>4682</v>
      </c>
    </row>
    <row r="13" spans="1:21" ht="37.5" customHeight="1">
      <c r="C13" s="261"/>
      <c r="D13" s="268"/>
      <c r="E13" s="267"/>
      <c r="F13" s="267"/>
      <c r="G13" s="265">
        <f>SUM(G11:G12)</f>
        <v>1867696</v>
      </c>
      <c r="H13" s="265"/>
      <c r="I13" s="265">
        <f>SUM(I11:I12)</f>
        <v>-1049608</v>
      </c>
      <c r="J13" s="265"/>
      <c r="K13" s="265">
        <f>SUM(K11:K12)</f>
        <v>1972514</v>
      </c>
      <c r="L13" s="265"/>
      <c r="M13" s="265">
        <f>SUM(M11:M12)</f>
        <v>-1049608</v>
      </c>
      <c r="N13" s="265"/>
      <c r="O13" s="265">
        <f>SUM(O11:O12)</f>
        <v>26</v>
      </c>
      <c r="P13" s="265"/>
      <c r="Q13" s="265">
        <f>SUM(Q11:Q12)</f>
        <v>0</v>
      </c>
      <c r="S13" s="1053">
        <f>R11+R12</f>
        <v>191631</v>
      </c>
      <c r="U13" s="265">
        <f>Q13+O13+M13+K13+I13+G13</f>
        <v>1741020</v>
      </c>
    </row>
    <row r="14" spans="1:21" ht="37.5" customHeight="1">
      <c r="C14" s="261">
        <v>3345</v>
      </c>
      <c r="D14" s="268"/>
      <c r="E14" s="263" t="s">
        <v>767</v>
      </c>
      <c r="F14" s="263"/>
      <c r="G14" s="265"/>
      <c r="H14" s="265"/>
      <c r="I14" s="265"/>
      <c r="J14" s="265"/>
      <c r="K14" s="265"/>
      <c r="L14" s="265"/>
      <c r="M14" s="264"/>
      <c r="N14" s="264"/>
      <c r="O14" s="265"/>
      <c r="P14" s="265"/>
      <c r="Q14" s="265"/>
      <c r="U14" s="265"/>
    </row>
    <row r="15" spans="1:21" ht="37.5" hidden="1" customHeight="1">
      <c r="C15" s="261"/>
      <c r="D15" s="268"/>
      <c r="E15" s="263" t="s">
        <v>1710</v>
      </c>
      <c r="F15" s="263"/>
      <c r="G15" s="265"/>
      <c r="H15" s="265"/>
      <c r="I15" s="265"/>
      <c r="J15" s="265"/>
      <c r="K15" s="265"/>
      <c r="L15" s="265"/>
      <c r="M15" s="264"/>
      <c r="N15" s="264"/>
      <c r="O15" s="265">
        <v>0</v>
      </c>
      <c r="P15" s="265"/>
      <c r="Q15" s="265"/>
      <c r="R15" s="1053">
        <v>40966</v>
      </c>
      <c r="U15" s="265"/>
    </row>
    <row r="16" spans="1:21" ht="37.5" customHeight="1">
      <c r="A16" s="1068" t="s">
        <v>2179</v>
      </c>
      <c r="C16" s="261"/>
      <c r="D16" s="268"/>
      <c r="E16" s="263" t="s">
        <v>1044</v>
      </c>
      <c r="F16" s="263"/>
      <c r="G16" s="266">
        <v>2943388</v>
      </c>
      <c r="H16" s="265"/>
      <c r="I16" s="266">
        <v>-998270</v>
      </c>
      <c r="J16" s="265"/>
      <c r="K16" s="266">
        <v>5966615</v>
      </c>
      <c r="L16" s="265"/>
      <c r="M16" s="266">
        <v>-998270</v>
      </c>
      <c r="N16" s="265"/>
      <c r="O16" s="266">
        <v>1974910</v>
      </c>
      <c r="P16" s="265"/>
      <c r="Q16" s="266">
        <v>0</v>
      </c>
      <c r="U16" s="266">
        <f>Q16+O16+M16+K16+I16+G16</f>
        <v>8888373</v>
      </c>
    </row>
    <row r="17" spans="2:23" ht="37.5" customHeight="1">
      <c r="C17" s="261"/>
      <c r="D17" s="268"/>
      <c r="E17" s="267"/>
      <c r="F17" s="267"/>
      <c r="G17" s="265">
        <f>SUM(G16)</f>
        <v>2943388</v>
      </c>
      <c r="H17" s="265"/>
      <c r="I17" s="265">
        <f>SUM(I16)</f>
        <v>-998270</v>
      </c>
      <c r="J17" s="265"/>
      <c r="K17" s="265">
        <f>SUM(K16)</f>
        <v>5966615</v>
      </c>
      <c r="L17" s="265"/>
      <c r="M17" s="265">
        <f>SUM(M16)</f>
        <v>-998270</v>
      </c>
      <c r="N17" s="264"/>
      <c r="O17" s="265">
        <f>SUM(O15:O16)</f>
        <v>1974910</v>
      </c>
      <c r="P17" s="265"/>
      <c r="Q17" s="265">
        <v>0</v>
      </c>
      <c r="S17" s="1053" t="e">
        <f>R15+R16+#REF!+#REF!</f>
        <v>#REF!</v>
      </c>
      <c r="U17" s="265">
        <f>Q17+O17+M17+K17+I17+G17</f>
        <v>8888373</v>
      </c>
    </row>
    <row r="18" spans="2:23" ht="37.5" hidden="1" customHeight="1">
      <c r="C18" s="1046"/>
      <c r="D18" s="268"/>
      <c r="E18" s="267"/>
      <c r="F18" s="267"/>
      <c r="G18" s="265"/>
      <c r="H18" s="265"/>
      <c r="I18" s="265"/>
      <c r="J18" s="265"/>
      <c r="K18" s="265"/>
      <c r="L18" s="265"/>
      <c r="M18" s="264"/>
      <c r="N18" s="264"/>
      <c r="O18" s="265"/>
      <c r="P18" s="265"/>
      <c r="Q18" s="265"/>
      <c r="U18" s="265"/>
    </row>
    <row r="19" spans="2:23" ht="37.5" customHeight="1">
      <c r="C19" s="1046">
        <v>8616</v>
      </c>
      <c r="D19" s="268"/>
      <c r="E19" s="263" t="s">
        <v>768</v>
      </c>
      <c r="F19" s="263"/>
      <c r="G19" s="265">
        <v>4209017</v>
      </c>
      <c r="H19" s="265"/>
      <c r="I19" s="265">
        <v>0</v>
      </c>
      <c r="J19" s="265"/>
      <c r="K19" s="265">
        <v>431099</v>
      </c>
      <c r="L19" s="265"/>
      <c r="M19" s="265">
        <v>0</v>
      </c>
      <c r="N19" s="1043"/>
      <c r="O19" s="265">
        <v>99560</v>
      </c>
      <c r="P19" s="265"/>
      <c r="Q19" s="265">
        <v>0</v>
      </c>
      <c r="U19" s="265">
        <f>Q19+O19+M19+K19+I19+G19</f>
        <v>4739676</v>
      </c>
    </row>
    <row r="20" spans="2:23" ht="37.5" customHeight="1">
      <c r="C20" s="1046">
        <v>2055</v>
      </c>
      <c r="D20" s="268"/>
      <c r="E20" s="263" t="s">
        <v>2420</v>
      </c>
      <c r="F20" s="263"/>
      <c r="G20" s="265">
        <v>2195274</v>
      </c>
      <c r="H20" s="265"/>
      <c r="I20" s="265">
        <v>-1896777</v>
      </c>
      <c r="J20" s="265"/>
      <c r="K20" s="265">
        <v>18843577</v>
      </c>
      <c r="L20" s="265"/>
      <c r="M20" s="265">
        <v>-1896777</v>
      </c>
      <c r="N20" s="264"/>
      <c r="O20" s="265">
        <v>4168550</v>
      </c>
      <c r="P20" s="265"/>
      <c r="Q20" s="265">
        <v>0</v>
      </c>
      <c r="R20" s="1053">
        <v>815599</v>
      </c>
      <c r="U20" s="265">
        <f>Q20+O20+M20+K20+I20+G20</f>
        <v>21413847</v>
      </c>
    </row>
    <row r="21" spans="2:23" ht="37.5" customHeight="1">
      <c r="C21" s="1046">
        <v>1153</v>
      </c>
      <c r="D21" s="262"/>
      <c r="E21" s="263" t="s">
        <v>2490</v>
      </c>
      <c r="F21" s="263"/>
      <c r="G21" s="265">
        <v>5675448</v>
      </c>
      <c r="H21" s="265"/>
      <c r="I21" s="265">
        <v>-4156193</v>
      </c>
      <c r="J21" s="265"/>
      <c r="K21" s="265">
        <v>7186455</v>
      </c>
      <c r="L21" s="265"/>
      <c r="M21" s="265">
        <v>0</v>
      </c>
      <c r="N21" s="264"/>
      <c r="O21" s="265">
        <v>0</v>
      </c>
      <c r="P21" s="265"/>
      <c r="Q21" s="265">
        <v>-8593667</v>
      </c>
      <c r="U21" s="265">
        <f>Q21+O21+M21+K21+I21+G21</f>
        <v>112043</v>
      </c>
    </row>
    <row r="22" spans="2:23" ht="37.5" hidden="1" customHeight="1">
      <c r="C22" s="269"/>
      <c r="D22" s="262"/>
      <c r="E22" s="263"/>
      <c r="F22" s="263"/>
      <c r="G22" s="265"/>
      <c r="H22" s="265"/>
      <c r="I22" s="265"/>
      <c r="J22" s="265"/>
      <c r="K22" s="265"/>
      <c r="L22" s="265"/>
      <c r="M22" s="265"/>
      <c r="N22" s="264"/>
      <c r="O22" s="265"/>
      <c r="P22" s="265"/>
      <c r="Q22" s="265"/>
      <c r="U22" s="265">
        <f>G22+K22+M22+O22</f>
        <v>0</v>
      </c>
    </row>
    <row r="23" spans="2:23" ht="37.5" hidden="1" customHeight="1">
      <c r="C23" s="269"/>
      <c r="D23" s="262"/>
      <c r="E23" s="263"/>
      <c r="F23" s="263"/>
      <c r="G23" s="265"/>
      <c r="H23" s="265"/>
      <c r="I23" s="265"/>
      <c r="J23" s="265"/>
      <c r="K23" s="265"/>
      <c r="L23" s="265"/>
      <c r="M23" s="265"/>
      <c r="N23" s="264"/>
      <c r="O23" s="265"/>
      <c r="P23" s="265"/>
      <c r="Q23" s="265"/>
      <c r="U23" s="265">
        <f>G23+K23+M23+O23</f>
        <v>0</v>
      </c>
    </row>
    <row r="24" spans="2:23" ht="37.5" customHeight="1">
      <c r="C24" s="1046">
        <v>3041</v>
      </c>
      <c r="D24" s="262"/>
      <c r="E24" s="263" t="s">
        <v>1812</v>
      </c>
      <c r="F24" s="263"/>
      <c r="G24" s="265">
        <v>802822</v>
      </c>
      <c r="H24" s="265"/>
      <c r="I24" s="265">
        <v>-802822</v>
      </c>
      <c r="J24" s="265"/>
      <c r="K24" s="265">
        <v>802822</v>
      </c>
      <c r="L24" s="265"/>
      <c r="M24" s="265">
        <v>-802822</v>
      </c>
      <c r="N24" s="264"/>
      <c r="O24" s="265">
        <v>0</v>
      </c>
      <c r="P24" s="265"/>
      <c r="Q24" s="265"/>
      <c r="R24" s="1055">
        <v>758321</v>
      </c>
      <c r="U24" s="265">
        <f>Q24+O24+M24+K24+I24+G24</f>
        <v>0</v>
      </c>
    </row>
    <row r="25" spans="2:23" ht="37.5" customHeight="1">
      <c r="C25" s="1046">
        <v>3041</v>
      </c>
      <c r="D25" s="262"/>
      <c r="E25" s="263" t="s">
        <v>1811</v>
      </c>
      <c r="F25" s="263"/>
      <c r="G25" s="266">
        <v>95480</v>
      </c>
      <c r="H25" s="265"/>
      <c r="I25" s="266">
        <v>0</v>
      </c>
      <c r="J25" s="265"/>
      <c r="K25" s="266">
        <v>57016</v>
      </c>
      <c r="L25" s="265"/>
      <c r="M25" s="266">
        <v>0</v>
      </c>
      <c r="N25" s="264"/>
      <c r="O25" s="266">
        <v>48438</v>
      </c>
      <c r="P25" s="265"/>
      <c r="Q25" s="266">
        <v>-56593</v>
      </c>
      <c r="R25" s="1055">
        <v>758321</v>
      </c>
      <c r="U25" s="265">
        <f>Q25+O25+M25+K25+I25+G25</f>
        <v>144341</v>
      </c>
    </row>
    <row r="26" spans="2:23" ht="37.5" customHeight="1">
      <c r="C26" s="1046"/>
      <c r="D26" s="262"/>
      <c r="E26" s="263"/>
      <c r="F26" s="2646"/>
      <c r="G26" s="2632">
        <f>SUM(G19:G25)</f>
        <v>12978041</v>
      </c>
      <c r="H26" s="265"/>
      <c r="I26" s="2632">
        <f>SUM(I20:I25)</f>
        <v>-6855792</v>
      </c>
      <c r="J26" s="265"/>
      <c r="K26" s="266">
        <f>SUM(K19:K25)</f>
        <v>27320969</v>
      </c>
      <c r="L26" s="265"/>
      <c r="M26" s="2632">
        <f>SUM(M19:M25)</f>
        <v>-2699599</v>
      </c>
      <c r="N26" s="264"/>
      <c r="O26" s="2632">
        <f>SUM(O19:O25)</f>
        <v>4316548</v>
      </c>
      <c r="P26" s="265"/>
      <c r="Q26" s="2632">
        <f>SUM(Q21:Q25)</f>
        <v>-8650260</v>
      </c>
      <c r="S26" s="1056">
        <f>R20+R25</f>
        <v>1573920</v>
      </c>
      <c r="U26" s="2645">
        <f>Q26+O26+M26+K26+I26+G26</f>
        <v>26409907</v>
      </c>
    </row>
    <row r="27" spans="2:23" ht="37.5" customHeight="1" thickBot="1">
      <c r="C27" s="1046"/>
      <c r="D27" s="262"/>
      <c r="E27" s="263"/>
      <c r="F27" s="263"/>
      <c r="G27" s="1384">
        <f>G13+G17+G26</f>
        <v>17789125</v>
      </c>
      <c r="H27" s="1384"/>
      <c r="I27" s="1384">
        <f>I13+I17+I26</f>
        <v>-8903670</v>
      </c>
      <c r="J27" s="265"/>
      <c r="K27" s="1057">
        <f>K13+K17+K26</f>
        <v>35260098</v>
      </c>
      <c r="L27" s="1384"/>
      <c r="M27" s="1057">
        <f>M13+M17+M26</f>
        <v>-4747477</v>
      </c>
      <c r="N27" s="2642"/>
      <c r="O27" s="1057">
        <f>O13+O17+O26</f>
        <v>6291484</v>
      </c>
      <c r="P27" s="1384"/>
      <c r="Q27" s="1384">
        <f>Q26</f>
        <v>-8650260</v>
      </c>
      <c r="R27" s="2643"/>
      <c r="S27" s="2643" t="e">
        <f>S26+S18+S17+S13+#REF!</f>
        <v>#REF!</v>
      </c>
      <c r="T27" s="2644"/>
      <c r="U27" s="1384">
        <f>Q27+O27+M27+K27+I27+G27</f>
        <v>37039300</v>
      </c>
    </row>
    <row r="28" spans="2:23" ht="33" customHeight="1" thickTop="1">
      <c r="D28" s="1393"/>
      <c r="E28" s="263"/>
      <c r="F28" s="263"/>
      <c r="G28" s="265"/>
      <c r="H28" s="265"/>
      <c r="I28" s="265"/>
      <c r="J28" s="265"/>
      <c r="K28" s="265"/>
      <c r="L28" s="265"/>
      <c r="M28" s="1383"/>
      <c r="N28" s="1383"/>
      <c r="O28" s="265"/>
      <c r="P28" s="1383"/>
      <c r="Q28" s="265"/>
      <c r="R28" s="2599"/>
      <c r="S28" s="2599"/>
      <c r="T28" s="2600"/>
      <c r="U28" s="265"/>
    </row>
    <row r="29" spans="2:23" ht="33" customHeight="1">
      <c r="D29" s="1393"/>
      <c r="E29" s="263"/>
      <c r="F29" s="263"/>
      <c r="G29" s="265"/>
      <c r="H29" s="265"/>
      <c r="I29" s="265"/>
      <c r="J29" s="265"/>
      <c r="K29" s="1383"/>
      <c r="L29" s="1383"/>
      <c r="M29" s="1383"/>
      <c r="N29" s="1383"/>
      <c r="O29" s="1383"/>
      <c r="P29" s="1383"/>
      <c r="Q29" s="265"/>
      <c r="R29" s="1058"/>
      <c r="S29" s="1058"/>
      <c r="T29" s="614"/>
      <c r="U29" s="265"/>
    </row>
    <row r="30" spans="2:23" ht="35.25" customHeight="1">
      <c r="C30" s="1382"/>
      <c r="D30" s="1382"/>
      <c r="E30" s="1382"/>
      <c r="F30" s="1382"/>
      <c r="G30" s="1382"/>
      <c r="H30" s="1382"/>
      <c r="I30" s="1382"/>
      <c r="J30" s="1382"/>
      <c r="K30" s="1382"/>
      <c r="L30" s="1382"/>
      <c r="M30" s="1382"/>
      <c r="N30" s="1382"/>
      <c r="O30" s="1382"/>
      <c r="P30" s="1382"/>
      <c r="Q30" s="265"/>
      <c r="R30" s="1058"/>
      <c r="S30" s="1058"/>
      <c r="T30" s="614"/>
      <c r="U30" s="265"/>
    </row>
    <row r="31" spans="2:23" ht="35.25" customHeight="1">
      <c r="C31" s="1382"/>
      <c r="D31" s="1382"/>
      <c r="E31" s="1382"/>
      <c r="F31" s="1382"/>
      <c r="G31" s="1382"/>
      <c r="H31" s="1382"/>
      <c r="I31" s="1382"/>
      <c r="J31" s="1382"/>
      <c r="K31" s="1382"/>
      <c r="L31" s="1382"/>
      <c r="M31" s="1382"/>
      <c r="N31" s="1382"/>
      <c r="O31" s="1382"/>
      <c r="P31" s="1382"/>
      <c r="Q31" s="265"/>
      <c r="R31" s="1058"/>
      <c r="S31" s="1058"/>
      <c r="T31" s="614"/>
      <c r="U31" s="265"/>
    </row>
    <row r="32" spans="2:23" ht="35.25" customHeight="1">
      <c r="B32" s="1840" t="s">
        <v>1995</v>
      </c>
      <c r="C32" s="3113" t="s">
        <v>2693</v>
      </c>
      <c r="D32" s="3114"/>
      <c r="E32" s="3114"/>
      <c r="F32" s="3114"/>
      <c r="G32" s="3114"/>
      <c r="H32" s="3114"/>
      <c r="I32" s="3114"/>
      <c r="J32" s="3114"/>
      <c r="K32" s="3114"/>
      <c r="L32" s="3114"/>
      <c r="M32" s="3114"/>
      <c r="N32" s="3114"/>
      <c r="O32" s="3114"/>
      <c r="P32" s="3114"/>
      <c r="Q32" s="3114"/>
      <c r="R32" s="3114"/>
      <c r="S32" s="3114"/>
      <c r="T32" s="3114"/>
      <c r="U32" s="3114"/>
      <c r="V32" s="3114"/>
      <c r="W32" s="1394"/>
    </row>
    <row r="33" spans="1:72" ht="35.25" customHeight="1">
      <c r="B33" s="890"/>
      <c r="C33" s="3114"/>
      <c r="D33" s="3114"/>
      <c r="E33" s="3114"/>
      <c r="F33" s="3114"/>
      <c r="G33" s="3114"/>
      <c r="H33" s="3114"/>
      <c r="I33" s="3114"/>
      <c r="J33" s="3114"/>
      <c r="K33" s="3114"/>
      <c r="L33" s="3114"/>
      <c r="M33" s="3114"/>
      <c r="N33" s="3114"/>
      <c r="O33" s="3114"/>
      <c r="P33" s="3114"/>
      <c r="Q33" s="3114"/>
      <c r="R33" s="3114"/>
      <c r="S33" s="3114"/>
      <c r="T33" s="3114"/>
      <c r="U33" s="3114"/>
      <c r="V33" s="3114"/>
      <c r="W33" s="1394"/>
    </row>
    <row r="34" spans="1:72" s="1070" customFormat="1" ht="53.25" customHeight="1">
      <c r="A34" s="1386"/>
      <c r="B34" s="1404"/>
      <c r="C34" s="3108"/>
      <c r="D34" s="3109"/>
      <c r="E34" s="3109"/>
      <c r="F34" s="3109"/>
      <c r="G34" s="3109"/>
      <c r="H34" s="3109"/>
      <c r="I34" s="3109"/>
      <c r="J34" s="3109"/>
      <c r="K34" s="3109"/>
      <c r="L34" s="3109"/>
      <c r="M34" s="3109"/>
      <c r="N34" s="3109"/>
      <c r="O34" s="3109"/>
      <c r="P34" s="3109"/>
      <c r="Q34" s="3109"/>
      <c r="R34" s="3109"/>
      <c r="S34" s="3109"/>
      <c r="T34" s="3109"/>
      <c r="U34" s="3109"/>
      <c r="V34" s="3109"/>
      <c r="W34" s="1387"/>
    </row>
    <row r="35" spans="1:72" ht="27" customHeight="1">
      <c r="C35" s="3109"/>
      <c r="D35" s="3109"/>
      <c r="E35" s="3109"/>
      <c r="F35" s="3109"/>
      <c r="G35" s="3109"/>
      <c r="H35" s="3109"/>
      <c r="I35" s="3109"/>
      <c r="J35" s="3109"/>
      <c r="K35" s="3109"/>
      <c r="L35" s="3109"/>
      <c r="M35" s="3109"/>
      <c r="N35" s="3109"/>
      <c r="O35" s="3109"/>
      <c r="P35" s="3109"/>
      <c r="Q35" s="3109"/>
      <c r="R35" s="3109"/>
      <c r="S35" s="3109"/>
      <c r="T35" s="3109"/>
      <c r="U35" s="3109"/>
      <c r="V35" s="3109"/>
      <c r="W35" s="1387"/>
    </row>
    <row r="36" spans="1:72" ht="270" customHeight="1">
      <c r="C36" s="1385"/>
      <c r="D36" s="1385"/>
      <c r="E36" s="1385"/>
      <c r="F36" s="1385"/>
      <c r="G36" s="2143">
        <v>16</v>
      </c>
      <c r="H36" s="2143"/>
      <c r="I36" s="2143"/>
      <c r="J36" s="2143"/>
      <c r="K36" s="2143"/>
      <c r="L36" s="2143"/>
      <c r="O36" s="1392"/>
      <c r="P36" s="1392"/>
      <c r="Q36" s="1392"/>
      <c r="R36" s="1392"/>
      <c r="S36" s="1392"/>
      <c r="T36" s="1392"/>
      <c r="U36" s="1392"/>
      <c r="V36" s="1392"/>
      <c r="W36" s="1392"/>
      <c r="X36" s="1392"/>
      <c r="Y36" s="1392"/>
      <c r="Z36" s="1392"/>
      <c r="AA36" s="1392"/>
      <c r="AB36" s="1392"/>
      <c r="AC36" s="1392"/>
    </row>
    <row r="37" spans="1:72">
      <c r="C37" s="270"/>
      <c r="D37" s="270"/>
      <c r="E37" s="260"/>
      <c r="F37" s="260"/>
      <c r="G37" s="260"/>
      <c r="H37" s="260"/>
      <c r="I37" s="260"/>
      <c r="J37" s="260"/>
      <c r="K37" s="260"/>
      <c r="L37" s="260"/>
      <c r="M37" s="260"/>
      <c r="N37" s="260"/>
      <c r="O37" s="260"/>
      <c r="P37" s="260"/>
      <c r="Q37" s="271"/>
      <c r="BG37" s="3107"/>
      <c r="BH37" s="3107"/>
      <c r="BI37" s="3107"/>
      <c r="BJ37" s="3107"/>
      <c r="BK37" s="3107"/>
      <c r="BL37" s="3107"/>
      <c r="BM37" s="3107"/>
      <c r="BN37" s="3107"/>
      <c r="BO37" s="3107"/>
      <c r="BP37" s="3107"/>
      <c r="BQ37" s="3107"/>
      <c r="BR37" s="3107"/>
      <c r="BS37" s="3107"/>
      <c r="BT37" s="3107"/>
    </row>
    <row r="38" spans="1:72">
      <c r="C38" s="272"/>
      <c r="D38" s="272"/>
      <c r="E38" s="260"/>
      <c r="F38" s="260"/>
      <c r="G38" s="260"/>
      <c r="H38" s="260"/>
      <c r="I38" s="260"/>
      <c r="J38" s="260"/>
      <c r="K38" s="260"/>
      <c r="L38" s="260"/>
      <c r="M38" s="260"/>
      <c r="N38" s="260"/>
      <c r="O38" s="260"/>
      <c r="P38" s="260"/>
      <c r="Q38" s="271"/>
    </row>
    <row r="42" spans="1:72" ht="39.75">
      <c r="G42" s="254"/>
      <c r="H42" s="254"/>
      <c r="I42" s="254"/>
      <c r="J42" s="254"/>
      <c r="K42" s="254"/>
      <c r="L42" s="254"/>
      <c r="M42" s="254"/>
      <c r="N42" s="254"/>
    </row>
    <row r="43" spans="1:72" ht="39.75">
      <c r="B43" s="255" t="s">
        <v>1773</v>
      </c>
      <c r="G43" s="254"/>
      <c r="H43" s="254"/>
      <c r="I43" s="254"/>
      <c r="J43" s="254"/>
      <c r="K43" s="254"/>
      <c r="L43" s="254"/>
      <c r="M43" s="254"/>
      <c r="N43" s="254"/>
      <c r="P43" s="255">
        <v>1681605</v>
      </c>
    </row>
    <row r="44" spans="1:72" ht="39.75">
      <c r="G44" s="254"/>
      <c r="H44" s="254"/>
      <c r="I44" s="254"/>
      <c r="J44" s="254"/>
      <c r="K44" s="254"/>
      <c r="L44" s="254"/>
      <c r="M44" s="254"/>
      <c r="N44" s="254"/>
    </row>
    <row r="45" spans="1:72" ht="39.75">
      <c r="G45" s="254"/>
      <c r="H45" s="254"/>
      <c r="I45" s="254"/>
      <c r="J45" s="254"/>
      <c r="K45" s="254"/>
      <c r="L45" s="254"/>
      <c r="M45" s="254"/>
      <c r="N45" s="254"/>
    </row>
    <row r="46" spans="1:72" ht="39.75">
      <c r="G46" s="254"/>
      <c r="H46" s="254"/>
      <c r="I46" s="254"/>
      <c r="J46" s="254"/>
      <c r="K46" s="254"/>
      <c r="L46" s="254"/>
      <c r="M46" s="254"/>
      <c r="N46" s="254"/>
    </row>
    <row r="47" spans="1:72" ht="39.75">
      <c r="G47" s="254"/>
      <c r="H47" s="254"/>
      <c r="I47" s="254"/>
      <c r="J47" s="254"/>
      <c r="K47" s="254"/>
      <c r="L47" s="254"/>
      <c r="M47" s="254"/>
      <c r="N47" s="254"/>
    </row>
    <row r="48" spans="1:72" ht="39.75">
      <c r="G48" s="254"/>
      <c r="H48" s="254"/>
      <c r="I48" s="254"/>
      <c r="J48" s="254"/>
      <c r="K48" s="254"/>
      <c r="L48" s="254"/>
      <c r="M48" s="254"/>
      <c r="N48" s="254"/>
    </row>
    <row r="49" spans="7:14" ht="37.5">
      <c r="G49" s="273"/>
      <c r="H49" s="273"/>
      <c r="I49" s="273"/>
      <c r="J49" s="273"/>
      <c r="K49" s="273"/>
      <c r="L49" s="273"/>
      <c r="M49" s="273"/>
      <c r="N49" s="273"/>
    </row>
  </sheetData>
  <mergeCells count="10">
    <mergeCell ref="BG37:BT37"/>
    <mergeCell ref="C34:V35"/>
    <mergeCell ref="A1:U1"/>
    <mergeCell ref="A2:U2"/>
    <mergeCell ref="A3:U3"/>
    <mergeCell ref="C6:U6"/>
    <mergeCell ref="R8:S8"/>
    <mergeCell ref="C32:V33"/>
    <mergeCell ref="G7:I7"/>
    <mergeCell ref="K7:Q7"/>
  </mergeCells>
  <printOptions horizontalCentered="1" verticalCentered="1"/>
  <pageMargins left="0.17" right="0.18" top="0.31496062992126" bottom="0" header="0.17" footer="0.24"/>
  <pageSetup paperSize="9" scale="45" orientation="portrait" r:id="rId1"/>
  <ignoredErrors>
    <ignoredError sqref="S17 S27"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0"/>
  <sheetViews>
    <sheetView rightToLeft="1" view="pageBreakPreview" topLeftCell="A11" zoomScale="40" zoomScaleNormal="100" zoomScaleSheetLayoutView="40" zoomScalePageLayoutView="52" workbookViewId="0">
      <selection activeCell="AE37" sqref="AE37"/>
    </sheetView>
  </sheetViews>
  <sheetFormatPr defaultColWidth="1.375" defaultRowHeight="30.75" customHeight="1"/>
  <cols>
    <col min="1" max="1" width="7.625" style="2549" customWidth="1"/>
    <col min="2" max="2" width="10.75" style="499" customWidth="1"/>
    <col min="3" max="3" width="8.625" style="499" customWidth="1"/>
    <col min="4" max="4" width="21.75" style="499" customWidth="1"/>
    <col min="5" max="5" width="101.875" style="499" customWidth="1"/>
    <col min="6" max="6" width="19.375" style="499" customWidth="1"/>
    <col min="7" max="7" width="1.5" style="499" customWidth="1"/>
    <col min="8" max="8" width="24.875" style="499" bestFit="1" customWidth="1"/>
    <col min="9" max="9" width="2.375" style="499" customWidth="1"/>
    <col min="10" max="10" width="20" style="499" customWidth="1"/>
    <col min="11" max="11" width="5.5" style="499" customWidth="1"/>
    <col min="12" max="12" width="30.125" style="499" customWidth="1"/>
    <col min="13" max="13" width="2.75" style="499" customWidth="1"/>
    <col min="14" max="14" width="31.75" style="499" customWidth="1"/>
    <col min="15" max="15" width="3.375" style="499" customWidth="1"/>
    <col min="16" max="16384" width="1.375" style="499"/>
  </cols>
  <sheetData>
    <row r="1" spans="1:14" ht="57.75" customHeight="1">
      <c r="A1" s="3117" t="s">
        <v>612</v>
      </c>
      <c r="B1" s="3117"/>
      <c r="C1" s="3117"/>
      <c r="D1" s="3117"/>
      <c r="E1" s="3117"/>
      <c r="F1" s="3117"/>
      <c r="G1" s="3117"/>
      <c r="H1" s="3117"/>
      <c r="I1" s="3117"/>
      <c r="J1" s="3117"/>
      <c r="K1" s="3117"/>
      <c r="L1" s="3117"/>
      <c r="M1" s="3117"/>
      <c r="N1" s="3117"/>
    </row>
    <row r="2" spans="1:14" ht="57.75" customHeight="1">
      <c r="A2" s="3117" t="str">
        <f>مفروضات!A2</f>
        <v>يادداشت هاي توضيحي صورت هاي مالي</v>
      </c>
      <c r="B2" s="3117"/>
      <c r="C2" s="3117"/>
      <c r="D2" s="3117"/>
      <c r="E2" s="3117"/>
      <c r="F2" s="3117"/>
      <c r="G2" s="3117"/>
      <c r="H2" s="3117"/>
      <c r="I2" s="3117"/>
      <c r="J2" s="3117"/>
      <c r="K2" s="3117"/>
      <c r="L2" s="3117"/>
      <c r="M2" s="3117"/>
      <c r="N2" s="3117"/>
    </row>
    <row r="3" spans="1:14" ht="42.75" customHeight="1">
      <c r="A3" s="3117" t="str">
        <f>مفروضات!A7</f>
        <v xml:space="preserve"> سال مالي منتهي به 29 اسفند 1401</v>
      </c>
      <c r="B3" s="3117"/>
      <c r="C3" s="3117"/>
      <c r="D3" s="3117"/>
      <c r="E3" s="3117"/>
      <c r="F3" s="3117"/>
      <c r="G3" s="3117"/>
      <c r="H3" s="3117"/>
      <c r="I3" s="3117"/>
      <c r="J3" s="3117"/>
      <c r="K3" s="3117"/>
      <c r="L3" s="3117"/>
      <c r="M3" s="3117"/>
      <c r="N3" s="3117"/>
    </row>
    <row r="4" spans="1:14" ht="53.25" customHeight="1">
      <c r="B4" s="1868"/>
      <c r="C4" s="1868"/>
      <c r="D4" s="1868"/>
      <c r="E4" s="1868"/>
      <c r="F4" s="2650"/>
      <c r="G4" s="2650"/>
      <c r="H4" s="2650"/>
      <c r="I4" s="2650"/>
      <c r="J4" s="2650"/>
      <c r="K4" s="2650"/>
      <c r="L4" s="3117" t="s">
        <v>1950</v>
      </c>
      <c r="M4" s="3117"/>
      <c r="N4" s="3117"/>
    </row>
    <row r="5" spans="1:14" ht="62.25" customHeight="1">
      <c r="A5" s="2622"/>
      <c r="B5" s="1869" t="s">
        <v>1996</v>
      </c>
      <c r="C5" s="1870" t="s">
        <v>1702</v>
      </c>
      <c r="D5" s="1871"/>
      <c r="E5" s="1871"/>
      <c r="F5" s="2652"/>
      <c r="G5" s="2652"/>
      <c r="H5" s="2652"/>
      <c r="I5" s="2652"/>
      <c r="J5" s="2652"/>
      <c r="K5" s="2652"/>
      <c r="L5" s="2416">
        <v>1401</v>
      </c>
      <c r="M5" s="1871"/>
      <c r="N5" s="2416">
        <v>1400</v>
      </c>
    </row>
    <row r="6" spans="1:14" ht="18" hidden="1" customHeight="1">
      <c r="C6" s="1844"/>
      <c r="D6" s="1844"/>
      <c r="E6" s="1844"/>
      <c r="F6" s="1844"/>
      <c r="G6" s="1844"/>
      <c r="H6" s="1844"/>
      <c r="I6" s="1844"/>
      <c r="J6" s="1844"/>
      <c r="K6" s="1844"/>
      <c r="L6" s="1872"/>
      <c r="M6" s="1844"/>
      <c r="N6" s="1872"/>
    </row>
    <row r="7" spans="1:14" ht="57.75" customHeight="1">
      <c r="C7" s="1873" t="s">
        <v>1410</v>
      </c>
      <c r="D7" s="1844"/>
      <c r="E7" s="1844"/>
      <c r="F7" s="2651" t="s">
        <v>2327</v>
      </c>
      <c r="G7" s="1844"/>
      <c r="H7" s="2651" t="s">
        <v>2326</v>
      </c>
      <c r="I7" s="1844"/>
      <c r="J7" s="2651" t="s">
        <v>2325</v>
      </c>
      <c r="K7" s="1844"/>
      <c r="L7" s="1324" t="s">
        <v>679</v>
      </c>
      <c r="M7" s="1846"/>
      <c r="N7" s="1324" t="s">
        <v>679</v>
      </c>
    </row>
    <row r="8" spans="1:14" ht="57.75" customHeight="1">
      <c r="C8" s="1843" t="s">
        <v>1722</v>
      </c>
      <c r="D8" s="1844"/>
      <c r="E8" s="1844"/>
      <c r="F8" s="1844"/>
      <c r="G8" s="1844"/>
      <c r="H8" s="1844">
        <v>19588477</v>
      </c>
      <c r="I8" s="1844"/>
      <c r="J8" s="1845">
        <v>0</v>
      </c>
      <c r="K8" s="1844"/>
      <c r="L8" s="1845">
        <f>'1401'!V434</f>
        <v>19588477</v>
      </c>
      <c r="M8" s="1846"/>
      <c r="N8" s="1845">
        <v>11031661</v>
      </c>
    </row>
    <row r="9" spans="1:14" ht="57.75" customHeight="1">
      <c r="C9" s="1843" t="s">
        <v>2225</v>
      </c>
      <c r="D9" s="1844"/>
      <c r="E9" s="1844"/>
      <c r="F9" s="2825" t="s">
        <v>2615</v>
      </c>
      <c r="G9" s="1844"/>
      <c r="H9" s="1845">
        <f>20727+5441</f>
        <v>26168</v>
      </c>
      <c r="I9" s="1845"/>
      <c r="J9" s="1845">
        <f>166578-5441</f>
        <v>161137</v>
      </c>
      <c r="K9" s="1844"/>
      <c r="L9" s="1845">
        <f>SUM(H9:J9)</f>
        <v>187305</v>
      </c>
      <c r="M9" s="1846"/>
      <c r="N9" s="1845">
        <v>208424</v>
      </c>
    </row>
    <row r="10" spans="1:14" ht="57.75" hidden="1" customHeight="1">
      <c r="C10" s="1843" t="s">
        <v>2045</v>
      </c>
      <c r="D10" s="1844"/>
      <c r="E10" s="1844"/>
      <c r="F10" s="2824"/>
      <c r="G10" s="1844"/>
      <c r="H10" s="1845"/>
      <c r="I10" s="1845"/>
      <c r="J10" s="1845"/>
      <c r="K10" s="1844"/>
      <c r="L10" s="1845"/>
      <c r="M10" s="1846"/>
      <c r="N10" s="1845">
        <v>0</v>
      </c>
    </row>
    <row r="11" spans="1:14" ht="57.75" customHeight="1">
      <c r="C11" s="1843" t="s">
        <v>2230</v>
      </c>
      <c r="D11" s="1844"/>
      <c r="E11" s="1844"/>
      <c r="F11" s="2825" t="s">
        <v>2615</v>
      </c>
      <c r="G11" s="1844"/>
      <c r="H11" s="1845">
        <v>2120</v>
      </c>
      <c r="I11" s="1845"/>
      <c r="J11" s="1845">
        <f>137345-2120</f>
        <v>135225</v>
      </c>
      <c r="K11" s="1844"/>
      <c r="L11" s="1845">
        <f>SUM(H11:K11)</f>
        <v>137345</v>
      </c>
      <c r="M11" s="1846"/>
      <c r="N11" s="1845">
        <v>137345</v>
      </c>
    </row>
    <row r="12" spans="1:14" ht="57.75" customHeight="1">
      <c r="C12" s="1843" t="s">
        <v>2229</v>
      </c>
      <c r="D12" s="1844"/>
      <c r="E12" s="1844"/>
      <c r="F12" s="1844"/>
      <c r="G12" s="1844"/>
      <c r="H12" s="1845">
        <v>136360</v>
      </c>
      <c r="I12" s="1845"/>
      <c r="J12" s="1845">
        <v>0</v>
      </c>
      <c r="K12" s="1844"/>
      <c r="L12" s="1845">
        <f>SUM(H12:K12)</f>
        <v>136360</v>
      </c>
      <c r="M12" s="1846"/>
      <c r="N12" s="1845">
        <v>136360</v>
      </c>
    </row>
    <row r="13" spans="1:14" ht="57.75" customHeight="1">
      <c r="C13" s="1843" t="s">
        <v>2226</v>
      </c>
      <c r="D13" s="1844"/>
      <c r="E13" s="1844"/>
      <c r="F13" s="1844"/>
      <c r="G13" s="1844"/>
      <c r="H13" s="1845">
        <v>77755</v>
      </c>
      <c r="I13" s="1845"/>
      <c r="J13" s="1845">
        <v>0</v>
      </c>
      <c r="K13" s="1844"/>
      <c r="L13" s="1845">
        <f t="shared" ref="L13:L18" si="0">SUM(H13:K13)</f>
        <v>77755</v>
      </c>
      <c r="M13" s="1846"/>
      <c r="N13" s="1845">
        <v>101926</v>
      </c>
    </row>
    <row r="14" spans="1:14" ht="57.75" customHeight="1">
      <c r="C14" s="1843" t="s">
        <v>2227</v>
      </c>
      <c r="D14" s="1844"/>
      <c r="E14" s="1844"/>
      <c r="F14" s="1844"/>
      <c r="G14" s="1844"/>
      <c r="H14" s="1845">
        <v>81630</v>
      </c>
      <c r="I14" s="1845"/>
      <c r="J14" s="1845">
        <v>0</v>
      </c>
      <c r="K14" s="1844"/>
      <c r="L14" s="1845">
        <f t="shared" si="0"/>
        <v>81630</v>
      </c>
      <c r="M14" s="1846"/>
      <c r="N14" s="1845">
        <v>81630</v>
      </c>
    </row>
    <row r="15" spans="1:14" ht="57.75" customHeight="1">
      <c r="C15" s="1843" t="s">
        <v>2231</v>
      </c>
      <c r="D15" s="1844"/>
      <c r="E15" s="1844"/>
      <c r="F15" s="1844"/>
      <c r="G15" s="1844"/>
      <c r="H15" s="1845">
        <v>50466</v>
      </c>
      <c r="I15" s="1845"/>
      <c r="J15" s="1845">
        <v>0</v>
      </c>
      <c r="K15" s="1844"/>
      <c r="L15" s="1845">
        <f t="shared" si="0"/>
        <v>50466</v>
      </c>
      <c r="M15" s="1846"/>
      <c r="N15" s="1845">
        <v>67464</v>
      </c>
    </row>
    <row r="16" spans="1:14" ht="57.75" customHeight="1">
      <c r="C16" s="1843" t="s">
        <v>2228</v>
      </c>
      <c r="D16" s="1844"/>
      <c r="E16" s="1844"/>
      <c r="F16" s="1844"/>
      <c r="G16" s="1844"/>
      <c r="H16" s="1845">
        <v>37517</v>
      </c>
      <c r="I16" s="1845"/>
      <c r="J16" s="1845">
        <v>0</v>
      </c>
      <c r="K16" s="1844"/>
      <c r="L16" s="1845">
        <f t="shared" si="0"/>
        <v>37517</v>
      </c>
      <c r="M16" s="1846"/>
      <c r="N16" s="1845">
        <v>41848</v>
      </c>
    </row>
    <row r="17" spans="1:14" ht="57.75" customHeight="1">
      <c r="C17" s="1843" t="s">
        <v>2239</v>
      </c>
      <c r="D17" s="1844"/>
      <c r="E17" s="1844"/>
      <c r="F17" s="1844"/>
      <c r="G17" s="1844"/>
      <c r="H17" s="1845">
        <v>181700</v>
      </c>
      <c r="I17" s="1844"/>
      <c r="J17" s="1845">
        <v>0</v>
      </c>
      <c r="K17" s="1844"/>
      <c r="L17" s="1845">
        <f t="shared" si="0"/>
        <v>181700</v>
      </c>
      <c r="M17" s="1846"/>
      <c r="N17" s="1845">
        <v>308384</v>
      </c>
    </row>
    <row r="18" spans="1:14" ht="57.75" customHeight="1">
      <c r="A18" s="2623">
        <v>12</v>
      </c>
      <c r="C18" s="1843" t="s">
        <v>1838</v>
      </c>
      <c r="D18" s="1844"/>
      <c r="E18" s="1844"/>
      <c r="F18" s="2654"/>
      <c r="G18" s="1844"/>
      <c r="H18" s="1324">
        <v>467895</v>
      </c>
      <c r="I18" s="1844"/>
      <c r="J18" s="1324">
        <v>0</v>
      </c>
      <c r="K18" s="1844"/>
      <c r="L18" s="1845">
        <f t="shared" si="0"/>
        <v>467895</v>
      </c>
      <c r="M18" s="1846"/>
      <c r="N18" s="1845">
        <f>169040+7050</f>
        <v>176090</v>
      </c>
    </row>
    <row r="19" spans="1:14" ht="39.75">
      <c r="A19" s="2549">
        <v>907</v>
      </c>
      <c r="C19" s="1848"/>
      <c r="D19" s="501"/>
      <c r="E19" s="1849"/>
      <c r="F19" s="1849"/>
      <c r="G19" s="1849"/>
      <c r="H19" s="1845">
        <f>SUM(H8:H18)</f>
        <v>20650088</v>
      </c>
      <c r="I19" s="1849"/>
      <c r="J19" s="1845">
        <f>SUM(J8:J18)</f>
        <v>296362</v>
      </c>
      <c r="K19" s="1849"/>
      <c r="L19" s="1850">
        <f>SUM(L8:L18)</f>
        <v>20946450</v>
      </c>
      <c r="M19" s="1851"/>
      <c r="N19" s="1850">
        <f>SUM(N8:N18)</f>
        <v>12291132</v>
      </c>
    </row>
    <row r="20" spans="1:14" ht="39.75">
      <c r="L20" s="1874"/>
      <c r="M20" s="1845"/>
      <c r="N20" s="659"/>
    </row>
    <row r="21" spans="1:14" ht="39.75">
      <c r="L21" s="1874"/>
      <c r="M21" s="1845"/>
      <c r="N21" s="659"/>
    </row>
    <row r="22" spans="1:14" ht="47.25">
      <c r="C22" s="1873" t="s">
        <v>1511</v>
      </c>
      <c r="D22" s="1875"/>
      <c r="E22" s="1875"/>
      <c r="F22" s="2649"/>
      <c r="G22" s="2649"/>
      <c r="H22" s="2649"/>
      <c r="I22" s="2649"/>
      <c r="J22" s="2649"/>
      <c r="K22" s="2649"/>
      <c r="L22" s="1876"/>
      <c r="M22" s="1846"/>
      <c r="N22" s="1845"/>
    </row>
    <row r="23" spans="1:14" ht="63.75" customHeight="1">
      <c r="A23" s="2624" t="s">
        <v>2181</v>
      </c>
      <c r="C23" s="1877" t="s">
        <v>1723</v>
      </c>
      <c r="D23" s="1844"/>
      <c r="E23" s="1844"/>
      <c r="F23" s="1844"/>
      <c r="G23" s="1844"/>
      <c r="H23" s="1844"/>
      <c r="I23" s="1844"/>
      <c r="J23" s="1844"/>
      <c r="K23" s="1844"/>
      <c r="L23" s="1845">
        <v>2450978</v>
      </c>
      <c r="M23" s="1846"/>
      <c r="N23" s="1845">
        <v>697563</v>
      </c>
    </row>
    <row r="24" spans="1:14" ht="54" customHeight="1">
      <c r="C24" s="1877" t="s">
        <v>2046</v>
      </c>
      <c r="D24" s="1844"/>
      <c r="E24" s="1844"/>
      <c r="F24" s="2654"/>
      <c r="G24" s="2654"/>
      <c r="H24" s="2654"/>
      <c r="I24" s="2654"/>
      <c r="J24" s="2654"/>
      <c r="K24" s="1844"/>
      <c r="L24" s="2830">
        <v>0</v>
      </c>
      <c r="M24" s="1846"/>
      <c r="N24" s="1845">
        <v>84918</v>
      </c>
    </row>
    <row r="25" spans="1:14" ht="39" customHeight="1">
      <c r="C25" s="1877" t="s">
        <v>2047</v>
      </c>
      <c r="D25" s="1844"/>
      <c r="E25" s="1844"/>
      <c r="F25" s="2654"/>
      <c r="G25" s="2654"/>
      <c r="H25" s="2654"/>
      <c r="I25" s="2654"/>
      <c r="J25" s="2654"/>
      <c r="K25" s="1844"/>
      <c r="L25" s="1324">
        <v>246550</v>
      </c>
      <c r="M25" s="1846"/>
      <c r="N25" s="1324">
        <v>128686</v>
      </c>
    </row>
    <row r="26" spans="1:14" ht="39" customHeight="1">
      <c r="C26" s="1877"/>
      <c r="D26" s="1844"/>
      <c r="E26" s="1844"/>
      <c r="F26" s="2654"/>
      <c r="G26" s="2654"/>
      <c r="H26" s="2654"/>
      <c r="I26" s="2654"/>
      <c r="J26" s="2654"/>
      <c r="K26" s="1844"/>
      <c r="L26" s="1845">
        <f>SUM(L23:L25)</f>
        <v>2697528</v>
      </c>
      <c r="M26" s="1846"/>
      <c r="N26" s="1845">
        <f>SUM(N23:N25)</f>
        <v>911167</v>
      </c>
    </row>
    <row r="27" spans="1:14" ht="48.75" customHeight="1" thickBot="1">
      <c r="C27" s="1848"/>
      <c r="D27" s="1847"/>
      <c r="E27" s="1847"/>
      <c r="F27" s="1847"/>
      <c r="G27" s="1847"/>
      <c r="H27" s="1847"/>
      <c r="I27" s="1847"/>
      <c r="J27" s="1847"/>
      <c r="K27" s="1847"/>
      <c r="L27" s="1878">
        <f>'14'!S19</f>
        <v>23643978</v>
      </c>
      <c r="M27" s="1851"/>
      <c r="N27" s="1878">
        <f>N26+N19</f>
        <v>13202299</v>
      </c>
    </row>
    <row r="28" spans="1:14" ht="48.75" customHeight="1" thickTop="1">
      <c r="B28" s="2655" t="s">
        <v>2509</v>
      </c>
      <c r="C28" s="1843" t="s">
        <v>2510</v>
      </c>
      <c r="D28" s="1843"/>
      <c r="E28" s="1844"/>
      <c r="F28" s="1843"/>
      <c r="G28" s="1844"/>
      <c r="H28" s="1843"/>
      <c r="I28" s="1844"/>
      <c r="J28" s="1843"/>
      <c r="K28" s="1847"/>
      <c r="L28" s="1851"/>
      <c r="M28" s="1851"/>
      <c r="N28" s="1851"/>
    </row>
    <row r="29" spans="1:14" s="724" customFormat="1" ht="84.75" customHeight="1">
      <c r="A29" s="2625"/>
      <c r="C29" s="1879" t="s">
        <v>1997</v>
      </c>
      <c r="D29" s="3116" t="s">
        <v>1688</v>
      </c>
      <c r="E29" s="3116"/>
      <c r="F29" s="3116"/>
      <c r="G29" s="3116"/>
      <c r="H29" s="3116"/>
      <c r="I29" s="3116"/>
      <c r="J29" s="3116"/>
      <c r="K29" s="3116"/>
      <c r="L29" s="3116"/>
      <c r="M29" s="3116"/>
      <c r="N29" s="3116"/>
    </row>
    <row r="30" spans="1:14" s="724" customFormat="1" ht="84.75" customHeight="1">
      <c r="A30" s="2625"/>
      <c r="C30" s="1879"/>
      <c r="D30" s="2200"/>
      <c r="E30" s="2200"/>
      <c r="F30" s="2648"/>
      <c r="G30" s="2648"/>
      <c r="H30" s="2648"/>
      <c r="I30" s="2648"/>
      <c r="J30" s="2648"/>
      <c r="K30" s="2648"/>
      <c r="L30" s="3121" t="s">
        <v>1950</v>
      </c>
      <c r="M30" s="3121"/>
      <c r="N30" s="3121"/>
    </row>
    <row r="31" spans="1:14" s="170" customFormat="1" ht="66" customHeight="1">
      <c r="A31" s="614"/>
      <c r="B31" s="1924"/>
      <c r="C31" s="1924"/>
      <c r="D31" s="1924"/>
      <c r="E31" s="1924"/>
      <c r="F31" s="1924"/>
      <c r="G31" s="1924"/>
      <c r="H31" s="1924"/>
      <c r="I31" s="1924"/>
      <c r="J31" s="1924"/>
      <c r="K31" s="1924"/>
      <c r="L31" s="3122">
        <v>1401</v>
      </c>
      <c r="M31" s="3122"/>
      <c r="N31" s="3122"/>
    </row>
    <row r="32" spans="1:14" s="170" customFormat="1" ht="65.25" customHeight="1">
      <c r="A32" s="614"/>
      <c r="C32" s="1925" t="s">
        <v>1428</v>
      </c>
      <c r="D32" s="1925"/>
      <c r="E32" s="1925"/>
      <c r="F32" s="1925"/>
      <c r="G32" s="1925"/>
      <c r="H32" s="1925"/>
      <c r="I32" s="1925"/>
      <c r="J32" s="1925"/>
      <c r="K32" s="1925"/>
      <c r="L32" s="1017"/>
      <c r="M32" s="1926"/>
      <c r="N32" s="1927">
        <f>'14'!O17</f>
        <v>-67</v>
      </c>
    </row>
    <row r="33" spans="1:18" s="170" customFormat="1" ht="48" customHeight="1">
      <c r="A33" s="614"/>
      <c r="C33" s="1925" t="s">
        <v>2696</v>
      </c>
      <c r="D33" s="1925"/>
      <c r="E33" s="1925"/>
      <c r="F33" s="1925"/>
      <c r="G33" s="1925"/>
      <c r="H33" s="1925"/>
      <c r="I33" s="1925"/>
      <c r="J33" s="1925"/>
      <c r="K33" s="1925"/>
      <c r="L33" s="1017"/>
      <c r="M33" s="1926"/>
      <c r="N33" s="1927">
        <f>'15'!N47</f>
        <v>-6709328</v>
      </c>
    </row>
    <row r="34" spans="1:18" s="170" customFormat="1" ht="43.5" hidden="1">
      <c r="A34" s="614"/>
      <c r="C34" s="1928" t="s">
        <v>1796</v>
      </c>
      <c r="D34" s="1925" t="s">
        <v>1411</v>
      </c>
      <c r="E34" s="1928"/>
      <c r="F34" s="1928"/>
      <c r="G34" s="1928"/>
      <c r="H34" s="1928"/>
      <c r="I34" s="1928"/>
      <c r="J34" s="1928"/>
      <c r="K34" s="1928"/>
      <c r="L34" s="1929"/>
      <c r="M34" s="1926"/>
      <c r="N34" s="1017"/>
      <c r="P34" s="614"/>
      <c r="Q34" s="614"/>
      <c r="R34" s="614"/>
    </row>
    <row r="35" spans="1:18" s="170" customFormat="1" ht="43.5">
      <c r="A35" s="614"/>
      <c r="C35" s="1925" t="s">
        <v>2414</v>
      </c>
      <c r="D35" s="1925"/>
      <c r="E35" s="1925"/>
      <c r="F35" s="1925"/>
      <c r="G35" s="1925"/>
      <c r="H35" s="1925"/>
      <c r="I35" s="1925"/>
      <c r="J35" s="1925"/>
      <c r="K35" s="1925"/>
      <c r="L35" s="1929">
        <v>-466675</v>
      </c>
      <c r="M35" s="1927"/>
      <c r="N35" s="1929"/>
    </row>
    <row r="36" spans="1:18" s="170" customFormat="1" ht="43.5">
      <c r="A36" s="614"/>
      <c r="C36" s="1928" t="s">
        <v>2697</v>
      </c>
      <c r="D36" s="1928"/>
      <c r="E36" s="1928"/>
      <c r="F36" s="1928"/>
      <c r="G36" s="1928"/>
      <c r="H36" s="1928"/>
      <c r="I36" s="1928"/>
      <c r="J36" s="1928"/>
      <c r="K36" s="1928"/>
      <c r="L36" s="1929">
        <v>-11031661</v>
      </c>
      <c r="M36" s="1927"/>
      <c r="N36" s="1929"/>
    </row>
    <row r="37" spans="1:18" s="170" customFormat="1" ht="43.5">
      <c r="A37" s="614"/>
      <c r="C37" s="1928" t="s">
        <v>2503</v>
      </c>
      <c r="D37" s="1928"/>
      <c r="E37" s="1928"/>
      <c r="F37" s="1928"/>
      <c r="G37" s="1928"/>
      <c r="H37" s="1928"/>
      <c r="I37" s="1928"/>
      <c r="J37" s="1928"/>
      <c r="K37" s="1928"/>
      <c r="L37" s="1929">
        <v>-697563</v>
      </c>
      <c r="M37" s="1927"/>
      <c r="N37" s="1929"/>
    </row>
    <row r="38" spans="1:18" s="170" customFormat="1" ht="43.5">
      <c r="A38" s="614"/>
      <c r="C38" s="1928" t="s">
        <v>2698</v>
      </c>
      <c r="D38" s="1928"/>
      <c r="E38" s="1928"/>
      <c r="F38" s="1928"/>
      <c r="G38" s="1928"/>
      <c r="H38" s="1928"/>
      <c r="I38" s="1928"/>
      <c r="J38" s="1928"/>
      <c r="K38" s="1928"/>
      <c r="L38" s="1929">
        <v>-679834</v>
      </c>
      <c r="M38" s="1927"/>
      <c r="N38" s="1929"/>
    </row>
    <row r="39" spans="1:18" s="170" customFormat="1" ht="43.5">
      <c r="A39" s="614"/>
      <c r="C39" s="1928" t="s">
        <v>2699</v>
      </c>
      <c r="D39" s="1928"/>
      <c r="E39" s="1928"/>
      <c r="F39" s="1928"/>
      <c r="G39" s="1928"/>
      <c r="H39" s="1928"/>
      <c r="I39" s="1928"/>
      <c r="J39" s="1928"/>
      <c r="K39" s="1928"/>
      <c r="L39" s="1929">
        <v>-2173944</v>
      </c>
      <c r="M39" s="1927"/>
      <c r="N39" s="1929"/>
    </row>
    <row r="40" spans="1:18" s="170" customFormat="1" ht="39" customHeight="1">
      <c r="A40" s="614"/>
      <c r="C40" s="1928"/>
      <c r="D40" s="1928"/>
      <c r="E40" s="1928"/>
      <c r="F40" s="1928"/>
      <c r="G40" s="1928"/>
      <c r="H40" s="1928"/>
      <c r="I40" s="1928"/>
      <c r="J40" s="1928"/>
      <c r="K40" s="1928"/>
      <c r="L40" s="1929">
        <v>0</v>
      </c>
      <c r="M40" s="1927"/>
      <c r="N40" s="1929">
        <f>SUM(L35:L39)</f>
        <v>-15049677</v>
      </c>
    </row>
    <row r="41" spans="1:18" s="170" customFormat="1" ht="6.75" hidden="1" customHeight="1">
      <c r="A41" s="614"/>
      <c r="C41" s="1930"/>
      <c r="D41" s="1925" t="s">
        <v>1412</v>
      </c>
      <c r="L41" s="1927"/>
      <c r="M41" s="1017"/>
      <c r="N41" s="1931"/>
      <c r="P41" s="614"/>
      <c r="Q41" s="614"/>
      <c r="R41" s="614"/>
    </row>
    <row r="42" spans="1:18" s="170" customFormat="1" ht="65.25" hidden="1" customHeight="1">
      <c r="A42" s="614"/>
      <c r="C42" s="1930"/>
      <c r="D42" s="1925" t="s">
        <v>1413</v>
      </c>
      <c r="L42" s="1927">
        <v>0</v>
      </c>
      <c r="M42" s="1927"/>
      <c r="N42" s="1927">
        <v>0</v>
      </c>
    </row>
    <row r="43" spans="1:18" s="170" customFormat="1" ht="9" hidden="1" customHeight="1">
      <c r="A43" s="614"/>
      <c r="C43" s="1930"/>
      <c r="D43" s="1848" t="s">
        <v>1697</v>
      </c>
      <c r="L43" s="1932">
        <f>-1364094+37942</f>
        <v>-1326152</v>
      </c>
      <c r="M43" s="1927"/>
      <c r="N43" s="1927">
        <v>-1326152</v>
      </c>
    </row>
    <row r="44" spans="1:18" s="170" customFormat="1" ht="30" hidden="1" customHeight="1">
      <c r="A44" s="614"/>
      <c r="D44" s="1925" t="s">
        <v>1413</v>
      </c>
      <c r="L44" s="1017"/>
      <c r="M44" s="1017"/>
      <c r="N44" s="1927"/>
    </row>
    <row r="45" spans="1:18" s="170" customFormat="1" ht="80.25" customHeight="1">
      <c r="A45" s="614"/>
      <c r="C45" s="1925" t="s">
        <v>2162</v>
      </c>
      <c r="D45" s="1925"/>
      <c r="E45" s="1925"/>
      <c r="F45" s="1925"/>
      <c r="G45" s="1925"/>
      <c r="H45" s="1925"/>
      <c r="I45" s="1925"/>
      <c r="J45" s="1925"/>
      <c r="K45" s="1925"/>
      <c r="L45" s="1932">
        <v>-3363406</v>
      </c>
      <c r="M45" s="1927"/>
      <c r="N45" s="1932">
        <f>L45</f>
        <v>-3363406</v>
      </c>
    </row>
    <row r="46" spans="1:18" ht="30.75" hidden="1" customHeight="1">
      <c r="B46" s="3119"/>
      <c r="C46" s="3119"/>
      <c r="D46" s="1875"/>
      <c r="E46" s="1875"/>
      <c r="F46" s="2649"/>
      <c r="G46" s="2649"/>
      <c r="H46" s="2649"/>
      <c r="I46" s="2649"/>
      <c r="J46" s="2649"/>
      <c r="K46" s="2649"/>
      <c r="M46" s="500"/>
      <c r="N46" s="502"/>
    </row>
    <row r="47" spans="1:18" ht="21" customHeight="1">
      <c r="B47" s="3119"/>
      <c r="C47" s="3119"/>
      <c r="D47" s="1875"/>
      <c r="E47" s="1875"/>
      <c r="F47" s="2649"/>
      <c r="G47" s="2649"/>
      <c r="H47" s="2649"/>
      <c r="I47" s="2649"/>
      <c r="J47" s="2649"/>
      <c r="K47" s="2649"/>
      <c r="M47" s="500"/>
      <c r="N47" s="502"/>
    </row>
    <row r="48" spans="1:18" ht="28.5" customHeight="1" thickBot="1">
      <c r="B48" s="1875"/>
      <c r="C48" s="1875"/>
      <c r="D48" s="1875"/>
      <c r="E48" s="1875"/>
      <c r="F48" s="2649"/>
      <c r="G48" s="2649"/>
      <c r="H48" s="2649"/>
      <c r="I48" s="2649"/>
      <c r="J48" s="2649"/>
      <c r="K48" s="2649"/>
      <c r="L48" s="1934"/>
      <c r="M48" s="500"/>
      <c r="N48" s="1933">
        <f>N33+N32+N40+N45</f>
        <v>-25122478</v>
      </c>
    </row>
    <row r="49" spans="1:14" ht="18.75" customHeight="1" thickTop="1">
      <c r="B49" s="2033"/>
      <c r="C49" s="2033"/>
      <c r="D49" s="2033"/>
      <c r="E49" s="2033"/>
      <c r="F49" s="2649"/>
      <c r="G49" s="2649"/>
      <c r="H49" s="2649"/>
      <c r="I49" s="2649"/>
      <c r="J49" s="2649"/>
      <c r="K49" s="2649"/>
      <c r="L49" s="1934"/>
      <c r="M49" s="500"/>
      <c r="N49" s="1927"/>
    </row>
    <row r="50" spans="1:14" ht="69.75" customHeight="1">
      <c r="B50" s="2030"/>
      <c r="C50" s="2030"/>
      <c r="D50" s="3120" t="s">
        <v>2148</v>
      </c>
      <c r="E50" s="3120"/>
      <c r="F50" s="3120"/>
      <c r="G50" s="3120"/>
      <c r="H50" s="3120"/>
      <c r="I50" s="3120"/>
      <c r="J50" s="3120"/>
      <c r="K50" s="3120"/>
      <c r="L50" s="3120"/>
      <c r="M50" s="3120"/>
      <c r="N50" s="3120"/>
    </row>
    <row r="51" spans="1:14" ht="51" customHeight="1">
      <c r="B51" s="2030"/>
      <c r="C51" s="2030"/>
      <c r="D51" s="3120"/>
      <c r="E51" s="3120"/>
      <c r="F51" s="3120"/>
      <c r="G51" s="3120"/>
      <c r="H51" s="3120"/>
      <c r="I51" s="3120"/>
      <c r="J51" s="3120"/>
      <c r="K51" s="3120"/>
      <c r="L51" s="3120"/>
      <c r="M51" s="3120"/>
      <c r="N51" s="3120"/>
    </row>
    <row r="52" spans="1:14" ht="287.25" customHeight="1">
      <c r="A52" s="3009">
        <v>17</v>
      </c>
      <c r="B52" s="3009"/>
      <c r="C52" s="3009"/>
      <c r="D52" s="3009"/>
      <c r="E52" s="3009"/>
      <c r="F52" s="3009"/>
      <c r="G52" s="3009"/>
      <c r="H52" s="3009"/>
      <c r="I52" s="3009"/>
      <c r="J52" s="3009"/>
      <c r="K52" s="3009"/>
      <c r="L52" s="3009"/>
      <c r="M52" s="3009"/>
      <c r="N52" s="3009"/>
    </row>
    <row r="53" spans="1:14" ht="30.75" customHeight="1">
      <c r="B53" s="3118"/>
      <c r="C53" s="3118"/>
      <c r="D53" s="1841"/>
      <c r="E53" s="1841"/>
      <c r="F53" s="1841"/>
      <c r="G53" s="1841"/>
      <c r="H53" s="1841"/>
      <c r="I53" s="1841"/>
      <c r="J53" s="1841"/>
      <c r="K53" s="1841"/>
      <c r="L53" s="1841"/>
      <c r="M53" s="1841"/>
      <c r="N53" s="1842"/>
    </row>
    <row r="54" spans="1:14" ht="30.75" customHeight="1">
      <c r="N54" s="502"/>
    </row>
    <row r="55" spans="1:14" ht="30.75" customHeight="1">
      <c r="M55" s="502"/>
      <c r="N55" s="502"/>
    </row>
    <row r="56" spans="1:14" ht="30.75" customHeight="1">
      <c r="N56" s="504"/>
    </row>
    <row r="57" spans="1:14" ht="30.75" customHeight="1">
      <c r="N57" s="504"/>
    </row>
    <row r="58" spans="1:14" ht="30.75" customHeight="1">
      <c r="N58" s="504"/>
    </row>
    <row r="59" spans="1:14" ht="30.75" customHeight="1">
      <c r="N59" s="504"/>
    </row>
    <row r="60" spans="1:14" ht="30.75" customHeight="1">
      <c r="N60" s="504"/>
    </row>
  </sheetData>
  <mergeCells count="12">
    <mergeCell ref="D29:N29"/>
    <mergeCell ref="A1:N1"/>
    <mergeCell ref="A2:N2"/>
    <mergeCell ref="A3:N3"/>
    <mergeCell ref="B53:C53"/>
    <mergeCell ref="B46:C46"/>
    <mergeCell ref="B47:C47"/>
    <mergeCell ref="A52:N52"/>
    <mergeCell ref="D50:N51"/>
    <mergeCell ref="L4:N4"/>
    <mergeCell ref="L30:N30"/>
    <mergeCell ref="L31:N31"/>
  </mergeCells>
  <printOptions horizontalCentered="1" verticalCentered="1"/>
  <pageMargins left="0.19685039370078741" right="0.23622047244094491" top="0.74803149606299213" bottom="0.15748031496062992" header="0.31496062992125984" footer="0.31496062992125984"/>
  <pageSetup paperSize="9" scale="2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pageSetUpPr fitToPage="1"/>
  </sheetPr>
  <dimension ref="A1:S54"/>
  <sheetViews>
    <sheetView rightToLeft="1" view="pageBreakPreview" zoomScale="30" zoomScaleNormal="42" zoomScaleSheetLayoutView="30" workbookViewId="0">
      <selection sqref="A1:O1"/>
    </sheetView>
  </sheetViews>
  <sheetFormatPr defaultColWidth="3.625" defaultRowHeight="30.75" customHeight="1"/>
  <cols>
    <col min="1" max="1" width="24.25" style="614" customWidth="1"/>
    <col min="2" max="2" width="23.375" style="890" customWidth="1"/>
    <col min="3" max="3" width="13.625" style="890" customWidth="1"/>
    <col min="4" max="4" width="101.125" style="255" customWidth="1"/>
    <col min="5" max="5" width="19.375" style="255" customWidth="1"/>
    <col min="6" max="6" width="6.875" style="255" customWidth="1"/>
    <col min="7" max="7" width="7.125" style="255" customWidth="1"/>
    <col min="8" max="8" width="37" style="255" customWidth="1"/>
    <col min="9" max="9" width="4.625" style="255" customWidth="1"/>
    <col min="10" max="10" width="43.375" style="255" customWidth="1"/>
    <col min="11" max="11" width="13.25" style="475" customWidth="1"/>
    <col min="12" max="12" width="35.75" style="255" customWidth="1"/>
    <col min="13" max="13" width="13.125" style="255" customWidth="1"/>
    <col min="14" max="14" width="34.5" style="255" customWidth="1"/>
    <col min="15" max="15" width="5.25" style="255" customWidth="1"/>
    <col min="16" max="16384" width="3.625" style="255"/>
  </cols>
  <sheetData>
    <row r="1" spans="1:18" s="499" customFormat="1" ht="84" customHeight="1">
      <c r="A1" s="3124" t="s">
        <v>612</v>
      </c>
      <c r="B1" s="3124"/>
      <c r="C1" s="3124"/>
      <c r="D1" s="3124"/>
      <c r="E1" s="3124"/>
      <c r="F1" s="3124"/>
      <c r="G1" s="3124"/>
      <c r="H1" s="3124"/>
      <c r="I1" s="3124"/>
      <c r="J1" s="3124"/>
      <c r="K1" s="3124"/>
      <c r="L1" s="3124"/>
      <c r="M1" s="3124"/>
      <c r="N1" s="3124"/>
      <c r="O1" s="3124"/>
    </row>
    <row r="2" spans="1:18" s="499" customFormat="1" ht="84" customHeight="1">
      <c r="A2" s="3124" t="str">
        <f>مفروضات!A2</f>
        <v>يادداشت هاي توضيحي صورت هاي مالي</v>
      </c>
      <c r="B2" s="3124"/>
      <c r="C2" s="3124"/>
      <c r="D2" s="3124"/>
      <c r="E2" s="3124"/>
      <c r="F2" s="3124"/>
      <c r="G2" s="3124"/>
      <c r="H2" s="3124"/>
      <c r="I2" s="3124"/>
      <c r="J2" s="3124"/>
      <c r="K2" s="3124"/>
      <c r="L2" s="3124"/>
      <c r="M2" s="3124"/>
      <c r="N2" s="3124"/>
      <c r="O2" s="3124"/>
    </row>
    <row r="3" spans="1:18" s="499" customFormat="1" ht="209.25" customHeight="1">
      <c r="A3" s="3124" t="str">
        <f>مفروضات!A7</f>
        <v xml:space="preserve"> سال مالي منتهي به 29 اسفند 1401</v>
      </c>
      <c r="B3" s="3124"/>
      <c r="C3" s="3124"/>
      <c r="D3" s="3124"/>
      <c r="E3" s="3124"/>
      <c r="F3" s="3124"/>
      <c r="G3" s="3124"/>
      <c r="H3" s="3124"/>
      <c r="I3" s="3124"/>
      <c r="J3" s="3124"/>
      <c r="K3" s="3124"/>
      <c r="L3" s="3124"/>
      <c r="M3" s="3124"/>
      <c r="N3" s="3124"/>
      <c r="O3" s="3124"/>
    </row>
    <row r="4" spans="1:18" ht="69" customHeight="1">
      <c r="B4" s="2816" t="s">
        <v>1682</v>
      </c>
      <c r="C4" s="1673" t="s">
        <v>1513</v>
      </c>
      <c r="D4" s="1674"/>
      <c r="E4" s="454"/>
      <c r="F4" s="454"/>
      <c r="G4" s="454"/>
      <c r="H4" s="454"/>
      <c r="I4" s="454"/>
      <c r="J4" s="454"/>
      <c r="K4" s="454"/>
      <c r="L4" s="454"/>
      <c r="M4" s="454"/>
      <c r="N4" s="454"/>
    </row>
    <row r="5" spans="1:18" ht="67.5" customHeight="1">
      <c r="C5" s="1852"/>
      <c r="E5" s="1853"/>
      <c r="F5" s="1853"/>
      <c r="G5" s="1853"/>
      <c r="H5" s="1853"/>
      <c r="I5" s="1853"/>
      <c r="J5" s="1853"/>
      <c r="K5" s="1853"/>
      <c r="L5" s="3126" t="s">
        <v>1729</v>
      </c>
      <c r="M5" s="3126"/>
      <c r="N5" s="3126"/>
      <c r="O5" s="473"/>
    </row>
    <row r="6" spans="1:18" ht="131.25" customHeight="1">
      <c r="C6" s="1852"/>
      <c r="D6" s="1855" t="s">
        <v>2616</v>
      </c>
      <c r="E6" s="1853"/>
      <c r="G6" s="1853"/>
      <c r="H6" s="1856" t="s">
        <v>1956</v>
      </c>
      <c r="I6" s="1853"/>
      <c r="J6" s="1856" t="s">
        <v>1957</v>
      </c>
      <c r="K6" s="1853"/>
      <c r="L6" s="1018" t="s">
        <v>1958</v>
      </c>
      <c r="M6" s="1854"/>
      <c r="N6" s="1018" t="s">
        <v>679</v>
      </c>
      <c r="O6" s="473"/>
    </row>
    <row r="7" spans="1:18" ht="96" customHeight="1">
      <c r="C7" s="1852"/>
      <c r="D7" s="1608" t="s">
        <v>2367</v>
      </c>
      <c r="E7" s="1021"/>
      <c r="F7" s="1021"/>
      <c r="G7" s="1021"/>
      <c r="H7" s="1857">
        <v>79276</v>
      </c>
      <c r="I7" s="1021"/>
      <c r="J7" s="465">
        <v>1737</v>
      </c>
      <c r="K7" s="465"/>
      <c r="L7" s="465">
        <v>1179</v>
      </c>
      <c r="M7" s="465"/>
      <c r="N7" s="465">
        <f>H7+J7+L7</f>
        <v>82192</v>
      </c>
      <c r="O7" s="1021"/>
    </row>
    <row r="8" spans="1:18" ht="96" customHeight="1">
      <c r="A8" s="457">
        <v>7</v>
      </c>
      <c r="C8" s="1858"/>
      <c r="D8" s="1608" t="s">
        <v>1954</v>
      </c>
      <c r="E8" s="465"/>
      <c r="F8" s="465"/>
      <c r="G8" s="465"/>
      <c r="H8" s="465">
        <v>947</v>
      </c>
      <c r="I8" s="1859"/>
      <c r="J8" s="465">
        <v>0</v>
      </c>
      <c r="K8" s="465"/>
      <c r="L8" s="465">
        <v>36</v>
      </c>
      <c r="M8" s="1021"/>
      <c r="N8" s="465">
        <f>H8+J8+L8</f>
        <v>983</v>
      </c>
      <c r="O8" s="465"/>
      <c r="P8" s="465"/>
      <c r="Q8" s="465"/>
      <c r="R8" s="465"/>
    </row>
    <row r="9" spans="1:18" ht="96" customHeight="1">
      <c r="A9" s="457"/>
      <c r="C9" s="1858"/>
      <c r="D9" s="1609" t="s">
        <v>1955</v>
      </c>
      <c r="E9" s="466"/>
      <c r="F9" s="466"/>
      <c r="G9" s="465"/>
      <c r="H9" s="465">
        <v>0</v>
      </c>
      <c r="I9" s="1859"/>
      <c r="J9" s="465">
        <v>0</v>
      </c>
      <c r="K9" s="465"/>
      <c r="L9" s="465">
        <v>0</v>
      </c>
      <c r="M9" s="1021"/>
      <c r="N9" s="465">
        <v>0</v>
      </c>
      <c r="O9" s="466"/>
    </row>
    <row r="10" spans="1:18" ht="96" customHeight="1">
      <c r="A10" s="457"/>
      <c r="C10" s="1858"/>
      <c r="D10" s="1609" t="s">
        <v>2115</v>
      </c>
      <c r="E10" s="466"/>
      <c r="F10" s="466"/>
      <c r="G10" s="465"/>
      <c r="H10" s="1860">
        <f>H7+H8+H9</f>
        <v>80223</v>
      </c>
      <c r="I10" s="465"/>
      <c r="J10" s="1860">
        <f>J7+J8+J9</f>
        <v>1737</v>
      </c>
      <c r="K10" s="465"/>
      <c r="L10" s="1860">
        <f>L7+L8+L9</f>
        <v>1215</v>
      </c>
      <c r="M10" s="465"/>
      <c r="N10" s="1860">
        <f>N7+N8+N9</f>
        <v>83175</v>
      </c>
      <c r="O10" s="466"/>
    </row>
    <row r="11" spans="1:18" ht="96" customHeight="1">
      <c r="A11" s="614">
        <v>7</v>
      </c>
      <c r="C11" s="1852"/>
      <c r="D11" s="1608" t="s">
        <v>1954</v>
      </c>
      <c r="E11" s="465"/>
      <c r="F11" s="465"/>
      <c r="G11" s="465"/>
      <c r="H11" s="465">
        <v>161</v>
      </c>
      <c r="I11" s="465"/>
      <c r="J11" s="465">
        <v>0</v>
      </c>
      <c r="K11" s="465"/>
      <c r="L11" s="465">
        <v>0</v>
      </c>
      <c r="M11" s="465"/>
      <c r="N11" s="465">
        <f>L11+J11+H11</f>
        <v>161</v>
      </c>
      <c r="O11" s="912"/>
    </row>
    <row r="12" spans="1:18" ht="96" customHeight="1">
      <c r="C12" s="1852"/>
      <c r="D12" s="1608" t="s">
        <v>1955</v>
      </c>
      <c r="E12" s="465"/>
      <c r="F12" s="465"/>
      <c r="G12" s="465"/>
      <c r="H12" s="465">
        <v>0</v>
      </c>
      <c r="I12" s="465"/>
      <c r="J12" s="465">
        <v>0</v>
      </c>
      <c r="K12" s="465"/>
      <c r="L12" s="465">
        <v>-95</v>
      </c>
      <c r="M12" s="465"/>
      <c r="N12" s="465">
        <f>L12+J12+H12</f>
        <v>-95</v>
      </c>
      <c r="O12" s="912"/>
    </row>
    <row r="13" spans="1:18" ht="96" customHeight="1">
      <c r="A13" s="614">
        <v>7</v>
      </c>
      <c r="B13" s="890">
        <v>9</v>
      </c>
      <c r="C13" s="1463"/>
      <c r="D13" s="1609" t="s">
        <v>2373</v>
      </c>
      <c r="E13" s="465"/>
      <c r="F13" s="465"/>
      <c r="G13" s="465"/>
      <c r="H13" s="849">
        <f>H10+H11+H12</f>
        <v>80384</v>
      </c>
      <c r="I13" s="465"/>
      <c r="J13" s="849">
        <f>J10+J11+J12</f>
        <v>1737</v>
      </c>
      <c r="K13" s="465"/>
      <c r="L13" s="849">
        <f>L10+L11+L12</f>
        <v>1120</v>
      </c>
      <c r="M13" s="1021"/>
      <c r="N13" s="849">
        <f>SUMIF('1401'!$C$4:$C$496,B13,'1401'!$V$4:$V$496)</f>
        <v>83241</v>
      </c>
      <c r="O13" s="912"/>
    </row>
    <row r="14" spans="1:18" ht="96" customHeight="1">
      <c r="C14" s="1463"/>
      <c r="D14" s="1608" t="s">
        <v>2374</v>
      </c>
      <c r="E14" s="465"/>
      <c r="F14" s="465"/>
      <c r="G14" s="465"/>
      <c r="H14" s="1860">
        <f>H13</f>
        <v>80384</v>
      </c>
      <c r="I14" s="465"/>
      <c r="J14" s="1860">
        <f>J13</f>
        <v>1737</v>
      </c>
      <c r="K14" s="465"/>
      <c r="L14" s="1860">
        <f>L13</f>
        <v>1120</v>
      </c>
      <c r="M14" s="1021"/>
      <c r="N14" s="1860">
        <f>N13</f>
        <v>83241</v>
      </c>
      <c r="O14" s="912"/>
    </row>
    <row r="15" spans="1:18" ht="111" customHeight="1">
      <c r="C15" s="1463"/>
      <c r="D15" s="1608" t="s">
        <v>2116</v>
      </c>
      <c r="E15" s="465"/>
      <c r="F15" s="465"/>
      <c r="G15" s="465"/>
      <c r="H15" s="849">
        <f>H10</f>
        <v>80223</v>
      </c>
      <c r="I15" s="465"/>
      <c r="J15" s="849">
        <f>J10</f>
        <v>1737</v>
      </c>
      <c r="K15" s="465"/>
      <c r="L15" s="849">
        <f>L10</f>
        <v>1215</v>
      </c>
      <c r="M15" s="1021"/>
      <c r="N15" s="849">
        <f>N10</f>
        <v>83175</v>
      </c>
      <c r="O15" s="912"/>
    </row>
    <row r="16" spans="1:18" ht="35.25" customHeight="1">
      <c r="C16" s="1463"/>
      <c r="D16" s="454"/>
      <c r="E16" s="465"/>
      <c r="F16" s="465"/>
      <c r="G16" s="465"/>
      <c r="H16" s="465"/>
      <c r="I16" s="465"/>
      <c r="J16" s="465"/>
      <c r="K16" s="465"/>
      <c r="L16" s="465"/>
      <c r="M16" s="1021"/>
      <c r="N16" s="465"/>
      <c r="O16" s="912"/>
    </row>
    <row r="17" spans="1:19" ht="20.25" customHeight="1">
      <c r="C17" s="1463"/>
      <c r="D17" s="454"/>
      <c r="E17" s="465"/>
      <c r="F17" s="465"/>
      <c r="G17" s="465"/>
      <c r="H17" s="465"/>
      <c r="I17" s="465"/>
      <c r="J17" s="465"/>
      <c r="K17" s="465"/>
      <c r="L17" s="465"/>
      <c r="M17" s="1021"/>
      <c r="N17" s="465"/>
      <c r="O17" s="912"/>
    </row>
    <row r="18" spans="1:19" ht="174" customHeight="1">
      <c r="A18" s="1068" t="s">
        <v>2184</v>
      </c>
      <c r="C18" s="1463"/>
      <c r="D18" s="454"/>
      <c r="E18" s="465"/>
      <c r="F18" s="465"/>
      <c r="G18" s="465"/>
      <c r="H18" s="465"/>
      <c r="I18" s="465"/>
      <c r="J18" s="465"/>
      <c r="K18" s="465"/>
      <c r="L18" s="465"/>
      <c r="M18" s="1021"/>
      <c r="N18" s="465"/>
      <c r="O18" s="912"/>
    </row>
    <row r="19" spans="1:19" s="1677" customFormat="1" ht="67.5" customHeight="1">
      <c r="A19" s="2107"/>
      <c r="B19" s="2817" t="s">
        <v>1414</v>
      </c>
      <c r="C19" s="1675" t="s">
        <v>1409</v>
      </c>
      <c r="D19" s="1675"/>
      <c r="E19" s="1675"/>
      <c r="F19" s="1675"/>
      <c r="G19" s="1675"/>
      <c r="H19" s="1675"/>
      <c r="I19" s="1675"/>
      <c r="J19" s="1675"/>
      <c r="K19" s="1676"/>
      <c r="L19" s="3125" t="s">
        <v>1950</v>
      </c>
      <c r="M19" s="3125"/>
      <c r="N19" s="3125"/>
      <c r="O19" s="2120"/>
      <c r="P19" s="2119"/>
      <c r="Q19" s="2121"/>
      <c r="R19" s="2121"/>
      <c r="S19" s="2121"/>
    </row>
    <row r="20" spans="1:19" ht="120" customHeight="1">
      <c r="A20" s="457"/>
      <c r="B20" s="1695"/>
      <c r="C20" s="1611"/>
      <c r="D20" s="1611"/>
      <c r="E20" s="458"/>
      <c r="F20" s="458"/>
      <c r="H20" s="1018" t="s">
        <v>1277</v>
      </c>
      <c r="I20" s="461"/>
      <c r="J20" s="1019" t="s">
        <v>1053</v>
      </c>
      <c r="K20" s="461"/>
      <c r="L20" s="1019">
        <v>1401</v>
      </c>
      <c r="M20" s="1020"/>
      <c r="N20" s="1018">
        <v>1400</v>
      </c>
      <c r="O20" s="459"/>
      <c r="P20" s="455"/>
      <c r="Q20" s="460"/>
      <c r="R20" s="460"/>
      <c r="S20" s="460"/>
    </row>
    <row r="21" spans="1:19" ht="67.5" customHeight="1">
      <c r="A21" s="457"/>
      <c r="B21" s="1696"/>
      <c r="C21" s="1610"/>
      <c r="D21" s="1610"/>
      <c r="H21" s="461"/>
      <c r="I21" s="461"/>
      <c r="J21" s="461"/>
      <c r="K21" s="461"/>
      <c r="L21" s="462"/>
      <c r="M21" s="463"/>
      <c r="N21" s="462"/>
      <c r="Q21" s="460"/>
      <c r="R21" s="460"/>
      <c r="S21" s="460"/>
    </row>
    <row r="22" spans="1:19" ht="104.25" customHeight="1">
      <c r="A22" s="457"/>
      <c r="B22" s="1695"/>
      <c r="C22" s="1610"/>
      <c r="D22" s="1608" t="s">
        <v>1298</v>
      </c>
      <c r="E22" s="464"/>
      <c r="F22" s="464"/>
      <c r="H22" s="818">
        <v>100000</v>
      </c>
      <c r="I22" s="461"/>
      <c r="J22" s="818">
        <v>14</v>
      </c>
      <c r="K22" s="461"/>
      <c r="L22" s="912">
        <v>35</v>
      </c>
      <c r="M22" s="913"/>
      <c r="N22" s="912">
        <v>35</v>
      </c>
      <c r="Q22" s="460"/>
      <c r="R22" s="460"/>
      <c r="S22" s="460"/>
    </row>
    <row r="23" spans="1:19" ht="123.75" customHeight="1">
      <c r="A23" s="457"/>
      <c r="B23" s="1695"/>
      <c r="C23" s="1610"/>
      <c r="D23" s="1609" t="s">
        <v>1052</v>
      </c>
      <c r="E23" s="464"/>
      <c r="F23" s="464"/>
      <c r="H23" s="818">
        <v>26050</v>
      </c>
      <c r="I23" s="461"/>
      <c r="J23" s="819" t="s">
        <v>1482</v>
      </c>
      <c r="K23" s="461"/>
      <c r="L23" s="912">
        <v>11</v>
      </c>
      <c r="M23" s="913"/>
      <c r="N23" s="912">
        <v>11</v>
      </c>
      <c r="Q23" s="460"/>
      <c r="R23" s="460"/>
      <c r="S23" s="460"/>
    </row>
    <row r="24" spans="1:19" ht="99" customHeight="1">
      <c r="A24" s="457"/>
      <c r="B24" s="1695"/>
      <c r="C24" s="1610"/>
      <c r="D24" s="1609" t="s">
        <v>2475</v>
      </c>
      <c r="E24" s="464"/>
      <c r="F24" s="464"/>
      <c r="H24" s="818">
        <v>21516</v>
      </c>
      <c r="I24" s="461"/>
      <c r="J24" s="820" t="s">
        <v>2477</v>
      </c>
      <c r="K24" s="461"/>
      <c r="L24" s="912">
        <v>1</v>
      </c>
      <c r="M24" s="912"/>
      <c r="N24" s="912">
        <v>1</v>
      </c>
      <c r="Q24" s="460"/>
      <c r="R24" s="460"/>
      <c r="S24" s="460"/>
    </row>
    <row r="25" spans="1:19" ht="99" customHeight="1">
      <c r="A25" s="457"/>
      <c r="B25" s="1695"/>
      <c r="C25" s="1610"/>
      <c r="D25" s="1609" t="s">
        <v>2453</v>
      </c>
      <c r="E25" s="464"/>
      <c r="F25" s="464"/>
      <c r="H25" s="818">
        <v>1000</v>
      </c>
      <c r="I25" s="461"/>
      <c r="J25" s="820" t="s">
        <v>2476</v>
      </c>
      <c r="K25" s="461"/>
      <c r="L25" s="912">
        <v>1</v>
      </c>
      <c r="M25" s="912"/>
      <c r="N25" s="912">
        <v>1</v>
      </c>
      <c r="Q25" s="460"/>
      <c r="R25" s="460"/>
      <c r="S25" s="460"/>
    </row>
    <row r="26" spans="1:19" ht="74.25" customHeight="1">
      <c r="A26" s="2108">
        <v>8</v>
      </c>
      <c r="B26" s="1697">
        <v>10</v>
      </c>
      <c r="C26" s="469"/>
      <c r="D26" s="469"/>
      <c r="E26" s="468"/>
      <c r="F26" s="468"/>
      <c r="G26" s="468"/>
      <c r="H26" s="466"/>
      <c r="I26" s="469"/>
      <c r="J26" s="466"/>
      <c r="K26" s="461"/>
      <c r="L26" s="849">
        <f>SUMIF('1401'!$C$4:$C$494,B26,'1401'!$V$4:$V$494)</f>
        <v>48</v>
      </c>
      <c r="M26" s="466"/>
      <c r="N26" s="1120">
        <v>48</v>
      </c>
      <c r="Q26" s="460"/>
      <c r="R26" s="460"/>
      <c r="S26" s="460"/>
    </row>
    <row r="27" spans="1:19" ht="6.75" customHeight="1">
      <c r="A27" s="2108"/>
      <c r="C27" s="1464"/>
      <c r="D27" s="467"/>
      <c r="E27" s="468"/>
      <c r="F27" s="468"/>
      <c r="G27" s="468"/>
      <c r="H27" s="466"/>
      <c r="I27" s="469"/>
      <c r="J27" s="466"/>
      <c r="K27" s="461"/>
      <c r="L27" s="849"/>
      <c r="M27" s="466"/>
      <c r="N27" s="850"/>
      <c r="Q27" s="460"/>
      <c r="R27" s="460"/>
      <c r="S27" s="460"/>
    </row>
    <row r="28" spans="1:19" ht="168" customHeight="1">
      <c r="A28" s="2108"/>
      <c r="C28" s="1464"/>
      <c r="D28" s="467"/>
      <c r="E28" s="468"/>
      <c r="F28" s="468"/>
      <c r="G28" s="468"/>
      <c r="H28" s="466"/>
      <c r="I28" s="469"/>
      <c r="J28" s="466"/>
      <c r="K28" s="465"/>
      <c r="M28" s="466"/>
      <c r="N28" s="466"/>
      <c r="Q28" s="460"/>
      <c r="R28" s="460"/>
      <c r="S28" s="460"/>
    </row>
    <row r="29" spans="1:19" ht="67.5" customHeight="1">
      <c r="A29" s="2109">
        <v>42186</v>
      </c>
      <c r="C29" s="1465"/>
      <c r="D29" s="1024" t="s">
        <v>2174</v>
      </c>
      <c r="E29" s="1025"/>
      <c r="F29" s="1025"/>
      <c r="G29" s="1025"/>
      <c r="H29" s="1025"/>
      <c r="I29" s="1025"/>
      <c r="J29" s="1025"/>
      <c r="K29" s="1025"/>
      <c r="L29" s="1025"/>
      <c r="M29" s="470"/>
      <c r="N29" s="470"/>
      <c r="O29" s="470"/>
      <c r="P29" s="470"/>
      <c r="Q29" s="460"/>
      <c r="R29" s="460"/>
      <c r="S29" s="460"/>
    </row>
    <row r="30" spans="1:19" ht="67.5" hidden="1" customHeight="1">
      <c r="A30" s="2109"/>
      <c r="C30" s="1466"/>
      <c r="D30" s="1022"/>
      <c r="E30" s="1037"/>
      <c r="F30" s="1037"/>
      <c r="G30" s="470"/>
      <c r="H30" s="470"/>
      <c r="I30" s="470"/>
      <c r="J30" s="470"/>
      <c r="K30" s="470"/>
      <c r="L30" s="470"/>
      <c r="M30" s="470"/>
      <c r="N30" s="470"/>
      <c r="O30" s="470"/>
      <c r="P30" s="470"/>
      <c r="Q30" s="460"/>
      <c r="R30" s="460"/>
      <c r="S30" s="460"/>
    </row>
    <row r="31" spans="1:19" ht="105.75" customHeight="1">
      <c r="A31" s="2109"/>
      <c r="C31" s="1466"/>
      <c r="D31" s="1022"/>
      <c r="E31" s="1037"/>
      <c r="F31" s="1037"/>
      <c r="G31" s="470"/>
      <c r="H31" s="470"/>
      <c r="I31" s="470"/>
      <c r="J31" s="470"/>
      <c r="K31" s="470"/>
      <c r="L31" s="470"/>
      <c r="M31" s="470"/>
      <c r="N31" s="470"/>
      <c r="O31" s="470"/>
      <c r="P31" s="470"/>
      <c r="Q31" s="460"/>
      <c r="R31" s="460"/>
      <c r="S31" s="460"/>
    </row>
    <row r="32" spans="1:19" ht="105.75" customHeight="1">
      <c r="A32" s="2109"/>
      <c r="C32" s="1466"/>
      <c r="D32" s="1022"/>
      <c r="E32" s="470"/>
      <c r="F32" s="470"/>
      <c r="G32" s="470"/>
      <c r="H32" s="470"/>
      <c r="I32" s="470"/>
      <c r="J32" s="470"/>
      <c r="K32" s="470"/>
      <c r="L32" s="470"/>
      <c r="M32" s="470"/>
      <c r="N32" s="470"/>
      <c r="O32" s="470"/>
      <c r="P32" s="470"/>
      <c r="Q32" s="460"/>
      <c r="R32" s="460"/>
      <c r="S32" s="460"/>
    </row>
    <row r="33" spans="1:16" ht="105.75" customHeight="1">
      <c r="A33" s="3123"/>
      <c r="B33" s="3123"/>
      <c r="C33" s="3123"/>
      <c r="D33" s="471"/>
      <c r="J33" s="472"/>
      <c r="K33" s="472"/>
      <c r="L33" s="473"/>
      <c r="M33" s="473"/>
      <c r="N33" s="473"/>
      <c r="O33" s="473"/>
      <c r="P33" s="474"/>
    </row>
    <row r="34" spans="1:16" ht="145.5" customHeight="1"/>
    <row r="35" spans="1:16" ht="105.75" customHeight="1">
      <c r="K35" s="255"/>
      <c r="M35" s="476"/>
    </row>
    <row r="36" spans="1:16" ht="10.5" customHeight="1"/>
    <row r="37" spans="1:16" ht="78.75" customHeight="1">
      <c r="B37" s="2144"/>
      <c r="C37" s="2144"/>
      <c r="D37" s="2144"/>
      <c r="E37" s="2144"/>
      <c r="F37" s="2144"/>
      <c r="G37" s="2144"/>
      <c r="H37" s="2145">
        <v>18</v>
      </c>
      <c r="I37" s="2144"/>
      <c r="J37" s="2144"/>
      <c r="K37" s="2144"/>
      <c r="L37" s="2144"/>
      <c r="M37" s="2144"/>
      <c r="N37" s="2144"/>
      <c r="O37" s="2144"/>
    </row>
    <row r="54" spans="11:11" ht="30.75" customHeight="1">
      <c r="K54" s="475">
        <v>-7717613</v>
      </c>
    </row>
  </sheetData>
  <mergeCells count="6">
    <mergeCell ref="A33:C33"/>
    <mergeCell ref="A1:O1"/>
    <mergeCell ref="A2:O2"/>
    <mergeCell ref="A3:O3"/>
    <mergeCell ref="L19:N19"/>
    <mergeCell ref="L5:N5"/>
  </mergeCells>
  <printOptions horizontalCentered="1" verticalCentered="1"/>
  <pageMargins left="0.15748031496062992" right="0.15748031496062992" top="0.15748031496062992" bottom="0.19685039370078741" header="0.27" footer="0.23622047244094491"/>
  <pageSetup paperSize="9" scale="24" orientation="portrait" r:id="rId1"/>
  <ignoredErrors>
    <ignoredError sqref="N10" formula="1"/>
  </ignoredError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Y84"/>
  <sheetViews>
    <sheetView rightToLeft="1" view="pageBreakPreview" topLeftCell="A13" zoomScale="70" zoomScaleNormal="70" zoomScaleSheetLayoutView="70" zoomScalePageLayoutView="80" workbookViewId="0">
      <selection activeCell="P33" sqref="P33"/>
    </sheetView>
  </sheetViews>
  <sheetFormatPr defaultColWidth="1.375" defaultRowHeight="26.25"/>
  <cols>
    <col min="1" max="1" width="6.25" style="1971" customWidth="1"/>
    <col min="2" max="2" width="3.625" style="1353" customWidth="1"/>
    <col min="3" max="3" width="8" style="151" customWidth="1"/>
    <col min="4" max="4" width="29.75" style="151" customWidth="1"/>
    <col min="5" max="5" width="14.375" style="1085" customWidth="1"/>
    <col min="6" max="6" width="4" style="1085" customWidth="1"/>
    <col min="7" max="7" width="11.75" style="151" customWidth="1"/>
    <col min="8" max="8" width="8.375" style="2819" bestFit="1" customWidth="1"/>
    <col min="9" max="9" width="4.125" style="2819" customWidth="1"/>
    <col min="10" max="10" width="13.75" style="151" bestFit="1" customWidth="1"/>
    <col min="11" max="11" width="4" style="151" customWidth="1"/>
    <col min="12" max="12" width="15.5" style="151" bestFit="1" customWidth="1"/>
    <col min="13" max="13" width="0.125" style="151" customWidth="1"/>
    <col min="14" max="14" width="8.75" style="151" bestFit="1" customWidth="1"/>
    <col min="15" max="31" width="6.625" style="151" customWidth="1"/>
    <col min="32" max="16384" width="1.375" style="151"/>
  </cols>
  <sheetData>
    <row r="1" spans="1:25" ht="30.75" customHeight="1">
      <c r="A1" s="3128" t="str">
        <f>مفروضات!A1</f>
        <v>شركت خطوط لوله و مخابرات نفت ايران (سهامي خاص)</v>
      </c>
      <c r="B1" s="3128"/>
      <c r="C1" s="3128"/>
      <c r="D1" s="3128"/>
      <c r="E1" s="3128"/>
      <c r="F1" s="3128"/>
      <c r="G1" s="3128"/>
      <c r="H1" s="3128"/>
      <c r="I1" s="3128"/>
      <c r="J1" s="3128"/>
      <c r="K1" s="3128"/>
      <c r="L1" s="3128"/>
      <c r="M1" s="3127"/>
      <c r="N1" s="3127"/>
      <c r="O1" s="364"/>
      <c r="P1" s="365"/>
      <c r="Q1" s="365"/>
      <c r="R1" s="365"/>
      <c r="S1" s="365"/>
      <c r="T1" s="365"/>
      <c r="U1" s="365"/>
      <c r="V1" s="365"/>
      <c r="W1" s="365"/>
      <c r="X1" s="365"/>
      <c r="Y1" s="365"/>
    </row>
    <row r="2" spans="1:25" s="1986" customFormat="1" ht="30.75" customHeight="1">
      <c r="A2" s="3128" t="str">
        <f>مفروضات!A2:C2</f>
        <v>يادداشت هاي توضيحي صورت هاي مالي</v>
      </c>
      <c r="B2" s="3128"/>
      <c r="C2" s="3128"/>
      <c r="D2" s="3128"/>
      <c r="E2" s="3128"/>
      <c r="F2" s="3128"/>
      <c r="G2" s="3128" t="s">
        <v>2050</v>
      </c>
      <c r="H2" s="3128"/>
      <c r="I2" s="3128"/>
      <c r="J2" s="3128"/>
      <c r="K2" s="3128"/>
      <c r="L2" s="3128"/>
      <c r="M2" s="3127"/>
      <c r="N2" s="3127"/>
      <c r="O2" s="364"/>
      <c r="P2" s="365"/>
      <c r="Q2" s="365"/>
      <c r="R2" s="365"/>
      <c r="S2" s="365"/>
      <c r="T2" s="365"/>
      <c r="U2" s="365"/>
      <c r="V2" s="365"/>
      <c r="W2" s="365"/>
      <c r="X2" s="365"/>
      <c r="Y2" s="365"/>
    </row>
    <row r="3" spans="1:25" ht="34.5" customHeight="1">
      <c r="A3" s="3128" t="str">
        <f>مفروضات!A3</f>
        <v xml:space="preserve"> سال مالي منتهي به 29 اسفند 1401</v>
      </c>
      <c r="B3" s="3128"/>
      <c r="C3" s="3128"/>
      <c r="D3" s="3128"/>
      <c r="E3" s="3128"/>
      <c r="F3" s="3128"/>
      <c r="G3" s="3128"/>
      <c r="H3" s="3128"/>
      <c r="I3" s="3128"/>
      <c r="J3" s="3128"/>
      <c r="K3" s="3128"/>
      <c r="L3" s="3128"/>
      <c r="M3" s="3127"/>
      <c r="N3" s="3127"/>
      <c r="O3" s="364"/>
      <c r="P3" s="365"/>
      <c r="Q3" s="365"/>
      <c r="R3" s="365"/>
      <c r="S3" s="365"/>
      <c r="T3" s="365"/>
      <c r="U3" s="365"/>
      <c r="V3" s="365"/>
      <c r="W3" s="365"/>
      <c r="X3" s="365"/>
      <c r="Y3" s="365"/>
    </row>
    <row r="4" spans="1:25" s="1529" customFormat="1" ht="21" customHeight="1">
      <c r="A4" s="2531"/>
      <c r="B4" s="1527"/>
      <c r="C4" s="1527"/>
      <c r="D4" s="1527"/>
      <c r="E4" s="1527"/>
      <c r="F4" s="1527"/>
      <c r="G4" s="1527"/>
      <c r="H4" s="1527"/>
      <c r="I4" s="1527"/>
      <c r="J4" s="1527"/>
      <c r="K4" s="1527"/>
      <c r="L4" s="1527"/>
      <c r="M4" s="1527"/>
      <c r="N4" s="1527"/>
      <c r="O4" s="364"/>
      <c r="P4" s="365"/>
      <c r="Q4" s="365"/>
      <c r="R4" s="365"/>
      <c r="S4" s="365"/>
      <c r="T4" s="365"/>
      <c r="U4" s="365"/>
      <c r="V4" s="365"/>
      <c r="W4" s="365"/>
      <c r="X4" s="365"/>
      <c r="Y4" s="365"/>
    </row>
    <row r="5" spans="1:25" ht="37.5" customHeight="1">
      <c r="B5" s="2848" t="s">
        <v>1923</v>
      </c>
      <c r="C5" s="2849" t="s">
        <v>1951</v>
      </c>
      <c r="D5" s="299"/>
      <c r="E5" s="299"/>
      <c r="F5" s="299"/>
      <c r="G5" s="763"/>
      <c r="H5" s="763"/>
      <c r="I5" s="763"/>
      <c r="J5" s="3133"/>
      <c r="K5" s="3133"/>
      <c r="L5" s="3133"/>
      <c r="M5" s="366"/>
      <c r="N5" s="366"/>
      <c r="O5" s="379"/>
      <c r="P5" s="365"/>
      <c r="Q5" s="365"/>
      <c r="R5" s="365"/>
      <c r="S5" s="365"/>
      <c r="T5" s="365"/>
      <c r="U5" s="365"/>
      <c r="V5" s="365"/>
      <c r="W5" s="365"/>
      <c r="X5" s="365"/>
      <c r="Y5" s="365"/>
    </row>
    <row r="6" spans="1:25" s="2710" customFormat="1">
      <c r="A6" s="1971"/>
      <c r="B6" s="2848"/>
      <c r="C6" s="2849"/>
      <c r="D6" s="299"/>
      <c r="E6" s="299"/>
      <c r="F6" s="299"/>
      <c r="G6" s="763"/>
      <c r="H6" s="763"/>
      <c r="I6" s="763"/>
      <c r="J6" s="3133" t="s">
        <v>1950</v>
      </c>
      <c r="K6" s="3133"/>
      <c r="L6" s="3133"/>
      <c r="M6" s="366"/>
      <c r="N6" s="366"/>
      <c r="O6" s="379"/>
      <c r="P6" s="365"/>
      <c r="Q6" s="365"/>
      <c r="R6" s="365"/>
      <c r="S6" s="365"/>
      <c r="T6" s="365"/>
      <c r="U6" s="365"/>
      <c r="V6" s="365"/>
      <c r="W6" s="365"/>
      <c r="X6" s="365"/>
      <c r="Y6" s="365"/>
    </row>
    <row r="7" spans="1:25" s="1495" customFormat="1" ht="20.25" customHeight="1">
      <c r="A7" s="1971"/>
      <c r="B7" s="2848"/>
      <c r="C7" s="2849"/>
      <c r="D7" s="299"/>
      <c r="E7" s="299"/>
      <c r="F7" s="299"/>
      <c r="G7" s="763"/>
      <c r="H7" s="763"/>
      <c r="I7" s="763"/>
      <c r="J7" s="2712"/>
      <c r="K7" s="2712"/>
      <c r="L7" s="2712" t="s">
        <v>2540</v>
      </c>
      <c r="M7" s="366"/>
      <c r="N7" s="366"/>
      <c r="O7" s="366"/>
      <c r="P7" s="365"/>
      <c r="Q7" s="365"/>
      <c r="R7" s="365"/>
      <c r="S7" s="365"/>
      <c r="T7" s="365"/>
      <c r="U7" s="365"/>
      <c r="V7" s="365"/>
      <c r="W7" s="365"/>
      <c r="X7" s="365"/>
      <c r="Y7" s="365"/>
    </row>
    <row r="8" spans="1:25">
      <c r="B8" s="2850"/>
      <c r="C8" s="2851" t="s">
        <v>1978</v>
      </c>
      <c r="D8" s="2852" t="s">
        <v>1406</v>
      </c>
      <c r="E8" s="2852"/>
      <c r="F8" s="2852"/>
      <c r="G8" s="2853"/>
      <c r="H8" s="2854" t="s">
        <v>2327</v>
      </c>
      <c r="I8" s="2853"/>
      <c r="J8" s="2855">
        <v>1401</v>
      </c>
      <c r="K8" s="2856"/>
      <c r="L8" s="2855">
        <v>1400</v>
      </c>
      <c r="M8" s="366"/>
      <c r="N8" s="366"/>
      <c r="O8" s="366"/>
      <c r="P8" s="365"/>
      <c r="Q8" s="365"/>
      <c r="R8" s="365"/>
      <c r="S8" s="365"/>
      <c r="T8" s="365"/>
      <c r="U8" s="365"/>
      <c r="V8" s="365"/>
      <c r="W8" s="365"/>
      <c r="X8" s="365"/>
      <c r="Y8" s="365"/>
    </row>
    <row r="9" spans="1:25" s="372" customFormat="1">
      <c r="A9" s="1971"/>
      <c r="B9" s="2857"/>
      <c r="C9" s="368"/>
      <c r="D9" s="378" t="s">
        <v>2653</v>
      </c>
      <c r="E9" s="378"/>
      <c r="F9" s="378"/>
      <c r="G9" s="366"/>
      <c r="H9" s="366"/>
      <c r="I9" s="366"/>
      <c r="J9" s="1088"/>
      <c r="K9" s="1089"/>
      <c r="L9" s="1088"/>
      <c r="M9" s="368"/>
      <c r="N9" s="368"/>
      <c r="O9" s="370"/>
      <c r="P9" s="365"/>
      <c r="Q9" s="365"/>
      <c r="R9" s="365"/>
      <c r="S9" s="365"/>
      <c r="T9" s="365"/>
      <c r="U9" s="365"/>
      <c r="V9" s="365"/>
      <c r="W9" s="365"/>
      <c r="X9" s="365"/>
      <c r="Y9" s="365"/>
    </row>
    <row r="10" spans="1:25" s="372" customFormat="1">
      <c r="A10" s="1971"/>
      <c r="B10" s="2857"/>
      <c r="C10" s="368"/>
      <c r="D10" s="378" t="s">
        <v>2654</v>
      </c>
      <c r="E10" s="366"/>
      <c r="F10" s="366"/>
      <c r="G10" s="368"/>
      <c r="H10" s="368"/>
      <c r="I10" s="368"/>
      <c r="J10" s="2828"/>
      <c r="K10" s="2828"/>
      <c r="L10" s="2828"/>
      <c r="M10" s="368"/>
      <c r="N10" s="368"/>
      <c r="O10" s="370"/>
      <c r="P10" s="365"/>
      <c r="Q10" s="365"/>
      <c r="R10" s="365"/>
      <c r="S10" s="365"/>
      <c r="T10" s="365"/>
      <c r="U10" s="365"/>
      <c r="V10" s="365"/>
      <c r="W10" s="365"/>
      <c r="X10" s="365"/>
      <c r="Y10" s="365"/>
    </row>
    <row r="11" spans="1:25" s="2823" customFormat="1">
      <c r="A11" s="1971"/>
      <c r="B11" s="2850"/>
      <c r="C11" s="2858"/>
      <c r="D11" s="2859" t="s">
        <v>2655</v>
      </c>
      <c r="E11" s="2859"/>
      <c r="F11" s="2859"/>
      <c r="G11" s="2860"/>
      <c r="H11" s="2847" t="s">
        <v>2651</v>
      </c>
      <c r="I11" s="2860"/>
      <c r="J11" s="2900">
        <f>J34</f>
        <v>319114</v>
      </c>
      <c r="K11" s="2861"/>
      <c r="L11" s="2900">
        <f>L34</f>
        <v>119426</v>
      </c>
      <c r="M11" s="368"/>
      <c r="N11" s="368"/>
      <c r="O11" s="368"/>
      <c r="P11" s="365"/>
      <c r="Q11" s="365"/>
      <c r="R11" s="365"/>
      <c r="S11" s="365"/>
      <c r="T11" s="365"/>
      <c r="U11" s="365"/>
      <c r="V11" s="365"/>
      <c r="W11" s="365"/>
      <c r="X11" s="365"/>
      <c r="Y11" s="365"/>
    </row>
    <row r="12" spans="1:25" s="372" customFormat="1">
      <c r="A12" s="2533"/>
      <c r="B12" s="2481"/>
      <c r="C12" s="2870"/>
      <c r="D12" s="2859" t="s">
        <v>2595</v>
      </c>
      <c r="E12" s="2859"/>
      <c r="F12" s="2859"/>
      <c r="G12" s="2859"/>
      <c r="H12" s="2847" t="s">
        <v>2657</v>
      </c>
      <c r="I12" s="368"/>
      <c r="J12" s="2901">
        <f>J48</f>
        <v>1167022</v>
      </c>
      <c r="K12" s="2828"/>
      <c r="L12" s="2901">
        <f>L48</f>
        <v>807376</v>
      </c>
      <c r="M12" s="368"/>
      <c r="N12" s="368"/>
      <c r="O12" s="370"/>
      <c r="P12" s="365"/>
      <c r="Q12" s="365"/>
      <c r="R12" s="365"/>
      <c r="S12" s="365"/>
      <c r="T12" s="365"/>
      <c r="U12" s="365"/>
      <c r="V12" s="365"/>
      <c r="W12" s="365"/>
      <c r="X12" s="365"/>
      <c r="Y12" s="365"/>
    </row>
    <row r="13" spans="1:25" s="372" customFormat="1">
      <c r="A13" s="2533"/>
      <c r="B13" s="2481"/>
      <c r="C13" s="2870"/>
      <c r="D13" s="2859"/>
      <c r="E13" s="2859"/>
      <c r="F13" s="2859"/>
      <c r="G13" s="2859"/>
      <c r="H13" s="2847"/>
      <c r="I13" s="368"/>
      <c r="J13" s="2872">
        <f>SUM(J11:J12)</f>
        <v>1486136</v>
      </c>
      <c r="K13" s="2898"/>
      <c r="L13" s="2872">
        <f>SUM(L11:L12)</f>
        <v>926802</v>
      </c>
      <c r="M13" s="368"/>
      <c r="N13" s="368"/>
      <c r="O13" s="370"/>
      <c r="P13" s="365"/>
      <c r="Q13" s="365"/>
      <c r="R13" s="365"/>
      <c r="S13" s="365"/>
      <c r="T13" s="365"/>
      <c r="U13" s="365"/>
      <c r="V13" s="365"/>
      <c r="W13" s="365"/>
      <c r="X13" s="365"/>
      <c r="Y13" s="365"/>
    </row>
    <row r="14" spans="1:25" s="372" customFormat="1">
      <c r="A14" s="2533"/>
      <c r="B14" s="2481"/>
      <c r="C14" s="2870"/>
      <c r="D14" s="2852" t="s">
        <v>2155</v>
      </c>
      <c r="E14" s="378"/>
      <c r="F14" s="378"/>
      <c r="G14" s="368"/>
      <c r="H14" s="368"/>
      <c r="I14" s="368"/>
      <c r="J14" s="2828"/>
      <c r="K14" s="2828"/>
      <c r="L14" s="2828"/>
      <c r="M14" s="368"/>
      <c r="N14" s="368"/>
      <c r="O14" s="370"/>
      <c r="P14" s="365"/>
      <c r="Q14" s="365"/>
      <c r="R14" s="365"/>
      <c r="S14" s="365"/>
      <c r="T14" s="365"/>
      <c r="U14" s="365"/>
      <c r="V14" s="365"/>
      <c r="W14" s="365"/>
      <c r="X14" s="365"/>
      <c r="Y14" s="365"/>
    </row>
    <row r="15" spans="1:25" s="372" customFormat="1">
      <c r="A15" s="2533">
        <v>1013</v>
      </c>
      <c r="B15" s="2481"/>
      <c r="C15" s="2870"/>
      <c r="D15" s="2871" t="s">
        <v>1727</v>
      </c>
      <c r="E15" s="2871"/>
      <c r="F15" s="2871"/>
      <c r="G15" s="368"/>
      <c r="H15" s="368"/>
      <c r="I15" s="368"/>
      <c r="J15" s="2864">
        <f>SUMIF('1401'!$B$6:$B$576,$A15,'1401'!$V$6:$V$576)</f>
        <v>5177903</v>
      </c>
      <c r="K15" s="2828"/>
      <c r="L15" s="2864">
        <v>3819465</v>
      </c>
      <c r="M15" s="368"/>
      <c r="N15" s="368"/>
      <c r="O15" s="370"/>
      <c r="P15" s="365"/>
      <c r="Q15" s="365"/>
      <c r="R15" s="365"/>
      <c r="S15" s="365"/>
      <c r="T15" s="365"/>
      <c r="U15" s="365"/>
      <c r="V15" s="365"/>
      <c r="W15" s="365"/>
      <c r="X15" s="365"/>
      <c r="Y15" s="365"/>
    </row>
    <row r="16" spans="1:25" s="372" customFormat="1">
      <c r="A16" s="2533">
        <v>412</v>
      </c>
      <c r="B16" s="2481"/>
      <c r="C16" s="2870"/>
      <c r="D16" s="2859" t="s">
        <v>2635</v>
      </c>
      <c r="E16" s="2859"/>
      <c r="F16" s="2859"/>
      <c r="G16" s="2859"/>
      <c r="H16" s="368"/>
      <c r="I16" s="368"/>
      <c r="J16" s="2863">
        <f>SUMIF('1401'!$B$6:$B$576,$A16,'1401'!$V$6:$V$576)</f>
        <v>923964</v>
      </c>
      <c r="K16" s="2863"/>
      <c r="L16" s="2863">
        <v>532272</v>
      </c>
      <c r="M16" s="368"/>
      <c r="N16" s="368"/>
      <c r="O16" s="370"/>
      <c r="P16" s="365"/>
      <c r="Q16" s="365"/>
      <c r="R16" s="365"/>
      <c r="S16" s="365"/>
      <c r="T16" s="365"/>
      <c r="U16" s="365"/>
      <c r="V16" s="365"/>
      <c r="W16" s="365"/>
      <c r="X16" s="365"/>
      <c r="Y16" s="365"/>
    </row>
    <row r="17" spans="1:25" s="372" customFormat="1">
      <c r="A17" s="2533">
        <v>413</v>
      </c>
      <c r="B17" s="2481"/>
      <c r="C17" s="2870"/>
      <c r="D17" s="2859" t="s">
        <v>2502</v>
      </c>
      <c r="E17" s="2859"/>
      <c r="F17" s="2859"/>
      <c r="G17" s="2859"/>
      <c r="H17" s="368"/>
      <c r="I17" s="368"/>
      <c r="J17" s="2863">
        <f>SUMIF('1401'!$B$6:$B$576,$A17,'1401'!$V$6:$V$576)</f>
        <v>228120</v>
      </c>
      <c r="K17" s="2863"/>
      <c r="L17" s="2863">
        <v>12170</v>
      </c>
      <c r="M17" s="368"/>
      <c r="N17" s="368"/>
      <c r="O17" s="370"/>
      <c r="P17" s="365"/>
      <c r="Q17" s="365"/>
      <c r="R17" s="365"/>
      <c r="S17" s="365"/>
      <c r="T17" s="365"/>
      <c r="U17" s="365"/>
      <c r="V17" s="365"/>
      <c r="W17" s="365"/>
      <c r="X17" s="365"/>
      <c r="Y17" s="365"/>
    </row>
    <row r="18" spans="1:25">
      <c r="A18" s="2532">
        <v>401</v>
      </c>
      <c r="B18" s="2481"/>
      <c r="C18" s="2862"/>
      <c r="D18" s="2859" t="s">
        <v>2501</v>
      </c>
      <c r="E18" s="2859"/>
      <c r="F18" s="2859"/>
      <c r="G18" s="2859"/>
      <c r="H18" s="2860"/>
      <c r="I18" s="2860"/>
      <c r="J18" s="2863">
        <f>SUMIF('1401'!$B$6:$B$576,$A18,'1401'!$V$6:$V$576)</f>
        <v>194101</v>
      </c>
      <c r="K18" s="2863"/>
      <c r="L18" s="2863">
        <v>155172</v>
      </c>
      <c r="M18" s="368"/>
      <c r="N18" s="368"/>
      <c r="O18" s="368"/>
      <c r="P18" s="365"/>
      <c r="Q18" s="365"/>
      <c r="R18" s="365"/>
      <c r="S18" s="365"/>
      <c r="T18" s="365"/>
      <c r="U18" s="365"/>
      <c r="V18" s="365"/>
      <c r="W18" s="365"/>
      <c r="X18" s="365"/>
      <c r="Y18" s="365"/>
    </row>
    <row r="19" spans="1:25" s="2647" customFormat="1">
      <c r="A19" s="2532">
        <v>440</v>
      </c>
      <c r="B19" s="2481"/>
      <c r="C19" s="2862"/>
      <c r="D19" s="2859" t="s">
        <v>2500</v>
      </c>
      <c r="E19" s="2859"/>
      <c r="F19" s="2859"/>
      <c r="G19" s="2859"/>
      <c r="H19" s="2859"/>
      <c r="I19" s="2859"/>
      <c r="J19" s="2863">
        <f>SUMIF('1401'!$B$6:$B$576,$A19,'1401'!$V$6:$V$576)</f>
        <v>76174</v>
      </c>
      <c r="K19" s="2863"/>
      <c r="L19" s="2863">
        <v>23052</v>
      </c>
      <c r="M19" s="368"/>
      <c r="N19" s="368"/>
      <c r="O19" s="368"/>
      <c r="P19" s="365"/>
      <c r="Q19" s="365"/>
      <c r="R19" s="365"/>
      <c r="S19" s="365"/>
      <c r="T19" s="365"/>
      <c r="U19" s="365"/>
      <c r="V19" s="365"/>
      <c r="W19" s="365"/>
      <c r="X19" s="365"/>
      <c r="Y19" s="365"/>
    </row>
    <row r="20" spans="1:25" s="1069" customFormat="1">
      <c r="A20" s="2534"/>
      <c r="B20" s="2481"/>
      <c r="C20" s="2862"/>
      <c r="D20" s="2859" t="s">
        <v>2177</v>
      </c>
      <c r="E20" s="2859"/>
      <c r="F20" s="2859"/>
      <c r="G20" s="2859"/>
      <c r="H20" s="2847" t="s">
        <v>2660</v>
      </c>
      <c r="I20" s="2865"/>
      <c r="J20" s="2863">
        <f>J60</f>
        <v>158124</v>
      </c>
      <c r="K20" s="2863"/>
      <c r="L20" s="2863">
        <v>147791</v>
      </c>
      <c r="M20" s="368"/>
      <c r="N20" s="368"/>
      <c r="O20" s="368"/>
      <c r="P20" s="365"/>
      <c r="Q20" s="365"/>
      <c r="R20" s="365"/>
      <c r="S20" s="365"/>
      <c r="T20" s="365"/>
      <c r="U20" s="365"/>
      <c r="V20" s="365"/>
      <c r="W20" s="365"/>
      <c r="X20" s="365"/>
      <c r="Y20" s="365"/>
    </row>
    <row r="21" spans="1:25" s="2899" customFormat="1" ht="28.5">
      <c r="A21" s="2534">
        <v>422</v>
      </c>
      <c r="B21" s="2481"/>
      <c r="C21" s="2862"/>
      <c r="D21" s="1582" t="s">
        <v>2236</v>
      </c>
      <c r="E21" s="1582"/>
      <c r="F21" s="1582"/>
      <c r="G21" s="1582"/>
      <c r="H21" s="1582"/>
      <c r="I21" s="2865"/>
      <c r="J21" s="2863">
        <f>SUMIF('1401'!$B$6:$B$576,$A21,'1401'!$V$6:$V$576)</f>
        <v>41066</v>
      </c>
      <c r="K21" s="2863"/>
      <c r="L21" s="2863">
        <v>41066</v>
      </c>
      <c r="M21" s="368"/>
      <c r="N21" s="368"/>
      <c r="O21" s="368"/>
      <c r="P21" s="365"/>
      <c r="Q21" s="365"/>
      <c r="R21" s="365"/>
      <c r="S21" s="365"/>
      <c r="T21" s="365"/>
      <c r="U21" s="365"/>
      <c r="V21" s="365"/>
      <c r="W21" s="365"/>
      <c r="X21" s="365"/>
      <c r="Y21" s="365"/>
    </row>
    <row r="22" spans="1:25" s="2917" customFormat="1" ht="28.5">
      <c r="A22" s="2534">
        <v>400</v>
      </c>
      <c r="B22" s="2481"/>
      <c r="C22" s="2862"/>
      <c r="D22" s="1582" t="s">
        <v>2156</v>
      </c>
      <c r="E22" s="1582"/>
      <c r="F22" s="1582"/>
      <c r="G22" s="1582"/>
      <c r="H22" s="1582"/>
      <c r="I22" s="2865"/>
      <c r="J22" s="2863">
        <f>SUMIF('1401'!$B$6:$B$576,$A22,'1401'!$V$6:$V$576)</f>
        <v>1147100</v>
      </c>
      <c r="K22" s="2863"/>
      <c r="L22" s="2863">
        <v>884190</v>
      </c>
      <c r="M22" s="368"/>
      <c r="N22" s="368"/>
      <c r="O22" s="368"/>
      <c r="P22" s="365"/>
      <c r="Q22" s="365"/>
      <c r="R22" s="365"/>
      <c r="S22" s="365"/>
      <c r="T22" s="365"/>
      <c r="U22" s="365"/>
      <c r="V22" s="365"/>
      <c r="W22" s="365"/>
      <c r="X22" s="365"/>
      <c r="Y22" s="365"/>
    </row>
    <row r="23" spans="1:25" s="2899" customFormat="1" ht="28.5">
      <c r="A23" s="2534">
        <v>429</v>
      </c>
      <c r="B23" s="2481"/>
      <c r="C23" s="2862"/>
      <c r="D23" s="1582" t="s">
        <v>2652</v>
      </c>
      <c r="E23" s="1582"/>
      <c r="F23" s="1582"/>
      <c r="G23" s="1582"/>
      <c r="H23" s="1582"/>
      <c r="I23" s="2865"/>
      <c r="J23" s="2863">
        <f>SUMIF('1401'!$B$6:$B$576,$A23,'1401'!$V$6:$V$576)</f>
        <v>257729</v>
      </c>
      <c r="K23" s="2863"/>
      <c r="L23" s="2863">
        <v>223511</v>
      </c>
      <c r="M23" s="368"/>
      <c r="N23" s="368"/>
      <c r="O23" s="368"/>
      <c r="P23" s="365"/>
      <c r="Q23" s="365"/>
      <c r="R23" s="365"/>
      <c r="S23" s="365"/>
      <c r="T23" s="365"/>
      <c r="U23" s="365"/>
      <c r="V23" s="365"/>
      <c r="W23" s="365"/>
      <c r="X23" s="365"/>
      <c r="Y23" s="365"/>
    </row>
    <row r="24" spans="1:25">
      <c r="A24" s="2532"/>
      <c r="B24" s="2481"/>
      <c r="C24" s="2862"/>
      <c r="D24" s="2859" t="s">
        <v>674</v>
      </c>
      <c r="E24" s="2859"/>
      <c r="F24" s="2859"/>
      <c r="G24" s="2859"/>
      <c r="H24" s="2865"/>
      <c r="I24" s="2865"/>
      <c r="J24" s="2863">
        <f>'20'!Q20</f>
        <v>439416</v>
      </c>
      <c r="K24" s="2863"/>
      <c r="L24" s="2863">
        <f>'20'!S20</f>
        <v>193840</v>
      </c>
      <c r="M24" s="368"/>
      <c r="N24" s="368"/>
      <c r="O24" s="368"/>
      <c r="P24" s="365"/>
      <c r="Q24" s="365"/>
      <c r="R24" s="365"/>
      <c r="S24" s="365"/>
      <c r="T24" s="365"/>
      <c r="U24" s="365"/>
      <c r="V24" s="365"/>
      <c r="W24" s="365"/>
      <c r="X24" s="365"/>
      <c r="Y24" s="365"/>
    </row>
    <row r="25" spans="1:25">
      <c r="B25" s="2481"/>
      <c r="C25" s="1339"/>
      <c r="D25" s="366"/>
      <c r="E25" s="366"/>
      <c r="F25" s="366"/>
      <c r="G25" s="2867"/>
      <c r="H25" s="2867"/>
      <c r="I25" s="2867"/>
      <c r="J25" s="2872">
        <f>SUM(J15:J24)</f>
        <v>8643697</v>
      </c>
      <c r="K25" s="2867"/>
      <c r="L25" s="2872">
        <f>SUM(L15:L24)</f>
        <v>6032529</v>
      </c>
      <c r="M25" s="368"/>
      <c r="N25" s="368"/>
      <c r="O25" s="368"/>
      <c r="P25" s="365"/>
      <c r="Q25" s="365"/>
      <c r="R25" s="955"/>
      <c r="S25" s="955"/>
      <c r="T25" s="955"/>
      <c r="U25" s="365"/>
      <c r="V25" s="365"/>
      <c r="W25" s="365"/>
      <c r="X25" s="365"/>
      <c r="Y25" s="365"/>
    </row>
    <row r="26" spans="1:25" ht="27" thickBot="1">
      <c r="B26" s="1377"/>
      <c r="C26" s="2873"/>
      <c r="D26" s="2481"/>
      <c r="E26" s="2481"/>
      <c r="F26" s="2481"/>
      <c r="G26" s="2867"/>
      <c r="H26" s="2867"/>
      <c r="I26" s="2867"/>
      <c r="J26" s="2874">
        <f>J25+J13</f>
        <v>10129833</v>
      </c>
      <c r="K26" s="2863"/>
      <c r="L26" s="2874">
        <f>L25+L13</f>
        <v>6959331</v>
      </c>
      <c r="M26" s="366"/>
      <c r="N26" s="366"/>
      <c r="O26" s="379"/>
      <c r="P26" s="365"/>
      <c r="Q26" s="365"/>
      <c r="R26" s="955"/>
      <c r="S26" s="955"/>
      <c r="T26" s="955"/>
      <c r="U26" s="365"/>
      <c r="V26" s="365"/>
      <c r="W26" s="365"/>
      <c r="X26" s="365"/>
      <c r="Y26" s="365"/>
    </row>
    <row r="27" spans="1:25" s="2899" customFormat="1" ht="27" thickTop="1">
      <c r="A27" s="1971"/>
      <c r="B27" s="1377"/>
      <c r="C27" s="2849" t="s">
        <v>2656</v>
      </c>
      <c r="D27" s="2481"/>
      <c r="E27" s="2481"/>
      <c r="F27" s="2481"/>
      <c r="G27" s="2867"/>
      <c r="H27" s="2867"/>
      <c r="I27" s="2867"/>
      <c r="J27" s="2863"/>
      <c r="K27" s="2863"/>
      <c r="L27" s="2863"/>
      <c r="M27" s="366"/>
      <c r="N27" s="366"/>
      <c r="O27" s="379"/>
      <c r="P27" s="365"/>
      <c r="Q27" s="365"/>
      <c r="R27" s="955"/>
      <c r="S27" s="955"/>
      <c r="T27" s="955"/>
      <c r="U27" s="365"/>
      <c r="V27" s="365"/>
      <c r="W27" s="365"/>
      <c r="X27" s="365"/>
      <c r="Y27" s="365"/>
    </row>
    <row r="28" spans="1:25" s="2906" customFormat="1">
      <c r="A28" s="1971"/>
      <c r="B28" s="1377"/>
      <c r="C28" s="2849"/>
      <c r="D28" s="2481"/>
      <c r="E28" s="2481"/>
      <c r="F28" s="2481"/>
      <c r="G28" s="2867"/>
      <c r="H28" s="2867"/>
      <c r="I28" s="2867"/>
      <c r="J28" s="3133" t="s">
        <v>1950</v>
      </c>
      <c r="K28" s="3133"/>
      <c r="L28" s="3133"/>
      <c r="M28" s="366"/>
      <c r="N28" s="366"/>
      <c r="O28" s="379"/>
      <c r="P28" s="365"/>
      <c r="Q28" s="365"/>
      <c r="R28" s="955"/>
      <c r="S28" s="955"/>
      <c r="T28" s="955"/>
      <c r="U28" s="365"/>
      <c r="V28" s="365"/>
      <c r="W28" s="365"/>
      <c r="X28" s="365"/>
      <c r="Y28" s="365"/>
    </row>
    <row r="29" spans="1:25" s="2906" customFormat="1">
      <c r="A29" s="1971"/>
      <c r="B29" s="1377"/>
      <c r="C29" s="2849"/>
      <c r="D29" s="2481"/>
      <c r="E29" s="2481"/>
      <c r="F29" s="2481"/>
      <c r="G29" s="2867"/>
      <c r="H29" s="2867"/>
      <c r="I29" s="2867"/>
      <c r="J29" s="2855">
        <v>1401</v>
      </c>
      <c r="K29" s="2856"/>
      <c r="L29" s="2855">
        <v>1400</v>
      </c>
      <c r="M29" s="366"/>
      <c r="N29" s="366"/>
      <c r="O29" s="379"/>
      <c r="P29" s="365"/>
      <c r="Q29" s="365"/>
      <c r="R29" s="955"/>
      <c r="S29" s="955"/>
      <c r="T29" s="955"/>
      <c r="U29" s="365"/>
      <c r="V29" s="365"/>
      <c r="W29" s="365"/>
      <c r="X29" s="365"/>
      <c r="Y29" s="365"/>
    </row>
    <row r="30" spans="1:25">
      <c r="A30" s="2532">
        <v>1022</v>
      </c>
      <c r="B30" s="2481"/>
      <c r="C30" s="2862"/>
      <c r="D30" s="2860" t="s">
        <v>2452</v>
      </c>
      <c r="E30" s="2860"/>
      <c r="F30" s="2860"/>
      <c r="G30" s="2860"/>
      <c r="H30" s="2860"/>
      <c r="I30" s="2860"/>
      <c r="J30" s="2863">
        <f>SUMIF('1401'!$B$6:$B$576,$A30,'1401'!$V$6:$V$576)</f>
        <v>147110</v>
      </c>
      <c r="K30" s="2864"/>
      <c r="L30" s="2864">
        <v>0</v>
      </c>
      <c r="M30" s="368"/>
      <c r="N30" s="368"/>
      <c r="O30" s="368"/>
      <c r="P30" s="365"/>
      <c r="Q30" s="365"/>
      <c r="R30" s="365"/>
      <c r="S30" s="365"/>
      <c r="T30" s="365"/>
      <c r="U30" s="365"/>
      <c r="V30" s="365"/>
      <c r="W30" s="365"/>
      <c r="X30" s="365"/>
      <c r="Y30" s="365"/>
    </row>
    <row r="31" spans="1:25" s="1156" customFormat="1">
      <c r="A31" s="2532">
        <v>1023</v>
      </c>
      <c r="B31" s="2481"/>
      <c r="C31" s="2862"/>
      <c r="D31" s="2860" t="s">
        <v>2453</v>
      </c>
      <c r="E31" s="2860"/>
      <c r="F31" s="2860" t="s">
        <v>677</v>
      </c>
      <c r="G31" s="2860"/>
      <c r="H31" s="2860"/>
      <c r="I31" s="2860"/>
      <c r="J31" s="2863">
        <f>SUMIF('1401'!$B$6:$B$576,$A31,'1401'!$V$6:$V$576)</f>
        <v>133497</v>
      </c>
      <c r="K31" s="2864"/>
      <c r="L31" s="2864">
        <v>0</v>
      </c>
      <c r="M31" s="368"/>
      <c r="N31" s="368"/>
      <c r="O31" s="368"/>
      <c r="P31" s="365"/>
      <c r="Q31" s="365"/>
      <c r="R31" s="365"/>
      <c r="S31" s="365"/>
      <c r="T31" s="365"/>
      <c r="U31" s="365"/>
      <c r="V31" s="365"/>
      <c r="W31" s="365"/>
      <c r="X31" s="365"/>
      <c r="Y31" s="365"/>
    </row>
    <row r="32" spans="1:25" s="2607" customFormat="1">
      <c r="A32" s="2532">
        <v>425</v>
      </c>
      <c r="B32" s="2481"/>
      <c r="C32" s="2862"/>
      <c r="D32" s="2859" t="s">
        <v>2634</v>
      </c>
      <c r="E32" s="2859"/>
      <c r="F32" s="2859"/>
      <c r="G32" s="2865"/>
      <c r="H32" s="2865"/>
      <c r="I32" s="2865"/>
      <c r="J32" s="2863">
        <f>SUMIF('1401'!$B$6:$B$576,$A32,'1401'!$V$6:$V$576)</f>
        <v>2771</v>
      </c>
      <c r="K32" s="2864"/>
      <c r="L32" s="2864">
        <v>0</v>
      </c>
      <c r="M32" s="368"/>
      <c r="N32" s="368"/>
      <c r="O32" s="368"/>
      <c r="P32" s="365"/>
      <c r="Q32" s="365"/>
      <c r="R32" s="365"/>
      <c r="S32" s="365"/>
      <c r="T32" s="365"/>
      <c r="U32" s="365"/>
      <c r="V32" s="365"/>
      <c r="W32" s="365"/>
      <c r="X32" s="365"/>
      <c r="Y32" s="365"/>
    </row>
    <row r="33" spans="1:25" s="2899" customFormat="1" ht="28.5">
      <c r="A33" s="2532">
        <v>408</v>
      </c>
      <c r="B33" s="2481"/>
      <c r="C33" s="2862"/>
      <c r="D33" s="374" t="s">
        <v>2702</v>
      </c>
      <c r="E33" s="2713"/>
      <c r="F33" s="2713"/>
      <c r="G33" s="2748"/>
      <c r="H33" s="2748"/>
      <c r="I33" s="2865"/>
      <c r="J33" s="2863">
        <f>SUMIF('1401'!$B$6:$B$576,$A33,'1401'!$V$6:$V$576)</f>
        <v>35736</v>
      </c>
      <c r="K33" s="2864"/>
      <c r="L33" s="2866">
        <v>119426</v>
      </c>
      <c r="M33" s="368"/>
      <c r="N33" s="368"/>
      <c r="O33" s="368"/>
      <c r="P33" s="365"/>
      <c r="Q33" s="365"/>
      <c r="R33" s="365"/>
      <c r="S33" s="365"/>
      <c r="T33" s="365"/>
      <c r="U33" s="365"/>
      <c r="V33" s="365"/>
      <c r="W33" s="365"/>
      <c r="X33" s="365"/>
      <c r="Y33" s="365"/>
    </row>
    <row r="34" spans="1:25">
      <c r="A34" s="2532"/>
      <c r="B34" s="2481"/>
      <c r="C34" s="378"/>
      <c r="D34" s="2859"/>
      <c r="E34" s="2859"/>
      <c r="F34" s="2859"/>
      <c r="G34" s="2867"/>
      <c r="H34" s="2867"/>
      <c r="I34" s="2867"/>
      <c r="J34" s="2868">
        <f>SUM(J30:J33)</f>
        <v>319114</v>
      </c>
      <c r="K34" s="2869"/>
      <c r="L34" s="2868">
        <f>SUM(L30:L33)</f>
        <v>119426</v>
      </c>
      <c r="M34" s="368"/>
      <c r="N34" s="368"/>
      <c r="O34" s="368"/>
      <c r="P34" s="365"/>
      <c r="Q34" s="365"/>
      <c r="R34" s="365"/>
      <c r="S34" s="365"/>
      <c r="T34" s="365"/>
      <c r="U34" s="365"/>
      <c r="V34" s="365"/>
      <c r="W34" s="365"/>
      <c r="X34" s="365"/>
      <c r="Y34" s="365"/>
    </row>
    <row r="35" spans="1:25" ht="23.25" customHeight="1">
      <c r="B35" s="1377"/>
      <c r="C35" s="2873"/>
      <c r="D35" s="366"/>
      <c r="E35" s="366"/>
      <c r="F35" s="366"/>
      <c r="G35" s="2867"/>
      <c r="H35" s="2867"/>
      <c r="I35" s="2867"/>
      <c r="J35" s="2869"/>
      <c r="K35" s="2869"/>
      <c r="L35" s="2867"/>
      <c r="M35" s="366"/>
      <c r="N35" s="366"/>
      <c r="O35" s="379"/>
      <c r="P35" s="365"/>
      <c r="Q35" s="365"/>
      <c r="R35" s="365"/>
      <c r="S35" s="365"/>
      <c r="T35" s="365"/>
      <c r="U35" s="365"/>
      <c r="V35" s="365"/>
      <c r="W35" s="365"/>
      <c r="X35" s="365"/>
      <c r="Y35" s="365"/>
    </row>
    <row r="36" spans="1:25" s="2829" customFormat="1" ht="37.5" customHeight="1">
      <c r="A36" s="1971"/>
      <c r="B36" s="2848"/>
      <c r="C36" s="2849" t="s">
        <v>2658</v>
      </c>
      <c r="D36" s="299"/>
      <c r="E36" s="299"/>
      <c r="F36" s="299"/>
      <c r="G36" s="763"/>
      <c r="H36" s="763"/>
      <c r="I36" s="763"/>
      <c r="J36" s="2481"/>
      <c r="K36" s="2481"/>
      <c r="L36" s="2481"/>
      <c r="M36" s="366"/>
      <c r="N36" s="366"/>
      <c r="O36" s="379"/>
      <c r="P36" s="365"/>
      <c r="Q36" s="365"/>
      <c r="R36" s="365"/>
      <c r="S36" s="365"/>
      <c r="T36" s="365"/>
      <c r="U36" s="365"/>
      <c r="V36" s="365"/>
      <c r="W36" s="365"/>
      <c r="X36" s="365"/>
      <c r="Y36" s="365"/>
    </row>
    <row r="37" spans="1:25" s="2829" customFormat="1">
      <c r="A37" s="1971"/>
      <c r="B37" s="2848"/>
      <c r="C37" s="2849"/>
      <c r="D37" s="299"/>
      <c r="E37" s="299"/>
      <c r="F37" s="299"/>
      <c r="G37" s="763"/>
      <c r="H37" s="763"/>
      <c r="I37" s="763"/>
      <c r="J37" s="3133" t="s">
        <v>1950</v>
      </c>
      <c r="K37" s="3133"/>
      <c r="L37" s="3133"/>
      <c r="M37" s="366"/>
      <c r="N37" s="366"/>
      <c r="O37" s="379"/>
      <c r="P37" s="365"/>
      <c r="Q37" s="365"/>
      <c r="R37" s="365"/>
      <c r="S37" s="365"/>
      <c r="T37" s="365"/>
      <c r="U37" s="365"/>
      <c r="V37" s="365"/>
      <c r="W37" s="365"/>
      <c r="X37" s="365"/>
      <c r="Y37" s="365"/>
    </row>
    <row r="38" spans="1:25" s="2829" customFormat="1">
      <c r="A38" s="1971"/>
      <c r="B38" s="2850"/>
      <c r="C38" s="2851"/>
      <c r="D38" s="2852"/>
      <c r="E38" s="2852"/>
      <c r="F38" s="2852"/>
      <c r="G38" s="2853"/>
      <c r="H38" s="2894"/>
      <c r="I38" s="2853"/>
      <c r="J38" s="2855">
        <v>1401</v>
      </c>
      <c r="K38" s="2856"/>
      <c r="L38" s="2855">
        <v>1400</v>
      </c>
      <c r="M38" s="366"/>
      <c r="N38" s="366"/>
      <c r="O38" s="366"/>
      <c r="P38" s="365"/>
      <c r="Q38" s="365"/>
      <c r="R38" s="365"/>
      <c r="S38" s="365"/>
      <c r="T38" s="365"/>
      <c r="U38" s="365"/>
      <c r="V38" s="365"/>
      <c r="W38" s="365"/>
      <c r="X38" s="365"/>
      <c r="Y38" s="365"/>
    </row>
    <row r="39" spans="1:25" s="2829" customFormat="1" ht="9.75" customHeight="1">
      <c r="A39" s="1971"/>
      <c r="B39" s="1377"/>
      <c r="C39" s="2873"/>
      <c r="D39" s="366"/>
      <c r="E39" s="366"/>
      <c r="F39" s="366"/>
      <c r="G39" s="2867"/>
      <c r="H39" s="2867"/>
      <c r="I39" s="2867"/>
      <c r="J39" s="2869"/>
      <c r="K39" s="2869"/>
      <c r="L39" s="2867"/>
      <c r="M39" s="366"/>
      <c r="N39" s="366"/>
      <c r="O39" s="379"/>
      <c r="P39" s="365"/>
      <c r="Q39" s="365"/>
      <c r="R39" s="365"/>
      <c r="S39" s="365"/>
      <c r="T39" s="365"/>
      <c r="U39" s="365"/>
      <c r="V39" s="365"/>
      <c r="W39" s="365"/>
      <c r="X39" s="365"/>
      <c r="Y39" s="365"/>
    </row>
    <row r="40" spans="1:25" s="2813" customFormat="1">
      <c r="A40" s="1971">
        <v>409</v>
      </c>
      <c r="B40" s="2850"/>
      <c r="C40" s="2858"/>
      <c r="D40" s="2859" t="s">
        <v>2175</v>
      </c>
      <c r="E40" s="2859"/>
      <c r="F40" s="2859"/>
      <c r="G40" s="2860"/>
      <c r="H40" s="2860"/>
      <c r="I40" s="2860"/>
      <c r="J40" s="2863">
        <f>SUMIF('1401'!$B$6:$B$576,$A40,'1401'!$V$6:$V$576)</f>
        <v>313603</v>
      </c>
      <c r="K40" s="2861"/>
      <c r="L40" s="2863">
        <v>208107</v>
      </c>
      <c r="M40" s="368"/>
      <c r="N40" s="368"/>
      <c r="O40" s="368"/>
      <c r="P40" s="365"/>
      <c r="Q40" s="365"/>
      <c r="R40" s="365"/>
      <c r="S40" s="365"/>
      <c r="T40" s="365"/>
      <c r="U40" s="365"/>
      <c r="V40" s="365"/>
      <c r="W40" s="365"/>
      <c r="X40" s="365"/>
      <c r="Y40" s="365"/>
    </row>
    <row r="41" spans="1:25" s="372" customFormat="1">
      <c r="A41" s="2533">
        <v>404</v>
      </c>
      <c r="B41" s="2481"/>
      <c r="C41" s="2870"/>
      <c r="D41" s="2859" t="s">
        <v>155</v>
      </c>
      <c r="E41" s="2859"/>
      <c r="F41" s="2859"/>
      <c r="G41" s="2859"/>
      <c r="H41" s="368"/>
      <c r="I41" s="368"/>
      <c r="J41" s="2863">
        <f>SUMIF('1401'!$B$6:$B$576,$A41,'1401'!$V$6:$V$576)</f>
        <v>205837</v>
      </c>
      <c r="K41" s="2863"/>
      <c r="L41" s="2863">
        <v>129839</v>
      </c>
      <c r="M41" s="368"/>
      <c r="N41" s="368"/>
      <c r="O41" s="370"/>
      <c r="P41" s="365"/>
      <c r="Q41" s="365"/>
      <c r="R41" s="365"/>
      <c r="S41" s="365"/>
      <c r="T41" s="365"/>
      <c r="U41" s="365"/>
      <c r="V41" s="365"/>
      <c r="W41" s="365"/>
      <c r="X41" s="365"/>
      <c r="Y41" s="365"/>
    </row>
    <row r="42" spans="1:25" s="372" customFormat="1">
      <c r="A42" s="2533">
        <v>426</v>
      </c>
      <c r="B42" s="2481"/>
      <c r="C42" s="2870"/>
      <c r="D42" s="2859" t="s">
        <v>2632</v>
      </c>
      <c r="E42" s="2859"/>
      <c r="F42" s="2859"/>
      <c r="G42" s="2859"/>
      <c r="H42" s="368"/>
      <c r="I42" s="368"/>
      <c r="J42" s="2863">
        <f>SUMIF('1401'!$B$6:$B$576,$A42,'1401'!$V$6:$V$576)</f>
        <v>181691</v>
      </c>
      <c r="K42" s="2863"/>
      <c r="L42" s="2863">
        <v>59086</v>
      </c>
      <c r="M42" s="368"/>
      <c r="N42" s="368"/>
      <c r="O42" s="370"/>
      <c r="P42" s="365"/>
      <c r="Q42" s="365"/>
      <c r="R42" s="365"/>
      <c r="S42" s="365"/>
      <c r="T42" s="365"/>
      <c r="U42" s="365"/>
      <c r="V42" s="365"/>
      <c r="W42" s="365"/>
      <c r="X42" s="365"/>
      <c r="Y42" s="365"/>
    </row>
    <row r="43" spans="1:25" s="372" customFormat="1">
      <c r="A43" s="2533">
        <v>416</v>
      </c>
      <c r="B43" s="2481"/>
      <c r="C43" s="2870"/>
      <c r="D43" s="2859" t="s">
        <v>2633</v>
      </c>
      <c r="E43" s="2859"/>
      <c r="F43" s="2859"/>
      <c r="G43" s="2859"/>
      <c r="H43" s="368"/>
      <c r="I43" s="368"/>
      <c r="J43" s="2863">
        <f>SUMIF('1401'!$B$6:$B$576,$A43,'1401'!$V$6:$V$576)</f>
        <v>192686</v>
      </c>
      <c r="K43" s="2863"/>
      <c r="L43" s="2863">
        <v>118621</v>
      </c>
      <c r="M43" s="368"/>
      <c r="N43" s="368"/>
      <c r="O43" s="370"/>
      <c r="P43" s="365"/>
      <c r="Q43" s="365"/>
      <c r="R43" s="365"/>
      <c r="S43" s="365"/>
      <c r="T43" s="365"/>
      <c r="U43" s="365"/>
      <c r="V43" s="365"/>
      <c r="W43" s="365"/>
      <c r="X43" s="365"/>
      <c r="Y43" s="365"/>
    </row>
    <row r="44" spans="1:25" s="372" customFormat="1">
      <c r="A44" s="2533">
        <v>407</v>
      </c>
      <c r="B44" s="2481"/>
      <c r="C44" s="2870"/>
      <c r="D44" s="2859" t="s">
        <v>2010</v>
      </c>
      <c r="E44" s="2859"/>
      <c r="F44" s="2859"/>
      <c r="G44" s="2859"/>
      <c r="H44" s="368"/>
      <c r="I44" s="368"/>
      <c r="J44" s="2863">
        <f>SUMIF('1401'!$B$6:$B$576,$A44,'1401'!$V$6:$V$576)</f>
        <v>96401</v>
      </c>
      <c r="K44" s="2863"/>
      <c r="L44" s="2863">
        <v>92831</v>
      </c>
      <c r="M44" s="368"/>
      <c r="N44" s="368"/>
      <c r="O44" s="370"/>
      <c r="P44" s="365"/>
      <c r="Q44" s="365"/>
      <c r="R44" s="365"/>
      <c r="S44" s="365"/>
      <c r="T44" s="365"/>
      <c r="U44" s="365"/>
      <c r="V44" s="365"/>
      <c r="W44" s="365"/>
      <c r="X44" s="365"/>
      <c r="Y44" s="365"/>
    </row>
    <row r="45" spans="1:25" s="372" customFormat="1">
      <c r="A45" s="2533">
        <v>418</v>
      </c>
      <c r="B45" s="2481"/>
      <c r="C45" s="2870"/>
      <c r="D45" s="2859" t="s">
        <v>661</v>
      </c>
      <c r="E45" s="2859"/>
      <c r="F45" s="2859"/>
      <c r="G45" s="2859"/>
      <c r="H45" s="368"/>
      <c r="I45" s="368"/>
      <c r="J45" s="2863">
        <f>SUMIF('1401'!$B$6:$B$576,$A45,'1401'!$V$6:$V$576)</f>
        <v>78994</v>
      </c>
      <c r="K45" s="2863"/>
      <c r="L45" s="2863">
        <v>74794</v>
      </c>
      <c r="M45" s="368"/>
      <c r="N45" s="368"/>
      <c r="O45" s="370"/>
      <c r="P45" s="365"/>
      <c r="Q45" s="365"/>
      <c r="R45" s="365"/>
      <c r="S45" s="365"/>
      <c r="T45" s="365"/>
      <c r="U45" s="365"/>
      <c r="V45" s="365"/>
      <c r="W45" s="365"/>
      <c r="X45" s="365"/>
      <c r="Y45" s="365"/>
    </row>
    <row r="46" spans="1:25" s="372" customFormat="1">
      <c r="A46" s="2533">
        <v>417</v>
      </c>
      <c r="B46" s="2481"/>
      <c r="C46" s="2870"/>
      <c r="D46" s="2859" t="s">
        <v>267</v>
      </c>
      <c r="E46" s="2859"/>
      <c r="F46" s="2859"/>
      <c r="G46" s="2859"/>
      <c r="H46" s="368"/>
      <c r="I46" s="368"/>
      <c r="J46" s="2863">
        <f>SUMIF('1401'!$B$6:$B$576,$A46,'1401'!$V$6:$V$576)</f>
        <v>1164</v>
      </c>
      <c r="K46" s="2863"/>
      <c r="L46" s="2863">
        <v>83848</v>
      </c>
      <c r="M46" s="368"/>
      <c r="N46" s="368"/>
      <c r="O46" s="370"/>
      <c r="P46" s="365"/>
      <c r="Q46" s="365"/>
      <c r="R46" s="365"/>
      <c r="S46" s="365"/>
      <c r="T46" s="365"/>
      <c r="U46" s="365"/>
      <c r="V46" s="365"/>
      <c r="W46" s="365"/>
      <c r="X46" s="365"/>
      <c r="Y46" s="365"/>
    </row>
    <row r="47" spans="1:25" s="372" customFormat="1">
      <c r="A47" s="2533">
        <v>428</v>
      </c>
      <c r="B47" s="2481"/>
      <c r="C47" s="2870"/>
      <c r="D47" s="2859" t="s">
        <v>1838</v>
      </c>
      <c r="E47" s="2859"/>
      <c r="F47" s="2859"/>
      <c r="G47" s="2859"/>
      <c r="H47" s="368"/>
      <c r="I47" s="368"/>
      <c r="J47" s="2863">
        <f>SUMIF('1401'!$B$6:$B$576,$A47,'1401'!$V$6:$V$576)</f>
        <v>96646</v>
      </c>
      <c r="K47" s="2863"/>
      <c r="L47" s="2863">
        <v>40250</v>
      </c>
      <c r="M47" s="368"/>
      <c r="N47" s="368"/>
      <c r="O47" s="370"/>
      <c r="P47" s="365"/>
      <c r="Q47" s="365"/>
      <c r="R47" s="365"/>
      <c r="S47" s="365"/>
      <c r="T47" s="365"/>
      <c r="U47" s="365"/>
      <c r="V47" s="365"/>
      <c r="W47" s="365"/>
      <c r="X47" s="365"/>
      <c r="Y47" s="365"/>
    </row>
    <row r="48" spans="1:25" s="1506" customFormat="1" ht="27" thickBot="1">
      <c r="A48" s="1339"/>
      <c r="B48" s="2875"/>
      <c r="C48" s="2876"/>
      <c r="D48" s="3135"/>
      <c r="E48" s="3135"/>
      <c r="F48" s="3135"/>
      <c r="G48" s="3135"/>
      <c r="H48" s="2877"/>
      <c r="I48" s="2877"/>
      <c r="J48" s="2874">
        <f>SUM(J40:J47)</f>
        <v>1167022</v>
      </c>
      <c r="K48" s="2878"/>
      <c r="L48" s="2874">
        <f>SUM(L40:L47)</f>
        <v>807376</v>
      </c>
      <c r="M48" s="1521"/>
      <c r="N48" s="1521"/>
      <c r="O48" s="1521"/>
      <c r="P48" s="1521"/>
      <c r="Q48" s="1521"/>
      <c r="R48" s="1521"/>
      <c r="S48" s="413"/>
      <c r="T48" s="413"/>
      <c r="U48" s="413"/>
      <c r="V48" s="413"/>
      <c r="W48" s="413"/>
      <c r="X48" s="413"/>
      <c r="Y48" s="413"/>
    </row>
    <row r="49" spans="1:25" s="1519" customFormat="1" ht="10.5" hidden="1" customHeight="1">
      <c r="A49" s="1971"/>
      <c r="B49" s="1377"/>
      <c r="C49" s="2873"/>
      <c r="D49" s="366"/>
      <c r="E49" s="366"/>
      <c r="F49" s="366"/>
      <c r="G49" s="2867" t="s">
        <v>2178</v>
      </c>
      <c r="H49" s="2867"/>
      <c r="I49" s="2867"/>
      <c r="J49" s="2869"/>
      <c r="K49" s="2869"/>
      <c r="L49" s="2867"/>
      <c r="M49" s="366"/>
      <c r="N49" s="366"/>
      <c r="O49" s="379"/>
      <c r="P49" s="365"/>
      <c r="Q49" s="365"/>
      <c r="R49" s="365"/>
      <c r="S49" s="365"/>
      <c r="T49" s="365"/>
      <c r="U49" s="365"/>
      <c r="V49" s="365"/>
      <c r="W49" s="365"/>
      <c r="X49" s="365"/>
      <c r="Y49" s="365"/>
    </row>
    <row r="50" spans="1:25" s="2829" customFormat="1" ht="21" customHeight="1" thickTop="1">
      <c r="A50" s="1971"/>
      <c r="B50" s="1377"/>
      <c r="C50" s="2873"/>
      <c r="D50" s="366"/>
      <c r="E50" s="366"/>
      <c r="F50" s="366"/>
      <c r="G50" s="2867"/>
      <c r="H50" s="2867"/>
      <c r="I50" s="2867"/>
      <c r="J50" s="2869"/>
      <c r="K50" s="2869"/>
      <c r="L50" s="2867"/>
      <c r="M50" s="366"/>
      <c r="N50" s="366"/>
      <c r="O50" s="379"/>
      <c r="P50" s="365"/>
      <c r="Q50" s="365"/>
      <c r="R50" s="365"/>
      <c r="S50" s="365"/>
      <c r="T50" s="365"/>
      <c r="U50" s="365"/>
      <c r="V50" s="365"/>
      <c r="W50" s="365"/>
      <c r="X50" s="365"/>
      <c r="Y50" s="365"/>
    </row>
    <row r="51" spans="1:25" ht="59.25" customHeight="1">
      <c r="A51" s="1339"/>
      <c r="B51" s="2481"/>
      <c r="C51" s="2851" t="s">
        <v>2659</v>
      </c>
      <c r="D51" s="3132" t="s">
        <v>2593</v>
      </c>
      <c r="E51" s="3132"/>
      <c r="F51" s="3132"/>
      <c r="G51" s="3132"/>
      <c r="H51" s="3132"/>
      <c r="I51" s="3132"/>
      <c r="J51" s="3132"/>
      <c r="K51" s="3132"/>
      <c r="L51" s="3132"/>
      <c r="M51" s="278"/>
      <c r="N51" s="867"/>
      <c r="O51" s="2122"/>
      <c r="P51" s="413"/>
      <c r="Q51" s="413"/>
      <c r="R51" s="413"/>
      <c r="S51" s="413"/>
      <c r="T51" s="413"/>
      <c r="U51" s="413"/>
      <c r="V51" s="413"/>
      <c r="W51" s="413"/>
      <c r="X51" s="413"/>
      <c r="Y51" s="413"/>
    </row>
    <row r="52" spans="1:25" s="244" customFormat="1">
      <c r="A52" s="1508"/>
      <c r="B52" s="1567"/>
      <c r="C52" s="3131"/>
      <c r="D52" s="3131"/>
      <c r="E52" s="3131"/>
      <c r="F52" s="3131"/>
      <c r="G52" s="378"/>
      <c r="H52" s="378"/>
      <c r="I52" s="378"/>
      <c r="J52" s="3134" t="s">
        <v>1950</v>
      </c>
      <c r="K52" s="3134"/>
      <c r="L52" s="3134"/>
      <c r="M52" s="867"/>
      <c r="N52" s="2879"/>
      <c r="O52" s="1134"/>
      <c r="P52" s="1134"/>
      <c r="Q52" s="1134"/>
      <c r="S52" s="1134"/>
      <c r="T52" s="1134"/>
      <c r="U52" s="1134"/>
      <c r="V52" s="1134"/>
      <c r="W52" s="1134"/>
      <c r="X52" s="1134"/>
      <c r="Y52" s="1134"/>
    </row>
    <row r="53" spans="1:25">
      <c r="A53" s="1339"/>
      <c r="B53" s="2481"/>
      <c r="C53" s="2880"/>
      <c r="D53" s="2881"/>
      <c r="E53" s="2881"/>
      <c r="F53" s="2881"/>
      <c r="G53" s="2881"/>
      <c r="H53" s="2881"/>
      <c r="I53" s="2881"/>
      <c r="J53" s="2855">
        <v>1401</v>
      </c>
      <c r="K53" s="2856"/>
      <c r="L53" s="2855">
        <v>1400</v>
      </c>
      <c r="M53" s="867"/>
      <c r="N53" s="2122"/>
      <c r="O53" s="413"/>
      <c r="P53" s="413"/>
      <c r="Q53" s="413"/>
      <c r="R53" s="1519"/>
      <c r="S53" s="413"/>
      <c r="T53" s="413"/>
      <c r="U53" s="413"/>
      <c r="V53" s="413"/>
      <c r="W53" s="413"/>
      <c r="X53" s="413"/>
      <c r="Y53" s="413"/>
    </row>
    <row r="54" spans="1:25" ht="15" customHeight="1">
      <c r="A54" s="2535">
        <v>1003</v>
      </c>
      <c r="B54" s="2882"/>
      <c r="C54" s="2883"/>
      <c r="D54" s="2481"/>
      <c r="E54" s="2481"/>
      <c r="F54" s="2481"/>
      <c r="G54" s="2481"/>
      <c r="H54" s="2481"/>
      <c r="I54" s="2481"/>
      <c r="J54" s="1088"/>
      <c r="K54" s="1089"/>
      <c r="L54" s="1088"/>
      <c r="M54" s="2884"/>
      <c r="N54" s="2122"/>
      <c r="O54" s="413"/>
      <c r="P54" s="413"/>
      <c r="Q54" s="413"/>
      <c r="R54" s="1519"/>
      <c r="S54" s="413"/>
      <c r="T54" s="413"/>
      <c r="U54" s="413"/>
      <c r="V54" s="413"/>
      <c r="W54" s="413"/>
      <c r="X54" s="413"/>
      <c r="Y54" s="413"/>
    </row>
    <row r="55" spans="1:25">
      <c r="A55" s="2535"/>
      <c r="B55" s="2882"/>
      <c r="C55" s="2883"/>
      <c r="D55" s="2859" t="s">
        <v>1210</v>
      </c>
      <c r="E55" s="2859"/>
      <c r="F55" s="2859"/>
      <c r="G55" s="2859"/>
      <c r="H55" s="2864"/>
      <c r="I55" s="2864"/>
      <c r="J55" s="2863">
        <f>L60</f>
        <v>147791</v>
      </c>
      <c r="K55" s="2863"/>
      <c r="L55" s="2863">
        <v>287875</v>
      </c>
      <c r="M55" s="2884"/>
      <c r="N55" s="2122"/>
      <c r="O55" s="413"/>
      <c r="P55" s="413"/>
      <c r="Q55" s="413"/>
      <c r="R55" s="1519"/>
      <c r="S55" s="413"/>
      <c r="T55" s="413"/>
      <c r="U55" s="413"/>
      <c r="V55" s="413"/>
      <c r="W55" s="413"/>
      <c r="X55" s="413"/>
      <c r="Y55" s="413"/>
    </row>
    <row r="56" spans="1:25" s="1919" customFormat="1" ht="39.75" hidden="1" customHeight="1">
      <c r="A56" s="2535"/>
      <c r="B56" s="2882"/>
      <c r="C56" s="2883"/>
      <c r="D56" s="2859" t="s">
        <v>1420</v>
      </c>
      <c r="E56" s="2859"/>
      <c r="F56" s="2859"/>
      <c r="G56" s="2859"/>
      <c r="H56" s="441"/>
      <c r="I56" s="441"/>
      <c r="J56" s="2863" t="s">
        <v>713</v>
      </c>
      <c r="K56" s="2863"/>
      <c r="L56" s="2863" t="s">
        <v>713</v>
      </c>
      <c r="M56" s="2884"/>
      <c r="N56" s="2122"/>
      <c r="O56" s="413"/>
      <c r="P56" s="413"/>
      <c r="Q56" s="413"/>
      <c r="S56" s="413"/>
      <c r="T56" s="413"/>
      <c r="U56" s="413"/>
      <c r="V56" s="413"/>
      <c r="W56" s="413"/>
      <c r="X56" s="413"/>
      <c r="Y56" s="413"/>
    </row>
    <row r="57" spans="1:25" s="1506" customFormat="1">
      <c r="A57" s="2535"/>
      <c r="B57" s="2882"/>
      <c r="C57" s="2883"/>
      <c r="D57" s="2859" t="s">
        <v>2147</v>
      </c>
      <c r="E57" s="2859"/>
      <c r="F57" s="2859"/>
      <c r="G57" s="2859"/>
      <c r="H57" s="441"/>
      <c r="I57" s="441"/>
      <c r="J57" s="2863">
        <v>0</v>
      </c>
      <c r="K57" s="2863"/>
      <c r="L57" s="2863">
        <v>-16541</v>
      </c>
      <c r="M57" s="2884"/>
      <c r="N57" s="2122"/>
      <c r="O57" s="413"/>
      <c r="P57" s="413"/>
      <c r="Q57" s="413"/>
      <c r="R57" s="1519"/>
      <c r="S57" s="413"/>
      <c r="T57" s="413"/>
      <c r="U57" s="413"/>
      <c r="V57" s="413"/>
      <c r="W57" s="413"/>
      <c r="X57" s="413"/>
      <c r="Y57" s="413"/>
    </row>
    <row r="58" spans="1:25" s="2167" customFormat="1">
      <c r="A58" s="2535"/>
      <c r="B58" s="2882"/>
      <c r="C58" s="2883"/>
      <c r="D58" s="2859" t="s">
        <v>2403</v>
      </c>
      <c r="E58" s="2859"/>
      <c r="F58" s="2859"/>
      <c r="G58" s="2859"/>
      <c r="H58" s="441"/>
      <c r="I58" s="441"/>
      <c r="J58" s="2863">
        <v>0</v>
      </c>
      <c r="K58" s="2863"/>
      <c r="L58" s="2863">
        <v>-123543</v>
      </c>
      <c r="M58" s="2884"/>
      <c r="N58" s="2122"/>
      <c r="O58" s="413"/>
      <c r="P58" s="413"/>
      <c r="Q58" s="413"/>
      <c r="S58" s="413"/>
      <c r="T58" s="413"/>
      <c r="U58" s="413"/>
      <c r="V58" s="413"/>
      <c r="W58" s="413"/>
      <c r="X58" s="413"/>
      <c r="Y58" s="413"/>
    </row>
    <row r="59" spans="1:25" s="2501" customFormat="1">
      <c r="A59" s="2535"/>
      <c r="B59" s="2882"/>
      <c r="C59" s="2883"/>
      <c r="D59" s="2859" t="s">
        <v>2402</v>
      </c>
      <c r="E59" s="2859"/>
      <c r="F59" s="2859"/>
      <c r="G59" s="2859"/>
      <c r="H59" s="441"/>
      <c r="I59" s="441"/>
      <c r="J59" s="2872">
        <v>10333</v>
      </c>
      <c r="K59" s="2863"/>
      <c r="L59" s="2872">
        <v>0</v>
      </c>
      <c r="M59" s="2884"/>
      <c r="N59" s="2122"/>
      <c r="O59" s="413"/>
      <c r="P59" s="413"/>
      <c r="Q59" s="413"/>
      <c r="S59" s="413"/>
      <c r="T59" s="413"/>
      <c r="U59" s="413"/>
      <c r="V59" s="413"/>
      <c r="W59" s="413"/>
      <c r="X59" s="413"/>
      <c r="Y59" s="413"/>
    </row>
    <row r="60" spans="1:25" ht="27" thickBot="1">
      <c r="A60" s="1339">
        <v>405</v>
      </c>
      <c r="B60" s="2481"/>
      <c r="C60" s="2884"/>
      <c r="D60" s="441"/>
      <c r="E60" s="2481"/>
      <c r="F60" s="442"/>
      <c r="G60" s="2885"/>
      <c r="H60" s="2885"/>
      <c r="I60" s="2885"/>
      <c r="J60" s="2874">
        <f>SUMIF('1401'!$B$6:$B$576,$A60,'1401'!$V$6:$V$576)</f>
        <v>158124</v>
      </c>
      <c r="K60" s="2863"/>
      <c r="L60" s="2874">
        <f>SUM(L55:L58)</f>
        <v>147791</v>
      </c>
      <c r="M60" s="2884"/>
      <c r="N60" s="2122"/>
      <c r="O60" s="413"/>
      <c r="P60" s="413"/>
      <c r="Q60" s="413"/>
      <c r="R60" s="1519"/>
      <c r="S60" s="413"/>
      <c r="T60" s="413"/>
      <c r="U60" s="413"/>
      <c r="V60" s="413"/>
      <c r="W60" s="413"/>
      <c r="X60" s="413"/>
      <c r="Y60" s="413"/>
    </row>
    <row r="61" spans="1:25" ht="19.5" customHeight="1" thickTop="1">
      <c r="A61" s="1339"/>
      <c r="B61" s="2481"/>
      <c r="C61" s="2884"/>
      <c r="D61" s="378"/>
      <c r="E61" s="378"/>
      <c r="F61" s="378"/>
      <c r="G61" s="378"/>
      <c r="H61" s="378"/>
      <c r="I61" s="378"/>
      <c r="J61" s="2886"/>
      <c r="K61" s="2887"/>
      <c r="L61" s="2888"/>
      <c r="M61" s="2884"/>
      <c r="N61" s="2122"/>
      <c r="O61" s="413"/>
      <c r="P61" s="413"/>
      <c r="Q61" s="413"/>
      <c r="R61" s="1519"/>
      <c r="S61" s="413"/>
      <c r="T61" s="413"/>
      <c r="U61" s="413"/>
      <c r="V61" s="413"/>
      <c r="W61" s="413"/>
      <c r="X61" s="413"/>
      <c r="Y61" s="413"/>
    </row>
    <row r="62" spans="1:25" s="949" customFormat="1" ht="58.5" customHeight="1">
      <c r="A62" s="1339"/>
      <c r="B62" s="2481"/>
      <c r="C62" s="2851" t="s">
        <v>2661</v>
      </c>
      <c r="D62" s="3129" t="s">
        <v>2404</v>
      </c>
      <c r="E62" s="3129"/>
      <c r="F62" s="3129"/>
      <c r="G62" s="3129"/>
      <c r="H62" s="3129"/>
      <c r="I62" s="3129"/>
      <c r="J62" s="3129"/>
      <c r="K62" s="3129"/>
      <c r="L62" s="3129"/>
      <c r="M62" s="2893"/>
      <c r="N62" s="2893"/>
      <c r="O62" s="413"/>
      <c r="P62" s="413"/>
    </row>
    <row r="63" spans="1:25" s="1529" customFormat="1" ht="21.75" customHeight="1">
      <c r="A63" s="1339"/>
      <c r="B63" s="2882"/>
      <c r="C63" s="2889"/>
      <c r="D63" s="2481"/>
      <c r="E63" s="868"/>
      <c r="F63" s="2890"/>
      <c r="G63" s="2890"/>
      <c r="H63" s="2890"/>
      <c r="I63" s="2890"/>
      <c r="J63" s="2891"/>
      <c r="K63" s="2892"/>
      <c r="L63" s="2891"/>
      <c r="M63" s="2890"/>
      <c r="N63" s="2890"/>
      <c r="O63" s="413"/>
      <c r="P63" s="413"/>
      <c r="Q63" s="413"/>
      <c r="R63" s="413"/>
      <c r="S63" s="413"/>
      <c r="T63" s="413"/>
      <c r="U63" s="413"/>
      <c r="V63" s="413"/>
      <c r="W63" s="413"/>
      <c r="X63" s="413"/>
      <c r="Y63" s="413"/>
    </row>
    <row r="64" spans="1:25" ht="15" customHeight="1">
      <c r="A64" s="3130"/>
      <c r="B64" s="3130"/>
      <c r="C64" s="3130"/>
      <c r="D64" s="3130"/>
      <c r="E64" s="3130"/>
      <c r="F64" s="3130"/>
      <c r="G64" s="3130"/>
      <c r="H64" s="3130"/>
      <c r="I64" s="3130"/>
      <c r="J64" s="3130"/>
      <c r="K64" s="3130"/>
      <c r="L64" s="2822"/>
      <c r="M64" s="2823"/>
      <c r="N64" s="2823"/>
    </row>
    <row r="65" spans="1:25" ht="117" hidden="1" customHeight="1">
      <c r="B65" s="2823"/>
      <c r="C65" s="2823"/>
      <c r="D65" s="2823"/>
      <c r="E65" s="2823"/>
      <c r="F65" s="2823"/>
      <c r="G65" s="2823"/>
      <c r="H65" s="2823"/>
      <c r="I65" s="2823"/>
      <c r="J65" s="2823"/>
      <c r="K65" s="2823"/>
      <c r="L65" s="2823"/>
      <c r="M65" s="2823"/>
      <c r="N65" s="2823"/>
    </row>
    <row r="66" spans="1:25" ht="79.5" hidden="1" customHeight="1">
      <c r="B66" s="2823"/>
      <c r="C66" s="2823"/>
      <c r="D66" s="2823"/>
      <c r="E66" s="2823"/>
      <c r="F66" s="2823"/>
      <c r="G66" s="2823"/>
      <c r="H66" s="2823"/>
      <c r="I66" s="2823"/>
      <c r="J66" s="2823"/>
      <c r="K66" s="2823"/>
      <c r="L66" s="2823"/>
      <c r="M66" s="2823"/>
      <c r="N66" s="2823"/>
    </row>
    <row r="67" spans="1:25" ht="39.75">
      <c r="A67" s="3130">
        <v>19</v>
      </c>
      <c r="B67" s="3130"/>
      <c r="C67" s="3130"/>
      <c r="D67" s="3130"/>
      <c r="E67" s="3130"/>
      <c r="F67" s="3130"/>
      <c r="G67" s="3130"/>
      <c r="H67" s="3130"/>
      <c r="I67" s="3130"/>
      <c r="J67" s="3130"/>
      <c r="K67" s="3130"/>
      <c r="L67" s="3130"/>
      <c r="M67" s="2823"/>
      <c r="N67" s="2823"/>
      <c r="O67" s="2111"/>
      <c r="P67" s="2111"/>
      <c r="Q67" s="2111"/>
      <c r="R67" s="2111"/>
      <c r="S67" s="2111"/>
      <c r="T67" s="2111"/>
      <c r="U67" s="2111"/>
      <c r="V67" s="2111"/>
      <c r="W67" s="2111"/>
      <c r="X67" s="2111"/>
      <c r="Y67" s="2111"/>
    </row>
    <row r="84" spans="1:14" ht="21">
      <c r="A84" s="386"/>
      <c r="B84" s="151"/>
      <c r="E84" s="151"/>
      <c r="F84" s="151"/>
      <c r="N84" s="151">
        <v>-7717613</v>
      </c>
    </row>
  </sheetData>
  <mergeCells count="17">
    <mergeCell ref="D62:L62"/>
    <mergeCell ref="A67:L67"/>
    <mergeCell ref="A64:K64"/>
    <mergeCell ref="C52:F52"/>
    <mergeCell ref="A1:L1"/>
    <mergeCell ref="D51:L51"/>
    <mergeCell ref="J6:L6"/>
    <mergeCell ref="J52:L52"/>
    <mergeCell ref="D48:G48"/>
    <mergeCell ref="J5:L5"/>
    <mergeCell ref="J37:L37"/>
    <mergeCell ref="J28:L28"/>
    <mergeCell ref="M1:N1"/>
    <mergeCell ref="A2:L2"/>
    <mergeCell ref="M2:N2"/>
    <mergeCell ref="A3:L3"/>
    <mergeCell ref="M3:N3"/>
  </mergeCells>
  <printOptions horizontalCentered="1"/>
  <pageMargins left="0.17" right="0.17" top="0.26" bottom="0.24" header="0.17" footer="0.18"/>
  <pageSetup paperSize="9" scale="48" orientation="portrait" r:id="rId1"/>
  <colBreaks count="1" manualBreakCount="1">
    <brk id="12" max="49"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XEW73"/>
  <sheetViews>
    <sheetView rightToLeft="1" view="pageBreakPreview" topLeftCell="A36" zoomScale="50" zoomScaleNormal="70" zoomScaleSheetLayoutView="50" zoomScalePageLayoutView="10" workbookViewId="0">
      <selection sqref="A1:S1"/>
    </sheetView>
  </sheetViews>
  <sheetFormatPr defaultColWidth="2.875" defaultRowHeight="33.75"/>
  <cols>
    <col min="1" max="1" width="9.5" style="386" customWidth="1"/>
    <col min="2" max="2" width="2.5" style="110" customWidth="1"/>
    <col min="3" max="3" width="10.125" style="382" customWidth="1"/>
    <col min="4" max="4" width="1.25" style="382" customWidth="1"/>
    <col min="5" max="5" width="21.75" style="151" customWidth="1"/>
    <col min="6" max="6" width="6.375" style="2716" customWidth="1"/>
    <col min="7" max="7" width="15.5" style="2716" customWidth="1"/>
    <col min="8" max="8" width="6.25" style="2750" customWidth="1"/>
    <col min="9" max="9" width="15.5" style="2750" customWidth="1"/>
    <col min="10" max="10" width="4.75" style="2716" customWidth="1"/>
    <col min="11" max="11" width="15.875" style="151" bestFit="1" customWidth="1"/>
    <col min="12" max="12" width="2.875" style="151" customWidth="1"/>
    <col min="13" max="13" width="15.75" style="2725" customWidth="1"/>
    <col min="14" max="14" width="6.25" style="151" customWidth="1"/>
    <col min="15" max="15" width="17.5" style="151" customWidth="1"/>
    <col min="16" max="16" width="3.875" style="151" customWidth="1"/>
    <col min="17" max="17" width="19.375" style="151" customWidth="1"/>
    <col min="18" max="18" width="4.625" style="151" customWidth="1"/>
    <col min="19" max="19" width="21.75" style="151" customWidth="1"/>
    <col min="20" max="16384" width="2.875" style="151"/>
  </cols>
  <sheetData>
    <row r="1" spans="1:19" ht="28.5" customHeight="1">
      <c r="A1" s="3136" t="str">
        <f>مفروضات!A1</f>
        <v>شركت خطوط لوله و مخابرات نفت ايران (سهامي خاص)</v>
      </c>
      <c r="B1" s="3136"/>
      <c r="C1" s="3136"/>
      <c r="D1" s="3136"/>
      <c r="E1" s="3136"/>
      <c r="F1" s="3136"/>
      <c r="G1" s="3136"/>
      <c r="H1" s="3136"/>
      <c r="I1" s="3136"/>
      <c r="J1" s="3136"/>
      <c r="K1" s="3136"/>
      <c r="L1" s="3136"/>
      <c r="M1" s="3136"/>
      <c r="N1" s="3136"/>
      <c r="O1" s="3136"/>
      <c r="P1" s="3136"/>
      <c r="Q1" s="3136"/>
      <c r="R1" s="3136"/>
      <c r="S1" s="3136"/>
    </row>
    <row r="2" spans="1:19" ht="27" customHeight="1">
      <c r="A2" s="3136" t="str">
        <f>مفروضات!A2</f>
        <v>يادداشت هاي توضيحي صورت هاي مالي</v>
      </c>
      <c r="B2" s="3136"/>
      <c r="C2" s="3136"/>
      <c r="D2" s="3136"/>
      <c r="E2" s="3136"/>
      <c r="F2" s="3136"/>
      <c r="G2" s="3136"/>
      <c r="H2" s="3136"/>
      <c r="I2" s="3136"/>
      <c r="J2" s="3136"/>
      <c r="K2" s="3136"/>
      <c r="L2" s="3136"/>
      <c r="M2" s="3136"/>
      <c r="N2" s="3136"/>
      <c r="O2" s="3136"/>
      <c r="P2" s="3136"/>
      <c r="Q2" s="3136"/>
      <c r="R2" s="3136"/>
      <c r="S2" s="3136"/>
    </row>
    <row r="3" spans="1:19" ht="28.5" customHeight="1">
      <c r="A3" s="3136" t="str">
        <f>مفروضات!A3</f>
        <v xml:space="preserve"> سال مالي منتهي به 29 اسفند 1401</v>
      </c>
      <c r="B3" s="3136"/>
      <c r="C3" s="3136"/>
      <c r="D3" s="3136"/>
      <c r="E3" s="3136"/>
      <c r="F3" s="3136"/>
      <c r="G3" s="3136"/>
      <c r="H3" s="3136"/>
      <c r="I3" s="3136"/>
      <c r="J3" s="3136"/>
      <c r="K3" s="3136"/>
      <c r="L3" s="3136"/>
      <c r="M3" s="3136"/>
      <c r="N3" s="3136"/>
      <c r="O3" s="3136"/>
      <c r="P3" s="3136"/>
      <c r="Q3" s="3136"/>
      <c r="R3" s="3136"/>
      <c r="S3" s="3136"/>
    </row>
    <row r="4" spans="1:19" s="1529" customFormat="1" ht="21.75" customHeight="1">
      <c r="A4" s="2536"/>
      <c r="B4" s="1528"/>
      <c r="C4" s="1528"/>
      <c r="D4" s="1528"/>
      <c r="E4" s="1528"/>
      <c r="F4" s="1528"/>
      <c r="G4" s="1528"/>
      <c r="H4" s="1528"/>
      <c r="I4" s="1528"/>
      <c r="J4" s="1528"/>
      <c r="K4" s="1528"/>
      <c r="L4" s="1528"/>
      <c r="M4" s="412"/>
      <c r="N4" s="1528"/>
      <c r="O4" s="1528"/>
      <c r="P4" s="378"/>
      <c r="Q4" s="412"/>
      <c r="R4" s="413"/>
      <c r="S4" s="413"/>
    </row>
    <row r="5" spans="1:19" s="920" customFormat="1" ht="55.5" hidden="1" customHeight="1">
      <c r="A5" s="2537"/>
      <c r="B5" s="919"/>
      <c r="C5" s="414"/>
      <c r="D5" s="414"/>
      <c r="E5" s="3138"/>
      <c r="F5" s="3138"/>
      <c r="G5" s="3138"/>
      <c r="H5" s="3138"/>
      <c r="I5" s="3138"/>
      <c r="J5" s="3138"/>
      <c r="K5" s="3138"/>
      <c r="L5" s="3138"/>
      <c r="M5" s="3138"/>
      <c r="N5" s="3138"/>
      <c r="O5" s="3138"/>
      <c r="P5" s="3138"/>
    </row>
    <row r="6" spans="1:19" s="976" customFormat="1" ht="51.75" hidden="1" customHeight="1">
      <c r="A6" s="2538"/>
      <c r="B6" s="974"/>
      <c r="C6" s="975"/>
      <c r="D6" s="975"/>
      <c r="E6" s="1190"/>
      <c r="F6" s="1190"/>
      <c r="G6" s="1190"/>
      <c r="H6" s="1190"/>
      <c r="I6" s="1190"/>
      <c r="J6" s="1190"/>
      <c r="K6" s="1190"/>
      <c r="L6" s="1190"/>
      <c r="N6" s="2137"/>
      <c r="O6" s="2137"/>
      <c r="P6" s="2138"/>
    </row>
    <row r="7" spans="1:19" s="976" customFormat="1" ht="35.25" hidden="1" customHeight="1">
      <c r="A7" s="2538"/>
      <c r="B7" s="974"/>
      <c r="C7" s="975"/>
      <c r="D7" s="975"/>
      <c r="N7" s="1088"/>
      <c r="O7" s="1089"/>
      <c r="P7" s="1088"/>
    </row>
    <row r="8" spans="1:19" s="976" customFormat="1" ht="33" hidden="1" customHeight="1">
      <c r="A8" s="977"/>
      <c r="B8" s="978"/>
      <c r="C8" s="977"/>
      <c r="D8" s="977"/>
      <c r="E8" s="979"/>
      <c r="F8" s="2559"/>
      <c r="G8" s="2559"/>
      <c r="H8" s="2559"/>
      <c r="I8" s="2559"/>
      <c r="J8" s="2559"/>
      <c r="K8" s="979"/>
      <c r="L8" s="980"/>
      <c r="N8" s="1082"/>
      <c r="O8" s="1083"/>
      <c r="P8" s="1539"/>
    </row>
    <row r="9" spans="1:19" s="976" customFormat="1" ht="35.25" hidden="1" customHeight="1">
      <c r="A9" s="977"/>
      <c r="B9" s="978"/>
      <c r="C9" s="977"/>
      <c r="D9" s="977"/>
      <c r="E9" s="979"/>
      <c r="F9" s="2559"/>
      <c r="G9" s="2559"/>
      <c r="H9" s="2559"/>
      <c r="I9" s="2559"/>
      <c r="J9" s="2559"/>
      <c r="K9" s="979"/>
      <c r="L9" s="981"/>
      <c r="N9" s="1398"/>
      <c r="O9" s="1399"/>
      <c r="P9" s="1398"/>
    </row>
    <row r="10" spans="1:19" s="976" customFormat="1" ht="35.25" hidden="1" customHeight="1">
      <c r="A10" s="977"/>
      <c r="B10" s="978"/>
      <c r="C10" s="977"/>
      <c r="D10" s="977"/>
      <c r="E10" s="979"/>
      <c r="F10" s="2559"/>
      <c r="G10" s="2559"/>
      <c r="H10" s="2559"/>
      <c r="I10" s="2559"/>
      <c r="J10" s="2559"/>
      <c r="K10" s="979"/>
      <c r="L10" s="980"/>
      <c r="N10" s="1081"/>
      <c r="O10" s="2139"/>
      <c r="P10" s="2140"/>
    </row>
    <row r="11" spans="1:19" s="976" customFormat="1" ht="35.25" customHeight="1">
      <c r="A11" s="982"/>
      <c r="B11" s="983"/>
      <c r="C11" s="982"/>
      <c r="D11" s="982"/>
      <c r="E11" s="980"/>
      <c r="F11" s="980"/>
      <c r="G11" s="980"/>
      <c r="H11" s="980"/>
      <c r="I11" s="980"/>
      <c r="J11" s="980"/>
      <c r="L11" s="981"/>
      <c r="N11" s="2141"/>
      <c r="O11" s="640"/>
      <c r="P11" s="2142"/>
    </row>
    <row r="12" spans="1:19" ht="31.5" customHeight="1">
      <c r="C12" s="414" t="s">
        <v>2163</v>
      </c>
      <c r="D12" s="414"/>
      <c r="E12" s="415" t="s">
        <v>1528</v>
      </c>
      <c r="F12" s="415"/>
      <c r="G12" s="415"/>
      <c r="H12" s="415"/>
      <c r="I12" s="415"/>
      <c r="J12" s="415"/>
      <c r="K12" s="383"/>
      <c r="L12" s="383"/>
      <c r="M12" s="421"/>
      <c r="N12" s="419"/>
      <c r="O12" s="420"/>
      <c r="P12" s="378"/>
      <c r="Q12" s="421"/>
      <c r="R12" s="413"/>
      <c r="S12" s="413"/>
    </row>
    <row r="13" spans="1:19" s="244" customFormat="1" ht="28.5" customHeight="1">
      <c r="A13" s="921"/>
      <c r="B13" s="1578"/>
      <c r="C13" s="1579"/>
      <c r="D13" s="1579"/>
      <c r="E13" s="418"/>
      <c r="F13" s="418"/>
      <c r="G13" s="418"/>
      <c r="H13" s="418"/>
      <c r="I13" s="418"/>
      <c r="J13" s="418"/>
      <c r="K13" s="418"/>
      <c r="L13" s="418"/>
      <c r="M13" s="1580"/>
      <c r="N13" s="3134"/>
      <c r="O13" s="3134"/>
      <c r="P13" s="3134"/>
      <c r="Q13" s="3134" t="s">
        <v>1950</v>
      </c>
      <c r="R13" s="3134"/>
      <c r="S13" s="3134"/>
    </row>
    <row r="14" spans="1:19" s="244" customFormat="1" ht="43.5" customHeight="1">
      <c r="A14" s="921"/>
      <c r="B14" s="1578"/>
      <c r="C14" s="1579"/>
      <c r="D14" s="1579"/>
      <c r="E14" s="418"/>
      <c r="F14" s="418"/>
      <c r="G14" s="418"/>
      <c r="H14" s="418"/>
      <c r="I14" s="418"/>
      <c r="J14" s="418"/>
      <c r="K14" s="418"/>
      <c r="L14" s="418"/>
      <c r="M14" s="1580"/>
      <c r="N14" s="2726"/>
      <c r="O14" s="2726"/>
      <c r="P14" s="2726"/>
      <c r="Q14" s="2726"/>
      <c r="R14" s="2726"/>
      <c r="S14" s="2726" t="s">
        <v>2540</v>
      </c>
    </row>
    <row r="15" spans="1:19" ht="34.5" customHeight="1">
      <c r="B15" s="576"/>
      <c r="E15" s="418"/>
      <c r="F15" s="418"/>
      <c r="G15" s="418"/>
      <c r="H15" s="418"/>
      <c r="I15" s="418"/>
      <c r="J15" s="418"/>
      <c r="K15" s="418"/>
      <c r="L15" s="418"/>
      <c r="M15" s="421"/>
      <c r="N15" s="2740"/>
      <c r="O15" s="1089"/>
      <c r="P15" s="2740"/>
      <c r="Q15" s="2928">
        <v>1401</v>
      </c>
      <c r="R15" s="1089"/>
      <c r="S15" s="2928">
        <v>1400</v>
      </c>
    </row>
    <row r="16" spans="1:19" s="2813" customFormat="1" ht="27" customHeight="1">
      <c r="A16" s="2539">
        <v>411</v>
      </c>
      <c r="B16" s="576"/>
      <c r="C16" s="382"/>
      <c r="D16" s="382"/>
      <c r="E16" s="1582" t="s">
        <v>410</v>
      </c>
      <c r="F16" s="1582"/>
      <c r="G16" s="1582"/>
      <c r="H16" s="1582"/>
      <c r="I16" s="1582"/>
      <c r="J16" s="418"/>
      <c r="K16" s="418"/>
      <c r="L16" s="418"/>
      <c r="M16" s="421"/>
      <c r="N16" s="2740"/>
      <c r="O16" s="1089"/>
      <c r="P16" s="2740"/>
      <c r="Q16" s="840">
        <f>SUMIF('1401'!$B$6:$B$576,$A16,'1401'!$V$6:$V$576)</f>
        <v>42134</v>
      </c>
      <c r="R16" s="1089"/>
      <c r="S16" s="840">
        <v>28851</v>
      </c>
    </row>
    <row r="17" spans="1:16377" s="244" customFormat="1" ht="33" hidden="1" customHeight="1">
      <c r="A17" s="2539">
        <v>402</v>
      </c>
      <c r="C17" s="1579"/>
      <c r="D17" s="1579"/>
      <c r="E17" s="1582"/>
      <c r="F17" s="1582"/>
      <c r="G17" s="1582"/>
      <c r="H17" s="1582"/>
      <c r="I17" s="1582"/>
      <c r="J17" s="1582"/>
      <c r="K17" s="1582"/>
      <c r="L17" s="418"/>
      <c r="M17" s="418"/>
      <c r="N17" s="840"/>
      <c r="O17" s="2743"/>
      <c r="P17" s="840"/>
      <c r="Q17" s="840">
        <f>SUMIF('1401'!$B$6:$B$576,$A17,'1401'!$V$6:$V$576)</f>
        <v>0</v>
      </c>
      <c r="R17" s="838"/>
      <c r="S17" s="840">
        <v>0</v>
      </c>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c r="GA17" s="418"/>
      <c r="GB17" s="418"/>
      <c r="GC17" s="418"/>
      <c r="GD17" s="418"/>
      <c r="GE17" s="418"/>
      <c r="GF17" s="418"/>
      <c r="GG17" s="418"/>
      <c r="GH17" s="418"/>
      <c r="GI17" s="418"/>
      <c r="GJ17" s="418"/>
      <c r="GK17" s="418"/>
      <c r="GL17" s="418"/>
      <c r="GM17" s="418"/>
      <c r="GN17" s="418"/>
      <c r="GO17" s="418"/>
      <c r="GP17" s="418"/>
      <c r="GQ17" s="418"/>
      <c r="GR17" s="418"/>
      <c r="GS17" s="418"/>
      <c r="GT17" s="418"/>
      <c r="GU17" s="418"/>
      <c r="GV17" s="418"/>
      <c r="GW17" s="418"/>
      <c r="GX17" s="418"/>
      <c r="GY17" s="418"/>
      <c r="GZ17" s="418"/>
      <c r="HA17" s="418"/>
      <c r="HB17" s="418"/>
      <c r="HC17" s="418"/>
      <c r="HD17" s="418"/>
      <c r="HE17" s="418"/>
      <c r="HF17" s="418"/>
      <c r="HG17" s="418"/>
      <c r="HH17" s="418"/>
      <c r="HI17" s="418"/>
      <c r="HJ17" s="418"/>
      <c r="HK17" s="418"/>
      <c r="HL17" s="418"/>
      <c r="HM17" s="418"/>
      <c r="HN17" s="418"/>
      <c r="HO17" s="418"/>
      <c r="HP17" s="418"/>
      <c r="HQ17" s="418"/>
      <c r="HR17" s="418"/>
      <c r="HS17" s="418"/>
      <c r="HT17" s="418"/>
      <c r="HU17" s="418"/>
      <c r="HV17" s="418"/>
      <c r="HW17" s="418"/>
      <c r="HX17" s="418"/>
      <c r="HY17" s="418"/>
      <c r="HZ17" s="418"/>
      <c r="IA17" s="418"/>
      <c r="IB17" s="418"/>
      <c r="IC17" s="418"/>
      <c r="ID17" s="418"/>
      <c r="IE17" s="418"/>
      <c r="IF17" s="418"/>
      <c r="IG17" s="418"/>
      <c r="IH17" s="418"/>
      <c r="II17" s="418"/>
      <c r="IJ17" s="418"/>
      <c r="IK17" s="418"/>
      <c r="IL17" s="418"/>
      <c r="IM17" s="418"/>
      <c r="IN17" s="418"/>
      <c r="IO17" s="418"/>
      <c r="IP17" s="418"/>
      <c r="IQ17" s="418"/>
      <c r="IR17" s="418"/>
      <c r="IS17" s="418"/>
      <c r="IT17" s="418"/>
      <c r="IU17" s="418"/>
      <c r="IV17" s="418"/>
      <c r="IW17" s="418"/>
      <c r="IX17" s="418"/>
      <c r="IY17" s="418"/>
      <c r="IZ17" s="418"/>
      <c r="JA17" s="418"/>
      <c r="JB17" s="418"/>
      <c r="JC17" s="418"/>
      <c r="JD17" s="418"/>
      <c r="JE17" s="418"/>
      <c r="JF17" s="418"/>
      <c r="JG17" s="418"/>
      <c r="JH17" s="418"/>
      <c r="JI17" s="418"/>
      <c r="JJ17" s="418"/>
      <c r="JK17" s="418"/>
      <c r="JL17" s="418"/>
      <c r="JM17" s="418"/>
      <c r="JN17" s="418"/>
      <c r="JO17" s="418"/>
      <c r="JP17" s="418"/>
      <c r="JQ17" s="418"/>
      <c r="JR17" s="418"/>
      <c r="JS17" s="418"/>
      <c r="JT17" s="418"/>
      <c r="JU17" s="418"/>
      <c r="JV17" s="418"/>
      <c r="JW17" s="418"/>
      <c r="JX17" s="418"/>
      <c r="JY17" s="418"/>
      <c r="JZ17" s="418"/>
      <c r="KA17" s="418"/>
      <c r="KB17" s="418"/>
      <c r="KC17" s="418"/>
      <c r="KD17" s="418"/>
      <c r="KE17" s="418"/>
      <c r="KF17" s="418"/>
      <c r="KG17" s="418"/>
      <c r="KH17" s="418"/>
      <c r="KI17" s="418"/>
      <c r="KJ17" s="418"/>
      <c r="KK17" s="418"/>
      <c r="KL17" s="418"/>
      <c r="KM17" s="418"/>
      <c r="KN17" s="418"/>
      <c r="KO17" s="418"/>
      <c r="KP17" s="418"/>
      <c r="KQ17" s="418"/>
      <c r="KR17" s="418"/>
      <c r="KS17" s="418"/>
      <c r="KT17" s="418"/>
      <c r="KU17" s="418"/>
      <c r="KV17" s="418"/>
      <c r="KW17" s="418"/>
      <c r="KX17" s="418"/>
      <c r="KY17" s="418"/>
      <c r="KZ17" s="418"/>
      <c r="LA17" s="418"/>
      <c r="LB17" s="418"/>
      <c r="LC17" s="418"/>
      <c r="LD17" s="418"/>
      <c r="LE17" s="418"/>
      <c r="LF17" s="418"/>
      <c r="LG17" s="418"/>
      <c r="LH17" s="418"/>
      <c r="LI17" s="418"/>
      <c r="LJ17" s="418"/>
      <c r="LK17" s="418"/>
      <c r="LL17" s="418"/>
      <c r="LM17" s="418"/>
      <c r="LN17" s="418"/>
      <c r="LO17" s="418"/>
      <c r="LP17" s="418"/>
      <c r="LQ17" s="418"/>
      <c r="LR17" s="418"/>
      <c r="LS17" s="418"/>
      <c r="LT17" s="418"/>
      <c r="LU17" s="418"/>
      <c r="LV17" s="418"/>
      <c r="LW17" s="418"/>
      <c r="LX17" s="418"/>
      <c r="LY17" s="418"/>
      <c r="LZ17" s="418"/>
      <c r="MA17" s="418"/>
      <c r="MB17" s="418"/>
      <c r="MC17" s="418"/>
      <c r="MD17" s="418"/>
      <c r="ME17" s="418"/>
      <c r="MF17" s="418"/>
      <c r="MG17" s="418"/>
      <c r="MH17" s="418"/>
      <c r="MI17" s="418"/>
      <c r="MJ17" s="418"/>
      <c r="MK17" s="418"/>
      <c r="ML17" s="418"/>
      <c r="MM17" s="418"/>
      <c r="MN17" s="418"/>
      <c r="MO17" s="418"/>
      <c r="MP17" s="418"/>
      <c r="MQ17" s="418"/>
      <c r="MR17" s="418"/>
      <c r="MS17" s="418"/>
      <c r="MT17" s="418"/>
      <c r="MU17" s="418"/>
      <c r="MV17" s="418"/>
      <c r="MW17" s="418"/>
      <c r="MX17" s="418"/>
      <c r="MY17" s="418"/>
      <c r="MZ17" s="418"/>
      <c r="NA17" s="418"/>
      <c r="NB17" s="418"/>
      <c r="NC17" s="418"/>
      <c r="ND17" s="418"/>
      <c r="NE17" s="418"/>
      <c r="NF17" s="418"/>
      <c r="NG17" s="418"/>
      <c r="NH17" s="418"/>
      <c r="NI17" s="418"/>
      <c r="NJ17" s="418"/>
      <c r="NK17" s="418"/>
      <c r="NL17" s="418"/>
      <c r="NM17" s="418"/>
      <c r="NN17" s="418"/>
      <c r="NO17" s="418"/>
      <c r="NP17" s="418"/>
      <c r="NQ17" s="418"/>
      <c r="NR17" s="418"/>
      <c r="NS17" s="418"/>
      <c r="NT17" s="418"/>
      <c r="NU17" s="418"/>
      <c r="NV17" s="418"/>
      <c r="NW17" s="418"/>
      <c r="NX17" s="418"/>
      <c r="NY17" s="418"/>
      <c r="NZ17" s="418"/>
      <c r="OA17" s="418"/>
      <c r="OB17" s="418"/>
      <c r="OC17" s="418"/>
      <c r="OD17" s="418"/>
      <c r="OE17" s="418"/>
      <c r="OF17" s="418"/>
      <c r="OG17" s="418"/>
      <c r="OH17" s="418"/>
      <c r="OI17" s="418"/>
      <c r="OJ17" s="418"/>
      <c r="OK17" s="418"/>
      <c r="OL17" s="418"/>
      <c r="OM17" s="418"/>
      <c r="ON17" s="418"/>
      <c r="OO17" s="418"/>
      <c r="OP17" s="418"/>
      <c r="OQ17" s="418"/>
      <c r="OR17" s="418"/>
      <c r="OS17" s="418"/>
      <c r="OT17" s="418"/>
      <c r="OU17" s="418"/>
      <c r="OV17" s="418"/>
      <c r="OW17" s="418"/>
      <c r="OX17" s="418"/>
      <c r="OY17" s="418"/>
      <c r="OZ17" s="418"/>
      <c r="PA17" s="418"/>
      <c r="PB17" s="418"/>
      <c r="PC17" s="418"/>
      <c r="PD17" s="418"/>
      <c r="PE17" s="418"/>
      <c r="PF17" s="418"/>
      <c r="PG17" s="418"/>
      <c r="PH17" s="418"/>
      <c r="PI17" s="418"/>
      <c r="PJ17" s="418"/>
      <c r="PK17" s="418"/>
      <c r="PL17" s="418"/>
      <c r="PM17" s="418"/>
      <c r="PN17" s="418"/>
      <c r="PO17" s="418"/>
      <c r="PP17" s="418"/>
      <c r="PQ17" s="418"/>
      <c r="PR17" s="418"/>
      <c r="PS17" s="418"/>
      <c r="PT17" s="418"/>
      <c r="PU17" s="418"/>
      <c r="PV17" s="418"/>
      <c r="PW17" s="418"/>
      <c r="PX17" s="418"/>
      <c r="PY17" s="418"/>
      <c r="PZ17" s="418"/>
      <c r="QA17" s="418"/>
      <c r="QB17" s="418"/>
      <c r="QC17" s="418"/>
      <c r="QD17" s="418"/>
      <c r="QE17" s="418"/>
      <c r="QF17" s="418"/>
      <c r="QG17" s="418"/>
      <c r="QH17" s="418"/>
      <c r="QI17" s="418"/>
      <c r="QJ17" s="418"/>
      <c r="QK17" s="418"/>
      <c r="QL17" s="418"/>
      <c r="QM17" s="418"/>
      <c r="QN17" s="418"/>
      <c r="QO17" s="418"/>
      <c r="QP17" s="418"/>
      <c r="QQ17" s="418"/>
      <c r="QR17" s="418"/>
      <c r="QS17" s="418"/>
      <c r="QT17" s="418"/>
      <c r="QU17" s="418"/>
      <c r="QV17" s="418"/>
      <c r="QW17" s="418"/>
      <c r="QX17" s="418"/>
      <c r="QY17" s="418"/>
      <c r="QZ17" s="418"/>
      <c r="RA17" s="418"/>
      <c r="RB17" s="418"/>
      <c r="RC17" s="418"/>
      <c r="RD17" s="418"/>
      <c r="RE17" s="418"/>
      <c r="RF17" s="418"/>
      <c r="RG17" s="418"/>
      <c r="RH17" s="418"/>
      <c r="RI17" s="418"/>
      <c r="RJ17" s="418"/>
      <c r="RK17" s="418"/>
      <c r="RL17" s="418"/>
      <c r="RM17" s="418"/>
      <c r="RN17" s="418"/>
      <c r="RO17" s="418"/>
      <c r="RP17" s="418"/>
      <c r="RQ17" s="418"/>
      <c r="RR17" s="418"/>
      <c r="RS17" s="418"/>
      <c r="RT17" s="418"/>
      <c r="RU17" s="418"/>
      <c r="RV17" s="418"/>
      <c r="RW17" s="418"/>
      <c r="RX17" s="418"/>
      <c r="RY17" s="418"/>
      <c r="RZ17" s="418"/>
      <c r="SA17" s="418"/>
      <c r="SB17" s="418"/>
      <c r="SC17" s="418"/>
      <c r="SD17" s="418"/>
      <c r="SE17" s="418"/>
      <c r="SF17" s="418"/>
      <c r="SG17" s="418"/>
      <c r="SH17" s="418"/>
      <c r="SI17" s="418"/>
      <c r="SJ17" s="418"/>
      <c r="SK17" s="418"/>
      <c r="SL17" s="418"/>
      <c r="SM17" s="418"/>
      <c r="SN17" s="418"/>
      <c r="SO17" s="418"/>
      <c r="SP17" s="418"/>
      <c r="SQ17" s="418"/>
      <c r="SR17" s="418"/>
      <c r="SS17" s="418"/>
      <c r="ST17" s="418"/>
      <c r="SU17" s="418"/>
      <c r="SV17" s="418"/>
      <c r="SW17" s="418"/>
      <c r="SX17" s="418"/>
      <c r="SY17" s="418"/>
      <c r="SZ17" s="418"/>
      <c r="TA17" s="418"/>
      <c r="TB17" s="418"/>
      <c r="TC17" s="418"/>
      <c r="TD17" s="418"/>
      <c r="TE17" s="418"/>
      <c r="TF17" s="418"/>
      <c r="TG17" s="418"/>
      <c r="TH17" s="418"/>
      <c r="TI17" s="418"/>
      <c r="TJ17" s="418"/>
      <c r="TK17" s="418"/>
      <c r="TL17" s="418"/>
      <c r="TM17" s="418"/>
      <c r="TN17" s="418"/>
      <c r="TO17" s="418"/>
      <c r="TP17" s="418"/>
      <c r="TQ17" s="418"/>
      <c r="TR17" s="418"/>
      <c r="TS17" s="418"/>
      <c r="TT17" s="418"/>
      <c r="TU17" s="418"/>
      <c r="TV17" s="418"/>
      <c r="TW17" s="418"/>
      <c r="TX17" s="418"/>
      <c r="TY17" s="418"/>
      <c r="TZ17" s="418"/>
      <c r="UA17" s="418"/>
      <c r="UB17" s="418"/>
      <c r="UC17" s="418"/>
      <c r="UD17" s="418"/>
      <c r="UE17" s="418"/>
      <c r="UF17" s="418"/>
      <c r="UG17" s="418"/>
      <c r="UH17" s="418"/>
      <c r="UI17" s="418"/>
      <c r="UJ17" s="418"/>
      <c r="UK17" s="418"/>
      <c r="UL17" s="418"/>
      <c r="UM17" s="418"/>
      <c r="UN17" s="418"/>
      <c r="UO17" s="418"/>
      <c r="UP17" s="418"/>
      <c r="UQ17" s="418"/>
      <c r="UR17" s="418"/>
      <c r="US17" s="418"/>
      <c r="UT17" s="418"/>
      <c r="UU17" s="418"/>
      <c r="UV17" s="418"/>
      <c r="UW17" s="418"/>
      <c r="UX17" s="418"/>
      <c r="UY17" s="418"/>
      <c r="UZ17" s="418"/>
      <c r="VA17" s="418"/>
      <c r="VB17" s="418"/>
      <c r="VC17" s="418"/>
      <c r="VD17" s="418"/>
      <c r="VE17" s="418"/>
      <c r="VF17" s="418"/>
      <c r="VG17" s="418"/>
      <c r="VH17" s="418"/>
      <c r="VI17" s="418"/>
      <c r="VJ17" s="418"/>
      <c r="VK17" s="418"/>
      <c r="VL17" s="418"/>
      <c r="VM17" s="418"/>
      <c r="VN17" s="418"/>
      <c r="VO17" s="418"/>
      <c r="VP17" s="418"/>
      <c r="VQ17" s="418"/>
      <c r="VR17" s="418"/>
      <c r="VS17" s="418"/>
      <c r="VT17" s="418"/>
      <c r="VU17" s="418"/>
      <c r="VV17" s="418"/>
      <c r="VW17" s="418"/>
      <c r="VX17" s="418"/>
      <c r="VY17" s="418"/>
      <c r="VZ17" s="418"/>
      <c r="WA17" s="418"/>
      <c r="WB17" s="418"/>
      <c r="WC17" s="418"/>
      <c r="WD17" s="418"/>
      <c r="WE17" s="418"/>
      <c r="WF17" s="418"/>
      <c r="WG17" s="418"/>
      <c r="WH17" s="418"/>
      <c r="WI17" s="418"/>
      <c r="WJ17" s="418"/>
      <c r="WK17" s="418"/>
      <c r="WL17" s="418"/>
      <c r="WM17" s="418"/>
      <c r="WN17" s="418"/>
      <c r="WO17" s="418"/>
      <c r="WP17" s="418"/>
      <c r="WQ17" s="418"/>
      <c r="WR17" s="418"/>
      <c r="WS17" s="418"/>
      <c r="WT17" s="418"/>
      <c r="WU17" s="418"/>
      <c r="WV17" s="418"/>
      <c r="WW17" s="418"/>
      <c r="WX17" s="418"/>
      <c r="WY17" s="418"/>
      <c r="WZ17" s="418"/>
      <c r="XA17" s="418"/>
      <c r="XB17" s="418"/>
      <c r="XC17" s="418"/>
      <c r="XD17" s="418"/>
      <c r="XE17" s="418"/>
      <c r="XF17" s="418"/>
      <c r="XG17" s="418"/>
      <c r="XH17" s="418"/>
      <c r="XI17" s="418"/>
      <c r="XJ17" s="418"/>
      <c r="XK17" s="418"/>
      <c r="XL17" s="418"/>
      <c r="XM17" s="418"/>
      <c r="XN17" s="418"/>
      <c r="XO17" s="418"/>
      <c r="XP17" s="418"/>
      <c r="XQ17" s="418"/>
      <c r="XR17" s="418"/>
      <c r="XS17" s="418"/>
      <c r="XT17" s="418"/>
      <c r="XU17" s="418"/>
      <c r="XV17" s="418"/>
      <c r="XW17" s="418"/>
      <c r="XX17" s="418"/>
      <c r="XY17" s="418"/>
      <c r="XZ17" s="418"/>
      <c r="YA17" s="418"/>
      <c r="YB17" s="418"/>
      <c r="YC17" s="418"/>
      <c r="YD17" s="418"/>
      <c r="YE17" s="418"/>
      <c r="YF17" s="418"/>
      <c r="YG17" s="418"/>
      <c r="YH17" s="418"/>
      <c r="YI17" s="418"/>
      <c r="YJ17" s="418"/>
      <c r="YK17" s="418"/>
      <c r="YL17" s="418"/>
      <c r="YM17" s="418"/>
      <c r="YN17" s="418"/>
      <c r="YO17" s="418"/>
      <c r="YP17" s="418"/>
      <c r="YQ17" s="418"/>
      <c r="YR17" s="418"/>
      <c r="YS17" s="418"/>
      <c r="YT17" s="418"/>
      <c r="YU17" s="418"/>
      <c r="YV17" s="418"/>
      <c r="YW17" s="418"/>
      <c r="YX17" s="418"/>
      <c r="YY17" s="418"/>
      <c r="YZ17" s="418"/>
      <c r="ZA17" s="418"/>
      <c r="ZB17" s="418"/>
      <c r="ZC17" s="418"/>
      <c r="ZD17" s="418"/>
      <c r="ZE17" s="418"/>
      <c r="ZF17" s="418"/>
      <c r="ZG17" s="418"/>
      <c r="ZH17" s="418"/>
      <c r="ZI17" s="418"/>
      <c r="ZJ17" s="418"/>
      <c r="ZK17" s="418"/>
      <c r="ZL17" s="418"/>
      <c r="ZM17" s="418"/>
      <c r="ZN17" s="418"/>
      <c r="ZO17" s="418"/>
      <c r="ZP17" s="418"/>
      <c r="ZQ17" s="418"/>
      <c r="ZR17" s="418"/>
      <c r="ZS17" s="418"/>
      <c r="ZT17" s="418"/>
      <c r="ZU17" s="418"/>
      <c r="ZV17" s="418"/>
      <c r="ZW17" s="418"/>
      <c r="ZX17" s="418"/>
      <c r="ZY17" s="418"/>
      <c r="ZZ17" s="418"/>
      <c r="AAA17" s="418"/>
      <c r="AAB17" s="418"/>
      <c r="AAC17" s="418"/>
      <c r="AAD17" s="418"/>
      <c r="AAE17" s="418"/>
      <c r="AAF17" s="418"/>
      <c r="AAG17" s="418"/>
      <c r="AAH17" s="418"/>
      <c r="AAI17" s="418"/>
      <c r="AAJ17" s="418"/>
      <c r="AAK17" s="418"/>
      <c r="AAL17" s="418"/>
      <c r="AAM17" s="418"/>
      <c r="AAN17" s="418"/>
      <c r="AAO17" s="418"/>
      <c r="AAP17" s="418"/>
      <c r="AAQ17" s="418"/>
      <c r="AAR17" s="418"/>
      <c r="AAS17" s="418"/>
      <c r="AAT17" s="418"/>
      <c r="AAU17" s="418"/>
      <c r="AAV17" s="418"/>
      <c r="AAW17" s="418"/>
      <c r="AAX17" s="418"/>
      <c r="AAY17" s="418"/>
      <c r="AAZ17" s="418"/>
      <c r="ABA17" s="418"/>
      <c r="ABB17" s="418"/>
      <c r="ABC17" s="418"/>
      <c r="ABD17" s="418"/>
      <c r="ABE17" s="418"/>
      <c r="ABF17" s="418"/>
      <c r="ABG17" s="418"/>
      <c r="ABH17" s="418"/>
      <c r="ABI17" s="418"/>
      <c r="ABJ17" s="418"/>
      <c r="ABK17" s="418"/>
      <c r="ABL17" s="418"/>
      <c r="ABM17" s="418"/>
      <c r="ABN17" s="418"/>
      <c r="ABO17" s="418"/>
      <c r="ABP17" s="418"/>
      <c r="ABQ17" s="418"/>
      <c r="ABR17" s="418"/>
      <c r="ABS17" s="418"/>
      <c r="ABT17" s="418"/>
      <c r="ABU17" s="418"/>
      <c r="ABV17" s="418"/>
      <c r="ABW17" s="418"/>
      <c r="ABX17" s="418"/>
      <c r="ABY17" s="418"/>
      <c r="ABZ17" s="418"/>
      <c r="ACA17" s="418"/>
      <c r="ACB17" s="418"/>
      <c r="ACC17" s="418"/>
      <c r="ACD17" s="418"/>
      <c r="ACE17" s="418"/>
      <c r="ACF17" s="418"/>
      <c r="ACG17" s="418"/>
      <c r="ACH17" s="418"/>
      <c r="ACI17" s="418"/>
      <c r="ACJ17" s="418"/>
      <c r="ACK17" s="418"/>
      <c r="ACL17" s="418"/>
      <c r="ACM17" s="418"/>
      <c r="ACN17" s="418"/>
      <c r="ACO17" s="418"/>
      <c r="ACP17" s="418"/>
      <c r="ACQ17" s="418"/>
      <c r="ACR17" s="418"/>
      <c r="ACS17" s="418"/>
      <c r="ACT17" s="418"/>
      <c r="ACU17" s="418"/>
      <c r="ACV17" s="418"/>
      <c r="ACW17" s="418"/>
      <c r="ACX17" s="418"/>
      <c r="ACY17" s="418"/>
      <c r="ACZ17" s="418"/>
      <c r="ADA17" s="418"/>
      <c r="ADB17" s="418"/>
      <c r="ADC17" s="418"/>
      <c r="ADD17" s="418"/>
      <c r="ADE17" s="418"/>
      <c r="ADF17" s="418"/>
      <c r="ADG17" s="418"/>
      <c r="ADH17" s="418"/>
      <c r="ADI17" s="418"/>
      <c r="ADJ17" s="418"/>
      <c r="ADK17" s="418"/>
      <c r="ADL17" s="418"/>
      <c r="ADM17" s="418"/>
      <c r="ADN17" s="418"/>
      <c r="ADO17" s="418"/>
      <c r="ADP17" s="418"/>
      <c r="ADQ17" s="418"/>
      <c r="ADR17" s="418"/>
      <c r="ADS17" s="418"/>
      <c r="ADT17" s="418"/>
      <c r="ADU17" s="418"/>
      <c r="ADV17" s="418"/>
      <c r="ADW17" s="418"/>
      <c r="ADX17" s="418"/>
      <c r="ADY17" s="418"/>
      <c r="ADZ17" s="418"/>
      <c r="AEA17" s="418"/>
      <c r="AEB17" s="418"/>
      <c r="AEC17" s="418"/>
      <c r="AED17" s="418"/>
      <c r="AEE17" s="418"/>
      <c r="AEF17" s="418"/>
      <c r="AEG17" s="418"/>
      <c r="AEH17" s="418"/>
      <c r="AEI17" s="418"/>
      <c r="AEJ17" s="418"/>
      <c r="AEK17" s="418"/>
      <c r="AEL17" s="418"/>
      <c r="AEM17" s="418"/>
      <c r="AEN17" s="418"/>
      <c r="AEO17" s="418"/>
      <c r="AEP17" s="418"/>
      <c r="AEQ17" s="418"/>
      <c r="AER17" s="418"/>
      <c r="AES17" s="418"/>
      <c r="AET17" s="418"/>
      <c r="AEU17" s="418"/>
      <c r="AEV17" s="418"/>
      <c r="AEW17" s="418"/>
      <c r="AEX17" s="418"/>
      <c r="AEY17" s="418"/>
      <c r="AEZ17" s="418"/>
      <c r="AFA17" s="418"/>
      <c r="AFB17" s="418"/>
      <c r="AFC17" s="418"/>
      <c r="AFD17" s="418"/>
      <c r="AFE17" s="418"/>
      <c r="AFF17" s="418"/>
      <c r="AFG17" s="418"/>
      <c r="AFH17" s="418"/>
      <c r="AFI17" s="418"/>
      <c r="AFJ17" s="418"/>
      <c r="AFK17" s="418"/>
      <c r="AFL17" s="418"/>
      <c r="AFM17" s="418"/>
      <c r="AFN17" s="418"/>
      <c r="AFO17" s="418"/>
      <c r="AFP17" s="418"/>
      <c r="AFQ17" s="418"/>
      <c r="AFR17" s="418"/>
      <c r="AFS17" s="418"/>
      <c r="AFT17" s="418"/>
      <c r="AFU17" s="418"/>
      <c r="AFV17" s="418"/>
      <c r="AFW17" s="418"/>
      <c r="AFX17" s="418"/>
      <c r="AFY17" s="418"/>
      <c r="AFZ17" s="418"/>
      <c r="AGA17" s="418"/>
      <c r="AGB17" s="418"/>
      <c r="AGC17" s="418"/>
      <c r="AGD17" s="418"/>
      <c r="AGE17" s="418"/>
      <c r="AGF17" s="418"/>
      <c r="AGG17" s="418"/>
      <c r="AGH17" s="418"/>
      <c r="AGI17" s="418"/>
      <c r="AGJ17" s="418"/>
      <c r="AGK17" s="418"/>
      <c r="AGL17" s="418"/>
      <c r="AGM17" s="418"/>
      <c r="AGN17" s="418"/>
      <c r="AGO17" s="418"/>
      <c r="AGP17" s="418"/>
      <c r="AGQ17" s="418"/>
      <c r="AGR17" s="418"/>
      <c r="AGS17" s="418"/>
      <c r="AGT17" s="418"/>
      <c r="AGU17" s="418"/>
      <c r="AGV17" s="418"/>
      <c r="AGW17" s="418"/>
      <c r="AGX17" s="418"/>
      <c r="AGY17" s="418"/>
      <c r="AGZ17" s="418"/>
      <c r="AHA17" s="418"/>
      <c r="AHB17" s="418"/>
      <c r="AHC17" s="418"/>
      <c r="AHD17" s="418"/>
      <c r="AHE17" s="418"/>
      <c r="AHF17" s="418"/>
      <c r="AHG17" s="418"/>
      <c r="AHH17" s="418"/>
      <c r="AHI17" s="418"/>
      <c r="AHJ17" s="418"/>
      <c r="AHK17" s="418"/>
      <c r="AHL17" s="418"/>
      <c r="AHM17" s="418"/>
      <c r="AHN17" s="418"/>
      <c r="AHO17" s="418"/>
      <c r="AHP17" s="418"/>
      <c r="AHQ17" s="418"/>
      <c r="AHR17" s="418"/>
      <c r="AHS17" s="418"/>
      <c r="AHT17" s="418"/>
      <c r="AHU17" s="418"/>
      <c r="AHV17" s="418"/>
      <c r="AHW17" s="418"/>
      <c r="AHX17" s="418"/>
      <c r="AHY17" s="418"/>
      <c r="AHZ17" s="418"/>
      <c r="AIA17" s="418"/>
      <c r="AIB17" s="418"/>
      <c r="AIC17" s="418"/>
      <c r="AID17" s="418"/>
      <c r="AIE17" s="418"/>
      <c r="AIF17" s="418"/>
      <c r="AIG17" s="418"/>
      <c r="AIH17" s="418"/>
      <c r="AII17" s="418"/>
      <c r="AIJ17" s="418"/>
      <c r="AIK17" s="418"/>
      <c r="AIL17" s="418"/>
      <c r="AIM17" s="418"/>
      <c r="AIN17" s="418"/>
      <c r="AIO17" s="418"/>
      <c r="AIP17" s="418"/>
      <c r="AIQ17" s="418"/>
      <c r="AIR17" s="418"/>
      <c r="AIS17" s="418"/>
      <c r="AIT17" s="418"/>
      <c r="AIU17" s="418"/>
      <c r="AIV17" s="418"/>
      <c r="AIW17" s="418"/>
      <c r="AIX17" s="418"/>
      <c r="AIY17" s="418"/>
      <c r="AIZ17" s="418"/>
      <c r="AJA17" s="418"/>
      <c r="AJB17" s="418"/>
      <c r="AJC17" s="418"/>
      <c r="AJD17" s="418"/>
      <c r="AJE17" s="418"/>
      <c r="AJF17" s="418"/>
      <c r="AJG17" s="418"/>
      <c r="AJH17" s="418"/>
      <c r="AJI17" s="418"/>
      <c r="AJJ17" s="418"/>
      <c r="AJK17" s="418"/>
      <c r="AJL17" s="418"/>
      <c r="AJM17" s="418"/>
      <c r="AJN17" s="418"/>
      <c r="AJO17" s="418"/>
      <c r="AJP17" s="418"/>
      <c r="AJQ17" s="418"/>
      <c r="AJR17" s="418"/>
      <c r="AJS17" s="418"/>
      <c r="AJT17" s="418"/>
      <c r="AJU17" s="418"/>
      <c r="AJV17" s="418"/>
      <c r="AJW17" s="418"/>
      <c r="AJX17" s="418"/>
      <c r="AJY17" s="418"/>
      <c r="AJZ17" s="418"/>
      <c r="AKA17" s="418"/>
      <c r="AKB17" s="418"/>
      <c r="AKC17" s="418"/>
      <c r="AKD17" s="418"/>
      <c r="AKE17" s="418"/>
      <c r="AKF17" s="418"/>
      <c r="AKG17" s="418"/>
      <c r="AKH17" s="418"/>
      <c r="AKI17" s="418"/>
      <c r="AKJ17" s="418"/>
      <c r="AKK17" s="418"/>
      <c r="AKL17" s="418"/>
      <c r="AKM17" s="418"/>
      <c r="AKN17" s="418"/>
      <c r="AKO17" s="418"/>
      <c r="AKP17" s="418"/>
      <c r="AKQ17" s="418"/>
      <c r="AKR17" s="418"/>
      <c r="AKS17" s="418"/>
      <c r="AKT17" s="418"/>
      <c r="AKU17" s="418"/>
      <c r="AKV17" s="418"/>
      <c r="AKW17" s="418"/>
      <c r="AKX17" s="418"/>
      <c r="AKY17" s="418"/>
      <c r="AKZ17" s="418"/>
      <c r="ALA17" s="418"/>
      <c r="ALB17" s="418"/>
      <c r="ALC17" s="418"/>
      <c r="ALD17" s="418"/>
      <c r="ALE17" s="418"/>
      <c r="ALF17" s="418"/>
      <c r="ALG17" s="418"/>
      <c r="ALH17" s="418"/>
      <c r="ALI17" s="418"/>
      <c r="ALJ17" s="418"/>
      <c r="ALK17" s="418"/>
      <c r="ALL17" s="418"/>
      <c r="ALM17" s="418"/>
      <c r="ALN17" s="418"/>
      <c r="ALO17" s="418"/>
      <c r="ALP17" s="418"/>
      <c r="ALQ17" s="418"/>
      <c r="ALR17" s="418"/>
      <c r="ALS17" s="418"/>
      <c r="ALT17" s="418"/>
      <c r="ALU17" s="418"/>
      <c r="ALV17" s="418"/>
      <c r="ALW17" s="418"/>
      <c r="ALX17" s="418"/>
      <c r="ALY17" s="418"/>
      <c r="ALZ17" s="418"/>
      <c r="AMA17" s="418"/>
      <c r="AMB17" s="418"/>
      <c r="AMC17" s="418"/>
      <c r="AMD17" s="418"/>
      <c r="AME17" s="418"/>
      <c r="AMF17" s="418"/>
      <c r="AMG17" s="418"/>
      <c r="AMH17" s="418"/>
      <c r="AMI17" s="418"/>
      <c r="AMJ17" s="418"/>
      <c r="AMK17" s="418"/>
      <c r="AML17" s="418"/>
      <c r="AMM17" s="418"/>
      <c r="AMN17" s="418"/>
      <c r="AMO17" s="418"/>
      <c r="AMP17" s="418"/>
      <c r="AMQ17" s="418"/>
      <c r="AMR17" s="418"/>
      <c r="AMS17" s="418"/>
      <c r="AMT17" s="418"/>
      <c r="AMU17" s="418"/>
      <c r="AMV17" s="418"/>
      <c r="AMW17" s="418"/>
      <c r="AMX17" s="418"/>
      <c r="AMY17" s="418"/>
      <c r="AMZ17" s="418"/>
      <c r="ANA17" s="418"/>
      <c r="ANB17" s="418"/>
      <c r="ANC17" s="418"/>
      <c r="AND17" s="418"/>
      <c r="ANE17" s="418"/>
      <c r="ANF17" s="418"/>
      <c r="ANG17" s="418"/>
      <c r="ANH17" s="418"/>
      <c r="ANI17" s="418"/>
      <c r="ANJ17" s="418"/>
      <c r="ANK17" s="418"/>
      <c r="ANL17" s="418"/>
      <c r="ANM17" s="418"/>
      <c r="ANN17" s="418"/>
      <c r="ANO17" s="418"/>
      <c r="ANP17" s="418"/>
      <c r="ANQ17" s="418"/>
      <c r="ANR17" s="418"/>
      <c r="ANS17" s="418"/>
      <c r="ANT17" s="418"/>
      <c r="ANU17" s="418"/>
      <c r="ANV17" s="418"/>
      <c r="ANW17" s="418"/>
      <c r="ANX17" s="418"/>
      <c r="ANY17" s="418"/>
      <c r="ANZ17" s="418"/>
      <c r="AOA17" s="418"/>
      <c r="AOB17" s="418"/>
      <c r="AOC17" s="418"/>
      <c r="AOD17" s="418"/>
      <c r="AOE17" s="418"/>
      <c r="AOF17" s="418"/>
      <c r="AOG17" s="418"/>
      <c r="AOH17" s="418"/>
      <c r="AOI17" s="418"/>
      <c r="AOJ17" s="418"/>
      <c r="AOK17" s="418"/>
      <c r="AOL17" s="418"/>
      <c r="AOM17" s="418"/>
      <c r="AON17" s="418"/>
      <c r="AOO17" s="418"/>
      <c r="AOP17" s="418"/>
      <c r="AOQ17" s="418"/>
      <c r="AOR17" s="418"/>
      <c r="AOS17" s="418"/>
      <c r="AOT17" s="418"/>
      <c r="AOU17" s="418"/>
      <c r="AOV17" s="418"/>
      <c r="AOW17" s="418"/>
      <c r="AOX17" s="418"/>
      <c r="AOY17" s="418"/>
      <c r="AOZ17" s="418"/>
      <c r="APA17" s="418"/>
      <c r="APB17" s="418"/>
      <c r="APC17" s="418"/>
      <c r="APD17" s="418"/>
      <c r="APE17" s="418"/>
      <c r="APF17" s="418"/>
      <c r="APG17" s="418"/>
      <c r="APH17" s="418"/>
      <c r="API17" s="418"/>
      <c r="APJ17" s="418"/>
      <c r="APK17" s="418"/>
      <c r="APL17" s="418"/>
      <c r="APM17" s="418"/>
      <c r="APN17" s="418"/>
      <c r="APO17" s="418"/>
      <c r="APP17" s="418"/>
      <c r="APQ17" s="418"/>
      <c r="APR17" s="418"/>
      <c r="APS17" s="418"/>
      <c r="APT17" s="418"/>
      <c r="APU17" s="418"/>
      <c r="APV17" s="418"/>
      <c r="APW17" s="418"/>
      <c r="APX17" s="418"/>
      <c r="APY17" s="418"/>
      <c r="APZ17" s="418"/>
      <c r="AQA17" s="418"/>
      <c r="AQB17" s="418"/>
      <c r="AQC17" s="418"/>
      <c r="AQD17" s="418"/>
      <c r="AQE17" s="418"/>
      <c r="AQF17" s="418"/>
      <c r="AQG17" s="418"/>
      <c r="AQH17" s="418"/>
      <c r="AQI17" s="418"/>
      <c r="AQJ17" s="418"/>
      <c r="AQK17" s="418"/>
      <c r="AQL17" s="418"/>
      <c r="AQM17" s="418"/>
      <c r="AQN17" s="418"/>
      <c r="AQO17" s="418"/>
      <c r="AQP17" s="418"/>
      <c r="AQQ17" s="418"/>
      <c r="AQR17" s="418"/>
      <c r="AQS17" s="418"/>
      <c r="AQT17" s="418"/>
      <c r="AQU17" s="418"/>
      <c r="AQV17" s="418"/>
      <c r="AQW17" s="418"/>
      <c r="AQX17" s="418"/>
      <c r="AQY17" s="418"/>
      <c r="AQZ17" s="418"/>
      <c r="ARA17" s="418"/>
      <c r="ARB17" s="418"/>
      <c r="ARC17" s="418"/>
      <c r="ARD17" s="418"/>
      <c r="ARE17" s="418"/>
      <c r="ARF17" s="418"/>
      <c r="ARG17" s="418"/>
      <c r="ARH17" s="418"/>
      <c r="ARI17" s="418"/>
      <c r="ARJ17" s="418"/>
      <c r="ARK17" s="418"/>
      <c r="ARL17" s="418"/>
      <c r="ARM17" s="418"/>
      <c r="ARN17" s="418"/>
      <c r="ARO17" s="418"/>
      <c r="ARP17" s="418"/>
      <c r="ARQ17" s="418"/>
      <c r="ARR17" s="418"/>
      <c r="ARS17" s="418"/>
      <c r="ART17" s="418"/>
      <c r="ARU17" s="418"/>
      <c r="ARV17" s="418"/>
      <c r="ARW17" s="418"/>
      <c r="ARX17" s="418"/>
      <c r="ARY17" s="418"/>
      <c r="ARZ17" s="418"/>
      <c r="ASA17" s="418"/>
      <c r="ASB17" s="418"/>
      <c r="ASC17" s="418"/>
      <c r="ASD17" s="418"/>
      <c r="ASE17" s="418"/>
      <c r="ASF17" s="418"/>
      <c r="ASG17" s="418"/>
      <c r="ASH17" s="418"/>
      <c r="ASI17" s="418"/>
      <c r="ASJ17" s="418"/>
      <c r="ASK17" s="418"/>
      <c r="ASL17" s="418"/>
      <c r="ASM17" s="418"/>
      <c r="ASN17" s="418"/>
      <c r="ASO17" s="418"/>
      <c r="ASP17" s="418"/>
      <c r="ASQ17" s="418"/>
      <c r="ASR17" s="418"/>
      <c r="ASS17" s="418"/>
      <c r="AST17" s="418"/>
      <c r="ASU17" s="418"/>
      <c r="ASV17" s="418"/>
      <c r="ASW17" s="418"/>
      <c r="ASX17" s="418"/>
      <c r="ASY17" s="418"/>
      <c r="ASZ17" s="418"/>
      <c r="ATA17" s="418"/>
      <c r="ATB17" s="418"/>
      <c r="ATC17" s="418"/>
      <c r="ATD17" s="418"/>
      <c r="ATE17" s="418"/>
      <c r="ATF17" s="418"/>
      <c r="ATG17" s="418"/>
      <c r="ATH17" s="418"/>
      <c r="ATI17" s="418"/>
      <c r="ATJ17" s="418"/>
      <c r="ATK17" s="418"/>
      <c r="ATL17" s="418"/>
      <c r="ATM17" s="418"/>
      <c r="ATN17" s="418"/>
      <c r="ATO17" s="418"/>
      <c r="ATP17" s="418"/>
      <c r="ATQ17" s="418"/>
      <c r="ATR17" s="418"/>
      <c r="ATS17" s="418"/>
      <c r="ATT17" s="418"/>
      <c r="ATU17" s="418"/>
      <c r="ATV17" s="418"/>
      <c r="ATW17" s="418"/>
      <c r="ATX17" s="418"/>
      <c r="ATY17" s="418"/>
      <c r="ATZ17" s="418"/>
      <c r="AUA17" s="418"/>
      <c r="AUB17" s="418"/>
      <c r="AUC17" s="418"/>
      <c r="AUD17" s="418"/>
      <c r="AUE17" s="418"/>
      <c r="AUF17" s="418"/>
      <c r="AUG17" s="418"/>
      <c r="AUH17" s="418"/>
      <c r="AUI17" s="418"/>
      <c r="AUJ17" s="418"/>
      <c r="AUK17" s="418"/>
      <c r="AUL17" s="418"/>
      <c r="AUM17" s="418"/>
      <c r="AUN17" s="418"/>
      <c r="AUO17" s="418"/>
      <c r="AUP17" s="418"/>
      <c r="AUQ17" s="418"/>
      <c r="AUR17" s="418"/>
      <c r="AUS17" s="418"/>
      <c r="AUT17" s="418"/>
      <c r="AUU17" s="418"/>
      <c r="AUV17" s="418"/>
      <c r="AUW17" s="418"/>
      <c r="AUX17" s="418"/>
      <c r="AUY17" s="418"/>
      <c r="AUZ17" s="418"/>
      <c r="AVA17" s="418"/>
      <c r="AVB17" s="418"/>
      <c r="AVC17" s="418"/>
      <c r="AVD17" s="418"/>
      <c r="AVE17" s="418"/>
      <c r="AVF17" s="418"/>
      <c r="AVG17" s="418"/>
      <c r="AVH17" s="418"/>
      <c r="AVI17" s="418"/>
      <c r="AVJ17" s="418"/>
      <c r="AVK17" s="418"/>
      <c r="AVL17" s="418"/>
      <c r="AVM17" s="418"/>
      <c r="AVN17" s="418"/>
      <c r="AVO17" s="418"/>
      <c r="AVP17" s="418"/>
      <c r="AVQ17" s="418"/>
      <c r="AVR17" s="418"/>
      <c r="AVS17" s="418"/>
      <c r="AVT17" s="418"/>
      <c r="AVU17" s="418"/>
      <c r="AVV17" s="418"/>
      <c r="AVW17" s="418"/>
      <c r="AVX17" s="418"/>
      <c r="AVY17" s="418"/>
      <c r="AVZ17" s="418"/>
      <c r="AWA17" s="418"/>
      <c r="AWB17" s="418"/>
      <c r="AWC17" s="418"/>
      <c r="AWD17" s="418"/>
      <c r="AWE17" s="418"/>
      <c r="AWF17" s="418"/>
      <c r="AWG17" s="418"/>
      <c r="AWH17" s="418"/>
      <c r="AWI17" s="418"/>
      <c r="AWJ17" s="418"/>
      <c r="AWK17" s="418"/>
      <c r="AWL17" s="418"/>
      <c r="AWM17" s="418"/>
      <c r="AWN17" s="418"/>
      <c r="AWO17" s="418"/>
      <c r="AWP17" s="418"/>
      <c r="AWQ17" s="418"/>
      <c r="AWR17" s="418"/>
      <c r="AWS17" s="418"/>
      <c r="AWT17" s="418"/>
      <c r="AWU17" s="418"/>
      <c r="AWV17" s="418"/>
      <c r="AWW17" s="418"/>
      <c r="AWX17" s="418"/>
      <c r="AWY17" s="418"/>
      <c r="AWZ17" s="418"/>
      <c r="AXA17" s="418"/>
      <c r="AXB17" s="418"/>
      <c r="AXC17" s="418"/>
      <c r="AXD17" s="418"/>
      <c r="AXE17" s="418"/>
      <c r="AXF17" s="418"/>
      <c r="AXG17" s="418"/>
      <c r="AXH17" s="418"/>
      <c r="AXI17" s="418"/>
      <c r="AXJ17" s="418"/>
      <c r="AXK17" s="418"/>
      <c r="AXL17" s="418"/>
      <c r="AXM17" s="418"/>
      <c r="AXN17" s="418"/>
      <c r="AXO17" s="418"/>
      <c r="AXP17" s="418"/>
      <c r="AXQ17" s="418"/>
      <c r="AXR17" s="418"/>
      <c r="AXS17" s="418"/>
      <c r="AXT17" s="418"/>
      <c r="AXU17" s="418"/>
      <c r="AXV17" s="418"/>
      <c r="AXW17" s="418"/>
      <c r="AXX17" s="418"/>
      <c r="AXY17" s="418"/>
      <c r="AXZ17" s="418"/>
      <c r="AYA17" s="418"/>
      <c r="AYB17" s="418"/>
      <c r="AYC17" s="418"/>
      <c r="AYD17" s="418"/>
      <c r="AYE17" s="418"/>
      <c r="AYF17" s="418"/>
      <c r="AYG17" s="418"/>
      <c r="AYH17" s="418"/>
      <c r="AYI17" s="418"/>
      <c r="AYJ17" s="418"/>
      <c r="AYK17" s="418"/>
      <c r="AYL17" s="418"/>
      <c r="AYM17" s="418"/>
      <c r="AYN17" s="418"/>
      <c r="AYO17" s="418"/>
      <c r="AYP17" s="418"/>
      <c r="AYQ17" s="418"/>
      <c r="AYR17" s="418"/>
      <c r="AYS17" s="418"/>
      <c r="AYT17" s="418"/>
      <c r="AYU17" s="418"/>
      <c r="AYV17" s="418"/>
      <c r="AYW17" s="418"/>
      <c r="AYX17" s="418"/>
      <c r="AYY17" s="418"/>
      <c r="AYZ17" s="418"/>
      <c r="AZA17" s="418"/>
      <c r="AZB17" s="418"/>
      <c r="AZC17" s="418"/>
      <c r="AZD17" s="418"/>
      <c r="AZE17" s="418"/>
      <c r="AZF17" s="418"/>
      <c r="AZG17" s="418"/>
      <c r="AZH17" s="418"/>
      <c r="AZI17" s="418"/>
      <c r="AZJ17" s="418"/>
      <c r="AZK17" s="418"/>
      <c r="AZL17" s="418"/>
      <c r="AZM17" s="418"/>
      <c r="AZN17" s="418"/>
      <c r="AZO17" s="418"/>
      <c r="AZP17" s="418"/>
      <c r="AZQ17" s="418"/>
      <c r="AZR17" s="418"/>
      <c r="AZS17" s="418"/>
      <c r="AZT17" s="418"/>
      <c r="AZU17" s="418"/>
      <c r="AZV17" s="418"/>
      <c r="AZW17" s="418"/>
      <c r="AZX17" s="418"/>
      <c r="AZY17" s="418"/>
      <c r="AZZ17" s="418"/>
      <c r="BAA17" s="418"/>
      <c r="BAB17" s="418"/>
      <c r="BAC17" s="418"/>
      <c r="BAD17" s="418"/>
      <c r="BAE17" s="418"/>
      <c r="BAF17" s="418"/>
      <c r="BAG17" s="418"/>
      <c r="BAH17" s="418"/>
      <c r="BAI17" s="418"/>
      <c r="BAJ17" s="418"/>
      <c r="BAK17" s="418"/>
      <c r="BAL17" s="418"/>
      <c r="BAM17" s="418"/>
      <c r="BAN17" s="418"/>
      <c r="BAO17" s="418"/>
      <c r="BAP17" s="418"/>
      <c r="BAQ17" s="418"/>
      <c r="BAR17" s="418"/>
      <c r="BAS17" s="418"/>
      <c r="BAT17" s="418"/>
      <c r="BAU17" s="418"/>
      <c r="BAV17" s="418"/>
      <c r="BAW17" s="418"/>
      <c r="BAX17" s="418"/>
      <c r="BAY17" s="418"/>
      <c r="BAZ17" s="418"/>
      <c r="BBA17" s="418"/>
      <c r="BBB17" s="418"/>
      <c r="BBC17" s="418"/>
      <c r="BBD17" s="418"/>
      <c r="BBE17" s="418"/>
      <c r="BBF17" s="418"/>
      <c r="BBG17" s="418"/>
      <c r="BBH17" s="418"/>
      <c r="BBI17" s="418"/>
      <c r="BBJ17" s="418"/>
      <c r="BBK17" s="418"/>
      <c r="BBL17" s="418"/>
      <c r="BBM17" s="418"/>
      <c r="BBN17" s="418"/>
      <c r="BBO17" s="418"/>
      <c r="BBP17" s="418"/>
      <c r="BBQ17" s="418"/>
      <c r="BBR17" s="418"/>
      <c r="BBS17" s="418"/>
      <c r="BBT17" s="418"/>
      <c r="BBU17" s="418"/>
      <c r="BBV17" s="418"/>
      <c r="BBW17" s="418"/>
      <c r="BBX17" s="418"/>
      <c r="BBY17" s="418"/>
      <c r="BBZ17" s="418"/>
      <c r="BCA17" s="418"/>
      <c r="BCB17" s="418"/>
      <c r="BCC17" s="418"/>
      <c r="BCD17" s="418"/>
      <c r="BCE17" s="418"/>
      <c r="BCF17" s="418"/>
      <c r="BCG17" s="418"/>
      <c r="BCH17" s="418"/>
      <c r="BCI17" s="418"/>
      <c r="BCJ17" s="418"/>
      <c r="BCK17" s="418"/>
      <c r="BCL17" s="418"/>
      <c r="BCM17" s="418"/>
      <c r="BCN17" s="418"/>
      <c r="BCO17" s="418"/>
      <c r="BCP17" s="418"/>
      <c r="BCQ17" s="418"/>
      <c r="BCR17" s="418"/>
      <c r="BCS17" s="418"/>
      <c r="BCT17" s="418"/>
      <c r="BCU17" s="418"/>
      <c r="BCV17" s="418"/>
      <c r="BCW17" s="418"/>
      <c r="BCX17" s="418"/>
      <c r="BCY17" s="418"/>
      <c r="BCZ17" s="418"/>
      <c r="BDA17" s="418"/>
      <c r="BDB17" s="418"/>
      <c r="BDC17" s="418"/>
      <c r="BDD17" s="418"/>
      <c r="BDE17" s="418"/>
      <c r="BDF17" s="418"/>
      <c r="BDG17" s="418"/>
      <c r="BDH17" s="418"/>
      <c r="BDI17" s="418"/>
      <c r="BDJ17" s="418"/>
      <c r="BDK17" s="418"/>
      <c r="BDL17" s="418"/>
      <c r="BDM17" s="418"/>
      <c r="BDN17" s="418"/>
      <c r="BDO17" s="418"/>
      <c r="BDP17" s="418"/>
      <c r="BDQ17" s="418"/>
      <c r="BDR17" s="418"/>
      <c r="BDS17" s="418"/>
      <c r="BDT17" s="418"/>
      <c r="BDU17" s="418"/>
      <c r="BDV17" s="418"/>
      <c r="BDW17" s="418"/>
      <c r="BDX17" s="418"/>
      <c r="BDY17" s="418"/>
      <c r="BDZ17" s="418"/>
      <c r="BEA17" s="418"/>
      <c r="BEB17" s="418"/>
      <c r="BEC17" s="418"/>
      <c r="BED17" s="418"/>
      <c r="BEE17" s="418"/>
      <c r="BEF17" s="418"/>
      <c r="BEG17" s="418"/>
      <c r="BEH17" s="418"/>
      <c r="BEI17" s="418"/>
      <c r="BEJ17" s="418"/>
      <c r="BEK17" s="418"/>
      <c r="BEL17" s="418"/>
      <c r="BEM17" s="418"/>
      <c r="BEN17" s="418"/>
      <c r="BEO17" s="418"/>
      <c r="BEP17" s="418"/>
      <c r="BEQ17" s="418"/>
      <c r="BER17" s="418"/>
      <c r="BES17" s="418"/>
      <c r="BET17" s="418"/>
      <c r="BEU17" s="418"/>
      <c r="BEV17" s="418"/>
      <c r="BEW17" s="418"/>
      <c r="BEX17" s="418"/>
      <c r="BEY17" s="418"/>
      <c r="BEZ17" s="418"/>
      <c r="BFA17" s="418"/>
      <c r="BFB17" s="418"/>
      <c r="BFC17" s="418"/>
      <c r="BFD17" s="418"/>
      <c r="BFE17" s="418"/>
      <c r="BFF17" s="418"/>
      <c r="BFG17" s="418"/>
      <c r="BFH17" s="418"/>
      <c r="BFI17" s="418"/>
      <c r="BFJ17" s="418"/>
      <c r="BFK17" s="418"/>
      <c r="BFL17" s="418"/>
      <c r="BFM17" s="418"/>
      <c r="BFN17" s="418"/>
      <c r="BFO17" s="418"/>
      <c r="BFP17" s="418"/>
      <c r="BFQ17" s="418"/>
      <c r="BFR17" s="418"/>
      <c r="BFS17" s="418"/>
      <c r="BFT17" s="418"/>
      <c r="BFU17" s="418"/>
      <c r="BFV17" s="418"/>
      <c r="BFW17" s="418"/>
      <c r="BFX17" s="418"/>
      <c r="BFY17" s="418"/>
      <c r="BFZ17" s="418"/>
      <c r="BGA17" s="418"/>
      <c r="BGB17" s="418"/>
      <c r="BGC17" s="418"/>
      <c r="BGD17" s="418"/>
      <c r="BGE17" s="418"/>
      <c r="BGF17" s="418"/>
      <c r="BGG17" s="418"/>
      <c r="BGH17" s="418"/>
      <c r="BGI17" s="418"/>
      <c r="BGJ17" s="418"/>
      <c r="BGK17" s="418"/>
      <c r="BGL17" s="418"/>
      <c r="BGM17" s="418"/>
      <c r="BGN17" s="418"/>
      <c r="BGO17" s="418"/>
      <c r="BGP17" s="418"/>
      <c r="BGQ17" s="418"/>
      <c r="BGR17" s="418"/>
      <c r="BGS17" s="418"/>
      <c r="BGT17" s="418"/>
      <c r="BGU17" s="418"/>
      <c r="BGV17" s="418"/>
      <c r="BGW17" s="418"/>
      <c r="BGX17" s="418"/>
      <c r="BGY17" s="418"/>
      <c r="BGZ17" s="418"/>
      <c r="BHA17" s="418"/>
      <c r="BHB17" s="418"/>
      <c r="BHC17" s="418"/>
      <c r="BHD17" s="418"/>
      <c r="BHE17" s="418"/>
      <c r="BHF17" s="418"/>
      <c r="BHG17" s="418"/>
      <c r="BHH17" s="418"/>
      <c r="BHI17" s="418"/>
      <c r="BHJ17" s="418"/>
      <c r="BHK17" s="418"/>
      <c r="BHL17" s="418"/>
      <c r="BHM17" s="418"/>
      <c r="BHN17" s="418"/>
      <c r="BHO17" s="418"/>
      <c r="BHP17" s="418"/>
      <c r="BHQ17" s="418"/>
      <c r="BHR17" s="418"/>
      <c r="BHS17" s="418"/>
      <c r="BHT17" s="418"/>
      <c r="BHU17" s="418"/>
      <c r="BHV17" s="418"/>
      <c r="BHW17" s="418"/>
      <c r="BHX17" s="418"/>
      <c r="BHY17" s="418"/>
      <c r="BHZ17" s="418"/>
      <c r="BIA17" s="418"/>
      <c r="BIB17" s="418"/>
      <c r="BIC17" s="418"/>
      <c r="BID17" s="418"/>
      <c r="BIE17" s="418"/>
      <c r="BIF17" s="418"/>
      <c r="BIG17" s="418"/>
      <c r="BIH17" s="418"/>
      <c r="BII17" s="418"/>
      <c r="BIJ17" s="418"/>
      <c r="BIK17" s="418"/>
      <c r="BIL17" s="418"/>
      <c r="BIM17" s="418"/>
      <c r="BIN17" s="418"/>
      <c r="BIO17" s="418"/>
      <c r="BIP17" s="418"/>
      <c r="BIQ17" s="418"/>
      <c r="BIR17" s="418"/>
      <c r="BIS17" s="418"/>
      <c r="BIT17" s="418"/>
      <c r="BIU17" s="418"/>
      <c r="BIV17" s="418"/>
      <c r="BIW17" s="418"/>
      <c r="BIX17" s="418"/>
      <c r="BIY17" s="418"/>
      <c r="BIZ17" s="418"/>
      <c r="BJA17" s="418"/>
      <c r="BJB17" s="418"/>
      <c r="BJC17" s="418"/>
      <c r="BJD17" s="418"/>
      <c r="BJE17" s="418"/>
      <c r="BJF17" s="418"/>
      <c r="BJG17" s="418"/>
      <c r="BJH17" s="418"/>
      <c r="BJI17" s="418"/>
      <c r="BJJ17" s="418"/>
      <c r="BJK17" s="418"/>
      <c r="BJL17" s="418"/>
      <c r="BJM17" s="418"/>
      <c r="BJN17" s="418"/>
      <c r="BJO17" s="418"/>
      <c r="BJP17" s="418"/>
      <c r="BJQ17" s="418"/>
      <c r="BJR17" s="418"/>
      <c r="BJS17" s="418"/>
      <c r="BJT17" s="418"/>
      <c r="BJU17" s="418"/>
      <c r="BJV17" s="418"/>
      <c r="BJW17" s="418"/>
      <c r="BJX17" s="418"/>
      <c r="BJY17" s="418"/>
      <c r="BJZ17" s="418"/>
      <c r="BKA17" s="418"/>
      <c r="BKB17" s="418"/>
      <c r="BKC17" s="418"/>
      <c r="BKD17" s="418"/>
      <c r="BKE17" s="418"/>
      <c r="BKF17" s="418"/>
      <c r="BKG17" s="418"/>
      <c r="BKH17" s="418"/>
      <c r="BKI17" s="418"/>
      <c r="BKJ17" s="418"/>
      <c r="BKK17" s="418"/>
      <c r="BKL17" s="418"/>
      <c r="BKM17" s="418"/>
      <c r="BKN17" s="418"/>
      <c r="BKO17" s="418"/>
      <c r="BKP17" s="418"/>
      <c r="BKQ17" s="418"/>
      <c r="BKR17" s="418"/>
      <c r="BKS17" s="418"/>
      <c r="BKT17" s="418"/>
      <c r="BKU17" s="418"/>
      <c r="BKV17" s="418"/>
      <c r="BKW17" s="418"/>
      <c r="BKX17" s="418"/>
      <c r="BKY17" s="418"/>
      <c r="BKZ17" s="418"/>
      <c r="BLA17" s="418"/>
      <c r="BLB17" s="418"/>
      <c r="BLC17" s="418"/>
      <c r="BLD17" s="418"/>
      <c r="BLE17" s="418"/>
      <c r="BLF17" s="418"/>
      <c r="BLG17" s="418"/>
      <c r="BLH17" s="418"/>
      <c r="BLI17" s="418"/>
      <c r="BLJ17" s="418"/>
      <c r="BLK17" s="418"/>
      <c r="BLL17" s="418"/>
      <c r="BLM17" s="418"/>
      <c r="BLN17" s="418"/>
      <c r="BLO17" s="418"/>
      <c r="BLP17" s="418"/>
      <c r="BLQ17" s="418"/>
      <c r="BLR17" s="418"/>
      <c r="BLS17" s="418"/>
      <c r="BLT17" s="418"/>
      <c r="BLU17" s="418"/>
      <c r="BLV17" s="418"/>
      <c r="BLW17" s="418"/>
      <c r="BLX17" s="418"/>
      <c r="BLY17" s="418"/>
      <c r="BLZ17" s="418"/>
      <c r="BMA17" s="418"/>
      <c r="BMB17" s="418"/>
      <c r="BMC17" s="418"/>
      <c r="BMD17" s="418"/>
      <c r="BME17" s="418"/>
      <c r="BMF17" s="418"/>
      <c r="BMG17" s="418"/>
      <c r="BMH17" s="418"/>
      <c r="BMI17" s="418"/>
      <c r="BMJ17" s="418"/>
      <c r="BMK17" s="418"/>
      <c r="BML17" s="418"/>
      <c r="BMM17" s="418"/>
      <c r="BMN17" s="418"/>
      <c r="BMO17" s="418"/>
      <c r="BMP17" s="418"/>
      <c r="BMQ17" s="418"/>
      <c r="BMR17" s="418"/>
      <c r="BMS17" s="418"/>
      <c r="BMT17" s="418"/>
      <c r="BMU17" s="418"/>
      <c r="BMV17" s="418"/>
      <c r="BMW17" s="418"/>
      <c r="BMX17" s="418"/>
      <c r="BMY17" s="418"/>
      <c r="BMZ17" s="418"/>
      <c r="BNA17" s="418"/>
      <c r="BNB17" s="418"/>
      <c r="BNC17" s="418"/>
      <c r="BND17" s="418"/>
      <c r="BNE17" s="418"/>
      <c r="BNF17" s="418"/>
      <c r="BNG17" s="418"/>
      <c r="BNH17" s="418"/>
      <c r="BNI17" s="418"/>
      <c r="BNJ17" s="418"/>
      <c r="BNK17" s="418"/>
      <c r="BNL17" s="418"/>
      <c r="BNM17" s="418"/>
      <c r="BNN17" s="418"/>
      <c r="BNO17" s="418"/>
      <c r="BNP17" s="418"/>
      <c r="BNQ17" s="418"/>
      <c r="BNR17" s="418"/>
      <c r="BNS17" s="418"/>
      <c r="BNT17" s="418"/>
      <c r="BNU17" s="418"/>
      <c r="BNV17" s="418"/>
      <c r="BNW17" s="418"/>
      <c r="BNX17" s="418"/>
      <c r="BNY17" s="418"/>
      <c r="BNZ17" s="418"/>
      <c r="BOA17" s="418"/>
      <c r="BOB17" s="418"/>
      <c r="BOC17" s="418"/>
      <c r="BOD17" s="418"/>
      <c r="BOE17" s="418"/>
      <c r="BOF17" s="418"/>
      <c r="BOG17" s="418"/>
      <c r="BOH17" s="418"/>
      <c r="BOI17" s="418"/>
      <c r="BOJ17" s="418"/>
      <c r="BOK17" s="418"/>
      <c r="BOL17" s="418"/>
      <c r="BOM17" s="418"/>
      <c r="BON17" s="418"/>
      <c r="BOO17" s="418"/>
      <c r="BOP17" s="418"/>
      <c r="BOQ17" s="418"/>
      <c r="BOR17" s="418"/>
      <c r="BOS17" s="418"/>
      <c r="BOT17" s="418"/>
      <c r="BOU17" s="418"/>
      <c r="BOV17" s="418"/>
      <c r="BOW17" s="418"/>
      <c r="BOX17" s="418"/>
      <c r="BOY17" s="418"/>
      <c r="BOZ17" s="418"/>
      <c r="BPA17" s="418"/>
      <c r="BPB17" s="418"/>
      <c r="BPC17" s="418"/>
      <c r="BPD17" s="418"/>
      <c r="BPE17" s="418"/>
      <c r="BPF17" s="418"/>
      <c r="BPG17" s="418"/>
      <c r="BPH17" s="418"/>
      <c r="BPI17" s="418"/>
      <c r="BPJ17" s="418"/>
      <c r="BPK17" s="418"/>
      <c r="BPL17" s="418"/>
      <c r="BPM17" s="418"/>
      <c r="BPN17" s="418"/>
      <c r="BPO17" s="418"/>
      <c r="BPP17" s="418"/>
      <c r="BPQ17" s="418"/>
      <c r="BPR17" s="418"/>
      <c r="BPS17" s="418"/>
      <c r="BPT17" s="418"/>
      <c r="BPU17" s="418"/>
      <c r="BPV17" s="418"/>
      <c r="BPW17" s="418"/>
      <c r="BPX17" s="418"/>
      <c r="BPY17" s="418"/>
      <c r="BPZ17" s="418"/>
      <c r="BQA17" s="418"/>
      <c r="BQB17" s="418"/>
      <c r="BQC17" s="418"/>
      <c r="BQD17" s="418"/>
      <c r="BQE17" s="418"/>
      <c r="BQF17" s="418"/>
      <c r="BQG17" s="418"/>
      <c r="BQH17" s="418"/>
      <c r="BQI17" s="418"/>
      <c r="BQJ17" s="418"/>
      <c r="BQK17" s="418"/>
      <c r="BQL17" s="418"/>
      <c r="BQM17" s="418"/>
      <c r="BQN17" s="418"/>
      <c r="BQO17" s="418"/>
      <c r="BQP17" s="418"/>
      <c r="BQQ17" s="418"/>
      <c r="BQR17" s="418"/>
      <c r="BQS17" s="418"/>
      <c r="BQT17" s="418"/>
      <c r="BQU17" s="418"/>
      <c r="BQV17" s="418"/>
      <c r="BQW17" s="418"/>
      <c r="BQX17" s="418"/>
      <c r="BQY17" s="418"/>
      <c r="BQZ17" s="418"/>
      <c r="BRA17" s="418"/>
      <c r="BRB17" s="418"/>
      <c r="BRC17" s="418"/>
      <c r="BRD17" s="418"/>
      <c r="BRE17" s="418"/>
      <c r="BRF17" s="418"/>
      <c r="BRG17" s="418"/>
      <c r="BRH17" s="418"/>
      <c r="BRI17" s="418"/>
      <c r="BRJ17" s="418"/>
      <c r="BRK17" s="418"/>
      <c r="BRL17" s="418"/>
      <c r="BRM17" s="418"/>
      <c r="BRN17" s="418"/>
      <c r="BRO17" s="418"/>
      <c r="BRP17" s="418"/>
      <c r="BRQ17" s="418"/>
      <c r="BRR17" s="418"/>
      <c r="BRS17" s="418"/>
      <c r="BRT17" s="418"/>
      <c r="BRU17" s="418"/>
      <c r="BRV17" s="418"/>
      <c r="BRW17" s="418"/>
      <c r="BRX17" s="418"/>
      <c r="BRY17" s="418"/>
      <c r="BRZ17" s="418"/>
      <c r="BSA17" s="418"/>
      <c r="BSB17" s="418"/>
      <c r="BSC17" s="418"/>
      <c r="BSD17" s="418"/>
      <c r="BSE17" s="418"/>
      <c r="BSF17" s="418"/>
      <c r="BSG17" s="418"/>
      <c r="BSH17" s="418"/>
      <c r="BSI17" s="418"/>
      <c r="BSJ17" s="418"/>
      <c r="BSK17" s="418"/>
      <c r="BSL17" s="418"/>
      <c r="BSM17" s="418"/>
      <c r="BSN17" s="418"/>
      <c r="BSO17" s="418"/>
      <c r="BSP17" s="418"/>
      <c r="BSQ17" s="418"/>
      <c r="BSR17" s="418"/>
      <c r="BSS17" s="418"/>
      <c r="BST17" s="418"/>
      <c r="BSU17" s="418"/>
      <c r="BSV17" s="418"/>
      <c r="BSW17" s="418"/>
      <c r="BSX17" s="418"/>
      <c r="BSY17" s="418"/>
      <c r="BSZ17" s="418"/>
      <c r="BTA17" s="418"/>
      <c r="BTB17" s="418"/>
      <c r="BTC17" s="418"/>
      <c r="BTD17" s="418"/>
      <c r="BTE17" s="418"/>
      <c r="BTF17" s="418"/>
      <c r="BTG17" s="418"/>
      <c r="BTH17" s="418"/>
      <c r="BTI17" s="418"/>
      <c r="BTJ17" s="418"/>
      <c r="BTK17" s="418"/>
      <c r="BTL17" s="418"/>
      <c r="BTM17" s="418"/>
      <c r="BTN17" s="418"/>
      <c r="BTO17" s="418"/>
      <c r="BTP17" s="418"/>
      <c r="BTQ17" s="418"/>
      <c r="BTR17" s="418"/>
      <c r="BTS17" s="418"/>
      <c r="BTT17" s="418"/>
      <c r="BTU17" s="418"/>
      <c r="BTV17" s="418"/>
      <c r="BTW17" s="418"/>
      <c r="BTX17" s="418"/>
      <c r="BTY17" s="418"/>
      <c r="BTZ17" s="418"/>
      <c r="BUA17" s="418"/>
      <c r="BUB17" s="418"/>
      <c r="BUC17" s="418"/>
      <c r="BUD17" s="418"/>
      <c r="BUE17" s="418"/>
      <c r="BUF17" s="418"/>
      <c r="BUG17" s="418"/>
      <c r="BUH17" s="418"/>
      <c r="BUI17" s="418"/>
      <c r="BUJ17" s="418"/>
      <c r="BUK17" s="418"/>
      <c r="BUL17" s="418"/>
      <c r="BUM17" s="418"/>
      <c r="BUN17" s="418"/>
      <c r="BUO17" s="418"/>
      <c r="BUP17" s="418"/>
      <c r="BUQ17" s="418"/>
      <c r="BUR17" s="418"/>
      <c r="BUS17" s="418"/>
      <c r="BUT17" s="418"/>
      <c r="BUU17" s="418"/>
      <c r="BUV17" s="418"/>
      <c r="BUW17" s="418"/>
      <c r="BUX17" s="418"/>
      <c r="BUY17" s="418"/>
      <c r="BUZ17" s="418"/>
      <c r="BVA17" s="418"/>
      <c r="BVB17" s="418"/>
      <c r="BVC17" s="418"/>
      <c r="BVD17" s="418"/>
      <c r="BVE17" s="418"/>
      <c r="BVF17" s="418"/>
      <c r="BVG17" s="418"/>
      <c r="BVH17" s="418"/>
      <c r="BVI17" s="418"/>
      <c r="BVJ17" s="418"/>
      <c r="BVK17" s="418"/>
      <c r="BVL17" s="418"/>
      <c r="BVM17" s="418"/>
      <c r="BVN17" s="418"/>
      <c r="BVO17" s="418"/>
      <c r="BVP17" s="418"/>
      <c r="BVQ17" s="418"/>
      <c r="BVR17" s="418"/>
      <c r="BVS17" s="418"/>
      <c r="BVT17" s="418"/>
      <c r="BVU17" s="418"/>
      <c r="BVV17" s="418"/>
      <c r="BVW17" s="418"/>
      <c r="BVX17" s="418"/>
      <c r="BVY17" s="418"/>
      <c r="BVZ17" s="418"/>
      <c r="BWA17" s="418"/>
      <c r="BWB17" s="418"/>
      <c r="BWC17" s="418"/>
      <c r="BWD17" s="418"/>
      <c r="BWE17" s="418"/>
      <c r="BWF17" s="418"/>
      <c r="BWG17" s="418"/>
      <c r="BWH17" s="418"/>
      <c r="BWI17" s="418"/>
      <c r="BWJ17" s="418"/>
      <c r="BWK17" s="418"/>
      <c r="BWL17" s="418"/>
      <c r="BWM17" s="418"/>
      <c r="BWN17" s="418"/>
      <c r="BWO17" s="418"/>
      <c r="BWP17" s="418"/>
      <c r="BWQ17" s="418"/>
      <c r="BWR17" s="418"/>
      <c r="BWS17" s="418"/>
      <c r="BWT17" s="418"/>
      <c r="BWU17" s="418"/>
      <c r="BWV17" s="418"/>
      <c r="BWW17" s="418"/>
      <c r="BWX17" s="418"/>
      <c r="BWY17" s="418"/>
      <c r="BWZ17" s="418"/>
      <c r="BXA17" s="418"/>
      <c r="BXB17" s="418"/>
      <c r="BXC17" s="418"/>
      <c r="BXD17" s="418"/>
      <c r="BXE17" s="418"/>
      <c r="BXF17" s="418"/>
      <c r="BXG17" s="418"/>
      <c r="BXH17" s="418"/>
      <c r="BXI17" s="418"/>
      <c r="BXJ17" s="418"/>
      <c r="BXK17" s="418"/>
      <c r="BXL17" s="418"/>
      <c r="BXM17" s="418"/>
      <c r="BXN17" s="418"/>
      <c r="BXO17" s="418"/>
      <c r="BXP17" s="418"/>
      <c r="BXQ17" s="418"/>
      <c r="BXR17" s="418"/>
      <c r="BXS17" s="418"/>
      <c r="BXT17" s="418"/>
      <c r="BXU17" s="418"/>
      <c r="BXV17" s="418"/>
      <c r="BXW17" s="418"/>
      <c r="BXX17" s="418"/>
      <c r="BXY17" s="418"/>
      <c r="BXZ17" s="418"/>
      <c r="BYA17" s="418"/>
      <c r="BYB17" s="418"/>
      <c r="BYC17" s="418"/>
      <c r="BYD17" s="418"/>
      <c r="BYE17" s="418"/>
      <c r="BYF17" s="418"/>
      <c r="BYG17" s="418"/>
      <c r="BYH17" s="418"/>
      <c r="BYI17" s="418"/>
      <c r="BYJ17" s="418"/>
      <c r="BYK17" s="418"/>
      <c r="BYL17" s="418"/>
      <c r="BYM17" s="418"/>
      <c r="BYN17" s="418"/>
      <c r="BYO17" s="418"/>
      <c r="BYP17" s="418"/>
      <c r="BYQ17" s="418"/>
      <c r="BYR17" s="418"/>
      <c r="BYS17" s="418"/>
      <c r="BYT17" s="418"/>
      <c r="BYU17" s="418"/>
      <c r="BYV17" s="418"/>
      <c r="BYW17" s="418"/>
      <c r="BYX17" s="418"/>
      <c r="BYY17" s="418"/>
      <c r="BYZ17" s="418"/>
      <c r="BZA17" s="418"/>
      <c r="BZB17" s="418"/>
      <c r="BZC17" s="418"/>
      <c r="BZD17" s="418"/>
      <c r="BZE17" s="418"/>
      <c r="BZF17" s="418"/>
      <c r="BZG17" s="418"/>
      <c r="BZH17" s="418"/>
      <c r="BZI17" s="418"/>
      <c r="BZJ17" s="418"/>
      <c r="BZK17" s="418"/>
      <c r="BZL17" s="418"/>
      <c r="BZM17" s="418"/>
      <c r="BZN17" s="418"/>
      <c r="BZO17" s="418"/>
      <c r="BZP17" s="418"/>
      <c r="BZQ17" s="418"/>
      <c r="BZR17" s="418"/>
      <c r="BZS17" s="418"/>
      <c r="BZT17" s="418"/>
      <c r="BZU17" s="418"/>
      <c r="BZV17" s="418"/>
      <c r="BZW17" s="418"/>
      <c r="BZX17" s="418"/>
      <c r="BZY17" s="418"/>
      <c r="BZZ17" s="418"/>
      <c r="CAA17" s="418"/>
      <c r="CAB17" s="418"/>
      <c r="CAC17" s="418"/>
      <c r="CAD17" s="418"/>
      <c r="CAE17" s="418"/>
      <c r="CAF17" s="418"/>
      <c r="CAG17" s="418"/>
      <c r="CAH17" s="418"/>
      <c r="CAI17" s="418"/>
      <c r="CAJ17" s="418"/>
      <c r="CAK17" s="418"/>
      <c r="CAL17" s="418"/>
      <c r="CAM17" s="418"/>
      <c r="CAN17" s="418"/>
      <c r="CAO17" s="418"/>
      <c r="CAP17" s="418"/>
      <c r="CAQ17" s="418"/>
      <c r="CAR17" s="418"/>
      <c r="CAS17" s="418"/>
      <c r="CAT17" s="418"/>
      <c r="CAU17" s="418"/>
      <c r="CAV17" s="418"/>
      <c r="CAW17" s="418"/>
      <c r="CAX17" s="418"/>
      <c r="CAY17" s="418"/>
      <c r="CAZ17" s="418"/>
      <c r="CBA17" s="418"/>
      <c r="CBB17" s="418"/>
      <c r="CBC17" s="418"/>
      <c r="CBD17" s="418"/>
      <c r="CBE17" s="418"/>
      <c r="CBF17" s="418"/>
      <c r="CBG17" s="418"/>
      <c r="CBH17" s="418"/>
      <c r="CBI17" s="418"/>
      <c r="CBJ17" s="418"/>
      <c r="CBK17" s="418"/>
      <c r="CBL17" s="418"/>
      <c r="CBM17" s="418"/>
      <c r="CBN17" s="418"/>
      <c r="CBO17" s="418"/>
      <c r="CBP17" s="418"/>
      <c r="CBQ17" s="418"/>
      <c r="CBR17" s="418"/>
      <c r="CBS17" s="418"/>
      <c r="CBT17" s="418"/>
      <c r="CBU17" s="418"/>
      <c r="CBV17" s="418"/>
      <c r="CBW17" s="418"/>
      <c r="CBX17" s="418"/>
      <c r="CBY17" s="418"/>
      <c r="CBZ17" s="418"/>
      <c r="CCA17" s="418"/>
      <c r="CCB17" s="418"/>
      <c r="CCC17" s="418"/>
      <c r="CCD17" s="418"/>
      <c r="CCE17" s="418"/>
      <c r="CCF17" s="418"/>
      <c r="CCG17" s="418"/>
      <c r="CCH17" s="418"/>
      <c r="CCI17" s="418"/>
      <c r="CCJ17" s="418"/>
      <c r="CCK17" s="418"/>
      <c r="CCL17" s="418"/>
      <c r="CCM17" s="418"/>
      <c r="CCN17" s="418"/>
      <c r="CCO17" s="418"/>
      <c r="CCP17" s="418"/>
      <c r="CCQ17" s="418"/>
      <c r="CCR17" s="418"/>
      <c r="CCS17" s="418"/>
      <c r="CCT17" s="418"/>
      <c r="CCU17" s="418"/>
      <c r="CCV17" s="418"/>
      <c r="CCW17" s="418"/>
      <c r="CCX17" s="418"/>
      <c r="CCY17" s="418"/>
      <c r="CCZ17" s="418"/>
      <c r="CDA17" s="418"/>
      <c r="CDB17" s="418"/>
      <c r="CDC17" s="418"/>
      <c r="CDD17" s="418"/>
      <c r="CDE17" s="418"/>
      <c r="CDF17" s="418"/>
      <c r="CDG17" s="418"/>
      <c r="CDH17" s="418"/>
      <c r="CDI17" s="418"/>
      <c r="CDJ17" s="418"/>
      <c r="CDK17" s="418"/>
      <c r="CDL17" s="418"/>
      <c r="CDM17" s="418"/>
      <c r="CDN17" s="418"/>
      <c r="CDO17" s="418"/>
      <c r="CDP17" s="418"/>
      <c r="CDQ17" s="418"/>
      <c r="CDR17" s="418"/>
      <c r="CDS17" s="418"/>
      <c r="CDT17" s="418"/>
      <c r="CDU17" s="418"/>
      <c r="CDV17" s="418"/>
      <c r="CDW17" s="418"/>
      <c r="CDX17" s="418"/>
      <c r="CDY17" s="418"/>
      <c r="CDZ17" s="418"/>
      <c r="CEA17" s="418"/>
      <c r="CEB17" s="418"/>
      <c r="CEC17" s="418"/>
      <c r="CED17" s="418"/>
      <c r="CEE17" s="418"/>
      <c r="CEF17" s="418"/>
      <c r="CEG17" s="418"/>
      <c r="CEH17" s="418"/>
      <c r="CEI17" s="418"/>
      <c r="CEJ17" s="418"/>
      <c r="CEK17" s="418"/>
      <c r="CEL17" s="418"/>
      <c r="CEM17" s="418"/>
      <c r="CEN17" s="418"/>
      <c r="CEO17" s="418"/>
      <c r="CEP17" s="418"/>
      <c r="CEQ17" s="418"/>
      <c r="CER17" s="418"/>
      <c r="CES17" s="418"/>
      <c r="CET17" s="418"/>
      <c r="CEU17" s="418"/>
      <c r="CEV17" s="418"/>
      <c r="CEW17" s="418"/>
      <c r="CEX17" s="418"/>
      <c r="CEY17" s="418"/>
      <c r="CEZ17" s="418"/>
      <c r="CFA17" s="418"/>
      <c r="CFB17" s="418"/>
      <c r="CFC17" s="418"/>
      <c r="CFD17" s="418"/>
      <c r="CFE17" s="418"/>
      <c r="CFF17" s="418"/>
      <c r="CFG17" s="418"/>
      <c r="CFH17" s="418"/>
      <c r="CFI17" s="418"/>
      <c r="CFJ17" s="418"/>
      <c r="CFK17" s="418"/>
      <c r="CFL17" s="418"/>
      <c r="CFM17" s="418"/>
      <c r="CFN17" s="418"/>
      <c r="CFO17" s="418"/>
      <c r="CFP17" s="418"/>
      <c r="CFQ17" s="418"/>
      <c r="CFR17" s="418"/>
      <c r="CFS17" s="418"/>
      <c r="CFT17" s="418"/>
      <c r="CFU17" s="418"/>
      <c r="CFV17" s="418"/>
      <c r="CFW17" s="418"/>
      <c r="CFX17" s="418"/>
      <c r="CFY17" s="418"/>
      <c r="CFZ17" s="418"/>
      <c r="CGA17" s="418"/>
      <c r="CGB17" s="418"/>
      <c r="CGC17" s="418"/>
      <c r="CGD17" s="418"/>
      <c r="CGE17" s="418"/>
      <c r="CGF17" s="418"/>
      <c r="CGG17" s="418"/>
      <c r="CGH17" s="418"/>
      <c r="CGI17" s="418"/>
      <c r="CGJ17" s="418"/>
      <c r="CGK17" s="418"/>
      <c r="CGL17" s="418"/>
      <c r="CGM17" s="418"/>
      <c r="CGN17" s="418"/>
      <c r="CGO17" s="418"/>
      <c r="CGP17" s="418"/>
      <c r="CGQ17" s="418"/>
      <c r="CGR17" s="418"/>
      <c r="CGS17" s="418"/>
      <c r="CGT17" s="418"/>
      <c r="CGU17" s="418"/>
      <c r="CGV17" s="418"/>
      <c r="CGW17" s="418"/>
      <c r="CGX17" s="418"/>
      <c r="CGY17" s="418"/>
      <c r="CGZ17" s="418"/>
      <c r="CHA17" s="418"/>
      <c r="CHB17" s="418"/>
      <c r="CHC17" s="418"/>
      <c r="CHD17" s="418"/>
      <c r="CHE17" s="418"/>
      <c r="CHF17" s="418"/>
      <c r="CHG17" s="418"/>
      <c r="CHH17" s="418"/>
      <c r="CHI17" s="418"/>
      <c r="CHJ17" s="418"/>
      <c r="CHK17" s="418"/>
      <c r="CHL17" s="418"/>
      <c r="CHM17" s="418"/>
      <c r="CHN17" s="418"/>
      <c r="CHO17" s="418"/>
      <c r="CHP17" s="418"/>
      <c r="CHQ17" s="418"/>
      <c r="CHR17" s="418"/>
      <c r="CHS17" s="418"/>
      <c r="CHT17" s="418"/>
      <c r="CHU17" s="418"/>
      <c r="CHV17" s="418"/>
      <c r="CHW17" s="418"/>
      <c r="CHX17" s="418"/>
      <c r="CHY17" s="418"/>
      <c r="CHZ17" s="418"/>
      <c r="CIA17" s="418"/>
      <c r="CIB17" s="418"/>
      <c r="CIC17" s="418"/>
      <c r="CID17" s="418"/>
      <c r="CIE17" s="418"/>
      <c r="CIF17" s="418"/>
      <c r="CIG17" s="418"/>
      <c r="CIH17" s="418"/>
      <c r="CII17" s="418"/>
      <c r="CIJ17" s="418"/>
      <c r="CIK17" s="418"/>
      <c r="CIL17" s="418"/>
      <c r="CIM17" s="418"/>
      <c r="CIN17" s="418"/>
      <c r="CIO17" s="418"/>
      <c r="CIP17" s="418"/>
      <c r="CIQ17" s="418"/>
      <c r="CIR17" s="418"/>
      <c r="CIS17" s="418"/>
      <c r="CIT17" s="418"/>
      <c r="CIU17" s="418"/>
      <c r="CIV17" s="418"/>
      <c r="CIW17" s="418"/>
      <c r="CIX17" s="418"/>
      <c r="CIY17" s="418"/>
      <c r="CIZ17" s="418"/>
      <c r="CJA17" s="418"/>
      <c r="CJB17" s="418"/>
      <c r="CJC17" s="418"/>
      <c r="CJD17" s="418"/>
      <c r="CJE17" s="418"/>
      <c r="CJF17" s="418"/>
      <c r="CJG17" s="418"/>
      <c r="CJH17" s="418"/>
      <c r="CJI17" s="418"/>
      <c r="CJJ17" s="418"/>
      <c r="CJK17" s="418"/>
      <c r="CJL17" s="418"/>
      <c r="CJM17" s="418"/>
      <c r="CJN17" s="418"/>
      <c r="CJO17" s="418"/>
      <c r="CJP17" s="418"/>
      <c r="CJQ17" s="418"/>
      <c r="CJR17" s="418"/>
      <c r="CJS17" s="418"/>
      <c r="CJT17" s="418"/>
      <c r="CJU17" s="418"/>
      <c r="CJV17" s="418"/>
      <c r="CJW17" s="418"/>
      <c r="CJX17" s="418"/>
      <c r="CJY17" s="418"/>
      <c r="CJZ17" s="418"/>
      <c r="CKA17" s="418"/>
      <c r="CKB17" s="418"/>
      <c r="CKC17" s="418"/>
      <c r="CKD17" s="418"/>
      <c r="CKE17" s="418"/>
      <c r="CKF17" s="418"/>
      <c r="CKG17" s="418"/>
      <c r="CKH17" s="418"/>
      <c r="CKI17" s="418"/>
      <c r="CKJ17" s="418"/>
      <c r="CKK17" s="418"/>
      <c r="CKL17" s="418"/>
      <c r="CKM17" s="418"/>
      <c r="CKN17" s="418"/>
      <c r="CKO17" s="418"/>
      <c r="CKP17" s="418"/>
      <c r="CKQ17" s="418"/>
      <c r="CKR17" s="418"/>
      <c r="CKS17" s="418"/>
      <c r="CKT17" s="418"/>
      <c r="CKU17" s="418"/>
      <c r="CKV17" s="418"/>
      <c r="CKW17" s="418"/>
      <c r="CKX17" s="418"/>
      <c r="CKY17" s="418"/>
      <c r="CKZ17" s="418"/>
      <c r="CLA17" s="418"/>
      <c r="CLB17" s="418"/>
      <c r="CLC17" s="418"/>
      <c r="CLD17" s="418"/>
      <c r="CLE17" s="418"/>
      <c r="CLF17" s="418"/>
      <c r="CLG17" s="418"/>
      <c r="CLH17" s="418"/>
      <c r="CLI17" s="418"/>
      <c r="CLJ17" s="418"/>
      <c r="CLK17" s="418"/>
      <c r="CLL17" s="418"/>
      <c r="CLM17" s="418"/>
      <c r="CLN17" s="418"/>
      <c r="CLO17" s="418"/>
      <c r="CLP17" s="418"/>
      <c r="CLQ17" s="418"/>
      <c r="CLR17" s="418"/>
      <c r="CLS17" s="418"/>
      <c r="CLT17" s="418"/>
      <c r="CLU17" s="418"/>
      <c r="CLV17" s="418"/>
      <c r="CLW17" s="418"/>
      <c r="CLX17" s="418"/>
      <c r="CLY17" s="418"/>
      <c r="CLZ17" s="418"/>
      <c r="CMA17" s="418"/>
      <c r="CMB17" s="418"/>
      <c r="CMC17" s="418"/>
      <c r="CMD17" s="418"/>
      <c r="CME17" s="418"/>
      <c r="CMF17" s="418"/>
      <c r="CMG17" s="418"/>
      <c r="CMH17" s="418"/>
      <c r="CMI17" s="418"/>
      <c r="CMJ17" s="418"/>
      <c r="CMK17" s="418"/>
      <c r="CML17" s="418"/>
      <c r="CMM17" s="418"/>
      <c r="CMN17" s="418"/>
      <c r="CMO17" s="418"/>
      <c r="CMP17" s="418"/>
      <c r="CMQ17" s="418"/>
      <c r="CMR17" s="418"/>
      <c r="CMS17" s="418"/>
      <c r="CMT17" s="418"/>
      <c r="CMU17" s="418"/>
      <c r="CMV17" s="418"/>
      <c r="CMW17" s="418"/>
      <c r="CMX17" s="418"/>
      <c r="CMY17" s="418"/>
      <c r="CMZ17" s="418"/>
      <c r="CNA17" s="418"/>
      <c r="CNB17" s="418"/>
      <c r="CNC17" s="418"/>
      <c r="CND17" s="418"/>
      <c r="CNE17" s="418"/>
      <c r="CNF17" s="418"/>
      <c r="CNG17" s="418"/>
      <c r="CNH17" s="418"/>
      <c r="CNI17" s="418"/>
      <c r="CNJ17" s="418"/>
      <c r="CNK17" s="418"/>
      <c r="CNL17" s="418"/>
      <c r="CNM17" s="418"/>
      <c r="CNN17" s="418"/>
      <c r="CNO17" s="418"/>
      <c r="CNP17" s="418"/>
      <c r="CNQ17" s="418"/>
      <c r="CNR17" s="418"/>
      <c r="CNS17" s="418"/>
      <c r="CNT17" s="418"/>
      <c r="CNU17" s="418"/>
      <c r="CNV17" s="418"/>
      <c r="CNW17" s="418"/>
      <c r="CNX17" s="418"/>
      <c r="CNY17" s="418"/>
      <c r="CNZ17" s="418"/>
      <c r="COA17" s="418"/>
      <c r="COB17" s="418"/>
      <c r="COC17" s="418"/>
      <c r="COD17" s="418"/>
      <c r="COE17" s="418"/>
      <c r="COF17" s="418"/>
      <c r="COG17" s="418"/>
      <c r="COH17" s="418"/>
      <c r="COI17" s="418"/>
      <c r="COJ17" s="418"/>
      <c r="COK17" s="418"/>
      <c r="COL17" s="418"/>
      <c r="COM17" s="418"/>
      <c r="CON17" s="418"/>
      <c r="COO17" s="418"/>
      <c r="COP17" s="418"/>
      <c r="COQ17" s="418"/>
      <c r="COR17" s="418"/>
      <c r="COS17" s="418"/>
      <c r="COT17" s="418"/>
      <c r="COU17" s="418"/>
      <c r="COV17" s="418"/>
      <c r="COW17" s="418"/>
      <c r="COX17" s="418"/>
      <c r="COY17" s="418"/>
      <c r="COZ17" s="418"/>
      <c r="CPA17" s="418"/>
      <c r="CPB17" s="418"/>
      <c r="CPC17" s="418"/>
      <c r="CPD17" s="418"/>
      <c r="CPE17" s="418"/>
      <c r="CPF17" s="418"/>
      <c r="CPG17" s="418"/>
      <c r="CPH17" s="418"/>
      <c r="CPI17" s="418"/>
      <c r="CPJ17" s="418"/>
      <c r="CPK17" s="418"/>
      <c r="CPL17" s="418"/>
      <c r="CPM17" s="418"/>
      <c r="CPN17" s="418"/>
      <c r="CPO17" s="418"/>
      <c r="CPP17" s="418"/>
      <c r="CPQ17" s="418"/>
      <c r="CPR17" s="418"/>
      <c r="CPS17" s="418"/>
      <c r="CPT17" s="418"/>
      <c r="CPU17" s="418"/>
      <c r="CPV17" s="418"/>
      <c r="CPW17" s="418"/>
      <c r="CPX17" s="418"/>
      <c r="CPY17" s="418"/>
      <c r="CPZ17" s="418"/>
      <c r="CQA17" s="418"/>
      <c r="CQB17" s="418"/>
      <c r="CQC17" s="418"/>
      <c r="CQD17" s="418"/>
      <c r="CQE17" s="418"/>
      <c r="CQF17" s="418"/>
      <c r="CQG17" s="418"/>
      <c r="CQH17" s="418"/>
      <c r="CQI17" s="418"/>
      <c r="CQJ17" s="418"/>
      <c r="CQK17" s="418"/>
      <c r="CQL17" s="418"/>
      <c r="CQM17" s="418"/>
      <c r="CQN17" s="418"/>
      <c r="CQO17" s="418"/>
      <c r="CQP17" s="418"/>
      <c r="CQQ17" s="418"/>
      <c r="CQR17" s="418"/>
      <c r="CQS17" s="418"/>
      <c r="CQT17" s="418"/>
      <c r="CQU17" s="418"/>
      <c r="CQV17" s="418"/>
      <c r="CQW17" s="418"/>
      <c r="CQX17" s="418"/>
      <c r="CQY17" s="418"/>
      <c r="CQZ17" s="418"/>
      <c r="CRA17" s="418"/>
      <c r="CRB17" s="418"/>
      <c r="CRC17" s="418"/>
      <c r="CRD17" s="418"/>
      <c r="CRE17" s="418"/>
      <c r="CRF17" s="418"/>
      <c r="CRG17" s="418"/>
      <c r="CRH17" s="418"/>
      <c r="CRI17" s="418"/>
      <c r="CRJ17" s="418"/>
      <c r="CRK17" s="418"/>
      <c r="CRL17" s="418"/>
      <c r="CRM17" s="418"/>
      <c r="CRN17" s="418"/>
      <c r="CRO17" s="418"/>
      <c r="CRP17" s="418"/>
      <c r="CRQ17" s="418"/>
      <c r="CRR17" s="418"/>
      <c r="CRS17" s="418"/>
      <c r="CRT17" s="418"/>
      <c r="CRU17" s="418"/>
      <c r="CRV17" s="418"/>
      <c r="CRW17" s="418"/>
      <c r="CRX17" s="418"/>
      <c r="CRY17" s="418"/>
      <c r="CRZ17" s="418"/>
      <c r="CSA17" s="418"/>
      <c r="CSB17" s="418"/>
      <c r="CSC17" s="418"/>
      <c r="CSD17" s="418"/>
      <c r="CSE17" s="418"/>
      <c r="CSF17" s="418"/>
      <c r="CSG17" s="418"/>
      <c r="CSH17" s="418"/>
      <c r="CSI17" s="418"/>
      <c r="CSJ17" s="418"/>
      <c r="CSK17" s="418"/>
      <c r="CSL17" s="418"/>
      <c r="CSM17" s="418"/>
      <c r="CSN17" s="418"/>
      <c r="CSO17" s="418"/>
      <c r="CSP17" s="418"/>
      <c r="CSQ17" s="418"/>
      <c r="CSR17" s="418"/>
      <c r="CSS17" s="418"/>
      <c r="CST17" s="418"/>
      <c r="CSU17" s="418"/>
      <c r="CSV17" s="418"/>
      <c r="CSW17" s="418"/>
      <c r="CSX17" s="418"/>
      <c r="CSY17" s="418"/>
      <c r="CSZ17" s="418"/>
      <c r="CTA17" s="418"/>
      <c r="CTB17" s="418"/>
      <c r="CTC17" s="418"/>
      <c r="CTD17" s="418"/>
      <c r="CTE17" s="418"/>
      <c r="CTF17" s="418"/>
      <c r="CTG17" s="418"/>
      <c r="CTH17" s="418"/>
      <c r="CTI17" s="418"/>
      <c r="CTJ17" s="418"/>
      <c r="CTK17" s="418"/>
      <c r="CTL17" s="418"/>
      <c r="CTM17" s="418"/>
      <c r="CTN17" s="418"/>
      <c r="CTO17" s="418"/>
      <c r="CTP17" s="418"/>
      <c r="CTQ17" s="418"/>
      <c r="CTR17" s="418"/>
      <c r="CTS17" s="418"/>
      <c r="CTT17" s="418"/>
      <c r="CTU17" s="418"/>
      <c r="CTV17" s="418"/>
      <c r="CTW17" s="418"/>
      <c r="CTX17" s="418"/>
      <c r="CTY17" s="418"/>
      <c r="CTZ17" s="418"/>
      <c r="CUA17" s="418"/>
      <c r="CUB17" s="418"/>
      <c r="CUC17" s="418"/>
      <c r="CUD17" s="418"/>
      <c r="CUE17" s="418"/>
      <c r="CUF17" s="418"/>
      <c r="CUG17" s="418"/>
      <c r="CUH17" s="418"/>
      <c r="CUI17" s="418"/>
      <c r="CUJ17" s="418"/>
      <c r="CUK17" s="418"/>
      <c r="CUL17" s="418"/>
      <c r="CUM17" s="418"/>
      <c r="CUN17" s="418"/>
      <c r="CUO17" s="418"/>
      <c r="CUP17" s="418"/>
      <c r="CUQ17" s="418"/>
      <c r="CUR17" s="418"/>
      <c r="CUS17" s="418"/>
      <c r="CUT17" s="418"/>
      <c r="CUU17" s="418"/>
      <c r="CUV17" s="418"/>
      <c r="CUW17" s="418"/>
      <c r="CUX17" s="418"/>
      <c r="CUY17" s="418"/>
      <c r="CUZ17" s="418"/>
      <c r="CVA17" s="418"/>
      <c r="CVB17" s="418"/>
      <c r="CVC17" s="418"/>
      <c r="CVD17" s="418"/>
      <c r="CVE17" s="418"/>
      <c r="CVF17" s="418"/>
      <c r="CVG17" s="418"/>
      <c r="CVH17" s="418"/>
      <c r="CVI17" s="418"/>
      <c r="CVJ17" s="418"/>
      <c r="CVK17" s="418"/>
      <c r="CVL17" s="418"/>
      <c r="CVM17" s="418"/>
      <c r="CVN17" s="418"/>
      <c r="CVO17" s="418"/>
      <c r="CVP17" s="418"/>
      <c r="CVQ17" s="418"/>
      <c r="CVR17" s="418"/>
      <c r="CVS17" s="418"/>
      <c r="CVT17" s="418"/>
      <c r="CVU17" s="418"/>
      <c r="CVV17" s="418"/>
      <c r="CVW17" s="418"/>
      <c r="CVX17" s="418"/>
      <c r="CVY17" s="418"/>
      <c r="CVZ17" s="418"/>
      <c r="CWA17" s="418"/>
      <c r="CWB17" s="418"/>
      <c r="CWC17" s="418"/>
      <c r="CWD17" s="418"/>
      <c r="CWE17" s="418"/>
      <c r="CWF17" s="418"/>
      <c r="CWG17" s="418"/>
      <c r="CWH17" s="418"/>
      <c r="CWI17" s="418"/>
      <c r="CWJ17" s="418"/>
      <c r="CWK17" s="418"/>
      <c r="CWL17" s="418"/>
      <c r="CWM17" s="418"/>
      <c r="CWN17" s="418"/>
      <c r="CWO17" s="418"/>
      <c r="CWP17" s="418"/>
      <c r="CWQ17" s="418"/>
      <c r="CWR17" s="418"/>
      <c r="CWS17" s="418"/>
      <c r="CWT17" s="418"/>
      <c r="CWU17" s="418"/>
      <c r="CWV17" s="418"/>
      <c r="CWW17" s="418"/>
      <c r="CWX17" s="418"/>
      <c r="CWY17" s="418"/>
      <c r="CWZ17" s="418"/>
      <c r="CXA17" s="418"/>
      <c r="CXB17" s="418"/>
      <c r="CXC17" s="418"/>
      <c r="CXD17" s="418"/>
      <c r="CXE17" s="418"/>
      <c r="CXF17" s="418"/>
      <c r="CXG17" s="418"/>
      <c r="CXH17" s="418"/>
      <c r="CXI17" s="418"/>
      <c r="CXJ17" s="418"/>
      <c r="CXK17" s="418"/>
      <c r="CXL17" s="418"/>
      <c r="CXM17" s="418"/>
      <c r="CXN17" s="418"/>
      <c r="CXO17" s="418"/>
      <c r="CXP17" s="418"/>
      <c r="CXQ17" s="418"/>
      <c r="CXR17" s="418"/>
      <c r="CXS17" s="418"/>
      <c r="CXT17" s="418"/>
      <c r="CXU17" s="418"/>
      <c r="CXV17" s="418"/>
      <c r="CXW17" s="418"/>
      <c r="CXX17" s="418"/>
      <c r="CXY17" s="418"/>
      <c r="CXZ17" s="418"/>
      <c r="CYA17" s="418"/>
      <c r="CYB17" s="418"/>
      <c r="CYC17" s="418"/>
      <c r="CYD17" s="418"/>
      <c r="CYE17" s="418"/>
      <c r="CYF17" s="418"/>
      <c r="CYG17" s="418"/>
      <c r="CYH17" s="418"/>
      <c r="CYI17" s="418"/>
      <c r="CYJ17" s="418"/>
      <c r="CYK17" s="418"/>
      <c r="CYL17" s="418"/>
      <c r="CYM17" s="418"/>
      <c r="CYN17" s="418"/>
      <c r="CYO17" s="418"/>
      <c r="CYP17" s="418"/>
      <c r="CYQ17" s="418"/>
      <c r="CYR17" s="418"/>
      <c r="CYS17" s="418"/>
      <c r="CYT17" s="418"/>
      <c r="CYU17" s="418"/>
      <c r="CYV17" s="418"/>
      <c r="CYW17" s="418"/>
      <c r="CYX17" s="418"/>
      <c r="CYY17" s="418"/>
      <c r="CYZ17" s="418"/>
      <c r="CZA17" s="418"/>
      <c r="CZB17" s="418"/>
      <c r="CZC17" s="418"/>
      <c r="CZD17" s="418"/>
      <c r="CZE17" s="418"/>
      <c r="CZF17" s="418"/>
      <c r="CZG17" s="418"/>
      <c r="CZH17" s="418"/>
      <c r="CZI17" s="418"/>
      <c r="CZJ17" s="418"/>
      <c r="CZK17" s="418"/>
      <c r="CZL17" s="418"/>
      <c r="CZM17" s="418"/>
      <c r="CZN17" s="418"/>
      <c r="CZO17" s="418"/>
      <c r="CZP17" s="418"/>
      <c r="CZQ17" s="418"/>
      <c r="CZR17" s="418"/>
      <c r="CZS17" s="418"/>
      <c r="CZT17" s="418"/>
      <c r="CZU17" s="418"/>
      <c r="CZV17" s="418"/>
      <c r="CZW17" s="418"/>
      <c r="CZX17" s="418"/>
      <c r="CZY17" s="418"/>
      <c r="CZZ17" s="418"/>
      <c r="DAA17" s="418"/>
      <c r="DAB17" s="418"/>
      <c r="DAC17" s="418"/>
      <c r="DAD17" s="418"/>
      <c r="DAE17" s="418"/>
      <c r="DAF17" s="418"/>
      <c r="DAG17" s="418"/>
      <c r="DAH17" s="418"/>
      <c r="DAI17" s="418"/>
      <c r="DAJ17" s="418"/>
      <c r="DAK17" s="418"/>
      <c r="DAL17" s="418"/>
      <c r="DAM17" s="418"/>
      <c r="DAN17" s="418"/>
      <c r="DAO17" s="418"/>
      <c r="DAP17" s="418"/>
      <c r="DAQ17" s="418"/>
      <c r="DAR17" s="418"/>
      <c r="DAS17" s="418"/>
      <c r="DAT17" s="418"/>
      <c r="DAU17" s="418"/>
      <c r="DAV17" s="418"/>
      <c r="DAW17" s="418"/>
      <c r="DAX17" s="418"/>
      <c r="DAY17" s="418"/>
      <c r="DAZ17" s="418"/>
      <c r="DBA17" s="418"/>
      <c r="DBB17" s="418"/>
      <c r="DBC17" s="418"/>
      <c r="DBD17" s="418"/>
      <c r="DBE17" s="418"/>
      <c r="DBF17" s="418"/>
      <c r="DBG17" s="418"/>
      <c r="DBH17" s="418"/>
      <c r="DBI17" s="418"/>
      <c r="DBJ17" s="418"/>
      <c r="DBK17" s="418"/>
      <c r="DBL17" s="418"/>
      <c r="DBM17" s="418"/>
      <c r="DBN17" s="418"/>
      <c r="DBO17" s="418"/>
      <c r="DBP17" s="418"/>
      <c r="DBQ17" s="418"/>
      <c r="DBR17" s="418"/>
      <c r="DBS17" s="418"/>
      <c r="DBT17" s="418"/>
      <c r="DBU17" s="418"/>
      <c r="DBV17" s="418"/>
      <c r="DBW17" s="418"/>
      <c r="DBX17" s="418"/>
      <c r="DBY17" s="418"/>
      <c r="DBZ17" s="418"/>
      <c r="DCA17" s="418"/>
      <c r="DCB17" s="418"/>
      <c r="DCC17" s="418"/>
      <c r="DCD17" s="418"/>
      <c r="DCE17" s="418"/>
      <c r="DCF17" s="418"/>
      <c r="DCG17" s="418"/>
      <c r="DCH17" s="418"/>
      <c r="DCI17" s="418"/>
      <c r="DCJ17" s="418"/>
      <c r="DCK17" s="418"/>
      <c r="DCL17" s="418"/>
      <c r="DCM17" s="418"/>
      <c r="DCN17" s="418"/>
      <c r="DCO17" s="418"/>
      <c r="DCP17" s="418"/>
      <c r="DCQ17" s="418"/>
      <c r="DCR17" s="418"/>
      <c r="DCS17" s="418"/>
      <c r="DCT17" s="418"/>
      <c r="DCU17" s="418"/>
      <c r="DCV17" s="418"/>
      <c r="DCW17" s="418"/>
      <c r="DCX17" s="418"/>
      <c r="DCY17" s="418"/>
      <c r="DCZ17" s="418"/>
      <c r="DDA17" s="418"/>
      <c r="DDB17" s="418"/>
      <c r="DDC17" s="418"/>
      <c r="DDD17" s="418"/>
      <c r="DDE17" s="418"/>
      <c r="DDF17" s="418"/>
      <c r="DDG17" s="418"/>
      <c r="DDH17" s="418"/>
      <c r="DDI17" s="418"/>
      <c r="DDJ17" s="418"/>
      <c r="DDK17" s="418"/>
      <c r="DDL17" s="418"/>
      <c r="DDM17" s="418"/>
      <c r="DDN17" s="418"/>
      <c r="DDO17" s="418"/>
      <c r="DDP17" s="418"/>
      <c r="DDQ17" s="418"/>
      <c r="DDR17" s="418"/>
      <c r="DDS17" s="418"/>
      <c r="DDT17" s="418"/>
      <c r="DDU17" s="418"/>
      <c r="DDV17" s="418"/>
      <c r="DDW17" s="418"/>
      <c r="DDX17" s="418"/>
      <c r="DDY17" s="418"/>
      <c r="DDZ17" s="418"/>
      <c r="DEA17" s="418"/>
      <c r="DEB17" s="418"/>
      <c r="DEC17" s="418"/>
      <c r="DED17" s="418"/>
      <c r="DEE17" s="418"/>
      <c r="DEF17" s="418"/>
      <c r="DEG17" s="418"/>
      <c r="DEH17" s="418"/>
      <c r="DEI17" s="418"/>
      <c r="DEJ17" s="418"/>
      <c r="DEK17" s="418"/>
      <c r="DEL17" s="418"/>
      <c r="DEM17" s="418"/>
      <c r="DEN17" s="418"/>
      <c r="DEO17" s="418"/>
      <c r="DEP17" s="418"/>
      <c r="DEQ17" s="418"/>
      <c r="DER17" s="418"/>
      <c r="DES17" s="418"/>
      <c r="DET17" s="418"/>
      <c r="DEU17" s="418"/>
      <c r="DEV17" s="418"/>
      <c r="DEW17" s="418"/>
      <c r="DEX17" s="418"/>
      <c r="DEY17" s="418"/>
      <c r="DEZ17" s="418"/>
      <c r="DFA17" s="418"/>
      <c r="DFB17" s="418"/>
      <c r="DFC17" s="418"/>
      <c r="DFD17" s="418"/>
      <c r="DFE17" s="418"/>
      <c r="DFF17" s="418"/>
      <c r="DFG17" s="418"/>
      <c r="DFH17" s="418"/>
      <c r="DFI17" s="418"/>
      <c r="DFJ17" s="418"/>
      <c r="DFK17" s="418"/>
      <c r="DFL17" s="418"/>
      <c r="DFM17" s="418"/>
      <c r="DFN17" s="418"/>
      <c r="DFO17" s="418"/>
      <c r="DFP17" s="418"/>
      <c r="DFQ17" s="418"/>
      <c r="DFR17" s="418"/>
      <c r="DFS17" s="418"/>
      <c r="DFT17" s="418"/>
      <c r="DFU17" s="418"/>
      <c r="DFV17" s="418"/>
      <c r="DFW17" s="418"/>
      <c r="DFX17" s="418"/>
      <c r="DFY17" s="418"/>
      <c r="DFZ17" s="418"/>
      <c r="DGA17" s="418"/>
      <c r="DGB17" s="418"/>
      <c r="DGC17" s="418"/>
      <c r="DGD17" s="418"/>
      <c r="DGE17" s="418"/>
      <c r="DGF17" s="418"/>
      <c r="DGG17" s="418"/>
      <c r="DGH17" s="418"/>
      <c r="DGI17" s="418"/>
      <c r="DGJ17" s="418"/>
      <c r="DGK17" s="418"/>
      <c r="DGL17" s="418"/>
      <c r="DGM17" s="418"/>
      <c r="DGN17" s="418"/>
      <c r="DGO17" s="418"/>
      <c r="DGP17" s="418"/>
      <c r="DGQ17" s="418"/>
      <c r="DGR17" s="418"/>
      <c r="DGS17" s="418"/>
      <c r="DGT17" s="418"/>
      <c r="DGU17" s="418"/>
      <c r="DGV17" s="418"/>
      <c r="DGW17" s="418"/>
      <c r="DGX17" s="418"/>
      <c r="DGY17" s="418"/>
      <c r="DGZ17" s="418"/>
      <c r="DHA17" s="418"/>
      <c r="DHB17" s="418"/>
      <c r="DHC17" s="418"/>
      <c r="DHD17" s="418"/>
      <c r="DHE17" s="418"/>
      <c r="DHF17" s="418"/>
      <c r="DHG17" s="418"/>
      <c r="DHH17" s="418"/>
      <c r="DHI17" s="418"/>
      <c r="DHJ17" s="418"/>
      <c r="DHK17" s="418"/>
      <c r="DHL17" s="418"/>
      <c r="DHM17" s="418"/>
      <c r="DHN17" s="418"/>
      <c r="DHO17" s="418"/>
      <c r="DHP17" s="418"/>
      <c r="DHQ17" s="418"/>
      <c r="DHR17" s="418"/>
      <c r="DHS17" s="418"/>
      <c r="DHT17" s="418"/>
      <c r="DHU17" s="418"/>
      <c r="DHV17" s="418"/>
      <c r="DHW17" s="418"/>
      <c r="DHX17" s="418"/>
      <c r="DHY17" s="418"/>
      <c r="DHZ17" s="418"/>
      <c r="DIA17" s="418"/>
      <c r="DIB17" s="418"/>
      <c r="DIC17" s="418"/>
      <c r="DID17" s="418"/>
      <c r="DIE17" s="418"/>
      <c r="DIF17" s="418"/>
      <c r="DIG17" s="418"/>
      <c r="DIH17" s="418"/>
      <c r="DII17" s="418"/>
      <c r="DIJ17" s="418"/>
      <c r="DIK17" s="418"/>
      <c r="DIL17" s="418"/>
      <c r="DIM17" s="418"/>
      <c r="DIN17" s="418"/>
      <c r="DIO17" s="418"/>
      <c r="DIP17" s="418"/>
      <c r="DIQ17" s="418"/>
      <c r="DIR17" s="418"/>
      <c r="DIS17" s="418"/>
      <c r="DIT17" s="418"/>
      <c r="DIU17" s="418"/>
      <c r="DIV17" s="418"/>
      <c r="DIW17" s="418"/>
      <c r="DIX17" s="418"/>
      <c r="DIY17" s="418"/>
      <c r="DIZ17" s="418"/>
      <c r="DJA17" s="418"/>
      <c r="DJB17" s="418"/>
      <c r="DJC17" s="418"/>
      <c r="DJD17" s="418"/>
      <c r="DJE17" s="418"/>
      <c r="DJF17" s="418"/>
      <c r="DJG17" s="418"/>
      <c r="DJH17" s="418"/>
      <c r="DJI17" s="418"/>
      <c r="DJJ17" s="418"/>
      <c r="DJK17" s="418"/>
      <c r="DJL17" s="418"/>
      <c r="DJM17" s="418"/>
      <c r="DJN17" s="418"/>
      <c r="DJO17" s="418"/>
      <c r="DJP17" s="418"/>
      <c r="DJQ17" s="418"/>
      <c r="DJR17" s="418"/>
      <c r="DJS17" s="418"/>
      <c r="DJT17" s="418"/>
      <c r="DJU17" s="418"/>
      <c r="DJV17" s="418"/>
      <c r="DJW17" s="418"/>
      <c r="DJX17" s="418"/>
      <c r="DJY17" s="418"/>
      <c r="DJZ17" s="418"/>
      <c r="DKA17" s="418"/>
      <c r="DKB17" s="418"/>
      <c r="DKC17" s="418"/>
      <c r="DKD17" s="418"/>
      <c r="DKE17" s="418"/>
      <c r="DKF17" s="418"/>
      <c r="DKG17" s="418"/>
      <c r="DKH17" s="418"/>
      <c r="DKI17" s="418"/>
      <c r="DKJ17" s="418"/>
      <c r="DKK17" s="418"/>
      <c r="DKL17" s="418"/>
      <c r="DKM17" s="418"/>
      <c r="DKN17" s="418"/>
      <c r="DKO17" s="418"/>
      <c r="DKP17" s="418"/>
      <c r="DKQ17" s="418"/>
      <c r="DKR17" s="418"/>
      <c r="DKS17" s="418"/>
      <c r="DKT17" s="418"/>
      <c r="DKU17" s="418"/>
      <c r="DKV17" s="418"/>
      <c r="DKW17" s="418"/>
      <c r="DKX17" s="418"/>
      <c r="DKY17" s="418"/>
      <c r="DKZ17" s="418"/>
      <c r="DLA17" s="418"/>
      <c r="DLB17" s="418"/>
      <c r="DLC17" s="418"/>
      <c r="DLD17" s="418"/>
      <c r="DLE17" s="418"/>
      <c r="DLF17" s="418"/>
      <c r="DLG17" s="418"/>
      <c r="DLH17" s="418"/>
      <c r="DLI17" s="418"/>
      <c r="DLJ17" s="418"/>
      <c r="DLK17" s="418"/>
      <c r="DLL17" s="418"/>
      <c r="DLM17" s="418"/>
      <c r="DLN17" s="418"/>
      <c r="DLO17" s="418"/>
      <c r="DLP17" s="418"/>
      <c r="DLQ17" s="418"/>
      <c r="DLR17" s="418"/>
      <c r="DLS17" s="418"/>
      <c r="DLT17" s="418"/>
      <c r="DLU17" s="418"/>
      <c r="DLV17" s="418"/>
      <c r="DLW17" s="418"/>
      <c r="DLX17" s="418"/>
      <c r="DLY17" s="418"/>
      <c r="DLZ17" s="418"/>
      <c r="DMA17" s="418"/>
      <c r="DMB17" s="418"/>
      <c r="DMC17" s="418"/>
      <c r="DMD17" s="418"/>
      <c r="DME17" s="418"/>
      <c r="DMF17" s="418"/>
      <c r="DMG17" s="418"/>
      <c r="DMH17" s="418"/>
      <c r="DMI17" s="418"/>
      <c r="DMJ17" s="418"/>
      <c r="DMK17" s="418"/>
      <c r="DML17" s="418"/>
      <c r="DMM17" s="418"/>
      <c r="DMN17" s="418"/>
      <c r="DMO17" s="418"/>
      <c r="DMP17" s="418"/>
      <c r="DMQ17" s="418"/>
      <c r="DMR17" s="418"/>
      <c r="DMS17" s="418"/>
      <c r="DMT17" s="418"/>
      <c r="DMU17" s="418"/>
      <c r="DMV17" s="418"/>
      <c r="DMW17" s="418"/>
      <c r="DMX17" s="418"/>
      <c r="DMY17" s="418"/>
      <c r="DMZ17" s="418"/>
      <c r="DNA17" s="418"/>
      <c r="DNB17" s="418"/>
      <c r="DNC17" s="418"/>
      <c r="DND17" s="418"/>
      <c r="DNE17" s="418"/>
      <c r="DNF17" s="418"/>
      <c r="DNG17" s="418"/>
      <c r="DNH17" s="418"/>
      <c r="DNI17" s="418"/>
      <c r="DNJ17" s="418"/>
      <c r="DNK17" s="418"/>
      <c r="DNL17" s="418"/>
      <c r="DNM17" s="418"/>
      <c r="DNN17" s="418"/>
      <c r="DNO17" s="418"/>
      <c r="DNP17" s="418"/>
      <c r="DNQ17" s="418"/>
      <c r="DNR17" s="418"/>
      <c r="DNS17" s="418"/>
      <c r="DNT17" s="418"/>
      <c r="DNU17" s="418"/>
      <c r="DNV17" s="418"/>
      <c r="DNW17" s="418"/>
      <c r="DNX17" s="418"/>
      <c r="DNY17" s="418"/>
      <c r="DNZ17" s="418"/>
      <c r="DOA17" s="418"/>
      <c r="DOB17" s="418"/>
      <c r="DOC17" s="418"/>
      <c r="DOD17" s="418"/>
      <c r="DOE17" s="418"/>
      <c r="DOF17" s="418"/>
      <c r="DOG17" s="418"/>
      <c r="DOH17" s="418"/>
      <c r="DOI17" s="418"/>
      <c r="DOJ17" s="418"/>
      <c r="DOK17" s="418"/>
      <c r="DOL17" s="418"/>
      <c r="DOM17" s="418"/>
      <c r="DON17" s="418"/>
      <c r="DOO17" s="418"/>
      <c r="DOP17" s="418"/>
      <c r="DOQ17" s="418"/>
      <c r="DOR17" s="418"/>
      <c r="DOS17" s="418"/>
      <c r="DOT17" s="418"/>
      <c r="DOU17" s="418"/>
      <c r="DOV17" s="418"/>
      <c r="DOW17" s="418"/>
      <c r="DOX17" s="418"/>
      <c r="DOY17" s="418"/>
      <c r="DOZ17" s="418"/>
      <c r="DPA17" s="418"/>
      <c r="DPB17" s="418"/>
      <c r="DPC17" s="418"/>
      <c r="DPD17" s="418"/>
      <c r="DPE17" s="418"/>
      <c r="DPF17" s="418"/>
      <c r="DPG17" s="418"/>
      <c r="DPH17" s="418"/>
      <c r="DPI17" s="418"/>
      <c r="DPJ17" s="418"/>
      <c r="DPK17" s="418"/>
      <c r="DPL17" s="418"/>
      <c r="DPM17" s="418"/>
      <c r="DPN17" s="418"/>
      <c r="DPO17" s="418"/>
      <c r="DPP17" s="418"/>
      <c r="DPQ17" s="418"/>
      <c r="DPR17" s="418"/>
      <c r="DPS17" s="418"/>
      <c r="DPT17" s="418"/>
      <c r="DPU17" s="418"/>
      <c r="DPV17" s="418"/>
      <c r="DPW17" s="418"/>
      <c r="DPX17" s="418"/>
      <c r="DPY17" s="418"/>
      <c r="DPZ17" s="418"/>
      <c r="DQA17" s="418"/>
      <c r="DQB17" s="418"/>
      <c r="DQC17" s="418"/>
      <c r="DQD17" s="418"/>
      <c r="DQE17" s="418"/>
      <c r="DQF17" s="418"/>
      <c r="DQG17" s="418"/>
      <c r="DQH17" s="418"/>
      <c r="DQI17" s="418"/>
      <c r="DQJ17" s="418"/>
      <c r="DQK17" s="418"/>
      <c r="DQL17" s="418"/>
      <c r="DQM17" s="418"/>
      <c r="DQN17" s="418"/>
      <c r="DQO17" s="418"/>
      <c r="DQP17" s="418"/>
      <c r="DQQ17" s="418"/>
      <c r="DQR17" s="418"/>
      <c r="DQS17" s="418"/>
      <c r="DQT17" s="418"/>
      <c r="DQU17" s="418"/>
      <c r="DQV17" s="418"/>
      <c r="DQW17" s="418"/>
      <c r="DQX17" s="418"/>
      <c r="DQY17" s="418"/>
      <c r="DQZ17" s="418"/>
      <c r="DRA17" s="418"/>
      <c r="DRB17" s="418"/>
      <c r="DRC17" s="418"/>
      <c r="DRD17" s="418"/>
      <c r="DRE17" s="418"/>
      <c r="DRF17" s="418"/>
      <c r="DRG17" s="418"/>
      <c r="DRH17" s="418"/>
      <c r="DRI17" s="418"/>
      <c r="DRJ17" s="418"/>
      <c r="DRK17" s="418"/>
      <c r="DRL17" s="418"/>
      <c r="DRM17" s="418"/>
      <c r="DRN17" s="418"/>
      <c r="DRO17" s="418"/>
      <c r="DRP17" s="418"/>
      <c r="DRQ17" s="418"/>
      <c r="DRR17" s="418"/>
      <c r="DRS17" s="418"/>
      <c r="DRT17" s="418"/>
      <c r="DRU17" s="418"/>
      <c r="DRV17" s="418"/>
      <c r="DRW17" s="418"/>
      <c r="DRX17" s="418"/>
      <c r="DRY17" s="418"/>
      <c r="DRZ17" s="418"/>
      <c r="DSA17" s="418"/>
      <c r="DSB17" s="418"/>
      <c r="DSC17" s="418"/>
      <c r="DSD17" s="418"/>
      <c r="DSE17" s="418"/>
      <c r="DSF17" s="418"/>
      <c r="DSG17" s="418"/>
      <c r="DSH17" s="418"/>
      <c r="DSI17" s="418"/>
      <c r="DSJ17" s="418"/>
      <c r="DSK17" s="418"/>
      <c r="DSL17" s="418"/>
      <c r="DSM17" s="418"/>
      <c r="DSN17" s="418"/>
      <c r="DSO17" s="418"/>
      <c r="DSP17" s="418"/>
      <c r="DSQ17" s="418"/>
      <c r="DSR17" s="418"/>
      <c r="DSS17" s="418"/>
      <c r="DST17" s="418"/>
      <c r="DSU17" s="418"/>
      <c r="DSV17" s="418"/>
      <c r="DSW17" s="418"/>
      <c r="DSX17" s="418"/>
      <c r="DSY17" s="418"/>
      <c r="DSZ17" s="418"/>
      <c r="DTA17" s="418"/>
      <c r="DTB17" s="418"/>
      <c r="DTC17" s="418"/>
      <c r="DTD17" s="418"/>
      <c r="DTE17" s="418"/>
      <c r="DTF17" s="418"/>
      <c r="DTG17" s="418"/>
      <c r="DTH17" s="418"/>
      <c r="DTI17" s="418"/>
      <c r="DTJ17" s="418"/>
      <c r="DTK17" s="418"/>
      <c r="DTL17" s="418"/>
      <c r="DTM17" s="418"/>
      <c r="DTN17" s="418"/>
      <c r="DTO17" s="418"/>
      <c r="DTP17" s="418"/>
      <c r="DTQ17" s="418"/>
      <c r="DTR17" s="418"/>
      <c r="DTS17" s="418"/>
      <c r="DTT17" s="418"/>
      <c r="DTU17" s="418"/>
      <c r="DTV17" s="418"/>
      <c r="DTW17" s="418"/>
      <c r="DTX17" s="418"/>
      <c r="DTY17" s="418"/>
      <c r="DTZ17" s="418"/>
      <c r="DUA17" s="418"/>
      <c r="DUB17" s="418"/>
      <c r="DUC17" s="418"/>
      <c r="DUD17" s="418"/>
      <c r="DUE17" s="418"/>
      <c r="DUF17" s="418"/>
      <c r="DUG17" s="418"/>
      <c r="DUH17" s="418"/>
      <c r="DUI17" s="418"/>
      <c r="DUJ17" s="418"/>
      <c r="DUK17" s="418"/>
      <c r="DUL17" s="418"/>
      <c r="DUM17" s="418"/>
      <c r="DUN17" s="418"/>
      <c r="DUO17" s="418"/>
      <c r="DUP17" s="418"/>
      <c r="DUQ17" s="418"/>
      <c r="DUR17" s="418"/>
      <c r="DUS17" s="418"/>
      <c r="DUT17" s="418"/>
      <c r="DUU17" s="418"/>
      <c r="DUV17" s="418"/>
      <c r="DUW17" s="418"/>
      <c r="DUX17" s="418"/>
      <c r="DUY17" s="418"/>
      <c r="DUZ17" s="418"/>
      <c r="DVA17" s="418"/>
      <c r="DVB17" s="418"/>
      <c r="DVC17" s="418"/>
      <c r="DVD17" s="418"/>
      <c r="DVE17" s="418"/>
      <c r="DVF17" s="418"/>
      <c r="DVG17" s="418"/>
      <c r="DVH17" s="418"/>
      <c r="DVI17" s="418"/>
      <c r="DVJ17" s="418"/>
      <c r="DVK17" s="418"/>
      <c r="DVL17" s="418"/>
      <c r="DVM17" s="418"/>
      <c r="DVN17" s="418"/>
      <c r="DVO17" s="418"/>
      <c r="DVP17" s="418"/>
      <c r="DVQ17" s="418"/>
      <c r="DVR17" s="418"/>
      <c r="DVS17" s="418"/>
      <c r="DVT17" s="418"/>
      <c r="DVU17" s="418"/>
      <c r="DVV17" s="418"/>
      <c r="DVW17" s="418"/>
      <c r="DVX17" s="418"/>
      <c r="DVY17" s="418"/>
      <c r="DVZ17" s="418"/>
      <c r="DWA17" s="418"/>
      <c r="DWB17" s="418"/>
      <c r="DWC17" s="418"/>
      <c r="DWD17" s="418"/>
      <c r="DWE17" s="418"/>
      <c r="DWF17" s="418"/>
      <c r="DWG17" s="418"/>
      <c r="DWH17" s="418"/>
      <c r="DWI17" s="418"/>
      <c r="DWJ17" s="418"/>
      <c r="DWK17" s="418"/>
      <c r="DWL17" s="418"/>
      <c r="DWM17" s="418"/>
      <c r="DWN17" s="418"/>
      <c r="DWO17" s="418"/>
      <c r="DWP17" s="418"/>
      <c r="DWQ17" s="418"/>
      <c r="DWR17" s="418"/>
      <c r="DWS17" s="418"/>
      <c r="DWT17" s="418"/>
      <c r="DWU17" s="418"/>
      <c r="DWV17" s="418"/>
      <c r="DWW17" s="418"/>
      <c r="DWX17" s="418"/>
      <c r="DWY17" s="418"/>
      <c r="DWZ17" s="418"/>
      <c r="DXA17" s="418"/>
      <c r="DXB17" s="418"/>
      <c r="DXC17" s="418"/>
      <c r="DXD17" s="418"/>
      <c r="DXE17" s="418"/>
      <c r="DXF17" s="418"/>
      <c r="DXG17" s="418"/>
      <c r="DXH17" s="418"/>
      <c r="DXI17" s="418"/>
      <c r="DXJ17" s="418"/>
      <c r="DXK17" s="418"/>
      <c r="DXL17" s="418"/>
      <c r="DXM17" s="418"/>
      <c r="DXN17" s="418"/>
      <c r="DXO17" s="418"/>
      <c r="DXP17" s="418"/>
      <c r="DXQ17" s="418"/>
      <c r="DXR17" s="418"/>
      <c r="DXS17" s="418"/>
      <c r="DXT17" s="418"/>
      <c r="DXU17" s="418"/>
      <c r="DXV17" s="418"/>
      <c r="DXW17" s="418"/>
      <c r="DXX17" s="418"/>
      <c r="DXY17" s="418"/>
      <c r="DXZ17" s="418"/>
      <c r="DYA17" s="418"/>
      <c r="DYB17" s="418"/>
      <c r="DYC17" s="418"/>
      <c r="DYD17" s="418"/>
      <c r="DYE17" s="418"/>
      <c r="DYF17" s="418"/>
      <c r="DYG17" s="418"/>
      <c r="DYH17" s="418"/>
      <c r="DYI17" s="418"/>
      <c r="DYJ17" s="418"/>
      <c r="DYK17" s="418"/>
      <c r="DYL17" s="418"/>
      <c r="DYM17" s="418"/>
      <c r="DYN17" s="418"/>
      <c r="DYO17" s="418"/>
      <c r="DYP17" s="418"/>
      <c r="DYQ17" s="418"/>
      <c r="DYR17" s="418"/>
      <c r="DYS17" s="418"/>
      <c r="DYT17" s="418"/>
      <c r="DYU17" s="418"/>
      <c r="DYV17" s="418"/>
      <c r="DYW17" s="418"/>
      <c r="DYX17" s="418"/>
      <c r="DYY17" s="418"/>
      <c r="DYZ17" s="418"/>
      <c r="DZA17" s="418"/>
      <c r="DZB17" s="418"/>
      <c r="DZC17" s="418"/>
      <c r="DZD17" s="418"/>
      <c r="DZE17" s="418"/>
      <c r="DZF17" s="418"/>
      <c r="DZG17" s="418"/>
      <c r="DZH17" s="418"/>
      <c r="DZI17" s="418"/>
      <c r="DZJ17" s="418"/>
      <c r="DZK17" s="418"/>
      <c r="DZL17" s="418"/>
      <c r="DZM17" s="418"/>
      <c r="DZN17" s="418"/>
      <c r="DZO17" s="418"/>
      <c r="DZP17" s="418"/>
      <c r="DZQ17" s="418"/>
      <c r="DZR17" s="418"/>
      <c r="DZS17" s="418"/>
      <c r="DZT17" s="418"/>
      <c r="DZU17" s="418"/>
      <c r="DZV17" s="418"/>
      <c r="DZW17" s="418"/>
      <c r="DZX17" s="418"/>
      <c r="DZY17" s="418"/>
      <c r="DZZ17" s="418"/>
      <c r="EAA17" s="418"/>
      <c r="EAB17" s="418"/>
      <c r="EAC17" s="418"/>
      <c r="EAD17" s="418"/>
      <c r="EAE17" s="418"/>
      <c r="EAF17" s="418"/>
      <c r="EAG17" s="418"/>
      <c r="EAH17" s="418"/>
      <c r="EAI17" s="418"/>
      <c r="EAJ17" s="418"/>
      <c r="EAK17" s="418"/>
      <c r="EAL17" s="418"/>
      <c r="EAM17" s="418"/>
      <c r="EAN17" s="418"/>
      <c r="EAO17" s="418"/>
      <c r="EAP17" s="418"/>
      <c r="EAQ17" s="418"/>
      <c r="EAR17" s="418"/>
      <c r="EAS17" s="418"/>
      <c r="EAT17" s="418"/>
      <c r="EAU17" s="418"/>
      <c r="EAV17" s="418"/>
      <c r="EAW17" s="418"/>
      <c r="EAX17" s="418"/>
      <c r="EAY17" s="418"/>
      <c r="EAZ17" s="418"/>
      <c r="EBA17" s="418"/>
      <c r="EBB17" s="418"/>
      <c r="EBC17" s="418"/>
      <c r="EBD17" s="418"/>
      <c r="EBE17" s="418"/>
      <c r="EBF17" s="418"/>
      <c r="EBG17" s="418"/>
      <c r="EBH17" s="418"/>
      <c r="EBI17" s="418"/>
      <c r="EBJ17" s="418"/>
      <c r="EBK17" s="418"/>
      <c r="EBL17" s="418"/>
      <c r="EBM17" s="418"/>
      <c r="EBN17" s="418"/>
      <c r="EBO17" s="418"/>
      <c r="EBP17" s="418"/>
      <c r="EBQ17" s="418"/>
      <c r="EBR17" s="418"/>
      <c r="EBS17" s="418"/>
      <c r="EBT17" s="418"/>
      <c r="EBU17" s="418"/>
      <c r="EBV17" s="418"/>
      <c r="EBW17" s="418"/>
      <c r="EBX17" s="418"/>
      <c r="EBY17" s="418"/>
      <c r="EBZ17" s="418"/>
      <c r="ECA17" s="418"/>
      <c r="ECB17" s="418"/>
      <c r="ECC17" s="418"/>
      <c r="ECD17" s="418"/>
      <c r="ECE17" s="418"/>
      <c r="ECF17" s="418"/>
      <c r="ECG17" s="418"/>
      <c r="ECH17" s="418"/>
      <c r="ECI17" s="418"/>
      <c r="ECJ17" s="418"/>
      <c r="ECK17" s="418"/>
      <c r="ECL17" s="418"/>
      <c r="ECM17" s="418"/>
      <c r="ECN17" s="418"/>
      <c r="ECO17" s="418"/>
      <c r="ECP17" s="418"/>
      <c r="ECQ17" s="418"/>
      <c r="ECR17" s="418"/>
      <c r="ECS17" s="418"/>
      <c r="ECT17" s="418"/>
      <c r="ECU17" s="418"/>
      <c r="ECV17" s="418"/>
      <c r="ECW17" s="418"/>
      <c r="ECX17" s="418"/>
      <c r="ECY17" s="418"/>
      <c r="ECZ17" s="418"/>
      <c r="EDA17" s="418"/>
      <c r="EDB17" s="418"/>
      <c r="EDC17" s="418"/>
      <c r="EDD17" s="418"/>
      <c r="EDE17" s="418"/>
      <c r="EDF17" s="418"/>
      <c r="EDG17" s="418"/>
      <c r="EDH17" s="418"/>
      <c r="EDI17" s="418"/>
      <c r="EDJ17" s="418"/>
      <c r="EDK17" s="418"/>
      <c r="EDL17" s="418"/>
      <c r="EDM17" s="418"/>
      <c r="EDN17" s="418"/>
      <c r="EDO17" s="418"/>
      <c r="EDP17" s="418"/>
      <c r="EDQ17" s="418"/>
      <c r="EDR17" s="418"/>
      <c r="EDS17" s="418"/>
      <c r="EDT17" s="418"/>
      <c r="EDU17" s="418"/>
      <c r="EDV17" s="418"/>
      <c r="EDW17" s="418"/>
      <c r="EDX17" s="418"/>
      <c r="EDY17" s="418"/>
      <c r="EDZ17" s="418"/>
      <c r="EEA17" s="418"/>
      <c r="EEB17" s="418"/>
      <c r="EEC17" s="418"/>
      <c r="EED17" s="418"/>
      <c r="EEE17" s="418"/>
      <c r="EEF17" s="418"/>
      <c r="EEG17" s="418"/>
      <c r="EEH17" s="418"/>
      <c r="EEI17" s="418"/>
      <c r="EEJ17" s="418"/>
      <c r="EEK17" s="418"/>
      <c r="EEL17" s="418"/>
      <c r="EEM17" s="418"/>
      <c r="EEN17" s="418"/>
      <c r="EEO17" s="418"/>
      <c r="EEP17" s="418"/>
      <c r="EEQ17" s="418"/>
      <c r="EER17" s="418"/>
      <c r="EES17" s="418"/>
      <c r="EET17" s="418"/>
      <c r="EEU17" s="418"/>
      <c r="EEV17" s="418"/>
      <c r="EEW17" s="418"/>
      <c r="EEX17" s="418"/>
      <c r="EEY17" s="418"/>
      <c r="EEZ17" s="418"/>
      <c r="EFA17" s="418"/>
      <c r="EFB17" s="418"/>
      <c r="EFC17" s="418"/>
      <c r="EFD17" s="418"/>
      <c r="EFE17" s="418"/>
      <c r="EFF17" s="418"/>
      <c r="EFG17" s="418"/>
      <c r="EFH17" s="418"/>
      <c r="EFI17" s="418"/>
      <c r="EFJ17" s="418"/>
      <c r="EFK17" s="418"/>
      <c r="EFL17" s="418"/>
      <c r="EFM17" s="418"/>
      <c r="EFN17" s="418"/>
      <c r="EFO17" s="418"/>
      <c r="EFP17" s="418"/>
      <c r="EFQ17" s="418"/>
      <c r="EFR17" s="418"/>
      <c r="EFS17" s="418"/>
      <c r="EFT17" s="418"/>
      <c r="EFU17" s="418"/>
      <c r="EFV17" s="418"/>
      <c r="EFW17" s="418"/>
      <c r="EFX17" s="418"/>
      <c r="EFY17" s="418"/>
      <c r="EFZ17" s="418"/>
      <c r="EGA17" s="418"/>
      <c r="EGB17" s="418"/>
      <c r="EGC17" s="418"/>
      <c r="EGD17" s="418"/>
      <c r="EGE17" s="418"/>
      <c r="EGF17" s="418"/>
      <c r="EGG17" s="418"/>
      <c r="EGH17" s="418"/>
      <c r="EGI17" s="418"/>
      <c r="EGJ17" s="418"/>
      <c r="EGK17" s="418"/>
      <c r="EGL17" s="418"/>
      <c r="EGM17" s="418"/>
      <c r="EGN17" s="418"/>
      <c r="EGO17" s="418"/>
      <c r="EGP17" s="418"/>
      <c r="EGQ17" s="418"/>
      <c r="EGR17" s="418"/>
      <c r="EGS17" s="418"/>
      <c r="EGT17" s="418"/>
      <c r="EGU17" s="418"/>
      <c r="EGV17" s="418"/>
      <c r="EGW17" s="418"/>
      <c r="EGX17" s="418"/>
      <c r="EGY17" s="418"/>
      <c r="EGZ17" s="418"/>
      <c r="EHA17" s="418"/>
      <c r="EHB17" s="418"/>
      <c r="EHC17" s="418"/>
      <c r="EHD17" s="418"/>
      <c r="EHE17" s="418"/>
      <c r="EHF17" s="418"/>
      <c r="EHG17" s="418"/>
      <c r="EHH17" s="418"/>
      <c r="EHI17" s="418"/>
      <c r="EHJ17" s="418"/>
      <c r="EHK17" s="418"/>
      <c r="EHL17" s="418"/>
      <c r="EHM17" s="418"/>
      <c r="EHN17" s="418"/>
      <c r="EHO17" s="418"/>
      <c r="EHP17" s="418"/>
      <c r="EHQ17" s="418"/>
      <c r="EHR17" s="418"/>
      <c r="EHS17" s="418"/>
      <c r="EHT17" s="418"/>
      <c r="EHU17" s="418"/>
      <c r="EHV17" s="418"/>
      <c r="EHW17" s="418"/>
      <c r="EHX17" s="418"/>
      <c r="EHY17" s="418"/>
      <c r="EHZ17" s="418"/>
      <c r="EIA17" s="418"/>
      <c r="EIB17" s="418"/>
      <c r="EIC17" s="418"/>
      <c r="EID17" s="418"/>
      <c r="EIE17" s="418"/>
      <c r="EIF17" s="418"/>
      <c r="EIG17" s="418"/>
      <c r="EIH17" s="418"/>
      <c r="EII17" s="418"/>
      <c r="EIJ17" s="418"/>
      <c r="EIK17" s="418"/>
      <c r="EIL17" s="418"/>
      <c r="EIM17" s="418"/>
      <c r="EIN17" s="418"/>
      <c r="EIO17" s="418"/>
      <c r="EIP17" s="418"/>
      <c r="EIQ17" s="418"/>
      <c r="EIR17" s="418"/>
      <c r="EIS17" s="418"/>
      <c r="EIT17" s="418"/>
      <c r="EIU17" s="418"/>
      <c r="EIV17" s="418"/>
      <c r="EIW17" s="418"/>
      <c r="EIX17" s="418"/>
      <c r="EIY17" s="418"/>
      <c r="EIZ17" s="418"/>
      <c r="EJA17" s="418"/>
      <c r="EJB17" s="418"/>
      <c r="EJC17" s="418"/>
      <c r="EJD17" s="418"/>
      <c r="EJE17" s="418"/>
      <c r="EJF17" s="418"/>
      <c r="EJG17" s="418"/>
      <c r="EJH17" s="418"/>
      <c r="EJI17" s="418"/>
      <c r="EJJ17" s="418"/>
      <c r="EJK17" s="418"/>
      <c r="EJL17" s="418"/>
      <c r="EJM17" s="418"/>
      <c r="EJN17" s="418"/>
      <c r="EJO17" s="418"/>
      <c r="EJP17" s="418"/>
      <c r="EJQ17" s="418"/>
      <c r="EJR17" s="418"/>
      <c r="EJS17" s="418"/>
      <c r="EJT17" s="418"/>
      <c r="EJU17" s="418"/>
      <c r="EJV17" s="418"/>
      <c r="EJW17" s="418"/>
      <c r="EJX17" s="418"/>
      <c r="EJY17" s="418"/>
      <c r="EJZ17" s="418"/>
      <c r="EKA17" s="418"/>
      <c r="EKB17" s="418"/>
      <c r="EKC17" s="418"/>
      <c r="EKD17" s="418"/>
      <c r="EKE17" s="418"/>
      <c r="EKF17" s="418"/>
      <c r="EKG17" s="418"/>
      <c r="EKH17" s="418"/>
      <c r="EKI17" s="418"/>
      <c r="EKJ17" s="418"/>
      <c r="EKK17" s="418"/>
      <c r="EKL17" s="418"/>
      <c r="EKM17" s="418"/>
      <c r="EKN17" s="418"/>
      <c r="EKO17" s="418"/>
      <c r="EKP17" s="418"/>
      <c r="EKQ17" s="418"/>
      <c r="EKR17" s="418"/>
      <c r="EKS17" s="418"/>
      <c r="EKT17" s="418"/>
      <c r="EKU17" s="418"/>
      <c r="EKV17" s="418"/>
      <c r="EKW17" s="418"/>
      <c r="EKX17" s="418"/>
      <c r="EKY17" s="418"/>
      <c r="EKZ17" s="418"/>
      <c r="ELA17" s="418"/>
      <c r="ELB17" s="418"/>
      <c r="ELC17" s="418"/>
      <c r="ELD17" s="418"/>
      <c r="ELE17" s="418"/>
      <c r="ELF17" s="418"/>
      <c r="ELG17" s="418"/>
      <c r="ELH17" s="418"/>
      <c r="ELI17" s="418"/>
      <c r="ELJ17" s="418"/>
      <c r="ELK17" s="418"/>
      <c r="ELL17" s="418"/>
      <c r="ELM17" s="418"/>
      <c r="ELN17" s="418"/>
      <c r="ELO17" s="418"/>
      <c r="ELP17" s="418"/>
      <c r="ELQ17" s="418"/>
      <c r="ELR17" s="418"/>
      <c r="ELS17" s="418"/>
      <c r="ELT17" s="418"/>
      <c r="ELU17" s="418"/>
      <c r="ELV17" s="418"/>
      <c r="ELW17" s="418"/>
      <c r="ELX17" s="418"/>
      <c r="ELY17" s="418"/>
      <c r="ELZ17" s="418"/>
      <c r="EMA17" s="418"/>
      <c r="EMB17" s="418"/>
      <c r="EMC17" s="418"/>
      <c r="EMD17" s="418"/>
      <c r="EME17" s="418"/>
      <c r="EMF17" s="418"/>
      <c r="EMG17" s="418"/>
      <c r="EMH17" s="418"/>
      <c r="EMI17" s="418"/>
      <c r="EMJ17" s="418"/>
      <c r="EMK17" s="418"/>
      <c r="EML17" s="418"/>
      <c r="EMM17" s="418"/>
      <c r="EMN17" s="418"/>
      <c r="EMO17" s="418"/>
      <c r="EMP17" s="418"/>
      <c r="EMQ17" s="418"/>
      <c r="EMR17" s="418"/>
      <c r="EMS17" s="418"/>
      <c r="EMT17" s="418"/>
      <c r="EMU17" s="418"/>
      <c r="EMV17" s="418"/>
      <c r="EMW17" s="418"/>
      <c r="EMX17" s="418"/>
      <c r="EMY17" s="418"/>
      <c r="EMZ17" s="418"/>
      <c r="ENA17" s="418"/>
      <c r="ENB17" s="418"/>
      <c r="ENC17" s="418"/>
      <c r="END17" s="418"/>
      <c r="ENE17" s="418"/>
      <c r="ENF17" s="418"/>
      <c r="ENG17" s="418"/>
      <c r="ENH17" s="418"/>
      <c r="ENI17" s="418"/>
      <c r="ENJ17" s="418"/>
      <c r="ENK17" s="418"/>
      <c r="ENL17" s="418"/>
      <c r="ENM17" s="418"/>
      <c r="ENN17" s="418"/>
      <c r="ENO17" s="418"/>
      <c r="ENP17" s="418"/>
      <c r="ENQ17" s="418"/>
      <c r="ENR17" s="418"/>
      <c r="ENS17" s="418"/>
      <c r="ENT17" s="418"/>
      <c r="ENU17" s="418"/>
      <c r="ENV17" s="418"/>
      <c r="ENW17" s="418"/>
      <c r="ENX17" s="418"/>
      <c r="ENY17" s="418"/>
      <c r="ENZ17" s="418"/>
      <c r="EOA17" s="418"/>
      <c r="EOB17" s="418"/>
      <c r="EOC17" s="418"/>
      <c r="EOD17" s="418"/>
      <c r="EOE17" s="418"/>
      <c r="EOF17" s="418"/>
      <c r="EOG17" s="418"/>
      <c r="EOH17" s="418"/>
      <c r="EOI17" s="418"/>
      <c r="EOJ17" s="418"/>
      <c r="EOK17" s="418"/>
      <c r="EOL17" s="418"/>
      <c r="EOM17" s="418"/>
      <c r="EON17" s="418"/>
      <c r="EOO17" s="418"/>
      <c r="EOP17" s="418"/>
      <c r="EOQ17" s="418"/>
      <c r="EOR17" s="418"/>
      <c r="EOS17" s="418"/>
      <c r="EOT17" s="418"/>
      <c r="EOU17" s="418"/>
      <c r="EOV17" s="418"/>
      <c r="EOW17" s="418"/>
      <c r="EOX17" s="418"/>
      <c r="EOY17" s="418"/>
      <c r="EOZ17" s="418"/>
      <c r="EPA17" s="418"/>
      <c r="EPB17" s="418"/>
      <c r="EPC17" s="418"/>
      <c r="EPD17" s="418"/>
      <c r="EPE17" s="418"/>
      <c r="EPF17" s="418"/>
      <c r="EPG17" s="418"/>
      <c r="EPH17" s="418"/>
      <c r="EPI17" s="418"/>
      <c r="EPJ17" s="418"/>
      <c r="EPK17" s="418"/>
      <c r="EPL17" s="418"/>
      <c r="EPM17" s="418"/>
      <c r="EPN17" s="418"/>
      <c r="EPO17" s="418"/>
      <c r="EPP17" s="418"/>
      <c r="EPQ17" s="418"/>
      <c r="EPR17" s="418"/>
      <c r="EPS17" s="418"/>
      <c r="EPT17" s="418"/>
      <c r="EPU17" s="418"/>
      <c r="EPV17" s="418"/>
      <c r="EPW17" s="418"/>
      <c r="EPX17" s="418"/>
      <c r="EPY17" s="418"/>
      <c r="EPZ17" s="418"/>
      <c r="EQA17" s="418"/>
      <c r="EQB17" s="418"/>
      <c r="EQC17" s="418"/>
      <c r="EQD17" s="418"/>
      <c r="EQE17" s="418"/>
      <c r="EQF17" s="418"/>
      <c r="EQG17" s="418"/>
      <c r="EQH17" s="418"/>
      <c r="EQI17" s="418"/>
      <c r="EQJ17" s="418"/>
      <c r="EQK17" s="418"/>
      <c r="EQL17" s="418"/>
      <c r="EQM17" s="418"/>
      <c r="EQN17" s="418"/>
      <c r="EQO17" s="418"/>
      <c r="EQP17" s="418"/>
      <c r="EQQ17" s="418"/>
      <c r="EQR17" s="418"/>
      <c r="EQS17" s="418"/>
      <c r="EQT17" s="418"/>
      <c r="EQU17" s="418"/>
      <c r="EQV17" s="418"/>
      <c r="EQW17" s="418"/>
      <c r="EQX17" s="418"/>
      <c r="EQY17" s="418"/>
      <c r="EQZ17" s="418"/>
      <c r="ERA17" s="418"/>
      <c r="ERB17" s="418"/>
      <c r="ERC17" s="418"/>
      <c r="ERD17" s="418"/>
      <c r="ERE17" s="418"/>
      <c r="ERF17" s="418"/>
      <c r="ERG17" s="418"/>
      <c r="ERH17" s="418"/>
      <c r="ERI17" s="418"/>
      <c r="ERJ17" s="418"/>
      <c r="ERK17" s="418"/>
      <c r="ERL17" s="418"/>
      <c r="ERM17" s="418"/>
      <c r="ERN17" s="418"/>
      <c r="ERO17" s="418"/>
      <c r="ERP17" s="418"/>
      <c r="ERQ17" s="418"/>
      <c r="ERR17" s="418"/>
      <c r="ERS17" s="418"/>
      <c r="ERT17" s="418"/>
      <c r="ERU17" s="418"/>
      <c r="ERV17" s="418"/>
      <c r="ERW17" s="418"/>
      <c r="ERX17" s="418"/>
      <c r="ERY17" s="418"/>
      <c r="ERZ17" s="418"/>
      <c r="ESA17" s="418"/>
      <c r="ESB17" s="418"/>
      <c r="ESC17" s="418"/>
      <c r="ESD17" s="418"/>
      <c r="ESE17" s="418"/>
      <c r="ESF17" s="418"/>
      <c r="ESG17" s="418"/>
      <c r="ESH17" s="418"/>
      <c r="ESI17" s="418"/>
      <c r="ESJ17" s="418"/>
      <c r="ESK17" s="418"/>
      <c r="ESL17" s="418"/>
      <c r="ESM17" s="418"/>
      <c r="ESN17" s="418"/>
      <c r="ESO17" s="418"/>
      <c r="ESP17" s="418"/>
      <c r="ESQ17" s="418"/>
      <c r="ESR17" s="418"/>
      <c r="ESS17" s="418"/>
      <c r="EST17" s="418"/>
      <c r="ESU17" s="418"/>
      <c r="ESV17" s="418"/>
      <c r="ESW17" s="418"/>
      <c r="ESX17" s="418"/>
      <c r="ESY17" s="418"/>
      <c r="ESZ17" s="418"/>
      <c r="ETA17" s="418"/>
      <c r="ETB17" s="418"/>
      <c r="ETC17" s="418"/>
      <c r="ETD17" s="418"/>
      <c r="ETE17" s="418"/>
      <c r="ETF17" s="418"/>
      <c r="ETG17" s="418"/>
      <c r="ETH17" s="418"/>
      <c r="ETI17" s="418"/>
      <c r="ETJ17" s="418"/>
      <c r="ETK17" s="418"/>
      <c r="ETL17" s="418"/>
      <c r="ETM17" s="418"/>
      <c r="ETN17" s="418"/>
      <c r="ETO17" s="418"/>
      <c r="ETP17" s="418"/>
      <c r="ETQ17" s="418"/>
      <c r="ETR17" s="418"/>
      <c r="ETS17" s="418"/>
      <c r="ETT17" s="418"/>
      <c r="ETU17" s="418"/>
      <c r="ETV17" s="418"/>
      <c r="ETW17" s="418"/>
      <c r="ETX17" s="418"/>
      <c r="ETY17" s="418"/>
      <c r="ETZ17" s="418"/>
      <c r="EUA17" s="418"/>
      <c r="EUB17" s="418"/>
      <c r="EUC17" s="418"/>
      <c r="EUD17" s="418"/>
      <c r="EUE17" s="418"/>
      <c r="EUF17" s="418"/>
      <c r="EUG17" s="418"/>
      <c r="EUH17" s="418"/>
      <c r="EUI17" s="418"/>
      <c r="EUJ17" s="418"/>
      <c r="EUK17" s="418"/>
      <c r="EUL17" s="418"/>
      <c r="EUM17" s="418"/>
      <c r="EUN17" s="418"/>
      <c r="EUO17" s="418"/>
      <c r="EUP17" s="418"/>
      <c r="EUQ17" s="418"/>
      <c r="EUR17" s="418"/>
      <c r="EUS17" s="418"/>
      <c r="EUT17" s="418"/>
      <c r="EUU17" s="418"/>
      <c r="EUV17" s="418"/>
      <c r="EUW17" s="418"/>
      <c r="EUX17" s="418"/>
      <c r="EUY17" s="418"/>
      <c r="EUZ17" s="418"/>
      <c r="EVA17" s="418"/>
      <c r="EVB17" s="418"/>
      <c r="EVC17" s="418"/>
      <c r="EVD17" s="418"/>
      <c r="EVE17" s="418"/>
      <c r="EVF17" s="418"/>
      <c r="EVG17" s="418"/>
      <c r="EVH17" s="418"/>
      <c r="EVI17" s="418"/>
      <c r="EVJ17" s="418"/>
      <c r="EVK17" s="418"/>
      <c r="EVL17" s="418"/>
      <c r="EVM17" s="418"/>
      <c r="EVN17" s="418"/>
      <c r="EVO17" s="418"/>
      <c r="EVP17" s="418"/>
      <c r="EVQ17" s="418"/>
      <c r="EVR17" s="418"/>
      <c r="EVS17" s="418"/>
      <c r="EVT17" s="418"/>
      <c r="EVU17" s="418"/>
      <c r="EVV17" s="418"/>
      <c r="EVW17" s="418"/>
      <c r="EVX17" s="418"/>
      <c r="EVY17" s="418"/>
      <c r="EVZ17" s="418"/>
      <c r="EWA17" s="418"/>
      <c r="EWB17" s="418"/>
      <c r="EWC17" s="418"/>
      <c r="EWD17" s="418"/>
      <c r="EWE17" s="418"/>
      <c r="EWF17" s="418"/>
      <c r="EWG17" s="418"/>
      <c r="EWH17" s="418"/>
      <c r="EWI17" s="418"/>
      <c r="EWJ17" s="418"/>
      <c r="EWK17" s="418"/>
      <c r="EWL17" s="418"/>
      <c r="EWM17" s="418"/>
      <c r="EWN17" s="418"/>
      <c r="EWO17" s="418"/>
      <c r="EWP17" s="418"/>
      <c r="EWQ17" s="418"/>
      <c r="EWR17" s="418"/>
      <c r="EWS17" s="418"/>
      <c r="EWT17" s="418"/>
      <c r="EWU17" s="418"/>
      <c r="EWV17" s="418"/>
      <c r="EWW17" s="418"/>
      <c r="EWX17" s="418"/>
      <c r="EWY17" s="418"/>
      <c r="EWZ17" s="418"/>
      <c r="EXA17" s="418"/>
      <c r="EXB17" s="418"/>
      <c r="EXC17" s="418"/>
      <c r="EXD17" s="418"/>
      <c r="EXE17" s="418"/>
      <c r="EXF17" s="418"/>
      <c r="EXG17" s="418"/>
      <c r="EXH17" s="418"/>
      <c r="EXI17" s="418"/>
      <c r="EXJ17" s="418"/>
      <c r="EXK17" s="418"/>
      <c r="EXL17" s="418"/>
      <c r="EXM17" s="418"/>
      <c r="EXN17" s="418"/>
      <c r="EXO17" s="418"/>
      <c r="EXP17" s="418"/>
      <c r="EXQ17" s="418"/>
      <c r="EXR17" s="418"/>
      <c r="EXS17" s="418"/>
      <c r="EXT17" s="418"/>
      <c r="EXU17" s="418"/>
      <c r="EXV17" s="418"/>
      <c r="EXW17" s="418"/>
      <c r="EXX17" s="418"/>
      <c r="EXY17" s="418"/>
      <c r="EXZ17" s="418"/>
      <c r="EYA17" s="418"/>
      <c r="EYB17" s="418"/>
      <c r="EYC17" s="418"/>
      <c r="EYD17" s="418"/>
      <c r="EYE17" s="418"/>
      <c r="EYF17" s="418"/>
      <c r="EYG17" s="418"/>
      <c r="EYH17" s="418"/>
      <c r="EYI17" s="418"/>
      <c r="EYJ17" s="418"/>
      <c r="EYK17" s="418"/>
      <c r="EYL17" s="418"/>
      <c r="EYM17" s="418"/>
      <c r="EYN17" s="418"/>
      <c r="EYO17" s="418"/>
      <c r="EYP17" s="418"/>
      <c r="EYQ17" s="418"/>
      <c r="EYR17" s="418"/>
      <c r="EYS17" s="418"/>
      <c r="EYT17" s="418"/>
      <c r="EYU17" s="418"/>
      <c r="EYV17" s="418"/>
      <c r="EYW17" s="418"/>
      <c r="EYX17" s="418"/>
      <c r="EYY17" s="418"/>
      <c r="EYZ17" s="418"/>
      <c r="EZA17" s="418"/>
      <c r="EZB17" s="418"/>
      <c r="EZC17" s="418"/>
      <c r="EZD17" s="418"/>
      <c r="EZE17" s="418"/>
      <c r="EZF17" s="418"/>
      <c r="EZG17" s="418"/>
      <c r="EZH17" s="418"/>
      <c r="EZI17" s="418"/>
      <c r="EZJ17" s="418"/>
      <c r="EZK17" s="418"/>
      <c r="EZL17" s="418"/>
      <c r="EZM17" s="418"/>
      <c r="EZN17" s="418"/>
      <c r="EZO17" s="418"/>
      <c r="EZP17" s="418"/>
      <c r="EZQ17" s="418"/>
      <c r="EZR17" s="418"/>
      <c r="EZS17" s="418"/>
      <c r="EZT17" s="418"/>
      <c r="EZU17" s="418"/>
      <c r="EZV17" s="418"/>
      <c r="EZW17" s="418"/>
      <c r="EZX17" s="418"/>
      <c r="EZY17" s="418"/>
      <c r="EZZ17" s="418"/>
      <c r="FAA17" s="418"/>
      <c r="FAB17" s="418"/>
      <c r="FAC17" s="418"/>
      <c r="FAD17" s="418"/>
      <c r="FAE17" s="418"/>
      <c r="FAF17" s="418"/>
      <c r="FAG17" s="418"/>
      <c r="FAH17" s="418"/>
      <c r="FAI17" s="418"/>
      <c r="FAJ17" s="418"/>
      <c r="FAK17" s="418"/>
      <c r="FAL17" s="418"/>
      <c r="FAM17" s="418"/>
      <c r="FAN17" s="418"/>
      <c r="FAO17" s="418"/>
      <c r="FAP17" s="418"/>
      <c r="FAQ17" s="418"/>
      <c r="FAR17" s="418"/>
      <c r="FAS17" s="418"/>
      <c r="FAT17" s="418"/>
      <c r="FAU17" s="418"/>
      <c r="FAV17" s="418"/>
      <c r="FAW17" s="418"/>
      <c r="FAX17" s="418"/>
      <c r="FAY17" s="418"/>
      <c r="FAZ17" s="418"/>
      <c r="FBA17" s="418"/>
      <c r="FBB17" s="418"/>
      <c r="FBC17" s="418"/>
      <c r="FBD17" s="418"/>
      <c r="FBE17" s="418"/>
      <c r="FBF17" s="418"/>
      <c r="FBG17" s="418"/>
      <c r="FBH17" s="418"/>
      <c r="FBI17" s="418"/>
      <c r="FBJ17" s="418"/>
      <c r="FBK17" s="418"/>
      <c r="FBL17" s="418"/>
      <c r="FBM17" s="418"/>
      <c r="FBN17" s="418"/>
      <c r="FBO17" s="418"/>
      <c r="FBP17" s="418"/>
      <c r="FBQ17" s="418"/>
      <c r="FBR17" s="418"/>
      <c r="FBS17" s="418"/>
      <c r="FBT17" s="418"/>
      <c r="FBU17" s="418"/>
      <c r="FBV17" s="418"/>
      <c r="FBW17" s="418"/>
      <c r="FBX17" s="418"/>
      <c r="FBY17" s="418"/>
      <c r="FBZ17" s="418"/>
      <c r="FCA17" s="418"/>
      <c r="FCB17" s="418"/>
      <c r="FCC17" s="418"/>
      <c r="FCD17" s="418"/>
      <c r="FCE17" s="418"/>
      <c r="FCF17" s="418"/>
      <c r="FCG17" s="418"/>
      <c r="FCH17" s="418"/>
      <c r="FCI17" s="418"/>
      <c r="FCJ17" s="418"/>
      <c r="FCK17" s="418"/>
      <c r="FCL17" s="418"/>
      <c r="FCM17" s="418"/>
      <c r="FCN17" s="418"/>
      <c r="FCO17" s="418"/>
      <c r="FCP17" s="418"/>
      <c r="FCQ17" s="418"/>
      <c r="FCR17" s="418"/>
      <c r="FCS17" s="418"/>
      <c r="FCT17" s="418"/>
      <c r="FCU17" s="418"/>
      <c r="FCV17" s="418"/>
      <c r="FCW17" s="418"/>
      <c r="FCX17" s="418"/>
      <c r="FCY17" s="418"/>
      <c r="FCZ17" s="418"/>
      <c r="FDA17" s="418"/>
      <c r="FDB17" s="418"/>
      <c r="FDC17" s="418"/>
      <c r="FDD17" s="418"/>
      <c r="FDE17" s="418"/>
      <c r="FDF17" s="418"/>
      <c r="FDG17" s="418"/>
      <c r="FDH17" s="418"/>
      <c r="FDI17" s="418"/>
      <c r="FDJ17" s="418"/>
      <c r="FDK17" s="418"/>
      <c r="FDL17" s="418"/>
      <c r="FDM17" s="418"/>
      <c r="FDN17" s="418"/>
      <c r="FDO17" s="418"/>
      <c r="FDP17" s="418"/>
      <c r="FDQ17" s="418"/>
      <c r="FDR17" s="418"/>
      <c r="FDS17" s="418"/>
      <c r="FDT17" s="418"/>
      <c r="FDU17" s="418"/>
      <c r="FDV17" s="418"/>
      <c r="FDW17" s="418"/>
      <c r="FDX17" s="418"/>
      <c r="FDY17" s="418"/>
      <c r="FDZ17" s="418"/>
      <c r="FEA17" s="418"/>
      <c r="FEB17" s="418"/>
      <c r="FEC17" s="418"/>
      <c r="FED17" s="418"/>
      <c r="FEE17" s="418"/>
      <c r="FEF17" s="418"/>
      <c r="FEG17" s="418"/>
      <c r="FEH17" s="418"/>
      <c r="FEI17" s="418"/>
      <c r="FEJ17" s="418"/>
      <c r="FEK17" s="418"/>
      <c r="FEL17" s="418"/>
      <c r="FEM17" s="418"/>
      <c r="FEN17" s="418"/>
      <c r="FEO17" s="418"/>
      <c r="FEP17" s="418"/>
      <c r="FEQ17" s="418"/>
      <c r="FER17" s="418"/>
      <c r="FES17" s="418"/>
      <c r="FET17" s="418"/>
      <c r="FEU17" s="418"/>
      <c r="FEV17" s="418"/>
      <c r="FEW17" s="418"/>
      <c r="FEX17" s="418"/>
      <c r="FEY17" s="418"/>
      <c r="FEZ17" s="418"/>
      <c r="FFA17" s="418"/>
      <c r="FFB17" s="418"/>
      <c r="FFC17" s="418"/>
      <c r="FFD17" s="418"/>
      <c r="FFE17" s="418"/>
      <c r="FFF17" s="418"/>
      <c r="FFG17" s="418"/>
      <c r="FFH17" s="418"/>
      <c r="FFI17" s="418"/>
      <c r="FFJ17" s="418"/>
      <c r="FFK17" s="418"/>
      <c r="FFL17" s="418"/>
      <c r="FFM17" s="418"/>
      <c r="FFN17" s="418"/>
      <c r="FFO17" s="418"/>
      <c r="FFP17" s="418"/>
      <c r="FFQ17" s="418"/>
      <c r="FFR17" s="418"/>
      <c r="FFS17" s="418"/>
      <c r="FFT17" s="418"/>
      <c r="FFU17" s="418"/>
      <c r="FFV17" s="418"/>
      <c r="FFW17" s="418"/>
      <c r="FFX17" s="418"/>
      <c r="FFY17" s="418"/>
      <c r="FFZ17" s="418"/>
      <c r="FGA17" s="418"/>
      <c r="FGB17" s="418"/>
      <c r="FGC17" s="418"/>
      <c r="FGD17" s="418"/>
      <c r="FGE17" s="418"/>
      <c r="FGF17" s="418"/>
      <c r="FGG17" s="418"/>
      <c r="FGH17" s="418"/>
      <c r="FGI17" s="418"/>
      <c r="FGJ17" s="418"/>
      <c r="FGK17" s="418"/>
      <c r="FGL17" s="418"/>
      <c r="FGM17" s="418"/>
      <c r="FGN17" s="418"/>
      <c r="FGO17" s="418"/>
      <c r="FGP17" s="418"/>
      <c r="FGQ17" s="418"/>
      <c r="FGR17" s="418"/>
      <c r="FGS17" s="418"/>
      <c r="FGT17" s="418"/>
      <c r="FGU17" s="418"/>
      <c r="FGV17" s="418"/>
      <c r="FGW17" s="418"/>
      <c r="FGX17" s="418"/>
      <c r="FGY17" s="418"/>
      <c r="FGZ17" s="418"/>
      <c r="FHA17" s="418"/>
      <c r="FHB17" s="418"/>
      <c r="FHC17" s="418"/>
      <c r="FHD17" s="418"/>
      <c r="FHE17" s="418"/>
      <c r="FHF17" s="418"/>
      <c r="FHG17" s="418"/>
      <c r="FHH17" s="418"/>
      <c r="FHI17" s="418"/>
      <c r="FHJ17" s="418"/>
      <c r="FHK17" s="418"/>
      <c r="FHL17" s="418"/>
      <c r="FHM17" s="418"/>
      <c r="FHN17" s="418"/>
      <c r="FHO17" s="418"/>
      <c r="FHP17" s="418"/>
      <c r="FHQ17" s="418"/>
      <c r="FHR17" s="418"/>
      <c r="FHS17" s="418"/>
      <c r="FHT17" s="418"/>
      <c r="FHU17" s="418"/>
      <c r="FHV17" s="418"/>
      <c r="FHW17" s="418"/>
      <c r="FHX17" s="418"/>
      <c r="FHY17" s="418"/>
      <c r="FHZ17" s="418"/>
      <c r="FIA17" s="418"/>
      <c r="FIB17" s="418"/>
      <c r="FIC17" s="418"/>
      <c r="FID17" s="418"/>
      <c r="FIE17" s="418"/>
      <c r="FIF17" s="418"/>
      <c r="FIG17" s="418"/>
      <c r="FIH17" s="418"/>
      <c r="FII17" s="418"/>
      <c r="FIJ17" s="418"/>
      <c r="FIK17" s="418"/>
      <c r="FIL17" s="418"/>
      <c r="FIM17" s="418"/>
      <c r="FIN17" s="418"/>
      <c r="FIO17" s="418"/>
      <c r="FIP17" s="418"/>
      <c r="FIQ17" s="418"/>
      <c r="FIR17" s="418"/>
      <c r="FIS17" s="418"/>
      <c r="FIT17" s="418"/>
      <c r="FIU17" s="418"/>
      <c r="FIV17" s="418"/>
      <c r="FIW17" s="418"/>
      <c r="FIX17" s="418"/>
      <c r="FIY17" s="418"/>
      <c r="FIZ17" s="418"/>
      <c r="FJA17" s="418"/>
      <c r="FJB17" s="418"/>
      <c r="FJC17" s="418"/>
      <c r="FJD17" s="418"/>
      <c r="FJE17" s="418"/>
      <c r="FJF17" s="418"/>
      <c r="FJG17" s="418"/>
      <c r="FJH17" s="418"/>
      <c r="FJI17" s="418"/>
      <c r="FJJ17" s="418"/>
      <c r="FJK17" s="418"/>
      <c r="FJL17" s="418"/>
      <c r="FJM17" s="418"/>
      <c r="FJN17" s="418"/>
      <c r="FJO17" s="418"/>
      <c r="FJP17" s="418"/>
      <c r="FJQ17" s="418"/>
      <c r="FJR17" s="418"/>
      <c r="FJS17" s="418"/>
      <c r="FJT17" s="418"/>
      <c r="FJU17" s="418"/>
      <c r="FJV17" s="418"/>
      <c r="FJW17" s="418"/>
      <c r="FJX17" s="418"/>
      <c r="FJY17" s="418"/>
      <c r="FJZ17" s="418"/>
      <c r="FKA17" s="418"/>
      <c r="FKB17" s="418"/>
      <c r="FKC17" s="418"/>
      <c r="FKD17" s="418"/>
      <c r="FKE17" s="418"/>
      <c r="FKF17" s="418"/>
      <c r="FKG17" s="418"/>
      <c r="FKH17" s="418"/>
      <c r="FKI17" s="418"/>
      <c r="FKJ17" s="418"/>
      <c r="FKK17" s="418"/>
      <c r="FKL17" s="418"/>
      <c r="FKM17" s="418"/>
      <c r="FKN17" s="418"/>
      <c r="FKO17" s="418"/>
      <c r="FKP17" s="418"/>
      <c r="FKQ17" s="418"/>
      <c r="FKR17" s="418"/>
      <c r="FKS17" s="418"/>
      <c r="FKT17" s="418"/>
      <c r="FKU17" s="418"/>
      <c r="FKV17" s="418"/>
      <c r="FKW17" s="418"/>
      <c r="FKX17" s="418"/>
      <c r="FKY17" s="418"/>
      <c r="FKZ17" s="418"/>
      <c r="FLA17" s="418"/>
      <c r="FLB17" s="418"/>
      <c r="FLC17" s="418"/>
      <c r="FLD17" s="418"/>
      <c r="FLE17" s="418"/>
      <c r="FLF17" s="418"/>
      <c r="FLG17" s="418"/>
      <c r="FLH17" s="418"/>
      <c r="FLI17" s="418"/>
      <c r="FLJ17" s="418"/>
      <c r="FLK17" s="418"/>
      <c r="FLL17" s="418"/>
      <c r="FLM17" s="418"/>
      <c r="FLN17" s="418"/>
      <c r="FLO17" s="418"/>
      <c r="FLP17" s="418"/>
      <c r="FLQ17" s="418"/>
      <c r="FLR17" s="418"/>
      <c r="FLS17" s="418"/>
      <c r="FLT17" s="418"/>
      <c r="FLU17" s="418"/>
      <c r="FLV17" s="418"/>
      <c r="FLW17" s="418"/>
      <c r="FLX17" s="418"/>
      <c r="FLY17" s="418"/>
      <c r="FLZ17" s="418"/>
      <c r="FMA17" s="418"/>
      <c r="FMB17" s="418"/>
      <c r="FMC17" s="418"/>
      <c r="FMD17" s="418"/>
      <c r="FME17" s="418"/>
      <c r="FMF17" s="418"/>
      <c r="FMG17" s="418"/>
      <c r="FMH17" s="418"/>
      <c r="FMI17" s="418"/>
      <c r="FMJ17" s="418"/>
      <c r="FMK17" s="418"/>
      <c r="FML17" s="418"/>
      <c r="FMM17" s="418"/>
      <c r="FMN17" s="418"/>
      <c r="FMO17" s="418"/>
      <c r="FMP17" s="418"/>
      <c r="FMQ17" s="418"/>
      <c r="FMR17" s="418"/>
      <c r="FMS17" s="418"/>
      <c r="FMT17" s="418"/>
      <c r="FMU17" s="418"/>
      <c r="FMV17" s="418"/>
      <c r="FMW17" s="418"/>
      <c r="FMX17" s="418"/>
      <c r="FMY17" s="418"/>
      <c r="FMZ17" s="418"/>
      <c r="FNA17" s="418"/>
      <c r="FNB17" s="418"/>
      <c r="FNC17" s="418"/>
      <c r="FND17" s="418"/>
      <c r="FNE17" s="418"/>
      <c r="FNF17" s="418"/>
      <c r="FNG17" s="418"/>
      <c r="FNH17" s="418"/>
      <c r="FNI17" s="418"/>
      <c r="FNJ17" s="418"/>
      <c r="FNK17" s="418"/>
      <c r="FNL17" s="418"/>
      <c r="FNM17" s="418"/>
      <c r="FNN17" s="418"/>
      <c r="FNO17" s="418"/>
      <c r="FNP17" s="418"/>
      <c r="FNQ17" s="418"/>
      <c r="FNR17" s="418"/>
      <c r="FNS17" s="418"/>
      <c r="FNT17" s="418"/>
      <c r="FNU17" s="418"/>
      <c r="FNV17" s="418"/>
      <c r="FNW17" s="418"/>
      <c r="FNX17" s="418"/>
      <c r="FNY17" s="418"/>
      <c r="FNZ17" s="418"/>
      <c r="FOA17" s="418"/>
      <c r="FOB17" s="418"/>
      <c r="FOC17" s="418"/>
      <c r="FOD17" s="418"/>
      <c r="FOE17" s="418"/>
      <c r="FOF17" s="418"/>
      <c r="FOG17" s="418"/>
      <c r="FOH17" s="418"/>
      <c r="FOI17" s="418"/>
      <c r="FOJ17" s="418"/>
      <c r="FOK17" s="418"/>
      <c r="FOL17" s="418"/>
      <c r="FOM17" s="418"/>
      <c r="FON17" s="418"/>
      <c r="FOO17" s="418"/>
      <c r="FOP17" s="418"/>
      <c r="FOQ17" s="418"/>
      <c r="FOR17" s="418"/>
      <c r="FOS17" s="418"/>
      <c r="FOT17" s="418"/>
      <c r="FOU17" s="418"/>
      <c r="FOV17" s="418"/>
      <c r="FOW17" s="418"/>
      <c r="FOX17" s="418"/>
      <c r="FOY17" s="418"/>
      <c r="FOZ17" s="418"/>
      <c r="FPA17" s="418"/>
      <c r="FPB17" s="418"/>
      <c r="FPC17" s="418"/>
      <c r="FPD17" s="418"/>
      <c r="FPE17" s="418"/>
      <c r="FPF17" s="418"/>
      <c r="FPG17" s="418"/>
      <c r="FPH17" s="418"/>
      <c r="FPI17" s="418"/>
      <c r="FPJ17" s="418"/>
      <c r="FPK17" s="418"/>
      <c r="FPL17" s="418"/>
      <c r="FPM17" s="418"/>
      <c r="FPN17" s="418"/>
      <c r="FPO17" s="418"/>
      <c r="FPP17" s="418"/>
      <c r="FPQ17" s="418"/>
      <c r="FPR17" s="418"/>
      <c r="FPS17" s="418"/>
      <c r="FPT17" s="418"/>
      <c r="FPU17" s="418"/>
      <c r="FPV17" s="418"/>
      <c r="FPW17" s="418"/>
      <c r="FPX17" s="418"/>
      <c r="FPY17" s="418"/>
      <c r="FPZ17" s="418"/>
      <c r="FQA17" s="418"/>
      <c r="FQB17" s="418"/>
      <c r="FQC17" s="418"/>
      <c r="FQD17" s="418"/>
      <c r="FQE17" s="418"/>
      <c r="FQF17" s="418"/>
      <c r="FQG17" s="418"/>
      <c r="FQH17" s="418"/>
      <c r="FQI17" s="418"/>
      <c r="FQJ17" s="418"/>
      <c r="FQK17" s="418"/>
      <c r="FQL17" s="418"/>
      <c r="FQM17" s="418"/>
      <c r="FQN17" s="418"/>
      <c r="FQO17" s="418"/>
      <c r="FQP17" s="418"/>
      <c r="FQQ17" s="418"/>
      <c r="FQR17" s="418"/>
      <c r="FQS17" s="418"/>
      <c r="FQT17" s="418"/>
      <c r="FQU17" s="418"/>
      <c r="FQV17" s="418"/>
      <c r="FQW17" s="418"/>
      <c r="FQX17" s="418"/>
      <c r="FQY17" s="418"/>
      <c r="FQZ17" s="418"/>
      <c r="FRA17" s="418"/>
      <c r="FRB17" s="418"/>
      <c r="FRC17" s="418"/>
      <c r="FRD17" s="418"/>
      <c r="FRE17" s="418"/>
      <c r="FRF17" s="418"/>
      <c r="FRG17" s="418"/>
      <c r="FRH17" s="418"/>
      <c r="FRI17" s="418"/>
      <c r="FRJ17" s="418"/>
      <c r="FRK17" s="418"/>
      <c r="FRL17" s="418"/>
      <c r="FRM17" s="418"/>
      <c r="FRN17" s="418"/>
      <c r="FRO17" s="418"/>
      <c r="FRP17" s="418"/>
      <c r="FRQ17" s="418"/>
      <c r="FRR17" s="418"/>
      <c r="FRS17" s="418"/>
      <c r="FRT17" s="418"/>
      <c r="FRU17" s="418"/>
      <c r="FRV17" s="418"/>
      <c r="FRW17" s="418"/>
      <c r="FRX17" s="418"/>
      <c r="FRY17" s="418"/>
      <c r="FRZ17" s="418"/>
      <c r="FSA17" s="418"/>
      <c r="FSB17" s="418"/>
      <c r="FSC17" s="418"/>
      <c r="FSD17" s="418"/>
      <c r="FSE17" s="418"/>
      <c r="FSF17" s="418"/>
      <c r="FSG17" s="418"/>
      <c r="FSH17" s="418"/>
      <c r="FSI17" s="418"/>
      <c r="FSJ17" s="418"/>
      <c r="FSK17" s="418"/>
      <c r="FSL17" s="418"/>
      <c r="FSM17" s="418"/>
      <c r="FSN17" s="418"/>
      <c r="FSO17" s="418"/>
      <c r="FSP17" s="418"/>
      <c r="FSQ17" s="418"/>
      <c r="FSR17" s="418"/>
      <c r="FSS17" s="418"/>
      <c r="FST17" s="418"/>
      <c r="FSU17" s="418"/>
      <c r="FSV17" s="418"/>
      <c r="FSW17" s="418"/>
      <c r="FSX17" s="418"/>
      <c r="FSY17" s="418"/>
      <c r="FSZ17" s="418"/>
      <c r="FTA17" s="418"/>
      <c r="FTB17" s="418"/>
      <c r="FTC17" s="418"/>
      <c r="FTD17" s="418"/>
      <c r="FTE17" s="418"/>
      <c r="FTF17" s="418"/>
      <c r="FTG17" s="418"/>
      <c r="FTH17" s="418"/>
      <c r="FTI17" s="418"/>
      <c r="FTJ17" s="418"/>
      <c r="FTK17" s="418"/>
      <c r="FTL17" s="418"/>
      <c r="FTM17" s="418"/>
      <c r="FTN17" s="418"/>
      <c r="FTO17" s="418"/>
      <c r="FTP17" s="418"/>
      <c r="FTQ17" s="418"/>
      <c r="FTR17" s="418"/>
      <c r="FTS17" s="418"/>
      <c r="FTT17" s="418"/>
      <c r="FTU17" s="418"/>
      <c r="FTV17" s="418"/>
      <c r="FTW17" s="418"/>
      <c r="FTX17" s="418"/>
      <c r="FTY17" s="418"/>
      <c r="FTZ17" s="418"/>
      <c r="FUA17" s="418"/>
      <c r="FUB17" s="418"/>
      <c r="FUC17" s="418"/>
      <c r="FUD17" s="418"/>
      <c r="FUE17" s="418"/>
      <c r="FUF17" s="418"/>
      <c r="FUG17" s="418"/>
      <c r="FUH17" s="418"/>
      <c r="FUI17" s="418"/>
      <c r="FUJ17" s="418"/>
      <c r="FUK17" s="418"/>
      <c r="FUL17" s="418"/>
      <c r="FUM17" s="418"/>
      <c r="FUN17" s="418"/>
      <c r="FUO17" s="418"/>
      <c r="FUP17" s="418"/>
      <c r="FUQ17" s="418"/>
      <c r="FUR17" s="418"/>
      <c r="FUS17" s="418"/>
      <c r="FUT17" s="418"/>
      <c r="FUU17" s="418"/>
      <c r="FUV17" s="418"/>
      <c r="FUW17" s="418"/>
      <c r="FUX17" s="418"/>
      <c r="FUY17" s="418"/>
      <c r="FUZ17" s="418"/>
      <c r="FVA17" s="418"/>
      <c r="FVB17" s="418"/>
      <c r="FVC17" s="418"/>
      <c r="FVD17" s="418"/>
      <c r="FVE17" s="418"/>
      <c r="FVF17" s="418"/>
      <c r="FVG17" s="418"/>
      <c r="FVH17" s="418"/>
      <c r="FVI17" s="418"/>
      <c r="FVJ17" s="418"/>
      <c r="FVK17" s="418"/>
      <c r="FVL17" s="418"/>
      <c r="FVM17" s="418"/>
      <c r="FVN17" s="418"/>
      <c r="FVO17" s="418"/>
      <c r="FVP17" s="418"/>
      <c r="FVQ17" s="418"/>
      <c r="FVR17" s="418"/>
      <c r="FVS17" s="418"/>
      <c r="FVT17" s="418"/>
      <c r="FVU17" s="418"/>
      <c r="FVV17" s="418"/>
      <c r="FVW17" s="418"/>
      <c r="FVX17" s="418"/>
      <c r="FVY17" s="418"/>
      <c r="FVZ17" s="418"/>
      <c r="FWA17" s="418"/>
      <c r="FWB17" s="418"/>
      <c r="FWC17" s="418"/>
      <c r="FWD17" s="418"/>
      <c r="FWE17" s="418"/>
      <c r="FWF17" s="418"/>
      <c r="FWG17" s="418"/>
      <c r="FWH17" s="418"/>
      <c r="FWI17" s="418"/>
      <c r="FWJ17" s="418"/>
      <c r="FWK17" s="418"/>
      <c r="FWL17" s="418"/>
      <c r="FWM17" s="418"/>
      <c r="FWN17" s="418"/>
      <c r="FWO17" s="418"/>
      <c r="FWP17" s="418"/>
      <c r="FWQ17" s="418"/>
      <c r="FWR17" s="418"/>
      <c r="FWS17" s="418"/>
      <c r="FWT17" s="418"/>
      <c r="FWU17" s="418"/>
      <c r="FWV17" s="418"/>
      <c r="FWW17" s="418"/>
      <c r="FWX17" s="418"/>
      <c r="FWY17" s="418"/>
      <c r="FWZ17" s="418"/>
      <c r="FXA17" s="418"/>
      <c r="FXB17" s="418"/>
      <c r="FXC17" s="418"/>
      <c r="FXD17" s="418"/>
      <c r="FXE17" s="418"/>
      <c r="FXF17" s="418"/>
      <c r="FXG17" s="418"/>
      <c r="FXH17" s="418"/>
      <c r="FXI17" s="418"/>
      <c r="FXJ17" s="418"/>
      <c r="FXK17" s="418"/>
      <c r="FXL17" s="418"/>
      <c r="FXM17" s="418"/>
      <c r="FXN17" s="418"/>
      <c r="FXO17" s="418"/>
      <c r="FXP17" s="418"/>
      <c r="FXQ17" s="418"/>
      <c r="FXR17" s="418"/>
      <c r="FXS17" s="418"/>
      <c r="FXT17" s="418"/>
      <c r="FXU17" s="418"/>
      <c r="FXV17" s="418"/>
      <c r="FXW17" s="418"/>
      <c r="FXX17" s="418"/>
      <c r="FXY17" s="418"/>
      <c r="FXZ17" s="418"/>
      <c r="FYA17" s="418"/>
      <c r="FYB17" s="418"/>
      <c r="FYC17" s="418"/>
      <c r="FYD17" s="418"/>
      <c r="FYE17" s="418"/>
      <c r="FYF17" s="418"/>
      <c r="FYG17" s="418"/>
      <c r="FYH17" s="418"/>
      <c r="FYI17" s="418"/>
      <c r="FYJ17" s="418"/>
      <c r="FYK17" s="418"/>
      <c r="FYL17" s="418"/>
      <c r="FYM17" s="418"/>
      <c r="FYN17" s="418"/>
      <c r="FYO17" s="418"/>
      <c r="FYP17" s="418"/>
      <c r="FYQ17" s="418"/>
      <c r="FYR17" s="418"/>
      <c r="FYS17" s="418"/>
      <c r="FYT17" s="418"/>
      <c r="FYU17" s="418"/>
      <c r="FYV17" s="418"/>
      <c r="FYW17" s="418"/>
      <c r="FYX17" s="418"/>
      <c r="FYY17" s="418"/>
      <c r="FYZ17" s="418"/>
      <c r="FZA17" s="418"/>
      <c r="FZB17" s="418"/>
      <c r="FZC17" s="418"/>
      <c r="FZD17" s="418"/>
      <c r="FZE17" s="418"/>
      <c r="FZF17" s="418"/>
      <c r="FZG17" s="418"/>
      <c r="FZH17" s="418"/>
      <c r="FZI17" s="418"/>
      <c r="FZJ17" s="418"/>
      <c r="FZK17" s="418"/>
      <c r="FZL17" s="418"/>
      <c r="FZM17" s="418"/>
      <c r="FZN17" s="418"/>
      <c r="FZO17" s="418"/>
      <c r="FZP17" s="418"/>
      <c r="FZQ17" s="418"/>
      <c r="FZR17" s="418"/>
      <c r="FZS17" s="418"/>
      <c r="FZT17" s="418"/>
      <c r="FZU17" s="418"/>
      <c r="FZV17" s="418"/>
      <c r="FZW17" s="418"/>
      <c r="FZX17" s="418"/>
      <c r="FZY17" s="418"/>
      <c r="FZZ17" s="418"/>
      <c r="GAA17" s="418"/>
      <c r="GAB17" s="418"/>
      <c r="GAC17" s="418"/>
      <c r="GAD17" s="418"/>
      <c r="GAE17" s="418"/>
      <c r="GAF17" s="418"/>
      <c r="GAG17" s="418"/>
      <c r="GAH17" s="418"/>
      <c r="GAI17" s="418"/>
      <c r="GAJ17" s="418"/>
      <c r="GAK17" s="418"/>
      <c r="GAL17" s="418"/>
      <c r="GAM17" s="418"/>
      <c r="GAN17" s="418"/>
      <c r="GAO17" s="418"/>
      <c r="GAP17" s="418"/>
      <c r="GAQ17" s="418"/>
      <c r="GAR17" s="418"/>
      <c r="GAS17" s="418"/>
      <c r="GAT17" s="418"/>
      <c r="GAU17" s="418"/>
      <c r="GAV17" s="418"/>
      <c r="GAW17" s="418"/>
      <c r="GAX17" s="418"/>
      <c r="GAY17" s="418"/>
      <c r="GAZ17" s="418"/>
      <c r="GBA17" s="418"/>
      <c r="GBB17" s="418"/>
      <c r="GBC17" s="418"/>
      <c r="GBD17" s="418"/>
      <c r="GBE17" s="418"/>
      <c r="GBF17" s="418"/>
      <c r="GBG17" s="418"/>
      <c r="GBH17" s="418"/>
      <c r="GBI17" s="418"/>
      <c r="GBJ17" s="418"/>
      <c r="GBK17" s="418"/>
      <c r="GBL17" s="418"/>
      <c r="GBM17" s="418"/>
      <c r="GBN17" s="418"/>
      <c r="GBO17" s="418"/>
      <c r="GBP17" s="418"/>
      <c r="GBQ17" s="418"/>
      <c r="GBR17" s="418"/>
      <c r="GBS17" s="418"/>
      <c r="GBT17" s="418"/>
      <c r="GBU17" s="418"/>
      <c r="GBV17" s="418"/>
      <c r="GBW17" s="418"/>
      <c r="GBX17" s="418"/>
      <c r="GBY17" s="418"/>
      <c r="GBZ17" s="418"/>
      <c r="GCA17" s="418"/>
      <c r="GCB17" s="418"/>
      <c r="GCC17" s="418"/>
      <c r="GCD17" s="418"/>
      <c r="GCE17" s="418"/>
      <c r="GCF17" s="418"/>
      <c r="GCG17" s="418"/>
      <c r="GCH17" s="418"/>
      <c r="GCI17" s="418"/>
      <c r="GCJ17" s="418"/>
      <c r="GCK17" s="418"/>
      <c r="GCL17" s="418"/>
      <c r="GCM17" s="418"/>
      <c r="GCN17" s="418"/>
      <c r="GCO17" s="418"/>
      <c r="GCP17" s="418"/>
      <c r="GCQ17" s="418"/>
      <c r="GCR17" s="418"/>
      <c r="GCS17" s="418"/>
      <c r="GCT17" s="418"/>
      <c r="GCU17" s="418"/>
      <c r="GCV17" s="418"/>
      <c r="GCW17" s="418"/>
      <c r="GCX17" s="418"/>
      <c r="GCY17" s="418"/>
      <c r="GCZ17" s="418"/>
      <c r="GDA17" s="418"/>
      <c r="GDB17" s="418"/>
      <c r="GDC17" s="418"/>
      <c r="GDD17" s="418"/>
      <c r="GDE17" s="418"/>
      <c r="GDF17" s="418"/>
      <c r="GDG17" s="418"/>
      <c r="GDH17" s="418"/>
      <c r="GDI17" s="418"/>
      <c r="GDJ17" s="418"/>
      <c r="GDK17" s="418"/>
      <c r="GDL17" s="418"/>
      <c r="GDM17" s="418"/>
      <c r="GDN17" s="418"/>
      <c r="GDO17" s="418"/>
      <c r="GDP17" s="418"/>
      <c r="GDQ17" s="418"/>
      <c r="GDR17" s="418"/>
      <c r="GDS17" s="418"/>
      <c r="GDT17" s="418"/>
      <c r="GDU17" s="418"/>
      <c r="GDV17" s="418"/>
      <c r="GDW17" s="418"/>
      <c r="GDX17" s="418"/>
      <c r="GDY17" s="418"/>
      <c r="GDZ17" s="418"/>
      <c r="GEA17" s="418"/>
      <c r="GEB17" s="418"/>
      <c r="GEC17" s="418"/>
      <c r="GED17" s="418"/>
      <c r="GEE17" s="418"/>
      <c r="GEF17" s="418"/>
      <c r="GEG17" s="418"/>
      <c r="GEH17" s="418"/>
      <c r="GEI17" s="418"/>
      <c r="GEJ17" s="418"/>
      <c r="GEK17" s="418"/>
      <c r="GEL17" s="418"/>
      <c r="GEM17" s="418"/>
      <c r="GEN17" s="418"/>
      <c r="GEO17" s="418"/>
      <c r="GEP17" s="418"/>
      <c r="GEQ17" s="418"/>
      <c r="GER17" s="418"/>
      <c r="GES17" s="418"/>
      <c r="GET17" s="418"/>
      <c r="GEU17" s="418"/>
      <c r="GEV17" s="418"/>
      <c r="GEW17" s="418"/>
      <c r="GEX17" s="418"/>
      <c r="GEY17" s="418"/>
      <c r="GEZ17" s="418"/>
      <c r="GFA17" s="418"/>
      <c r="GFB17" s="418"/>
      <c r="GFC17" s="418"/>
      <c r="GFD17" s="418"/>
      <c r="GFE17" s="418"/>
      <c r="GFF17" s="418"/>
      <c r="GFG17" s="418"/>
      <c r="GFH17" s="418"/>
      <c r="GFI17" s="418"/>
      <c r="GFJ17" s="418"/>
      <c r="GFK17" s="418"/>
      <c r="GFL17" s="418"/>
      <c r="GFM17" s="418"/>
      <c r="GFN17" s="418"/>
      <c r="GFO17" s="418"/>
      <c r="GFP17" s="418"/>
      <c r="GFQ17" s="418"/>
      <c r="GFR17" s="418"/>
      <c r="GFS17" s="418"/>
      <c r="GFT17" s="418"/>
      <c r="GFU17" s="418"/>
      <c r="GFV17" s="418"/>
      <c r="GFW17" s="418"/>
      <c r="GFX17" s="418"/>
      <c r="GFY17" s="418"/>
      <c r="GFZ17" s="418"/>
      <c r="GGA17" s="418"/>
      <c r="GGB17" s="418"/>
      <c r="GGC17" s="418"/>
      <c r="GGD17" s="418"/>
      <c r="GGE17" s="418"/>
      <c r="GGF17" s="418"/>
      <c r="GGG17" s="418"/>
      <c r="GGH17" s="418"/>
      <c r="GGI17" s="418"/>
      <c r="GGJ17" s="418"/>
      <c r="GGK17" s="418"/>
      <c r="GGL17" s="418"/>
      <c r="GGM17" s="418"/>
      <c r="GGN17" s="418"/>
      <c r="GGO17" s="418"/>
      <c r="GGP17" s="418"/>
      <c r="GGQ17" s="418"/>
      <c r="GGR17" s="418"/>
      <c r="GGS17" s="418"/>
      <c r="GGT17" s="418"/>
      <c r="GGU17" s="418"/>
      <c r="GGV17" s="418"/>
      <c r="GGW17" s="418"/>
      <c r="GGX17" s="418"/>
      <c r="GGY17" s="418"/>
      <c r="GGZ17" s="418"/>
      <c r="GHA17" s="418"/>
      <c r="GHB17" s="418"/>
      <c r="GHC17" s="418"/>
      <c r="GHD17" s="418"/>
      <c r="GHE17" s="418"/>
      <c r="GHF17" s="418"/>
      <c r="GHG17" s="418"/>
      <c r="GHH17" s="418"/>
      <c r="GHI17" s="418"/>
      <c r="GHJ17" s="418"/>
      <c r="GHK17" s="418"/>
      <c r="GHL17" s="418"/>
      <c r="GHM17" s="418"/>
      <c r="GHN17" s="418"/>
      <c r="GHO17" s="418"/>
      <c r="GHP17" s="418"/>
      <c r="GHQ17" s="418"/>
      <c r="GHR17" s="418"/>
      <c r="GHS17" s="418"/>
      <c r="GHT17" s="418"/>
      <c r="GHU17" s="418"/>
      <c r="GHV17" s="418"/>
      <c r="GHW17" s="418"/>
      <c r="GHX17" s="418"/>
      <c r="GHY17" s="418"/>
      <c r="GHZ17" s="418"/>
      <c r="GIA17" s="418"/>
      <c r="GIB17" s="418"/>
      <c r="GIC17" s="418"/>
      <c r="GID17" s="418"/>
      <c r="GIE17" s="418"/>
      <c r="GIF17" s="418"/>
      <c r="GIG17" s="418"/>
      <c r="GIH17" s="418"/>
      <c r="GII17" s="418"/>
      <c r="GIJ17" s="418"/>
      <c r="GIK17" s="418"/>
      <c r="GIL17" s="418"/>
      <c r="GIM17" s="418"/>
      <c r="GIN17" s="418"/>
      <c r="GIO17" s="418"/>
      <c r="GIP17" s="418"/>
      <c r="GIQ17" s="418"/>
      <c r="GIR17" s="418"/>
      <c r="GIS17" s="418"/>
      <c r="GIT17" s="418"/>
      <c r="GIU17" s="418"/>
      <c r="GIV17" s="418"/>
      <c r="GIW17" s="418"/>
      <c r="GIX17" s="418"/>
      <c r="GIY17" s="418"/>
      <c r="GIZ17" s="418"/>
      <c r="GJA17" s="418"/>
      <c r="GJB17" s="418"/>
      <c r="GJC17" s="418"/>
      <c r="GJD17" s="418"/>
      <c r="GJE17" s="418"/>
      <c r="GJF17" s="418"/>
      <c r="GJG17" s="418"/>
      <c r="GJH17" s="418"/>
      <c r="GJI17" s="418"/>
      <c r="GJJ17" s="418"/>
      <c r="GJK17" s="418"/>
      <c r="GJL17" s="418"/>
      <c r="GJM17" s="418"/>
      <c r="GJN17" s="418"/>
      <c r="GJO17" s="418"/>
      <c r="GJP17" s="418"/>
      <c r="GJQ17" s="418"/>
      <c r="GJR17" s="418"/>
      <c r="GJS17" s="418"/>
      <c r="GJT17" s="418"/>
      <c r="GJU17" s="418"/>
      <c r="GJV17" s="418"/>
      <c r="GJW17" s="418"/>
      <c r="GJX17" s="418"/>
      <c r="GJY17" s="418"/>
      <c r="GJZ17" s="418"/>
      <c r="GKA17" s="418"/>
      <c r="GKB17" s="418"/>
      <c r="GKC17" s="418"/>
      <c r="GKD17" s="418"/>
      <c r="GKE17" s="418"/>
      <c r="GKF17" s="418"/>
      <c r="GKG17" s="418"/>
      <c r="GKH17" s="418"/>
      <c r="GKI17" s="418"/>
      <c r="GKJ17" s="418"/>
      <c r="GKK17" s="418"/>
      <c r="GKL17" s="418"/>
      <c r="GKM17" s="418"/>
      <c r="GKN17" s="418"/>
      <c r="GKO17" s="418"/>
      <c r="GKP17" s="418"/>
      <c r="GKQ17" s="418"/>
      <c r="GKR17" s="418"/>
      <c r="GKS17" s="418"/>
      <c r="GKT17" s="418"/>
      <c r="GKU17" s="418"/>
      <c r="GKV17" s="418"/>
      <c r="GKW17" s="418"/>
      <c r="GKX17" s="418"/>
      <c r="GKY17" s="418"/>
      <c r="GKZ17" s="418"/>
      <c r="GLA17" s="418"/>
      <c r="GLB17" s="418"/>
      <c r="GLC17" s="418"/>
      <c r="GLD17" s="418"/>
      <c r="GLE17" s="418"/>
      <c r="GLF17" s="418"/>
      <c r="GLG17" s="418"/>
      <c r="GLH17" s="418"/>
      <c r="GLI17" s="418"/>
      <c r="GLJ17" s="418"/>
      <c r="GLK17" s="418"/>
      <c r="GLL17" s="418"/>
      <c r="GLM17" s="418"/>
      <c r="GLN17" s="418"/>
      <c r="GLO17" s="418"/>
      <c r="GLP17" s="418"/>
      <c r="GLQ17" s="418"/>
      <c r="GLR17" s="418"/>
      <c r="GLS17" s="418"/>
      <c r="GLT17" s="418"/>
      <c r="GLU17" s="418"/>
      <c r="GLV17" s="418"/>
      <c r="GLW17" s="418"/>
      <c r="GLX17" s="418"/>
      <c r="GLY17" s="418"/>
      <c r="GLZ17" s="418"/>
      <c r="GMA17" s="418"/>
      <c r="GMB17" s="418"/>
      <c r="GMC17" s="418"/>
      <c r="GMD17" s="418"/>
      <c r="GME17" s="418"/>
      <c r="GMF17" s="418"/>
      <c r="GMG17" s="418"/>
      <c r="GMH17" s="418"/>
      <c r="GMI17" s="418"/>
      <c r="GMJ17" s="418"/>
      <c r="GMK17" s="418"/>
      <c r="GML17" s="418"/>
      <c r="GMM17" s="418"/>
      <c r="GMN17" s="418"/>
      <c r="GMO17" s="418"/>
      <c r="GMP17" s="418"/>
      <c r="GMQ17" s="418"/>
      <c r="GMR17" s="418"/>
      <c r="GMS17" s="418"/>
      <c r="GMT17" s="418"/>
      <c r="GMU17" s="418"/>
      <c r="GMV17" s="418"/>
      <c r="GMW17" s="418"/>
      <c r="GMX17" s="418"/>
      <c r="GMY17" s="418"/>
      <c r="GMZ17" s="418"/>
      <c r="GNA17" s="418"/>
      <c r="GNB17" s="418"/>
      <c r="GNC17" s="418"/>
      <c r="GND17" s="418"/>
      <c r="GNE17" s="418"/>
      <c r="GNF17" s="418"/>
      <c r="GNG17" s="418"/>
      <c r="GNH17" s="418"/>
      <c r="GNI17" s="418"/>
      <c r="GNJ17" s="418"/>
      <c r="GNK17" s="418"/>
      <c r="GNL17" s="418"/>
      <c r="GNM17" s="418"/>
      <c r="GNN17" s="418"/>
      <c r="GNO17" s="418"/>
      <c r="GNP17" s="418"/>
      <c r="GNQ17" s="418"/>
      <c r="GNR17" s="418"/>
      <c r="GNS17" s="418"/>
      <c r="GNT17" s="418"/>
      <c r="GNU17" s="418"/>
      <c r="GNV17" s="418"/>
      <c r="GNW17" s="418"/>
      <c r="GNX17" s="418"/>
      <c r="GNY17" s="418"/>
      <c r="GNZ17" s="418"/>
      <c r="GOA17" s="418"/>
      <c r="GOB17" s="418"/>
      <c r="GOC17" s="418"/>
      <c r="GOD17" s="418"/>
      <c r="GOE17" s="418"/>
      <c r="GOF17" s="418"/>
      <c r="GOG17" s="418"/>
      <c r="GOH17" s="418"/>
      <c r="GOI17" s="418"/>
      <c r="GOJ17" s="418"/>
      <c r="GOK17" s="418"/>
      <c r="GOL17" s="418"/>
      <c r="GOM17" s="418"/>
      <c r="GON17" s="418"/>
      <c r="GOO17" s="418"/>
      <c r="GOP17" s="418"/>
      <c r="GOQ17" s="418"/>
      <c r="GOR17" s="418"/>
      <c r="GOS17" s="418"/>
      <c r="GOT17" s="418"/>
      <c r="GOU17" s="418"/>
      <c r="GOV17" s="418"/>
      <c r="GOW17" s="418"/>
      <c r="GOX17" s="418"/>
      <c r="GOY17" s="418"/>
      <c r="GOZ17" s="418"/>
      <c r="GPA17" s="418"/>
      <c r="GPB17" s="418"/>
      <c r="GPC17" s="418"/>
      <c r="GPD17" s="418"/>
      <c r="GPE17" s="418"/>
      <c r="GPF17" s="418"/>
      <c r="GPG17" s="418"/>
      <c r="GPH17" s="418"/>
      <c r="GPI17" s="418"/>
      <c r="GPJ17" s="418"/>
      <c r="GPK17" s="418"/>
      <c r="GPL17" s="418"/>
      <c r="GPM17" s="418"/>
      <c r="GPN17" s="418"/>
      <c r="GPO17" s="418"/>
      <c r="GPP17" s="418"/>
      <c r="GPQ17" s="418"/>
      <c r="GPR17" s="418"/>
      <c r="GPS17" s="418"/>
      <c r="GPT17" s="418"/>
      <c r="GPU17" s="418"/>
      <c r="GPV17" s="418"/>
      <c r="GPW17" s="418"/>
      <c r="GPX17" s="418"/>
      <c r="GPY17" s="418"/>
      <c r="GPZ17" s="418"/>
      <c r="GQA17" s="418"/>
      <c r="GQB17" s="418"/>
      <c r="GQC17" s="418"/>
      <c r="GQD17" s="418"/>
      <c r="GQE17" s="418"/>
      <c r="GQF17" s="418"/>
      <c r="GQG17" s="418"/>
      <c r="GQH17" s="418"/>
      <c r="GQI17" s="418"/>
      <c r="GQJ17" s="418"/>
      <c r="GQK17" s="418"/>
      <c r="GQL17" s="418"/>
      <c r="GQM17" s="418"/>
      <c r="GQN17" s="418"/>
      <c r="GQO17" s="418"/>
      <c r="GQP17" s="418"/>
      <c r="GQQ17" s="418"/>
      <c r="GQR17" s="418"/>
      <c r="GQS17" s="418"/>
      <c r="GQT17" s="418"/>
      <c r="GQU17" s="418"/>
      <c r="GQV17" s="418"/>
      <c r="GQW17" s="418"/>
      <c r="GQX17" s="418"/>
      <c r="GQY17" s="418"/>
      <c r="GQZ17" s="418"/>
      <c r="GRA17" s="418"/>
      <c r="GRB17" s="418"/>
      <c r="GRC17" s="418"/>
      <c r="GRD17" s="418"/>
      <c r="GRE17" s="418"/>
      <c r="GRF17" s="418"/>
      <c r="GRG17" s="418"/>
      <c r="GRH17" s="418"/>
      <c r="GRI17" s="418"/>
      <c r="GRJ17" s="418"/>
      <c r="GRK17" s="418"/>
      <c r="GRL17" s="418"/>
      <c r="GRM17" s="418"/>
      <c r="GRN17" s="418"/>
      <c r="GRO17" s="418"/>
      <c r="GRP17" s="418"/>
      <c r="GRQ17" s="418"/>
      <c r="GRR17" s="418"/>
      <c r="GRS17" s="418"/>
      <c r="GRT17" s="418"/>
      <c r="GRU17" s="418"/>
      <c r="GRV17" s="418"/>
      <c r="GRW17" s="418"/>
      <c r="GRX17" s="418"/>
      <c r="GRY17" s="418"/>
      <c r="GRZ17" s="418"/>
      <c r="GSA17" s="418"/>
      <c r="GSB17" s="418"/>
      <c r="GSC17" s="418"/>
      <c r="GSD17" s="418"/>
      <c r="GSE17" s="418"/>
      <c r="GSF17" s="418"/>
      <c r="GSG17" s="418"/>
      <c r="GSH17" s="418"/>
      <c r="GSI17" s="418"/>
      <c r="GSJ17" s="418"/>
      <c r="GSK17" s="418"/>
      <c r="GSL17" s="418"/>
      <c r="GSM17" s="418"/>
      <c r="GSN17" s="418"/>
      <c r="GSO17" s="418"/>
      <c r="GSP17" s="418"/>
      <c r="GSQ17" s="418"/>
      <c r="GSR17" s="418"/>
      <c r="GSS17" s="418"/>
      <c r="GST17" s="418"/>
      <c r="GSU17" s="418"/>
      <c r="GSV17" s="418"/>
      <c r="GSW17" s="418"/>
      <c r="GSX17" s="418"/>
      <c r="GSY17" s="418"/>
      <c r="GSZ17" s="418"/>
      <c r="GTA17" s="418"/>
      <c r="GTB17" s="418"/>
      <c r="GTC17" s="418"/>
      <c r="GTD17" s="418"/>
      <c r="GTE17" s="418"/>
      <c r="GTF17" s="418"/>
      <c r="GTG17" s="418"/>
      <c r="GTH17" s="418"/>
      <c r="GTI17" s="418"/>
      <c r="GTJ17" s="418"/>
      <c r="GTK17" s="418"/>
      <c r="GTL17" s="418"/>
      <c r="GTM17" s="418"/>
      <c r="GTN17" s="418"/>
      <c r="GTO17" s="418"/>
      <c r="GTP17" s="418"/>
      <c r="GTQ17" s="418"/>
      <c r="GTR17" s="418"/>
      <c r="GTS17" s="418"/>
      <c r="GTT17" s="418"/>
      <c r="GTU17" s="418"/>
      <c r="GTV17" s="418"/>
      <c r="GTW17" s="418"/>
      <c r="GTX17" s="418"/>
      <c r="GTY17" s="418"/>
      <c r="GTZ17" s="418"/>
      <c r="GUA17" s="418"/>
      <c r="GUB17" s="418"/>
      <c r="GUC17" s="418"/>
      <c r="GUD17" s="418"/>
      <c r="GUE17" s="418"/>
      <c r="GUF17" s="418"/>
      <c r="GUG17" s="418"/>
      <c r="GUH17" s="418"/>
      <c r="GUI17" s="418"/>
      <c r="GUJ17" s="418"/>
      <c r="GUK17" s="418"/>
      <c r="GUL17" s="418"/>
      <c r="GUM17" s="418"/>
      <c r="GUN17" s="418"/>
      <c r="GUO17" s="418"/>
      <c r="GUP17" s="418"/>
      <c r="GUQ17" s="418"/>
      <c r="GUR17" s="418"/>
      <c r="GUS17" s="418"/>
      <c r="GUT17" s="418"/>
      <c r="GUU17" s="418"/>
      <c r="GUV17" s="418"/>
      <c r="GUW17" s="418"/>
      <c r="GUX17" s="418"/>
      <c r="GUY17" s="418"/>
      <c r="GUZ17" s="418"/>
      <c r="GVA17" s="418"/>
      <c r="GVB17" s="418"/>
      <c r="GVC17" s="418"/>
      <c r="GVD17" s="418"/>
      <c r="GVE17" s="418"/>
      <c r="GVF17" s="418"/>
      <c r="GVG17" s="418"/>
      <c r="GVH17" s="418"/>
      <c r="GVI17" s="418"/>
      <c r="GVJ17" s="418"/>
      <c r="GVK17" s="418"/>
      <c r="GVL17" s="418"/>
      <c r="GVM17" s="418"/>
      <c r="GVN17" s="418"/>
      <c r="GVO17" s="418"/>
      <c r="GVP17" s="418"/>
      <c r="GVQ17" s="418"/>
      <c r="GVR17" s="418"/>
      <c r="GVS17" s="418"/>
      <c r="GVT17" s="418"/>
      <c r="GVU17" s="418"/>
      <c r="GVV17" s="418"/>
      <c r="GVW17" s="418"/>
      <c r="GVX17" s="418"/>
      <c r="GVY17" s="418"/>
      <c r="GVZ17" s="418"/>
      <c r="GWA17" s="418"/>
      <c r="GWB17" s="418"/>
      <c r="GWC17" s="418"/>
      <c r="GWD17" s="418"/>
      <c r="GWE17" s="418"/>
      <c r="GWF17" s="418"/>
      <c r="GWG17" s="418"/>
      <c r="GWH17" s="418"/>
      <c r="GWI17" s="418"/>
      <c r="GWJ17" s="418"/>
      <c r="GWK17" s="418"/>
      <c r="GWL17" s="418"/>
      <c r="GWM17" s="418"/>
      <c r="GWN17" s="418"/>
      <c r="GWO17" s="418"/>
      <c r="GWP17" s="418"/>
      <c r="GWQ17" s="418"/>
      <c r="GWR17" s="418"/>
      <c r="GWS17" s="418"/>
      <c r="GWT17" s="418"/>
      <c r="GWU17" s="418"/>
      <c r="GWV17" s="418"/>
      <c r="GWW17" s="418"/>
      <c r="GWX17" s="418"/>
      <c r="GWY17" s="418"/>
      <c r="GWZ17" s="418"/>
      <c r="GXA17" s="418"/>
      <c r="GXB17" s="418"/>
      <c r="GXC17" s="418"/>
      <c r="GXD17" s="418"/>
      <c r="GXE17" s="418"/>
      <c r="GXF17" s="418"/>
      <c r="GXG17" s="418"/>
      <c r="GXH17" s="418"/>
      <c r="GXI17" s="418"/>
      <c r="GXJ17" s="418"/>
      <c r="GXK17" s="418"/>
      <c r="GXL17" s="418"/>
      <c r="GXM17" s="418"/>
      <c r="GXN17" s="418"/>
      <c r="GXO17" s="418"/>
      <c r="GXP17" s="418"/>
      <c r="GXQ17" s="418"/>
      <c r="GXR17" s="418"/>
      <c r="GXS17" s="418"/>
      <c r="GXT17" s="418"/>
      <c r="GXU17" s="418"/>
      <c r="GXV17" s="418"/>
      <c r="GXW17" s="418"/>
      <c r="GXX17" s="418"/>
      <c r="GXY17" s="418"/>
      <c r="GXZ17" s="418"/>
      <c r="GYA17" s="418"/>
      <c r="GYB17" s="418"/>
      <c r="GYC17" s="418"/>
      <c r="GYD17" s="418"/>
      <c r="GYE17" s="418"/>
      <c r="GYF17" s="418"/>
      <c r="GYG17" s="418"/>
      <c r="GYH17" s="418"/>
      <c r="GYI17" s="418"/>
      <c r="GYJ17" s="418"/>
      <c r="GYK17" s="418"/>
      <c r="GYL17" s="418"/>
      <c r="GYM17" s="418"/>
      <c r="GYN17" s="418"/>
      <c r="GYO17" s="418"/>
      <c r="GYP17" s="418"/>
      <c r="GYQ17" s="418"/>
      <c r="GYR17" s="418"/>
      <c r="GYS17" s="418"/>
      <c r="GYT17" s="418"/>
      <c r="GYU17" s="418"/>
      <c r="GYV17" s="418"/>
      <c r="GYW17" s="418"/>
      <c r="GYX17" s="418"/>
      <c r="GYY17" s="418"/>
      <c r="GYZ17" s="418"/>
      <c r="GZA17" s="418"/>
      <c r="GZB17" s="418"/>
      <c r="GZC17" s="418"/>
      <c r="GZD17" s="418"/>
      <c r="GZE17" s="418"/>
      <c r="GZF17" s="418"/>
      <c r="GZG17" s="418"/>
      <c r="GZH17" s="418"/>
      <c r="GZI17" s="418"/>
      <c r="GZJ17" s="418"/>
      <c r="GZK17" s="418"/>
      <c r="GZL17" s="418"/>
      <c r="GZM17" s="418"/>
      <c r="GZN17" s="418"/>
      <c r="GZO17" s="418"/>
      <c r="GZP17" s="418"/>
      <c r="GZQ17" s="418"/>
      <c r="GZR17" s="418"/>
      <c r="GZS17" s="418"/>
      <c r="GZT17" s="418"/>
      <c r="GZU17" s="418"/>
      <c r="GZV17" s="418"/>
      <c r="GZW17" s="418"/>
      <c r="GZX17" s="418"/>
      <c r="GZY17" s="418"/>
      <c r="GZZ17" s="418"/>
      <c r="HAA17" s="418"/>
      <c r="HAB17" s="418"/>
      <c r="HAC17" s="418"/>
      <c r="HAD17" s="418"/>
      <c r="HAE17" s="418"/>
      <c r="HAF17" s="418"/>
      <c r="HAG17" s="418"/>
      <c r="HAH17" s="418"/>
      <c r="HAI17" s="418"/>
      <c r="HAJ17" s="418"/>
      <c r="HAK17" s="418"/>
      <c r="HAL17" s="418"/>
      <c r="HAM17" s="418"/>
      <c r="HAN17" s="418"/>
      <c r="HAO17" s="418"/>
      <c r="HAP17" s="418"/>
      <c r="HAQ17" s="418"/>
      <c r="HAR17" s="418"/>
      <c r="HAS17" s="418"/>
      <c r="HAT17" s="418"/>
      <c r="HAU17" s="418"/>
      <c r="HAV17" s="418"/>
      <c r="HAW17" s="418"/>
      <c r="HAX17" s="418"/>
      <c r="HAY17" s="418"/>
      <c r="HAZ17" s="418"/>
      <c r="HBA17" s="418"/>
      <c r="HBB17" s="418"/>
      <c r="HBC17" s="418"/>
      <c r="HBD17" s="418"/>
      <c r="HBE17" s="418"/>
      <c r="HBF17" s="418"/>
      <c r="HBG17" s="418"/>
      <c r="HBH17" s="418"/>
      <c r="HBI17" s="418"/>
      <c r="HBJ17" s="418"/>
      <c r="HBK17" s="418"/>
      <c r="HBL17" s="418"/>
      <c r="HBM17" s="418"/>
      <c r="HBN17" s="418"/>
      <c r="HBO17" s="418"/>
      <c r="HBP17" s="418"/>
      <c r="HBQ17" s="418"/>
      <c r="HBR17" s="418"/>
      <c r="HBS17" s="418"/>
      <c r="HBT17" s="418"/>
      <c r="HBU17" s="418"/>
      <c r="HBV17" s="418"/>
      <c r="HBW17" s="418"/>
      <c r="HBX17" s="418"/>
      <c r="HBY17" s="418"/>
      <c r="HBZ17" s="418"/>
      <c r="HCA17" s="418"/>
      <c r="HCB17" s="418"/>
      <c r="HCC17" s="418"/>
      <c r="HCD17" s="418"/>
      <c r="HCE17" s="418"/>
      <c r="HCF17" s="418"/>
      <c r="HCG17" s="418"/>
      <c r="HCH17" s="418"/>
      <c r="HCI17" s="418"/>
      <c r="HCJ17" s="418"/>
      <c r="HCK17" s="418"/>
      <c r="HCL17" s="418"/>
      <c r="HCM17" s="418"/>
      <c r="HCN17" s="418"/>
      <c r="HCO17" s="418"/>
      <c r="HCP17" s="418"/>
      <c r="HCQ17" s="418"/>
      <c r="HCR17" s="418"/>
      <c r="HCS17" s="418"/>
      <c r="HCT17" s="418"/>
      <c r="HCU17" s="418"/>
      <c r="HCV17" s="418"/>
      <c r="HCW17" s="418"/>
      <c r="HCX17" s="418"/>
      <c r="HCY17" s="418"/>
      <c r="HCZ17" s="418"/>
      <c r="HDA17" s="418"/>
      <c r="HDB17" s="418"/>
      <c r="HDC17" s="418"/>
      <c r="HDD17" s="418"/>
      <c r="HDE17" s="418"/>
      <c r="HDF17" s="418"/>
      <c r="HDG17" s="418"/>
      <c r="HDH17" s="418"/>
      <c r="HDI17" s="418"/>
      <c r="HDJ17" s="418"/>
      <c r="HDK17" s="418"/>
      <c r="HDL17" s="418"/>
      <c r="HDM17" s="418"/>
      <c r="HDN17" s="418"/>
      <c r="HDO17" s="418"/>
      <c r="HDP17" s="418"/>
      <c r="HDQ17" s="418"/>
      <c r="HDR17" s="418"/>
      <c r="HDS17" s="418"/>
      <c r="HDT17" s="418"/>
      <c r="HDU17" s="418"/>
      <c r="HDV17" s="418"/>
      <c r="HDW17" s="418"/>
      <c r="HDX17" s="418"/>
      <c r="HDY17" s="418"/>
      <c r="HDZ17" s="418"/>
      <c r="HEA17" s="418"/>
      <c r="HEB17" s="418"/>
      <c r="HEC17" s="418"/>
      <c r="HED17" s="418"/>
      <c r="HEE17" s="418"/>
      <c r="HEF17" s="418"/>
      <c r="HEG17" s="418"/>
      <c r="HEH17" s="418"/>
      <c r="HEI17" s="418"/>
      <c r="HEJ17" s="418"/>
      <c r="HEK17" s="418"/>
      <c r="HEL17" s="418"/>
      <c r="HEM17" s="418"/>
      <c r="HEN17" s="418"/>
      <c r="HEO17" s="418"/>
      <c r="HEP17" s="418"/>
      <c r="HEQ17" s="418"/>
      <c r="HER17" s="418"/>
      <c r="HES17" s="418"/>
      <c r="HET17" s="418"/>
      <c r="HEU17" s="418"/>
      <c r="HEV17" s="418"/>
      <c r="HEW17" s="418"/>
      <c r="HEX17" s="418"/>
      <c r="HEY17" s="418"/>
      <c r="HEZ17" s="418"/>
      <c r="HFA17" s="418"/>
      <c r="HFB17" s="418"/>
      <c r="HFC17" s="418"/>
      <c r="HFD17" s="418"/>
      <c r="HFE17" s="418"/>
      <c r="HFF17" s="418"/>
      <c r="HFG17" s="418"/>
      <c r="HFH17" s="418"/>
      <c r="HFI17" s="418"/>
      <c r="HFJ17" s="418"/>
      <c r="HFK17" s="418"/>
      <c r="HFL17" s="418"/>
      <c r="HFM17" s="418"/>
      <c r="HFN17" s="418"/>
      <c r="HFO17" s="418"/>
      <c r="HFP17" s="418"/>
      <c r="HFQ17" s="418"/>
      <c r="HFR17" s="418"/>
      <c r="HFS17" s="418"/>
      <c r="HFT17" s="418"/>
      <c r="HFU17" s="418"/>
      <c r="HFV17" s="418"/>
      <c r="HFW17" s="418"/>
      <c r="HFX17" s="418"/>
      <c r="HFY17" s="418"/>
      <c r="HFZ17" s="418"/>
      <c r="HGA17" s="418"/>
      <c r="HGB17" s="418"/>
      <c r="HGC17" s="418"/>
      <c r="HGD17" s="418"/>
      <c r="HGE17" s="418"/>
      <c r="HGF17" s="418"/>
      <c r="HGG17" s="418"/>
      <c r="HGH17" s="418"/>
      <c r="HGI17" s="418"/>
      <c r="HGJ17" s="418"/>
      <c r="HGK17" s="418"/>
      <c r="HGL17" s="418"/>
      <c r="HGM17" s="418"/>
      <c r="HGN17" s="418"/>
      <c r="HGO17" s="418"/>
      <c r="HGP17" s="418"/>
      <c r="HGQ17" s="418"/>
      <c r="HGR17" s="418"/>
      <c r="HGS17" s="418"/>
      <c r="HGT17" s="418"/>
      <c r="HGU17" s="418"/>
      <c r="HGV17" s="418"/>
      <c r="HGW17" s="418"/>
      <c r="HGX17" s="418"/>
      <c r="HGY17" s="418"/>
      <c r="HGZ17" s="418"/>
      <c r="HHA17" s="418"/>
      <c r="HHB17" s="418"/>
      <c r="HHC17" s="418"/>
      <c r="HHD17" s="418"/>
      <c r="HHE17" s="418"/>
      <c r="HHF17" s="418"/>
      <c r="HHG17" s="418"/>
      <c r="HHH17" s="418"/>
      <c r="HHI17" s="418"/>
      <c r="HHJ17" s="418"/>
      <c r="HHK17" s="418"/>
      <c r="HHL17" s="418"/>
      <c r="HHM17" s="418"/>
      <c r="HHN17" s="418"/>
      <c r="HHO17" s="418"/>
      <c r="HHP17" s="418"/>
      <c r="HHQ17" s="418"/>
      <c r="HHR17" s="418"/>
      <c r="HHS17" s="418"/>
      <c r="HHT17" s="418"/>
      <c r="HHU17" s="418"/>
      <c r="HHV17" s="418"/>
      <c r="HHW17" s="418"/>
      <c r="HHX17" s="418"/>
      <c r="HHY17" s="418"/>
      <c r="HHZ17" s="418"/>
      <c r="HIA17" s="418"/>
      <c r="HIB17" s="418"/>
      <c r="HIC17" s="418"/>
      <c r="HID17" s="418"/>
      <c r="HIE17" s="418"/>
      <c r="HIF17" s="418"/>
      <c r="HIG17" s="418"/>
      <c r="HIH17" s="418"/>
      <c r="HII17" s="418"/>
      <c r="HIJ17" s="418"/>
      <c r="HIK17" s="418"/>
      <c r="HIL17" s="418"/>
      <c r="HIM17" s="418"/>
      <c r="HIN17" s="418"/>
      <c r="HIO17" s="418"/>
      <c r="HIP17" s="418"/>
      <c r="HIQ17" s="418"/>
      <c r="HIR17" s="418"/>
      <c r="HIS17" s="418"/>
      <c r="HIT17" s="418"/>
      <c r="HIU17" s="418"/>
      <c r="HIV17" s="418"/>
      <c r="HIW17" s="418"/>
      <c r="HIX17" s="418"/>
      <c r="HIY17" s="418"/>
      <c r="HIZ17" s="418"/>
      <c r="HJA17" s="418"/>
      <c r="HJB17" s="418"/>
      <c r="HJC17" s="418"/>
      <c r="HJD17" s="418"/>
      <c r="HJE17" s="418"/>
      <c r="HJF17" s="418"/>
      <c r="HJG17" s="418"/>
      <c r="HJH17" s="418"/>
      <c r="HJI17" s="418"/>
      <c r="HJJ17" s="418"/>
      <c r="HJK17" s="418"/>
      <c r="HJL17" s="418"/>
      <c r="HJM17" s="418"/>
      <c r="HJN17" s="418"/>
      <c r="HJO17" s="418"/>
      <c r="HJP17" s="418"/>
      <c r="HJQ17" s="418"/>
      <c r="HJR17" s="418"/>
      <c r="HJS17" s="418"/>
      <c r="HJT17" s="418"/>
      <c r="HJU17" s="418"/>
      <c r="HJV17" s="418"/>
      <c r="HJW17" s="418"/>
      <c r="HJX17" s="418"/>
      <c r="HJY17" s="418"/>
      <c r="HJZ17" s="418"/>
      <c r="HKA17" s="418"/>
      <c r="HKB17" s="418"/>
      <c r="HKC17" s="418"/>
      <c r="HKD17" s="418"/>
      <c r="HKE17" s="418"/>
      <c r="HKF17" s="418"/>
      <c r="HKG17" s="418"/>
      <c r="HKH17" s="418"/>
      <c r="HKI17" s="418"/>
      <c r="HKJ17" s="418"/>
      <c r="HKK17" s="418"/>
      <c r="HKL17" s="418"/>
      <c r="HKM17" s="418"/>
      <c r="HKN17" s="418"/>
      <c r="HKO17" s="418"/>
      <c r="HKP17" s="418"/>
      <c r="HKQ17" s="418"/>
      <c r="HKR17" s="418"/>
      <c r="HKS17" s="418"/>
      <c r="HKT17" s="418"/>
      <c r="HKU17" s="418"/>
      <c r="HKV17" s="418"/>
      <c r="HKW17" s="418"/>
      <c r="HKX17" s="418"/>
      <c r="HKY17" s="418"/>
      <c r="HKZ17" s="418"/>
      <c r="HLA17" s="418"/>
      <c r="HLB17" s="418"/>
      <c r="HLC17" s="418"/>
      <c r="HLD17" s="418"/>
      <c r="HLE17" s="418"/>
      <c r="HLF17" s="418"/>
      <c r="HLG17" s="418"/>
      <c r="HLH17" s="418"/>
      <c r="HLI17" s="418"/>
      <c r="HLJ17" s="418"/>
      <c r="HLK17" s="418"/>
      <c r="HLL17" s="418"/>
      <c r="HLM17" s="418"/>
      <c r="HLN17" s="418"/>
      <c r="HLO17" s="418"/>
      <c r="HLP17" s="418"/>
      <c r="HLQ17" s="418"/>
      <c r="HLR17" s="418"/>
      <c r="HLS17" s="418"/>
      <c r="HLT17" s="418"/>
      <c r="HLU17" s="418"/>
      <c r="HLV17" s="418"/>
      <c r="HLW17" s="418"/>
      <c r="HLX17" s="418"/>
      <c r="HLY17" s="418"/>
      <c r="HLZ17" s="418"/>
      <c r="HMA17" s="418"/>
      <c r="HMB17" s="418"/>
      <c r="HMC17" s="418"/>
      <c r="HMD17" s="418"/>
      <c r="HME17" s="418"/>
      <c r="HMF17" s="418"/>
      <c r="HMG17" s="418"/>
      <c r="HMH17" s="418"/>
      <c r="HMI17" s="418"/>
      <c r="HMJ17" s="418"/>
      <c r="HMK17" s="418"/>
      <c r="HML17" s="418"/>
      <c r="HMM17" s="418"/>
      <c r="HMN17" s="418"/>
      <c r="HMO17" s="418"/>
      <c r="HMP17" s="418"/>
      <c r="HMQ17" s="418"/>
      <c r="HMR17" s="418"/>
      <c r="HMS17" s="418"/>
      <c r="HMT17" s="418"/>
      <c r="HMU17" s="418"/>
      <c r="HMV17" s="418"/>
      <c r="HMW17" s="418"/>
      <c r="HMX17" s="418"/>
      <c r="HMY17" s="418"/>
      <c r="HMZ17" s="418"/>
      <c r="HNA17" s="418"/>
      <c r="HNB17" s="418"/>
      <c r="HNC17" s="418"/>
      <c r="HND17" s="418"/>
      <c r="HNE17" s="418"/>
      <c r="HNF17" s="418"/>
      <c r="HNG17" s="418"/>
      <c r="HNH17" s="418"/>
      <c r="HNI17" s="418"/>
      <c r="HNJ17" s="418"/>
      <c r="HNK17" s="418"/>
      <c r="HNL17" s="418"/>
      <c r="HNM17" s="418"/>
      <c r="HNN17" s="418"/>
      <c r="HNO17" s="418"/>
      <c r="HNP17" s="418"/>
      <c r="HNQ17" s="418"/>
      <c r="HNR17" s="418"/>
      <c r="HNS17" s="418"/>
      <c r="HNT17" s="418"/>
      <c r="HNU17" s="418"/>
      <c r="HNV17" s="418"/>
      <c r="HNW17" s="418"/>
      <c r="HNX17" s="418"/>
      <c r="HNY17" s="418"/>
      <c r="HNZ17" s="418"/>
      <c r="HOA17" s="418"/>
      <c r="HOB17" s="418"/>
      <c r="HOC17" s="418"/>
      <c r="HOD17" s="418"/>
      <c r="HOE17" s="418"/>
      <c r="HOF17" s="418"/>
      <c r="HOG17" s="418"/>
      <c r="HOH17" s="418"/>
      <c r="HOI17" s="418"/>
      <c r="HOJ17" s="418"/>
      <c r="HOK17" s="418"/>
      <c r="HOL17" s="418"/>
      <c r="HOM17" s="418"/>
      <c r="HON17" s="418"/>
      <c r="HOO17" s="418"/>
      <c r="HOP17" s="418"/>
      <c r="HOQ17" s="418"/>
      <c r="HOR17" s="418"/>
      <c r="HOS17" s="418"/>
      <c r="HOT17" s="418"/>
      <c r="HOU17" s="418"/>
      <c r="HOV17" s="418"/>
      <c r="HOW17" s="418"/>
      <c r="HOX17" s="418"/>
      <c r="HOY17" s="418"/>
      <c r="HOZ17" s="418"/>
      <c r="HPA17" s="418"/>
      <c r="HPB17" s="418"/>
      <c r="HPC17" s="418"/>
      <c r="HPD17" s="418"/>
      <c r="HPE17" s="418"/>
      <c r="HPF17" s="418"/>
      <c r="HPG17" s="418"/>
      <c r="HPH17" s="418"/>
      <c r="HPI17" s="418"/>
      <c r="HPJ17" s="418"/>
      <c r="HPK17" s="418"/>
      <c r="HPL17" s="418"/>
      <c r="HPM17" s="418"/>
      <c r="HPN17" s="418"/>
      <c r="HPO17" s="418"/>
      <c r="HPP17" s="418"/>
      <c r="HPQ17" s="418"/>
      <c r="HPR17" s="418"/>
      <c r="HPS17" s="418"/>
      <c r="HPT17" s="418"/>
      <c r="HPU17" s="418"/>
      <c r="HPV17" s="418"/>
      <c r="HPW17" s="418"/>
      <c r="HPX17" s="418"/>
      <c r="HPY17" s="418"/>
      <c r="HPZ17" s="418"/>
      <c r="HQA17" s="418"/>
      <c r="HQB17" s="418"/>
      <c r="HQC17" s="418"/>
      <c r="HQD17" s="418"/>
      <c r="HQE17" s="418"/>
      <c r="HQF17" s="418"/>
      <c r="HQG17" s="418"/>
      <c r="HQH17" s="418"/>
      <c r="HQI17" s="418"/>
      <c r="HQJ17" s="418"/>
      <c r="HQK17" s="418"/>
      <c r="HQL17" s="418"/>
      <c r="HQM17" s="418"/>
      <c r="HQN17" s="418"/>
      <c r="HQO17" s="418"/>
      <c r="HQP17" s="418"/>
      <c r="HQQ17" s="418"/>
      <c r="HQR17" s="418"/>
      <c r="HQS17" s="418"/>
      <c r="HQT17" s="418"/>
      <c r="HQU17" s="418"/>
      <c r="HQV17" s="418"/>
      <c r="HQW17" s="418"/>
      <c r="HQX17" s="418"/>
      <c r="HQY17" s="418"/>
      <c r="HQZ17" s="418"/>
      <c r="HRA17" s="418"/>
      <c r="HRB17" s="418"/>
      <c r="HRC17" s="418"/>
      <c r="HRD17" s="418"/>
      <c r="HRE17" s="418"/>
      <c r="HRF17" s="418"/>
      <c r="HRG17" s="418"/>
      <c r="HRH17" s="418"/>
      <c r="HRI17" s="418"/>
      <c r="HRJ17" s="418"/>
      <c r="HRK17" s="418"/>
      <c r="HRL17" s="418"/>
      <c r="HRM17" s="418"/>
      <c r="HRN17" s="418"/>
      <c r="HRO17" s="418"/>
      <c r="HRP17" s="418"/>
      <c r="HRQ17" s="418"/>
      <c r="HRR17" s="418"/>
      <c r="HRS17" s="418"/>
      <c r="HRT17" s="418"/>
      <c r="HRU17" s="418"/>
      <c r="HRV17" s="418"/>
      <c r="HRW17" s="418"/>
      <c r="HRX17" s="418"/>
      <c r="HRY17" s="418"/>
      <c r="HRZ17" s="418"/>
      <c r="HSA17" s="418"/>
      <c r="HSB17" s="418"/>
      <c r="HSC17" s="418"/>
      <c r="HSD17" s="418"/>
      <c r="HSE17" s="418"/>
      <c r="HSF17" s="418"/>
      <c r="HSG17" s="418"/>
      <c r="HSH17" s="418"/>
      <c r="HSI17" s="418"/>
      <c r="HSJ17" s="418"/>
      <c r="HSK17" s="418"/>
      <c r="HSL17" s="418"/>
      <c r="HSM17" s="418"/>
      <c r="HSN17" s="418"/>
      <c r="HSO17" s="418"/>
      <c r="HSP17" s="418"/>
      <c r="HSQ17" s="418"/>
      <c r="HSR17" s="418"/>
      <c r="HSS17" s="418"/>
      <c r="HST17" s="418"/>
      <c r="HSU17" s="418"/>
      <c r="HSV17" s="418"/>
      <c r="HSW17" s="418"/>
      <c r="HSX17" s="418"/>
      <c r="HSY17" s="418"/>
      <c r="HSZ17" s="418"/>
      <c r="HTA17" s="418"/>
      <c r="HTB17" s="418"/>
      <c r="HTC17" s="418"/>
      <c r="HTD17" s="418"/>
      <c r="HTE17" s="418"/>
      <c r="HTF17" s="418"/>
      <c r="HTG17" s="418"/>
      <c r="HTH17" s="418"/>
      <c r="HTI17" s="418"/>
      <c r="HTJ17" s="418"/>
      <c r="HTK17" s="418"/>
      <c r="HTL17" s="418"/>
      <c r="HTM17" s="418"/>
      <c r="HTN17" s="418"/>
      <c r="HTO17" s="418"/>
      <c r="HTP17" s="418"/>
      <c r="HTQ17" s="418"/>
      <c r="HTR17" s="418"/>
      <c r="HTS17" s="418"/>
      <c r="HTT17" s="418"/>
      <c r="HTU17" s="418"/>
      <c r="HTV17" s="418"/>
      <c r="HTW17" s="418"/>
      <c r="HTX17" s="418"/>
      <c r="HTY17" s="418"/>
      <c r="HTZ17" s="418"/>
      <c r="HUA17" s="418"/>
      <c r="HUB17" s="418"/>
      <c r="HUC17" s="418"/>
      <c r="HUD17" s="418"/>
      <c r="HUE17" s="418"/>
      <c r="HUF17" s="418"/>
      <c r="HUG17" s="418"/>
      <c r="HUH17" s="418"/>
      <c r="HUI17" s="418"/>
      <c r="HUJ17" s="418"/>
      <c r="HUK17" s="418"/>
      <c r="HUL17" s="418"/>
      <c r="HUM17" s="418"/>
      <c r="HUN17" s="418"/>
      <c r="HUO17" s="418"/>
      <c r="HUP17" s="418"/>
      <c r="HUQ17" s="418"/>
      <c r="HUR17" s="418"/>
      <c r="HUS17" s="418"/>
      <c r="HUT17" s="418"/>
      <c r="HUU17" s="418"/>
      <c r="HUV17" s="418"/>
      <c r="HUW17" s="418"/>
      <c r="HUX17" s="418"/>
      <c r="HUY17" s="418"/>
      <c r="HUZ17" s="418"/>
      <c r="HVA17" s="418"/>
      <c r="HVB17" s="418"/>
      <c r="HVC17" s="418"/>
      <c r="HVD17" s="418"/>
      <c r="HVE17" s="418"/>
      <c r="HVF17" s="418"/>
      <c r="HVG17" s="418"/>
      <c r="HVH17" s="418"/>
      <c r="HVI17" s="418"/>
      <c r="HVJ17" s="418"/>
      <c r="HVK17" s="418"/>
      <c r="HVL17" s="418"/>
      <c r="HVM17" s="418"/>
      <c r="HVN17" s="418"/>
      <c r="HVO17" s="418"/>
      <c r="HVP17" s="418"/>
      <c r="HVQ17" s="418"/>
      <c r="HVR17" s="418"/>
      <c r="HVS17" s="418"/>
      <c r="HVT17" s="418"/>
      <c r="HVU17" s="418"/>
      <c r="HVV17" s="418"/>
      <c r="HVW17" s="418"/>
      <c r="HVX17" s="418"/>
      <c r="HVY17" s="418"/>
      <c r="HVZ17" s="418"/>
      <c r="HWA17" s="418"/>
      <c r="HWB17" s="418"/>
      <c r="HWC17" s="418"/>
      <c r="HWD17" s="418"/>
      <c r="HWE17" s="418"/>
      <c r="HWF17" s="418"/>
      <c r="HWG17" s="418"/>
      <c r="HWH17" s="418"/>
      <c r="HWI17" s="418"/>
      <c r="HWJ17" s="418"/>
      <c r="HWK17" s="418"/>
      <c r="HWL17" s="418"/>
      <c r="HWM17" s="418"/>
      <c r="HWN17" s="418"/>
      <c r="HWO17" s="418"/>
      <c r="HWP17" s="418"/>
      <c r="HWQ17" s="418"/>
      <c r="HWR17" s="418"/>
      <c r="HWS17" s="418"/>
      <c r="HWT17" s="418"/>
      <c r="HWU17" s="418"/>
      <c r="HWV17" s="418"/>
      <c r="HWW17" s="418"/>
      <c r="HWX17" s="418"/>
      <c r="HWY17" s="418"/>
      <c r="HWZ17" s="418"/>
      <c r="HXA17" s="418"/>
      <c r="HXB17" s="418"/>
      <c r="HXC17" s="418"/>
      <c r="HXD17" s="418"/>
      <c r="HXE17" s="418"/>
      <c r="HXF17" s="418"/>
      <c r="HXG17" s="418"/>
      <c r="HXH17" s="418"/>
      <c r="HXI17" s="418"/>
      <c r="HXJ17" s="418"/>
      <c r="HXK17" s="418"/>
      <c r="HXL17" s="418"/>
      <c r="HXM17" s="418"/>
      <c r="HXN17" s="418"/>
      <c r="HXO17" s="418"/>
      <c r="HXP17" s="418"/>
      <c r="HXQ17" s="418"/>
      <c r="HXR17" s="418"/>
      <c r="HXS17" s="418"/>
      <c r="HXT17" s="418"/>
      <c r="HXU17" s="418"/>
      <c r="HXV17" s="418"/>
      <c r="HXW17" s="418"/>
      <c r="HXX17" s="418"/>
      <c r="HXY17" s="418"/>
      <c r="HXZ17" s="418"/>
      <c r="HYA17" s="418"/>
      <c r="HYB17" s="418"/>
      <c r="HYC17" s="418"/>
      <c r="HYD17" s="418"/>
      <c r="HYE17" s="418"/>
      <c r="HYF17" s="418"/>
      <c r="HYG17" s="418"/>
      <c r="HYH17" s="418"/>
      <c r="HYI17" s="418"/>
      <c r="HYJ17" s="418"/>
      <c r="HYK17" s="418"/>
      <c r="HYL17" s="418"/>
      <c r="HYM17" s="418"/>
      <c r="HYN17" s="418"/>
      <c r="HYO17" s="418"/>
      <c r="HYP17" s="418"/>
      <c r="HYQ17" s="418"/>
      <c r="HYR17" s="418"/>
      <c r="HYS17" s="418"/>
      <c r="HYT17" s="418"/>
      <c r="HYU17" s="418"/>
      <c r="HYV17" s="418"/>
      <c r="HYW17" s="418"/>
      <c r="HYX17" s="418"/>
      <c r="HYY17" s="418"/>
      <c r="HYZ17" s="418"/>
      <c r="HZA17" s="418"/>
      <c r="HZB17" s="418"/>
      <c r="HZC17" s="418"/>
      <c r="HZD17" s="418"/>
      <c r="HZE17" s="418"/>
      <c r="HZF17" s="418"/>
      <c r="HZG17" s="418"/>
      <c r="HZH17" s="418"/>
      <c r="HZI17" s="418"/>
      <c r="HZJ17" s="418"/>
      <c r="HZK17" s="418"/>
      <c r="HZL17" s="418"/>
      <c r="HZM17" s="418"/>
      <c r="HZN17" s="418"/>
      <c r="HZO17" s="418"/>
      <c r="HZP17" s="418"/>
      <c r="HZQ17" s="418"/>
      <c r="HZR17" s="418"/>
      <c r="HZS17" s="418"/>
      <c r="HZT17" s="418"/>
      <c r="HZU17" s="418"/>
      <c r="HZV17" s="418"/>
      <c r="HZW17" s="418"/>
      <c r="HZX17" s="418"/>
      <c r="HZY17" s="418"/>
      <c r="HZZ17" s="418"/>
      <c r="IAA17" s="418"/>
      <c r="IAB17" s="418"/>
      <c r="IAC17" s="418"/>
      <c r="IAD17" s="418"/>
      <c r="IAE17" s="418"/>
      <c r="IAF17" s="418"/>
      <c r="IAG17" s="418"/>
      <c r="IAH17" s="418"/>
      <c r="IAI17" s="418"/>
      <c r="IAJ17" s="418"/>
      <c r="IAK17" s="418"/>
      <c r="IAL17" s="418"/>
      <c r="IAM17" s="418"/>
      <c r="IAN17" s="418"/>
      <c r="IAO17" s="418"/>
      <c r="IAP17" s="418"/>
      <c r="IAQ17" s="418"/>
      <c r="IAR17" s="418"/>
      <c r="IAS17" s="418"/>
      <c r="IAT17" s="418"/>
      <c r="IAU17" s="418"/>
      <c r="IAV17" s="418"/>
      <c r="IAW17" s="418"/>
      <c r="IAX17" s="418"/>
      <c r="IAY17" s="418"/>
      <c r="IAZ17" s="418"/>
      <c r="IBA17" s="418"/>
      <c r="IBB17" s="418"/>
      <c r="IBC17" s="418"/>
      <c r="IBD17" s="418"/>
      <c r="IBE17" s="418"/>
      <c r="IBF17" s="418"/>
      <c r="IBG17" s="418"/>
      <c r="IBH17" s="418"/>
      <c r="IBI17" s="418"/>
      <c r="IBJ17" s="418"/>
      <c r="IBK17" s="418"/>
      <c r="IBL17" s="418"/>
      <c r="IBM17" s="418"/>
      <c r="IBN17" s="418"/>
      <c r="IBO17" s="418"/>
      <c r="IBP17" s="418"/>
      <c r="IBQ17" s="418"/>
      <c r="IBR17" s="418"/>
      <c r="IBS17" s="418"/>
      <c r="IBT17" s="418"/>
      <c r="IBU17" s="418"/>
      <c r="IBV17" s="418"/>
      <c r="IBW17" s="418"/>
      <c r="IBX17" s="418"/>
      <c r="IBY17" s="418"/>
      <c r="IBZ17" s="418"/>
      <c r="ICA17" s="418"/>
      <c r="ICB17" s="418"/>
      <c r="ICC17" s="418"/>
      <c r="ICD17" s="418"/>
      <c r="ICE17" s="418"/>
      <c r="ICF17" s="418"/>
      <c r="ICG17" s="418"/>
      <c r="ICH17" s="418"/>
      <c r="ICI17" s="418"/>
      <c r="ICJ17" s="418"/>
      <c r="ICK17" s="418"/>
      <c r="ICL17" s="418"/>
      <c r="ICM17" s="418"/>
      <c r="ICN17" s="418"/>
      <c r="ICO17" s="418"/>
      <c r="ICP17" s="418"/>
      <c r="ICQ17" s="418"/>
      <c r="ICR17" s="418"/>
      <c r="ICS17" s="418"/>
      <c r="ICT17" s="418"/>
      <c r="ICU17" s="418"/>
      <c r="ICV17" s="418"/>
      <c r="ICW17" s="418"/>
      <c r="ICX17" s="418"/>
      <c r="ICY17" s="418"/>
      <c r="ICZ17" s="418"/>
      <c r="IDA17" s="418"/>
      <c r="IDB17" s="418"/>
      <c r="IDC17" s="418"/>
      <c r="IDD17" s="418"/>
      <c r="IDE17" s="418"/>
      <c r="IDF17" s="418"/>
      <c r="IDG17" s="418"/>
      <c r="IDH17" s="418"/>
      <c r="IDI17" s="418"/>
      <c r="IDJ17" s="418"/>
      <c r="IDK17" s="418"/>
      <c r="IDL17" s="418"/>
      <c r="IDM17" s="418"/>
      <c r="IDN17" s="418"/>
      <c r="IDO17" s="418"/>
      <c r="IDP17" s="418"/>
      <c r="IDQ17" s="418"/>
      <c r="IDR17" s="418"/>
      <c r="IDS17" s="418"/>
      <c r="IDT17" s="418"/>
      <c r="IDU17" s="418"/>
      <c r="IDV17" s="418"/>
      <c r="IDW17" s="418"/>
      <c r="IDX17" s="418"/>
      <c r="IDY17" s="418"/>
      <c r="IDZ17" s="418"/>
      <c r="IEA17" s="418"/>
      <c r="IEB17" s="418"/>
      <c r="IEC17" s="418"/>
      <c r="IED17" s="418"/>
      <c r="IEE17" s="418"/>
      <c r="IEF17" s="418"/>
      <c r="IEG17" s="418"/>
      <c r="IEH17" s="418"/>
      <c r="IEI17" s="418"/>
      <c r="IEJ17" s="418"/>
      <c r="IEK17" s="418"/>
      <c r="IEL17" s="418"/>
      <c r="IEM17" s="418"/>
      <c r="IEN17" s="418"/>
      <c r="IEO17" s="418"/>
      <c r="IEP17" s="418"/>
      <c r="IEQ17" s="418"/>
      <c r="IER17" s="418"/>
      <c r="IES17" s="418"/>
      <c r="IET17" s="418"/>
      <c r="IEU17" s="418"/>
      <c r="IEV17" s="418"/>
      <c r="IEW17" s="418"/>
      <c r="IEX17" s="418"/>
      <c r="IEY17" s="418"/>
      <c r="IEZ17" s="418"/>
      <c r="IFA17" s="418"/>
      <c r="IFB17" s="418"/>
      <c r="IFC17" s="418"/>
      <c r="IFD17" s="418"/>
      <c r="IFE17" s="418"/>
      <c r="IFF17" s="418"/>
      <c r="IFG17" s="418"/>
      <c r="IFH17" s="418"/>
      <c r="IFI17" s="418"/>
      <c r="IFJ17" s="418"/>
      <c r="IFK17" s="418"/>
      <c r="IFL17" s="418"/>
      <c r="IFM17" s="418"/>
      <c r="IFN17" s="418"/>
      <c r="IFO17" s="418"/>
      <c r="IFP17" s="418"/>
      <c r="IFQ17" s="418"/>
      <c r="IFR17" s="418"/>
      <c r="IFS17" s="418"/>
      <c r="IFT17" s="418"/>
      <c r="IFU17" s="418"/>
      <c r="IFV17" s="418"/>
      <c r="IFW17" s="418"/>
      <c r="IFX17" s="418"/>
      <c r="IFY17" s="418"/>
      <c r="IFZ17" s="418"/>
      <c r="IGA17" s="418"/>
      <c r="IGB17" s="418"/>
      <c r="IGC17" s="418"/>
      <c r="IGD17" s="418"/>
      <c r="IGE17" s="418"/>
      <c r="IGF17" s="418"/>
      <c r="IGG17" s="418"/>
      <c r="IGH17" s="418"/>
      <c r="IGI17" s="418"/>
      <c r="IGJ17" s="418"/>
      <c r="IGK17" s="418"/>
      <c r="IGL17" s="418"/>
      <c r="IGM17" s="418"/>
      <c r="IGN17" s="418"/>
      <c r="IGO17" s="418"/>
      <c r="IGP17" s="418"/>
      <c r="IGQ17" s="418"/>
      <c r="IGR17" s="418"/>
      <c r="IGS17" s="418"/>
      <c r="IGT17" s="418"/>
      <c r="IGU17" s="418"/>
      <c r="IGV17" s="418"/>
      <c r="IGW17" s="418"/>
      <c r="IGX17" s="418"/>
      <c r="IGY17" s="418"/>
      <c r="IGZ17" s="418"/>
      <c r="IHA17" s="418"/>
      <c r="IHB17" s="418"/>
      <c r="IHC17" s="418"/>
      <c r="IHD17" s="418"/>
      <c r="IHE17" s="418"/>
      <c r="IHF17" s="418"/>
      <c r="IHG17" s="418"/>
      <c r="IHH17" s="418"/>
      <c r="IHI17" s="418"/>
      <c r="IHJ17" s="418"/>
      <c r="IHK17" s="418"/>
      <c r="IHL17" s="418"/>
      <c r="IHM17" s="418"/>
      <c r="IHN17" s="418"/>
      <c r="IHO17" s="418"/>
      <c r="IHP17" s="418"/>
      <c r="IHQ17" s="418"/>
      <c r="IHR17" s="418"/>
      <c r="IHS17" s="418"/>
      <c r="IHT17" s="418"/>
      <c r="IHU17" s="418"/>
      <c r="IHV17" s="418"/>
      <c r="IHW17" s="418"/>
      <c r="IHX17" s="418"/>
      <c r="IHY17" s="418"/>
      <c r="IHZ17" s="418"/>
      <c r="IIA17" s="418"/>
      <c r="IIB17" s="418"/>
      <c r="IIC17" s="418"/>
      <c r="IID17" s="418"/>
      <c r="IIE17" s="418"/>
      <c r="IIF17" s="418"/>
      <c r="IIG17" s="418"/>
      <c r="IIH17" s="418"/>
      <c r="III17" s="418"/>
      <c r="IIJ17" s="418"/>
      <c r="IIK17" s="418"/>
      <c r="IIL17" s="418"/>
      <c r="IIM17" s="418"/>
      <c r="IIN17" s="418"/>
      <c r="IIO17" s="418"/>
      <c r="IIP17" s="418"/>
      <c r="IIQ17" s="418"/>
      <c r="IIR17" s="418"/>
      <c r="IIS17" s="418"/>
      <c r="IIT17" s="418"/>
      <c r="IIU17" s="418"/>
      <c r="IIV17" s="418"/>
      <c r="IIW17" s="418"/>
      <c r="IIX17" s="418"/>
      <c r="IIY17" s="418"/>
      <c r="IIZ17" s="418"/>
      <c r="IJA17" s="418"/>
      <c r="IJB17" s="418"/>
      <c r="IJC17" s="418"/>
      <c r="IJD17" s="418"/>
      <c r="IJE17" s="418"/>
      <c r="IJF17" s="418"/>
      <c r="IJG17" s="418"/>
      <c r="IJH17" s="418"/>
      <c r="IJI17" s="418"/>
      <c r="IJJ17" s="418"/>
      <c r="IJK17" s="418"/>
      <c r="IJL17" s="418"/>
      <c r="IJM17" s="418"/>
      <c r="IJN17" s="418"/>
      <c r="IJO17" s="418"/>
      <c r="IJP17" s="418"/>
      <c r="IJQ17" s="418"/>
      <c r="IJR17" s="418"/>
      <c r="IJS17" s="418"/>
      <c r="IJT17" s="418"/>
      <c r="IJU17" s="418"/>
      <c r="IJV17" s="418"/>
      <c r="IJW17" s="418"/>
      <c r="IJX17" s="418"/>
      <c r="IJY17" s="418"/>
      <c r="IJZ17" s="418"/>
      <c r="IKA17" s="418"/>
      <c r="IKB17" s="418"/>
      <c r="IKC17" s="418"/>
      <c r="IKD17" s="418"/>
      <c r="IKE17" s="418"/>
      <c r="IKF17" s="418"/>
      <c r="IKG17" s="418"/>
      <c r="IKH17" s="418"/>
      <c r="IKI17" s="418"/>
      <c r="IKJ17" s="418"/>
      <c r="IKK17" s="418"/>
      <c r="IKL17" s="418"/>
      <c r="IKM17" s="418"/>
      <c r="IKN17" s="418"/>
      <c r="IKO17" s="418"/>
      <c r="IKP17" s="418"/>
      <c r="IKQ17" s="418"/>
      <c r="IKR17" s="418"/>
      <c r="IKS17" s="418"/>
      <c r="IKT17" s="418"/>
      <c r="IKU17" s="418"/>
      <c r="IKV17" s="418"/>
      <c r="IKW17" s="418"/>
      <c r="IKX17" s="418"/>
      <c r="IKY17" s="418"/>
      <c r="IKZ17" s="418"/>
      <c r="ILA17" s="418"/>
      <c r="ILB17" s="418"/>
      <c r="ILC17" s="418"/>
      <c r="ILD17" s="418"/>
      <c r="ILE17" s="418"/>
      <c r="ILF17" s="418"/>
      <c r="ILG17" s="418"/>
      <c r="ILH17" s="418"/>
      <c r="ILI17" s="418"/>
      <c r="ILJ17" s="418"/>
      <c r="ILK17" s="418"/>
      <c r="ILL17" s="418"/>
      <c r="ILM17" s="418"/>
      <c r="ILN17" s="418"/>
      <c r="ILO17" s="418"/>
      <c r="ILP17" s="418"/>
      <c r="ILQ17" s="418"/>
      <c r="ILR17" s="418"/>
      <c r="ILS17" s="418"/>
      <c r="ILT17" s="418"/>
      <c r="ILU17" s="418"/>
      <c r="ILV17" s="418"/>
      <c r="ILW17" s="418"/>
      <c r="ILX17" s="418"/>
      <c r="ILY17" s="418"/>
      <c r="ILZ17" s="418"/>
      <c r="IMA17" s="418"/>
      <c r="IMB17" s="418"/>
      <c r="IMC17" s="418"/>
      <c r="IMD17" s="418"/>
      <c r="IME17" s="418"/>
      <c r="IMF17" s="418"/>
      <c r="IMG17" s="418"/>
      <c r="IMH17" s="418"/>
      <c r="IMI17" s="418"/>
      <c r="IMJ17" s="418"/>
      <c r="IMK17" s="418"/>
      <c r="IML17" s="418"/>
      <c r="IMM17" s="418"/>
      <c r="IMN17" s="418"/>
      <c r="IMO17" s="418"/>
      <c r="IMP17" s="418"/>
      <c r="IMQ17" s="418"/>
      <c r="IMR17" s="418"/>
      <c r="IMS17" s="418"/>
      <c r="IMT17" s="418"/>
      <c r="IMU17" s="418"/>
      <c r="IMV17" s="418"/>
      <c r="IMW17" s="418"/>
      <c r="IMX17" s="418"/>
      <c r="IMY17" s="418"/>
      <c r="IMZ17" s="418"/>
      <c r="INA17" s="418"/>
      <c r="INB17" s="418"/>
      <c r="INC17" s="418"/>
      <c r="IND17" s="418"/>
      <c r="INE17" s="418"/>
      <c r="INF17" s="418"/>
      <c r="ING17" s="418"/>
      <c r="INH17" s="418"/>
      <c r="INI17" s="418"/>
      <c r="INJ17" s="418"/>
      <c r="INK17" s="418"/>
      <c r="INL17" s="418"/>
      <c r="INM17" s="418"/>
      <c r="INN17" s="418"/>
      <c r="INO17" s="418"/>
      <c r="INP17" s="418"/>
      <c r="INQ17" s="418"/>
      <c r="INR17" s="418"/>
      <c r="INS17" s="418"/>
      <c r="INT17" s="418"/>
      <c r="INU17" s="418"/>
      <c r="INV17" s="418"/>
      <c r="INW17" s="418"/>
      <c r="INX17" s="418"/>
      <c r="INY17" s="418"/>
      <c r="INZ17" s="418"/>
      <c r="IOA17" s="418"/>
      <c r="IOB17" s="418"/>
      <c r="IOC17" s="418"/>
      <c r="IOD17" s="418"/>
      <c r="IOE17" s="418"/>
      <c r="IOF17" s="418"/>
      <c r="IOG17" s="418"/>
      <c r="IOH17" s="418"/>
      <c r="IOI17" s="418"/>
      <c r="IOJ17" s="418"/>
      <c r="IOK17" s="418"/>
      <c r="IOL17" s="418"/>
      <c r="IOM17" s="418"/>
      <c r="ION17" s="418"/>
      <c r="IOO17" s="418"/>
      <c r="IOP17" s="418"/>
      <c r="IOQ17" s="418"/>
      <c r="IOR17" s="418"/>
      <c r="IOS17" s="418"/>
      <c r="IOT17" s="418"/>
      <c r="IOU17" s="418"/>
      <c r="IOV17" s="418"/>
      <c r="IOW17" s="418"/>
      <c r="IOX17" s="418"/>
      <c r="IOY17" s="418"/>
      <c r="IOZ17" s="418"/>
      <c r="IPA17" s="418"/>
      <c r="IPB17" s="418"/>
      <c r="IPC17" s="418"/>
      <c r="IPD17" s="418"/>
      <c r="IPE17" s="418"/>
      <c r="IPF17" s="418"/>
      <c r="IPG17" s="418"/>
      <c r="IPH17" s="418"/>
      <c r="IPI17" s="418"/>
      <c r="IPJ17" s="418"/>
      <c r="IPK17" s="418"/>
      <c r="IPL17" s="418"/>
      <c r="IPM17" s="418"/>
      <c r="IPN17" s="418"/>
      <c r="IPO17" s="418"/>
      <c r="IPP17" s="418"/>
      <c r="IPQ17" s="418"/>
      <c r="IPR17" s="418"/>
      <c r="IPS17" s="418"/>
      <c r="IPT17" s="418"/>
      <c r="IPU17" s="418"/>
      <c r="IPV17" s="418"/>
      <c r="IPW17" s="418"/>
      <c r="IPX17" s="418"/>
      <c r="IPY17" s="418"/>
      <c r="IPZ17" s="418"/>
      <c r="IQA17" s="418"/>
      <c r="IQB17" s="418"/>
      <c r="IQC17" s="418"/>
      <c r="IQD17" s="418"/>
      <c r="IQE17" s="418"/>
      <c r="IQF17" s="418"/>
      <c r="IQG17" s="418"/>
      <c r="IQH17" s="418"/>
      <c r="IQI17" s="418"/>
      <c r="IQJ17" s="418"/>
      <c r="IQK17" s="418"/>
      <c r="IQL17" s="418"/>
      <c r="IQM17" s="418"/>
      <c r="IQN17" s="418"/>
      <c r="IQO17" s="418"/>
      <c r="IQP17" s="418"/>
      <c r="IQQ17" s="418"/>
      <c r="IQR17" s="418"/>
      <c r="IQS17" s="418"/>
      <c r="IQT17" s="418"/>
      <c r="IQU17" s="418"/>
      <c r="IQV17" s="418"/>
      <c r="IQW17" s="418"/>
      <c r="IQX17" s="418"/>
      <c r="IQY17" s="418"/>
      <c r="IQZ17" s="418"/>
      <c r="IRA17" s="418"/>
      <c r="IRB17" s="418"/>
      <c r="IRC17" s="418"/>
      <c r="IRD17" s="418"/>
      <c r="IRE17" s="418"/>
      <c r="IRF17" s="418"/>
      <c r="IRG17" s="418"/>
      <c r="IRH17" s="418"/>
      <c r="IRI17" s="418"/>
      <c r="IRJ17" s="418"/>
      <c r="IRK17" s="418"/>
      <c r="IRL17" s="418"/>
      <c r="IRM17" s="418"/>
      <c r="IRN17" s="418"/>
      <c r="IRO17" s="418"/>
      <c r="IRP17" s="418"/>
      <c r="IRQ17" s="418"/>
      <c r="IRR17" s="418"/>
      <c r="IRS17" s="418"/>
      <c r="IRT17" s="418"/>
      <c r="IRU17" s="418"/>
      <c r="IRV17" s="418"/>
      <c r="IRW17" s="418"/>
      <c r="IRX17" s="418"/>
      <c r="IRY17" s="418"/>
      <c r="IRZ17" s="418"/>
      <c r="ISA17" s="418"/>
      <c r="ISB17" s="418"/>
      <c r="ISC17" s="418"/>
      <c r="ISD17" s="418"/>
      <c r="ISE17" s="418"/>
      <c r="ISF17" s="418"/>
      <c r="ISG17" s="418"/>
      <c r="ISH17" s="418"/>
      <c r="ISI17" s="418"/>
      <c r="ISJ17" s="418"/>
      <c r="ISK17" s="418"/>
      <c r="ISL17" s="418"/>
      <c r="ISM17" s="418"/>
      <c r="ISN17" s="418"/>
      <c r="ISO17" s="418"/>
      <c r="ISP17" s="418"/>
      <c r="ISQ17" s="418"/>
      <c r="ISR17" s="418"/>
      <c r="ISS17" s="418"/>
      <c r="IST17" s="418"/>
      <c r="ISU17" s="418"/>
      <c r="ISV17" s="418"/>
      <c r="ISW17" s="418"/>
      <c r="ISX17" s="418"/>
      <c r="ISY17" s="418"/>
      <c r="ISZ17" s="418"/>
      <c r="ITA17" s="418"/>
      <c r="ITB17" s="418"/>
      <c r="ITC17" s="418"/>
      <c r="ITD17" s="418"/>
      <c r="ITE17" s="418"/>
      <c r="ITF17" s="418"/>
      <c r="ITG17" s="418"/>
      <c r="ITH17" s="418"/>
      <c r="ITI17" s="418"/>
      <c r="ITJ17" s="418"/>
      <c r="ITK17" s="418"/>
      <c r="ITL17" s="418"/>
      <c r="ITM17" s="418"/>
      <c r="ITN17" s="418"/>
      <c r="ITO17" s="418"/>
      <c r="ITP17" s="418"/>
      <c r="ITQ17" s="418"/>
      <c r="ITR17" s="418"/>
      <c r="ITS17" s="418"/>
      <c r="ITT17" s="418"/>
      <c r="ITU17" s="418"/>
      <c r="ITV17" s="418"/>
      <c r="ITW17" s="418"/>
      <c r="ITX17" s="418"/>
      <c r="ITY17" s="418"/>
      <c r="ITZ17" s="418"/>
      <c r="IUA17" s="418"/>
      <c r="IUB17" s="418"/>
      <c r="IUC17" s="418"/>
      <c r="IUD17" s="418"/>
      <c r="IUE17" s="418"/>
      <c r="IUF17" s="418"/>
      <c r="IUG17" s="418"/>
      <c r="IUH17" s="418"/>
      <c r="IUI17" s="418"/>
      <c r="IUJ17" s="418"/>
      <c r="IUK17" s="418"/>
      <c r="IUL17" s="418"/>
      <c r="IUM17" s="418"/>
      <c r="IUN17" s="418"/>
      <c r="IUO17" s="418"/>
      <c r="IUP17" s="418"/>
      <c r="IUQ17" s="418"/>
      <c r="IUR17" s="418"/>
      <c r="IUS17" s="418"/>
      <c r="IUT17" s="418"/>
      <c r="IUU17" s="418"/>
      <c r="IUV17" s="418"/>
      <c r="IUW17" s="418"/>
      <c r="IUX17" s="418"/>
      <c r="IUY17" s="418"/>
      <c r="IUZ17" s="418"/>
      <c r="IVA17" s="418"/>
      <c r="IVB17" s="418"/>
      <c r="IVC17" s="418"/>
      <c r="IVD17" s="418"/>
      <c r="IVE17" s="418"/>
      <c r="IVF17" s="418"/>
      <c r="IVG17" s="418"/>
      <c r="IVH17" s="418"/>
      <c r="IVI17" s="418"/>
      <c r="IVJ17" s="418"/>
      <c r="IVK17" s="418"/>
      <c r="IVL17" s="418"/>
      <c r="IVM17" s="418"/>
      <c r="IVN17" s="418"/>
      <c r="IVO17" s="418"/>
      <c r="IVP17" s="418"/>
      <c r="IVQ17" s="418"/>
      <c r="IVR17" s="418"/>
      <c r="IVS17" s="418"/>
      <c r="IVT17" s="418"/>
      <c r="IVU17" s="418"/>
      <c r="IVV17" s="418"/>
      <c r="IVW17" s="418"/>
      <c r="IVX17" s="418"/>
      <c r="IVY17" s="418"/>
      <c r="IVZ17" s="418"/>
      <c r="IWA17" s="418"/>
      <c r="IWB17" s="418"/>
      <c r="IWC17" s="418"/>
      <c r="IWD17" s="418"/>
      <c r="IWE17" s="418"/>
      <c r="IWF17" s="418"/>
      <c r="IWG17" s="418"/>
      <c r="IWH17" s="418"/>
      <c r="IWI17" s="418"/>
      <c r="IWJ17" s="418"/>
      <c r="IWK17" s="418"/>
      <c r="IWL17" s="418"/>
      <c r="IWM17" s="418"/>
      <c r="IWN17" s="418"/>
      <c r="IWO17" s="418"/>
      <c r="IWP17" s="418"/>
      <c r="IWQ17" s="418"/>
      <c r="IWR17" s="418"/>
      <c r="IWS17" s="418"/>
      <c r="IWT17" s="418"/>
      <c r="IWU17" s="418"/>
      <c r="IWV17" s="418"/>
      <c r="IWW17" s="418"/>
      <c r="IWX17" s="418"/>
      <c r="IWY17" s="418"/>
      <c r="IWZ17" s="418"/>
      <c r="IXA17" s="418"/>
      <c r="IXB17" s="418"/>
      <c r="IXC17" s="418"/>
      <c r="IXD17" s="418"/>
      <c r="IXE17" s="418"/>
      <c r="IXF17" s="418"/>
      <c r="IXG17" s="418"/>
      <c r="IXH17" s="418"/>
      <c r="IXI17" s="418"/>
      <c r="IXJ17" s="418"/>
      <c r="IXK17" s="418"/>
      <c r="IXL17" s="418"/>
      <c r="IXM17" s="418"/>
      <c r="IXN17" s="418"/>
      <c r="IXO17" s="418"/>
      <c r="IXP17" s="418"/>
      <c r="IXQ17" s="418"/>
      <c r="IXR17" s="418"/>
      <c r="IXS17" s="418"/>
      <c r="IXT17" s="418"/>
      <c r="IXU17" s="418"/>
      <c r="IXV17" s="418"/>
      <c r="IXW17" s="418"/>
      <c r="IXX17" s="418"/>
      <c r="IXY17" s="418"/>
      <c r="IXZ17" s="418"/>
      <c r="IYA17" s="418"/>
      <c r="IYB17" s="418"/>
      <c r="IYC17" s="418"/>
      <c r="IYD17" s="418"/>
      <c r="IYE17" s="418"/>
      <c r="IYF17" s="418"/>
      <c r="IYG17" s="418"/>
      <c r="IYH17" s="418"/>
      <c r="IYI17" s="418"/>
      <c r="IYJ17" s="418"/>
      <c r="IYK17" s="418"/>
      <c r="IYL17" s="418"/>
      <c r="IYM17" s="418"/>
      <c r="IYN17" s="418"/>
      <c r="IYO17" s="418"/>
      <c r="IYP17" s="418"/>
      <c r="IYQ17" s="418"/>
      <c r="IYR17" s="418"/>
      <c r="IYS17" s="418"/>
      <c r="IYT17" s="418"/>
      <c r="IYU17" s="418"/>
      <c r="IYV17" s="418"/>
      <c r="IYW17" s="418"/>
      <c r="IYX17" s="418"/>
      <c r="IYY17" s="418"/>
      <c r="IYZ17" s="418"/>
      <c r="IZA17" s="418"/>
      <c r="IZB17" s="418"/>
      <c r="IZC17" s="418"/>
      <c r="IZD17" s="418"/>
      <c r="IZE17" s="418"/>
      <c r="IZF17" s="418"/>
      <c r="IZG17" s="418"/>
      <c r="IZH17" s="418"/>
      <c r="IZI17" s="418"/>
      <c r="IZJ17" s="418"/>
      <c r="IZK17" s="418"/>
      <c r="IZL17" s="418"/>
      <c r="IZM17" s="418"/>
      <c r="IZN17" s="418"/>
      <c r="IZO17" s="418"/>
      <c r="IZP17" s="418"/>
      <c r="IZQ17" s="418"/>
      <c r="IZR17" s="418"/>
      <c r="IZS17" s="418"/>
      <c r="IZT17" s="418"/>
      <c r="IZU17" s="418"/>
      <c r="IZV17" s="418"/>
      <c r="IZW17" s="418"/>
      <c r="IZX17" s="418"/>
      <c r="IZY17" s="418"/>
      <c r="IZZ17" s="418"/>
      <c r="JAA17" s="418"/>
      <c r="JAB17" s="418"/>
      <c r="JAC17" s="418"/>
      <c r="JAD17" s="418"/>
      <c r="JAE17" s="418"/>
      <c r="JAF17" s="418"/>
      <c r="JAG17" s="418"/>
      <c r="JAH17" s="418"/>
      <c r="JAI17" s="418"/>
      <c r="JAJ17" s="418"/>
      <c r="JAK17" s="418"/>
      <c r="JAL17" s="418"/>
      <c r="JAM17" s="418"/>
      <c r="JAN17" s="418"/>
      <c r="JAO17" s="418"/>
      <c r="JAP17" s="418"/>
      <c r="JAQ17" s="418"/>
      <c r="JAR17" s="418"/>
      <c r="JAS17" s="418"/>
      <c r="JAT17" s="418"/>
      <c r="JAU17" s="418"/>
      <c r="JAV17" s="418"/>
      <c r="JAW17" s="418"/>
      <c r="JAX17" s="418"/>
      <c r="JAY17" s="418"/>
      <c r="JAZ17" s="418"/>
      <c r="JBA17" s="418"/>
      <c r="JBB17" s="418"/>
      <c r="JBC17" s="418"/>
      <c r="JBD17" s="418"/>
      <c r="JBE17" s="418"/>
      <c r="JBF17" s="418"/>
      <c r="JBG17" s="418"/>
      <c r="JBH17" s="418"/>
      <c r="JBI17" s="418"/>
      <c r="JBJ17" s="418"/>
      <c r="JBK17" s="418"/>
      <c r="JBL17" s="418"/>
      <c r="JBM17" s="418"/>
      <c r="JBN17" s="418"/>
      <c r="JBO17" s="418"/>
      <c r="JBP17" s="418"/>
      <c r="JBQ17" s="418"/>
      <c r="JBR17" s="418"/>
      <c r="JBS17" s="418"/>
      <c r="JBT17" s="418"/>
      <c r="JBU17" s="418"/>
      <c r="JBV17" s="418"/>
      <c r="JBW17" s="418"/>
      <c r="JBX17" s="418"/>
      <c r="JBY17" s="418"/>
      <c r="JBZ17" s="418"/>
      <c r="JCA17" s="418"/>
      <c r="JCB17" s="418"/>
      <c r="JCC17" s="418"/>
      <c r="JCD17" s="418"/>
      <c r="JCE17" s="418"/>
      <c r="JCF17" s="418"/>
      <c r="JCG17" s="418"/>
      <c r="JCH17" s="418"/>
      <c r="JCI17" s="418"/>
      <c r="JCJ17" s="418"/>
      <c r="JCK17" s="418"/>
      <c r="JCL17" s="418"/>
      <c r="JCM17" s="418"/>
      <c r="JCN17" s="418"/>
      <c r="JCO17" s="418"/>
      <c r="JCP17" s="418"/>
      <c r="JCQ17" s="418"/>
      <c r="JCR17" s="418"/>
      <c r="JCS17" s="418"/>
      <c r="JCT17" s="418"/>
      <c r="JCU17" s="418"/>
      <c r="JCV17" s="418"/>
      <c r="JCW17" s="418"/>
      <c r="JCX17" s="418"/>
      <c r="JCY17" s="418"/>
      <c r="JCZ17" s="418"/>
      <c r="JDA17" s="418"/>
      <c r="JDB17" s="418"/>
      <c r="JDC17" s="418"/>
      <c r="JDD17" s="418"/>
      <c r="JDE17" s="418"/>
      <c r="JDF17" s="418"/>
      <c r="JDG17" s="418"/>
      <c r="JDH17" s="418"/>
      <c r="JDI17" s="418"/>
      <c r="JDJ17" s="418"/>
      <c r="JDK17" s="418"/>
      <c r="JDL17" s="418"/>
      <c r="JDM17" s="418"/>
      <c r="JDN17" s="418"/>
      <c r="JDO17" s="418"/>
      <c r="JDP17" s="418"/>
      <c r="JDQ17" s="418"/>
      <c r="JDR17" s="418"/>
      <c r="JDS17" s="418"/>
      <c r="JDT17" s="418"/>
      <c r="JDU17" s="418"/>
      <c r="JDV17" s="418"/>
      <c r="JDW17" s="418"/>
      <c r="JDX17" s="418"/>
      <c r="JDY17" s="418"/>
      <c r="JDZ17" s="418"/>
      <c r="JEA17" s="418"/>
      <c r="JEB17" s="418"/>
      <c r="JEC17" s="418"/>
      <c r="JED17" s="418"/>
      <c r="JEE17" s="418"/>
      <c r="JEF17" s="418"/>
      <c r="JEG17" s="418"/>
      <c r="JEH17" s="418"/>
      <c r="JEI17" s="418"/>
      <c r="JEJ17" s="418"/>
      <c r="JEK17" s="418"/>
      <c r="JEL17" s="418"/>
      <c r="JEM17" s="418"/>
      <c r="JEN17" s="418"/>
      <c r="JEO17" s="418"/>
      <c r="JEP17" s="418"/>
      <c r="JEQ17" s="418"/>
      <c r="JER17" s="418"/>
      <c r="JES17" s="418"/>
      <c r="JET17" s="418"/>
      <c r="JEU17" s="418"/>
      <c r="JEV17" s="418"/>
      <c r="JEW17" s="418"/>
      <c r="JEX17" s="418"/>
      <c r="JEY17" s="418"/>
      <c r="JEZ17" s="418"/>
      <c r="JFA17" s="418"/>
      <c r="JFB17" s="418"/>
      <c r="JFC17" s="418"/>
      <c r="JFD17" s="418"/>
      <c r="JFE17" s="418"/>
      <c r="JFF17" s="418"/>
      <c r="JFG17" s="418"/>
      <c r="JFH17" s="418"/>
      <c r="JFI17" s="418"/>
      <c r="JFJ17" s="418"/>
      <c r="JFK17" s="418"/>
      <c r="JFL17" s="418"/>
      <c r="JFM17" s="418"/>
      <c r="JFN17" s="418"/>
      <c r="JFO17" s="418"/>
      <c r="JFP17" s="418"/>
      <c r="JFQ17" s="418"/>
      <c r="JFR17" s="418"/>
      <c r="JFS17" s="418"/>
      <c r="JFT17" s="418"/>
      <c r="JFU17" s="418"/>
      <c r="JFV17" s="418"/>
      <c r="JFW17" s="418"/>
      <c r="JFX17" s="418"/>
      <c r="JFY17" s="418"/>
      <c r="JFZ17" s="418"/>
      <c r="JGA17" s="418"/>
      <c r="JGB17" s="418"/>
      <c r="JGC17" s="418"/>
      <c r="JGD17" s="418"/>
      <c r="JGE17" s="418"/>
      <c r="JGF17" s="418"/>
      <c r="JGG17" s="418"/>
      <c r="JGH17" s="418"/>
      <c r="JGI17" s="418"/>
      <c r="JGJ17" s="418"/>
      <c r="JGK17" s="418"/>
      <c r="JGL17" s="418"/>
      <c r="JGM17" s="418"/>
      <c r="JGN17" s="418"/>
      <c r="JGO17" s="418"/>
      <c r="JGP17" s="418"/>
      <c r="JGQ17" s="418"/>
      <c r="JGR17" s="418"/>
      <c r="JGS17" s="418"/>
      <c r="JGT17" s="418"/>
      <c r="JGU17" s="418"/>
      <c r="JGV17" s="418"/>
      <c r="JGW17" s="418"/>
      <c r="JGX17" s="418"/>
      <c r="JGY17" s="418"/>
      <c r="JGZ17" s="418"/>
      <c r="JHA17" s="418"/>
      <c r="JHB17" s="418"/>
      <c r="JHC17" s="418"/>
      <c r="JHD17" s="418"/>
      <c r="JHE17" s="418"/>
      <c r="JHF17" s="418"/>
      <c r="JHG17" s="418"/>
      <c r="JHH17" s="418"/>
      <c r="JHI17" s="418"/>
      <c r="JHJ17" s="418"/>
      <c r="JHK17" s="418"/>
      <c r="JHL17" s="418"/>
      <c r="JHM17" s="418"/>
      <c r="JHN17" s="418"/>
      <c r="JHO17" s="418"/>
      <c r="JHP17" s="418"/>
      <c r="JHQ17" s="418"/>
      <c r="JHR17" s="418"/>
      <c r="JHS17" s="418"/>
      <c r="JHT17" s="418"/>
      <c r="JHU17" s="418"/>
      <c r="JHV17" s="418"/>
      <c r="JHW17" s="418"/>
      <c r="JHX17" s="418"/>
      <c r="JHY17" s="418"/>
      <c r="JHZ17" s="418"/>
      <c r="JIA17" s="418"/>
      <c r="JIB17" s="418"/>
      <c r="JIC17" s="418"/>
      <c r="JID17" s="418"/>
      <c r="JIE17" s="418"/>
      <c r="JIF17" s="418"/>
      <c r="JIG17" s="418"/>
      <c r="JIH17" s="418"/>
      <c r="JII17" s="418"/>
      <c r="JIJ17" s="418"/>
      <c r="JIK17" s="418"/>
      <c r="JIL17" s="418"/>
      <c r="JIM17" s="418"/>
      <c r="JIN17" s="418"/>
      <c r="JIO17" s="418"/>
      <c r="JIP17" s="418"/>
      <c r="JIQ17" s="418"/>
      <c r="JIR17" s="418"/>
      <c r="JIS17" s="418"/>
      <c r="JIT17" s="418"/>
      <c r="JIU17" s="418"/>
      <c r="JIV17" s="418"/>
      <c r="JIW17" s="418"/>
      <c r="JIX17" s="418"/>
      <c r="JIY17" s="418"/>
      <c r="JIZ17" s="418"/>
      <c r="JJA17" s="418"/>
      <c r="JJB17" s="418"/>
      <c r="JJC17" s="418"/>
      <c r="JJD17" s="418"/>
      <c r="JJE17" s="418"/>
      <c r="JJF17" s="418"/>
      <c r="JJG17" s="418"/>
      <c r="JJH17" s="418"/>
      <c r="JJI17" s="418"/>
      <c r="JJJ17" s="418"/>
      <c r="JJK17" s="418"/>
      <c r="JJL17" s="418"/>
      <c r="JJM17" s="418"/>
      <c r="JJN17" s="418"/>
      <c r="JJO17" s="418"/>
      <c r="JJP17" s="418"/>
      <c r="JJQ17" s="418"/>
      <c r="JJR17" s="418"/>
      <c r="JJS17" s="418"/>
      <c r="JJT17" s="418"/>
      <c r="JJU17" s="418"/>
      <c r="JJV17" s="418"/>
      <c r="JJW17" s="418"/>
      <c r="JJX17" s="418"/>
      <c r="JJY17" s="418"/>
      <c r="JJZ17" s="418"/>
      <c r="JKA17" s="418"/>
      <c r="JKB17" s="418"/>
      <c r="JKC17" s="418"/>
      <c r="JKD17" s="418"/>
      <c r="JKE17" s="418"/>
      <c r="JKF17" s="418"/>
      <c r="JKG17" s="418"/>
      <c r="JKH17" s="418"/>
      <c r="JKI17" s="418"/>
      <c r="JKJ17" s="418"/>
      <c r="JKK17" s="418"/>
      <c r="JKL17" s="418"/>
      <c r="JKM17" s="418"/>
      <c r="JKN17" s="418"/>
      <c r="JKO17" s="418"/>
      <c r="JKP17" s="418"/>
      <c r="JKQ17" s="418"/>
      <c r="JKR17" s="418"/>
      <c r="JKS17" s="418"/>
      <c r="JKT17" s="418"/>
      <c r="JKU17" s="418"/>
      <c r="JKV17" s="418"/>
      <c r="JKW17" s="418"/>
      <c r="JKX17" s="418"/>
      <c r="JKY17" s="418"/>
      <c r="JKZ17" s="418"/>
      <c r="JLA17" s="418"/>
      <c r="JLB17" s="418"/>
      <c r="JLC17" s="418"/>
      <c r="JLD17" s="418"/>
      <c r="JLE17" s="418"/>
      <c r="JLF17" s="418"/>
      <c r="JLG17" s="418"/>
      <c r="JLH17" s="418"/>
      <c r="JLI17" s="418"/>
      <c r="JLJ17" s="418"/>
      <c r="JLK17" s="418"/>
      <c r="JLL17" s="418"/>
      <c r="JLM17" s="418"/>
      <c r="JLN17" s="418"/>
      <c r="JLO17" s="418"/>
      <c r="JLP17" s="418"/>
      <c r="JLQ17" s="418"/>
      <c r="JLR17" s="418"/>
      <c r="JLS17" s="418"/>
      <c r="JLT17" s="418"/>
      <c r="JLU17" s="418"/>
      <c r="JLV17" s="418"/>
      <c r="JLW17" s="418"/>
      <c r="JLX17" s="418"/>
      <c r="JLY17" s="418"/>
      <c r="JLZ17" s="418"/>
      <c r="JMA17" s="418"/>
      <c r="JMB17" s="418"/>
      <c r="JMC17" s="418"/>
      <c r="JMD17" s="418"/>
      <c r="JME17" s="418"/>
      <c r="JMF17" s="418"/>
      <c r="JMG17" s="418"/>
      <c r="JMH17" s="418"/>
      <c r="JMI17" s="418"/>
      <c r="JMJ17" s="418"/>
      <c r="JMK17" s="418"/>
      <c r="JML17" s="418"/>
      <c r="JMM17" s="418"/>
      <c r="JMN17" s="418"/>
      <c r="JMO17" s="418"/>
      <c r="JMP17" s="418"/>
      <c r="JMQ17" s="418"/>
      <c r="JMR17" s="418"/>
      <c r="JMS17" s="418"/>
      <c r="JMT17" s="418"/>
      <c r="JMU17" s="418"/>
      <c r="JMV17" s="418"/>
      <c r="JMW17" s="418"/>
      <c r="JMX17" s="418"/>
      <c r="JMY17" s="418"/>
      <c r="JMZ17" s="418"/>
      <c r="JNA17" s="418"/>
      <c r="JNB17" s="418"/>
      <c r="JNC17" s="418"/>
      <c r="JND17" s="418"/>
      <c r="JNE17" s="418"/>
      <c r="JNF17" s="418"/>
      <c r="JNG17" s="418"/>
      <c r="JNH17" s="418"/>
      <c r="JNI17" s="418"/>
      <c r="JNJ17" s="418"/>
      <c r="JNK17" s="418"/>
      <c r="JNL17" s="418"/>
      <c r="JNM17" s="418"/>
      <c r="JNN17" s="418"/>
      <c r="JNO17" s="418"/>
      <c r="JNP17" s="418"/>
      <c r="JNQ17" s="418"/>
      <c r="JNR17" s="418"/>
      <c r="JNS17" s="418"/>
      <c r="JNT17" s="418"/>
      <c r="JNU17" s="418"/>
      <c r="JNV17" s="418"/>
      <c r="JNW17" s="418"/>
      <c r="JNX17" s="418"/>
      <c r="JNY17" s="418"/>
      <c r="JNZ17" s="418"/>
      <c r="JOA17" s="418"/>
      <c r="JOB17" s="418"/>
      <c r="JOC17" s="418"/>
      <c r="JOD17" s="418"/>
      <c r="JOE17" s="418"/>
      <c r="JOF17" s="418"/>
      <c r="JOG17" s="418"/>
      <c r="JOH17" s="418"/>
      <c r="JOI17" s="418"/>
      <c r="JOJ17" s="418"/>
      <c r="JOK17" s="418"/>
      <c r="JOL17" s="418"/>
      <c r="JOM17" s="418"/>
      <c r="JON17" s="418"/>
      <c r="JOO17" s="418"/>
      <c r="JOP17" s="418"/>
      <c r="JOQ17" s="418"/>
      <c r="JOR17" s="418"/>
      <c r="JOS17" s="418"/>
      <c r="JOT17" s="418"/>
      <c r="JOU17" s="418"/>
      <c r="JOV17" s="418"/>
      <c r="JOW17" s="418"/>
      <c r="JOX17" s="418"/>
      <c r="JOY17" s="418"/>
      <c r="JOZ17" s="418"/>
      <c r="JPA17" s="418"/>
      <c r="JPB17" s="418"/>
      <c r="JPC17" s="418"/>
      <c r="JPD17" s="418"/>
      <c r="JPE17" s="418"/>
      <c r="JPF17" s="418"/>
      <c r="JPG17" s="418"/>
      <c r="JPH17" s="418"/>
      <c r="JPI17" s="418"/>
      <c r="JPJ17" s="418"/>
      <c r="JPK17" s="418"/>
      <c r="JPL17" s="418"/>
      <c r="JPM17" s="418"/>
      <c r="JPN17" s="418"/>
      <c r="JPO17" s="418"/>
      <c r="JPP17" s="418"/>
      <c r="JPQ17" s="418"/>
      <c r="JPR17" s="418"/>
      <c r="JPS17" s="418"/>
      <c r="JPT17" s="418"/>
      <c r="JPU17" s="418"/>
      <c r="JPV17" s="418"/>
      <c r="JPW17" s="418"/>
      <c r="JPX17" s="418"/>
      <c r="JPY17" s="418"/>
      <c r="JPZ17" s="418"/>
      <c r="JQA17" s="418"/>
      <c r="JQB17" s="418"/>
      <c r="JQC17" s="418"/>
      <c r="JQD17" s="418"/>
      <c r="JQE17" s="418"/>
      <c r="JQF17" s="418"/>
      <c r="JQG17" s="418"/>
      <c r="JQH17" s="418"/>
      <c r="JQI17" s="418"/>
      <c r="JQJ17" s="418"/>
      <c r="JQK17" s="418"/>
      <c r="JQL17" s="418"/>
      <c r="JQM17" s="418"/>
      <c r="JQN17" s="418"/>
      <c r="JQO17" s="418"/>
      <c r="JQP17" s="418"/>
      <c r="JQQ17" s="418"/>
      <c r="JQR17" s="418"/>
      <c r="JQS17" s="418"/>
      <c r="JQT17" s="418"/>
      <c r="JQU17" s="418"/>
      <c r="JQV17" s="418"/>
      <c r="JQW17" s="418"/>
      <c r="JQX17" s="418"/>
      <c r="JQY17" s="418"/>
      <c r="JQZ17" s="418"/>
      <c r="JRA17" s="418"/>
      <c r="JRB17" s="418"/>
      <c r="JRC17" s="418"/>
      <c r="JRD17" s="418"/>
      <c r="JRE17" s="418"/>
      <c r="JRF17" s="418"/>
      <c r="JRG17" s="418"/>
      <c r="JRH17" s="418"/>
      <c r="JRI17" s="418"/>
      <c r="JRJ17" s="418"/>
      <c r="JRK17" s="418"/>
      <c r="JRL17" s="418"/>
      <c r="JRM17" s="418"/>
      <c r="JRN17" s="418"/>
      <c r="JRO17" s="418"/>
      <c r="JRP17" s="418"/>
      <c r="JRQ17" s="418"/>
      <c r="JRR17" s="418"/>
      <c r="JRS17" s="418"/>
      <c r="JRT17" s="418"/>
      <c r="JRU17" s="418"/>
      <c r="JRV17" s="418"/>
      <c r="JRW17" s="418"/>
      <c r="JRX17" s="418"/>
      <c r="JRY17" s="418"/>
      <c r="JRZ17" s="418"/>
      <c r="JSA17" s="418"/>
      <c r="JSB17" s="418"/>
      <c r="JSC17" s="418"/>
      <c r="JSD17" s="418"/>
      <c r="JSE17" s="418"/>
      <c r="JSF17" s="418"/>
      <c r="JSG17" s="418"/>
      <c r="JSH17" s="418"/>
      <c r="JSI17" s="418"/>
      <c r="JSJ17" s="418"/>
      <c r="JSK17" s="418"/>
      <c r="JSL17" s="418"/>
      <c r="JSM17" s="418"/>
      <c r="JSN17" s="418"/>
      <c r="JSO17" s="418"/>
      <c r="JSP17" s="418"/>
      <c r="JSQ17" s="418"/>
      <c r="JSR17" s="418"/>
      <c r="JSS17" s="418"/>
      <c r="JST17" s="418"/>
      <c r="JSU17" s="418"/>
      <c r="JSV17" s="418"/>
      <c r="JSW17" s="418"/>
      <c r="JSX17" s="418"/>
      <c r="JSY17" s="418"/>
      <c r="JSZ17" s="418"/>
      <c r="JTA17" s="418"/>
      <c r="JTB17" s="418"/>
      <c r="JTC17" s="418"/>
      <c r="JTD17" s="418"/>
      <c r="JTE17" s="418"/>
      <c r="JTF17" s="418"/>
      <c r="JTG17" s="418"/>
      <c r="JTH17" s="418"/>
      <c r="JTI17" s="418"/>
      <c r="JTJ17" s="418"/>
      <c r="JTK17" s="418"/>
      <c r="JTL17" s="418"/>
      <c r="JTM17" s="418"/>
      <c r="JTN17" s="418"/>
      <c r="JTO17" s="418"/>
      <c r="JTP17" s="418"/>
      <c r="JTQ17" s="418"/>
      <c r="JTR17" s="418"/>
      <c r="JTS17" s="418"/>
      <c r="JTT17" s="418"/>
      <c r="JTU17" s="418"/>
      <c r="JTV17" s="418"/>
      <c r="JTW17" s="418"/>
      <c r="JTX17" s="418"/>
      <c r="JTY17" s="418"/>
      <c r="JTZ17" s="418"/>
      <c r="JUA17" s="418"/>
      <c r="JUB17" s="418"/>
      <c r="JUC17" s="418"/>
      <c r="JUD17" s="418"/>
      <c r="JUE17" s="418"/>
      <c r="JUF17" s="418"/>
      <c r="JUG17" s="418"/>
      <c r="JUH17" s="418"/>
      <c r="JUI17" s="418"/>
      <c r="JUJ17" s="418"/>
      <c r="JUK17" s="418"/>
      <c r="JUL17" s="418"/>
      <c r="JUM17" s="418"/>
      <c r="JUN17" s="418"/>
      <c r="JUO17" s="418"/>
      <c r="JUP17" s="418"/>
      <c r="JUQ17" s="418"/>
      <c r="JUR17" s="418"/>
      <c r="JUS17" s="418"/>
      <c r="JUT17" s="418"/>
      <c r="JUU17" s="418"/>
      <c r="JUV17" s="418"/>
      <c r="JUW17" s="418"/>
      <c r="JUX17" s="418"/>
      <c r="JUY17" s="418"/>
      <c r="JUZ17" s="418"/>
      <c r="JVA17" s="418"/>
      <c r="JVB17" s="418"/>
      <c r="JVC17" s="418"/>
      <c r="JVD17" s="418"/>
      <c r="JVE17" s="418"/>
      <c r="JVF17" s="418"/>
      <c r="JVG17" s="418"/>
      <c r="JVH17" s="418"/>
      <c r="JVI17" s="418"/>
      <c r="JVJ17" s="418"/>
      <c r="JVK17" s="418"/>
      <c r="JVL17" s="418"/>
      <c r="JVM17" s="418"/>
      <c r="JVN17" s="418"/>
      <c r="JVO17" s="418"/>
      <c r="JVP17" s="418"/>
      <c r="JVQ17" s="418"/>
      <c r="JVR17" s="418"/>
      <c r="JVS17" s="418"/>
      <c r="JVT17" s="418"/>
      <c r="JVU17" s="418"/>
      <c r="JVV17" s="418"/>
      <c r="JVW17" s="418"/>
      <c r="JVX17" s="418"/>
      <c r="JVY17" s="418"/>
      <c r="JVZ17" s="418"/>
      <c r="JWA17" s="418"/>
      <c r="JWB17" s="418"/>
      <c r="JWC17" s="418"/>
      <c r="JWD17" s="418"/>
      <c r="JWE17" s="418"/>
      <c r="JWF17" s="418"/>
      <c r="JWG17" s="418"/>
      <c r="JWH17" s="418"/>
      <c r="JWI17" s="418"/>
      <c r="JWJ17" s="418"/>
      <c r="JWK17" s="418"/>
      <c r="JWL17" s="418"/>
      <c r="JWM17" s="418"/>
      <c r="JWN17" s="418"/>
      <c r="JWO17" s="418"/>
      <c r="JWP17" s="418"/>
      <c r="JWQ17" s="418"/>
      <c r="JWR17" s="418"/>
      <c r="JWS17" s="418"/>
      <c r="JWT17" s="418"/>
      <c r="JWU17" s="418"/>
      <c r="JWV17" s="418"/>
      <c r="JWW17" s="418"/>
      <c r="JWX17" s="418"/>
      <c r="JWY17" s="418"/>
      <c r="JWZ17" s="418"/>
      <c r="JXA17" s="418"/>
      <c r="JXB17" s="418"/>
      <c r="JXC17" s="418"/>
      <c r="JXD17" s="418"/>
      <c r="JXE17" s="418"/>
      <c r="JXF17" s="418"/>
      <c r="JXG17" s="418"/>
      <c r="JXH17" s="418"/>
      <c r="JXI17" s="418"/>
      <c r="JXJ17" s="418"/>
      <c r="JXK17" s="418"/>
      <c r="JXL17" s="418"/>
      <c r="JXM17" s="418"/>
      <c r="JXN17" s="418"/>
      <c r="JXO17" s="418"/>
      <c r="JXP17" s="418"/>
      <c r="JXQ17" s="418"/>
      <c r="JXR17" s="418"/>
      <c r="JXS17" s="418"/>
      <c r="JXT17" s="418"/>
      <c r="JXU17" s="418"/>
      <c r="JXV17" s="418"/>
      <c r="JXW17" s="418"/>
      <c r="JXX17" s="418"/>
      <c r="JXY17" s="418"/>
      <c r="JXZ17" s="418"/>
      <c r="JYA17" s="418"/>
      <c r="JYB17" s="418"/>
      <c r="JYC17" s="418"/>
      <c r="JYD17" s="418"/>
      <c r="JYE17" s="418"/>
      <c r="JYF17" s="418"/>
      <c r="JYG17" s="418"/>
      <c r="JYH17" s="418"/>
      <c r="JYI17" s="418"/>
      <c r="JYJ17" s="418"/>
      <c r="JYK17" s="418"/>
      <c r="JYL17" s="418"/>
      <c r="JYM17" s="418"/>
      <c r="JYN17" s="418"/>
      <c r="JYO17" s="418"/>
      <c r="JYP17" s="418"/>
      <c r="JYQ17" s="418"/>
      <c r="JYR17" s="418"/>
      <c r="JYS17" s="418"/>
      <c r="JYT17" s="418"/>
      <c r="JYU17" s="418"/>
      <c r="JYV17" s="418"/>
      <c r="JYW17" s="418"/>
      <c r="JYX17" s="418"/>
      <c r="JYY17" s="418"/>
      <c r="JYZ17" s="418"/>
      <c r="JZA17" s="418"/>
      <c r="JZB17" s="418"/>
      <c r="JZC17" s="418"/>
      <c r="JZD17" s="418"/>
      <c r="JZE17" s="418"/>
      <c r="JZF17" s="418"/>
      <c r="JZG17" s="418"/>
      <c r="JZH17" s="418"/>
      <c r="JZI17" s="418"/>
      <c r="JZJ17" s="418"/>
      <c r="JZK17" s="418"/>
      <c r="JZL17" s="418"/>
      <c r="JZM17" s="418"/>
      <c r="JZN17" s="418"/>
      <c r="JZO17" s="418"/>
      <c r="JZP17" s="418"/>
      <c r="JZQ17" s="418"/>
      <c r="JZR17" s="418"/>
      <c r="JZS17" s="418"/>
      <c r="JZT17" s="418"/>
      <c r="JZU17" s="418"/>
      <c r="JZV17" s="418"/>
      <c r="JZW17" s="418"/>
      <c r="JZX17" s="418"/>
      <c r="JZY17" s="418"/>
      <c r="JZZ17" s="418"/>
      <c r="KAA17" s="418"/>
      <c r="KAB17" s="418"/>
      <c r="KAC17" s="418"/>
      <c r="KAD17" s="418"/>
      <c r="KAE17" s="418"/>
      <c r="KAF17" s="418"/>
      <c r="KAG17" s="418"/>
      <c r="KAH17" s="418"/>
      <c r="KAI17" s="418"/>
      <c r="KAJ17" s="418"/>
      <c r="KAK17" s="418"/>
      <c r="KAL17" s="418"/>
      <c r="KAM17" s="418"/>
      <c r="KAN17" s="418"/>
      <c r="KAO17" s="418"/>
      <c r="KAP17" s="418"/>
      <c r="KAQ17" s="418"/>
      <c r="KAR17" s="418"/>
      <c r="KAS17" s="418"/>
      <c r="KAT17" s="418"/>
      <c r="KAU17" s="418"/>
      <c r="KAV17" s="418"/>
      <c r="KAW17" s="418"/>
      <c r="KAX17" s="418"/>
      <c r="KAY17" s="418"/>
      <c r="KAZ17" s="418"/>
      <c r="KBA17" s="418"/>
      <c r="KBB17" s="418"/>
      <c r="KBC17" s="418"/>
      <c r="KBD17" s="418"/>
      <c r="KBE17" s="418"/>
      <c r="KBF17" s="418"/>
      <c r="KBG17" s="418"/>
      <c r="KBH17" s="418"/>
      <c r="KBI17" s="418"/>
      <c r="KBJ17" s="418"/>
      <c r="KBK17" s="418"/>
      <c r="KBL17" s="418"/>
      <c r="KBM17" s="418"/>
      <c r="KBN17" s="418"/>
      <c r="KBO17" s="418"/>
      <c r="KBP17" s="418"/>
      <c r="KBQ17" s="418"/>
      <c r="KBR17" s="418"/>
      <c r="KBS17" s="418"/>
      <c r="KBT17" s="418"/>
      <c r="KBU17" s="418"/>
      <c r="KBV17" s="418"/>
      <c r="KBW17" s="418"/>
      <c r="KBX17" s="418"/>
      <c r="KBY17" s="418"/>
      <c r="KBZ17" s="418"/>
      <c r="KCA17" s="418"/>
      <c r="KCB17" s="418"/>
      <c r="KCC17" s="418"/>
      <c r="KCD17" s="418"/>
      <c r="KCE17" s="418"/>
      <c r="KCF17" s="418"/>
      <c r="KCG17" s="418"/>
      <c r="KCH17" s="418"/>
      <c r="KCI17" s="418"/>
      <c r="KCJ17" s="418"/>
      <c r="KCK17" s="418"/>
      <c r="KCL17" s="418"/>
      <c r="KCM17" s="418"/>
      <c r="KCN17" s="418"/>
      <c r="KCO17" s="418"/>
      <c r="KCP17" s="418"/>
      <c r="KCQ17" s="418"/>
      <c r="KCR17" s="418"/>
      <c r="KCS17" s="418"/>
      <c r="KCT17" s="418"/>
      <c r="KCU17" s="418"/>
      <c r="KCV17" s="418"/>
      <c r="KCW17" s="418"/>
      <c r="KCX17" s="418"/>
      <c r="KCY17" s="418"/>
      <c r="KCZ17" s="418"/>
      <c r="KDA17" s="418"/>
      <c r="KDB17" s="418"/>
      <c r="KDC17" s="418"/>
      <c r="KDD17" s="418"/>
      <c r="KDE17" s="418"/>
      <c r="KDF17" s="418"/>
      <c r="KDG17" s="418"/>
      <c r="KDH17" s="418"/>
      <c r="KDI17" s="418"/>
      <c r="KDJ17" s="418"/>
      <c r="KDK17" s="418"/>
      <c r="KDL17" s="418"/>
      <c r="KDM17" s="418"/>
      <c r="KDN17" s="418"/>
      <c r="KDO17" s="418"/>
      <c r="KDP17" s="418"/>
      <c r="KDQ17" s="418"/>
      <c r="KDR17" s="418"/>
      <c r="KDS17" s="418"/>
      <c r="KDT17" s="418"/>
      <c r="KDU17" s="418"/>
      <c r="KDV17" s="418"/>
      <c r="KDW17" s="418"/>
      <c r="KDX17" s="418"/>
      <c r="KDY17" s="418"/>
      <c r="KDZ17" s="418"/>
      <c r="KEA17" s="418"/>
      <c r="KEB17" s="418"/>
      <c r="KEC17" s="418"/>
      <c r="KED17" s="418"/>
      <c r="KEE17" s="418"/>
      <c r="KEF17" s="418"/>
      <c r="KEG17" s="418"/>
      <c r="KEH17" s="418"/>
      <c r="KEI17" s="418"/>
      <c r="KEJ17" s="418"/>
      <c r="KEK17" s="418"/>
      <c r="KEL17" s="418"/>
      <c r="KEM17" s="418"/>
      <c r="KEN17" s="418"/>
      <c r="KEO17" s="418"/>
      <c r="KEP17" s="418"/>
      <c r="KEQ17" s="418"/>
      <c r="KER17" s="418"/>
      <c r="KES17" s="418"/>
      <c r="KET17" s="418"/>
      <c r="KEU17" s="418"/>
      <c r="KEV17" s="418"/>
      <c r="KEW17" s="418"/>
      <c r="KEX17" s="418"/>
      <c r="KEY17" s="418"/>
      <c r="KEZ17" s="418"/>
      <c r="KFA17" s="418"/>
      <c r="KFB17" s="418"/>
      <c r="KFC17" s="418"/>
      <c r="KFD17" s="418"/>
      <c r="KFE17" s="418"/>
      <c r="KFF17" s="418"/>
      <c r="KFG17" s="418"/>
      <c r="KFH17" s="418"/>
      <c r="KFI17" s="418"/>
      <c r="KFJ17" s="418"/>
      <c r="KFK17" s="418"/>
      <c r="KFL17" s="418"/>
      <c r="KFM17" s="418"/>
      <c r="KFN17" s="418"/>
      <c r="KFO17" s="418"/>
      <c r="KFP17" s="418"/>
      <c r="KFQ17" s="418"/>
      <c r="KFR17" s="418"/>
      <c r="KFS17" s="418"/>
      <c r="KFT17" s="418"/>
      <c r="KFU17" s="418"/>
      <c r="KFV17" s="418"/>
      <c r="KFW17" s="418"/>
      <c r="KFX17" s="418"/>
      <c r="KFY17" s="418"/>
      <c r="KFZ17" s="418"/>
      <c r="KGA17" s="418"/>
      <c r="KGB17" s="418"/>
      <c r="KGC17" s="418"/>
      <c r="KGD17" s="418"/>
      <c r="KGE17" s="418"/>
      <c r="KGF17" s="418"/>
      <c r="KGG17" s="418"/>
      <c r="KGH17" s="418"/>
      <c r="KGI17" s="418"/>
      <c r="KGJ17" s="418"/>
      <c r="KGK17" s="418"/>
      <c r="KGL17" s="418"/>
      <c r="KGM17" s="418"/>
      <c r="KGN17" s="418"/>
      <c r="KGO17" s="418"/>
      <c r="KGP17" s="418"/>
      <c r="KGQ17" s="418"/>
      <c r="KGR17" s="418"/>
      <c r="KGS17" s="418"/>
      <c r="KGT17" s="418"/>
      <c r="KGU17" s="418"/>
      <c r="KGV17" s="418"/>
      <c r="KGW17" s="418"/>
      <c r="KGX17" s="418"/>
      <c r="KGY17" s="418"/>
      <c r="KGZ17" s="418"/>
      <c r="KHA17" s="418"/>
      <c r="KHB17" s="418"/>
      <c r="KHC17" s="418"/>
      <c r="KHD17" s="418"/>
      <c r="KHE17" s="418"/>
      <c r="KHF17" s="418"/>
      <c r="KHG17" s="418"/>
      <c r="KHH17" s="418"/>
      <c r="KHI17" s="418"/>
      <c r="KHJ17" s="418"/>
      <c r="KHK17" s="418"/>
      <c r="KHL17" s="418"/>
      <c r="KHM17" s="418"/>
      <c r="KHN17" s="418"/>
      <c r="KHO17" s="418"/>
      <c r="KHP17" s="418"/>
      <c r="KHQ17" s="418"/>
      <c r="KHR17" s="418"/>
      <c r="KHS17" s="418"/>
      <c r="KHT17" s="418"/>
      <c r="KHU17" s="418"/>
      <c r="KHV17" s="418"/>
      <c r="KHW17" s="418"/>
      <c r="KHX17" s="418"/>
      <c r="KHY17" s="418"/>
      <c r="KHZ17" s="418"/>
      <c r="KIA17" s="418"/>
      <c r="KIB17" s="418"/>
      <c r="KIC17" s="418"/>
      <c r="KID17" s="418"/>
      <c r="KIE17" s="418"/>
      <c r="KIF17" s="418"/>
      <c r="KIG17" s="418"/>
      <c r="KIH17" s="418"/>
      <c r="KII17" s="418"/>
      <c r="KIJ17" s="418"/>
      <c r="KIK17" s="418"/>
      <c r="KIL17" s="418"/>
      <c r="KIM17" s="418"/>
      <c r="KIN17" s="418"/>
      <c r="KIO17" s="418"/>
      <c r="KIP17" s="418"/>
      <c r="KIQ17" s="418"/>
      <c r="KIR17" s="418"/>
      <c r="KIS17" s="418"/>
      <c r="KIT17" s="418"/>
      <c r="KIU17" s="418"/>
      <c r="KIV17" s="418"/>
      <c r="KIW17" s="418"/>
      <c r="KIX17" s="418"/>
      <c r="KIY17" s="418"/>
      <c r="KIZ17" s="418"/>
      <c r="KJA17" s="418"/>
      <c r="KJB17" s="418"/>
      <c r="KJC17" s="418"/>
      <c r="KJD17" s="418"/>
      <c r="KJE17" s="418"/>
      <c r="KJF17" s="418"/>
      <c r="KJG17" s="418"/>
      <c r="KJH17" s="418"/>
      <c r="KJI17" s="418"/>
      <c r="KJJ17" s="418"/>
      <c r="KJK17" s="418"/>
      <c r="KJL17" s="418"/>
      <c r="KJM17" s="418"/>
      <c r="KJN17" s="418"/>
      <c r="KJO17" s="418"/>
      <c r="KJP17" s="418"/>
      <c r="KJQ17" s="418"/>
      <c r="KJR17" s="418"/>
      <c r="KJS17" s="418"/>
      <c r="KJT17" s="418"/>
      <c r="KJU17" s="418"/>
      <c r="KJV17" s="418"/>
      <c r="KJW17" s="418"/>
      <c r="KJX17" s="418"/>
      <c r="KJY17" s="418"/>
      <c r="KJZ17" s="418"/>
      <c r="KKA17" s="418"/>
      <c r="KKB17" s="418"/>
      <c r="KKC17" s="418"/>
      <c r="KKD17" s="418"/>
      <c r="KKE17" s="418"/>
      <c r="KKF17" s="418"/>
      <c r="KKG17" s="418"/>
      <c r="KKH17" s="418"/>
      <c r="KKI17" s="418"/>
      <c r="KKJ17" s="418"/>
      <c r="KKK17" s="418"/>
      <c r="KKL17" s="418"/>
      <c r="KKM17" s="418"/>
      <c r="KKN17" s="418"/>
      <c r="KKO17" s="418"/>
      <c r="KKP17" s="418"/>
      <c r="KKQ17" s="418"/>
      <c r="KKR17" s="418"/>
      <c r="KKS17" s="418"/>
      <c r="KKT17" s="418"/>
      <c r="KKU17" s="418"/>
      <c r="KKV17" s="418"/>
      <c r="KKW17" s="418"/>
      <c r="KKX17" s="418"/>
      <c r="KKY17" s="418"/>
      <c r="KKZ17" s="418"/>
      <c r="KLA17" s="418"/>
      <c r="KLB17" s="418"/>
      <c r="KLC17" s="418"/>
      <c r="KLD17" s="418"/>
      <c r="KLE17" s="418"/>
      <c r="KLF17" s="418"/>
      <c r="KLG17" s="418"/>
      <c r="KLH17" s="418"/>
      <c r="KLI17" s="418"/>
      <c r="KLJ17" s="418"/>
      <c r="KLK17" s="418"/>
      <c r="KLL17" s="418"/>
      <c r="KLM17" s="418"/>
      <c r="KLN17" s="418"/>
      <c r="KLO17" s="418"/>
      <c r="KLP17" s="418"/>
      <c r="KLQ17" s="418"/>
      <c r="KLR17" s="418"/>
      <c r="KLS17" s="418"/>
      <c r="KLT17" s="418"/>
      <c r="KLU17" s="418"/>
      <c r="KLV17" s="418"/>
      <c r="KLW17" s="418"/>
      <c r="KLX17" s="418"/>
      <c r="KLY17" s="418"/>
      <c r="KLZ17" s="418"/>
      <c r="KMA17" s="418"/>
      <c r="KMB17" s="418"/>
      <c r="KMC17" s="418"/>
      <c r="KMD17" s="418"/>
      <c r="KME17" s="418"/>
      <c r="KMF17" s="418"/>
      <c r="KMG17" s="418"/>
      <c r="KMH17" s="418"/>
      <c r="KMI17" s="418"/>
      <c r="KMJ17" s="418"/>
      <c r="KMK17" s="418"/>
      <c r="KML17" s="418"/>
      <c r="KMM17" s="418"/>
      <c r="KMN17" s="418"/>
      <c r="KMO17" s="418"/>
      <c r="KMP17" s="418"/>
      <c r="KMQ17" s="418"/>
      <c r="KMR17" s="418"/>
      <c r="KMS17" s="418"/>
      <c r="KMT17" s="418"/>
      <c r="KMU17" s="418"/>
      <c r="KMV17" s="418"/>
      <c r="KMW17" s="418"/>
      <c r="KMX17" s="418"/>
      <c r="KMY17" s="418"/>
      <c r="KMZ17" s="418"/>
      <c r="KNA17" s="418"/>
      <c r="KNB17" s="418"/>
      <c r="KNC17" s="418"/>
      <c r="KND17" s="418"/>
      <c r="KNE17" s="418"/>
      <c r="KNF17" s="418"/>
      <c r="KNG17" s="418"/>
      <c r="KNH17" s="418"/>
      <c r="KNI17" s="418"/>
      <c r="KNJ17" s="418"/>
      <c r="KNK17" s="418"/>
      <c r="KNL17" s="418"/>
      <c r="KNM17" s="418"/>
      <c r="KNN17" s="418"/>
      <c r="KNO17" s="418"/>
      <c r="KNP17" s="418"/>
      <c r="KNQ17" s="418"/>
      <c r="KNR17" s="418"/>
      <c r="KNS17" s="418"/>
      <c r="KNT17" s="418"/>
      <c r="KNU17" s="418"/>
      <c r="KNV17" s="418"/>
      <c r="KNW17" s="418"/>
      <c r="KNX17" s="418"/>
      <c r="KNY17" s="418"/>
      <c r="KNZ17" s="418"/>
      <c r="KOA17" s="418"/>
      <c r="KOB17" s="418"/>
      <c r="KOC17" s="418"/>
      <c r="KOD17" s="418"/>
      <c r="KOE17" s="418"/>
      <c r="KOF17" s="418"/>
      <c r="KOG17" s="418"/>
      <c r="KOH17" s="418"/>
      <c r="KOI17" s="418"/>
      <c r="KOJ17" s="418"/>
      <c r="KOK17" s="418"/>
      <c r="KOL17" s="418"/>
      <c r="KOM17" s="418"/>
      <c r="KON17" s="418"/>
      <c r="KOO17" s="418"/>
      <c r="KOP17" s="418"/>
      <c r="KOQ17" s="418"/>
      <c r="KOR17" s="418"/>
      <c r="KOS17" s="418"/>
      <c r="KOT17" s="418"/>
      <c r="KOU17" s="418"/>
      <c r="KOV17" s="418"/>
      <c r="KOW17" s="418"/>
      <c r="KOX17" s="418"/>
      <c r="KOY17" s="418"/>
      <c r="KOZ17" s="418"/>
      <c r="KPA17" s="418"/>
      <c r="KPB17" s="418"/>
      <c r="KPC17" s="418"/>
      <c r="KPD17" s="418"/>
      <c r="KPE17" s="418"/>
      <c r="KPF17" s="418"/>
      <c r="KPG17" s="418"/>
      <c r="KPH17" s="418"/>
      <c r="KPI17" s="418"/>
      <c r="KPJ17" s="418"/>
      <c r="KPK17" s="418"/>
      <c r="KPL17" s="418"/>
      <c r="KPM17" s="418"/>
      <c r="KPN17" s="418"/>
      <c r="KPO17" s="418"/>
      <c r="KPP17" s="418"/>
      <c r="KPQ17" s="418"/>
      <c r="KPR17" s="418"/>
      <c r="KPS17" s="418"/>
      <c r="KPT17" s="418"/>
      <c r="KPU17" s="418"/>
      <c r="KPV17" s="418"/>
      <c r="KPW17" s="418"/>
      <c r="KPX17" s="418"/>
      <c r="KPY17" s="418"/>
      <c r="KPZ17" s="418"/>
      <c r="KQA17" s="418"/>
      <c r="KQB17" s="418"/>
      <c r="KQC17" s="418"/>
      <c r="KQD17" s="418"/>
      <c r="KQE17" s="418"/>
      <c r="KQF17" s="418"/>
      <c r="KQG17" s="418"/>
      <c r="KQH17" s="418"/>
      <c r="KQI17" s="418"/>
      <c r="KQJ17" s="418"/>
      <c r="KQK17" s="418"/>
      <c r="KQL17" s="418"/>
      <c r="KQM17" s="418"/>
      <c r="KQN17" s="418"/>
      <c r="KQO17" s="418"/>
      <c r="KQP17" s="418"/>
      <c r="KQQ17" s="418"/>
      <c r="KQR17" s="418"/>
      <c r="KQS17" s="418"/>
      <c r="KQT17" s="418"/>
      <c r="KQU17" s="418"/>
      <c r="KQV17" s="418"/>
      <c r="KQW17" s="418"/>
      <c r="KQX17" s="418"/>
      <c r="KQY17" s="418"/>
      <c r="KQZ17" s="418"/>
      <c r="KRA17" s="418"/>
      <c r="KRB17" s="418"/>
      <c r="KRC17" s="418"/>
      <c r="KRD17" s="418"/>
      <c r="KRE17" s="418"/>
      <c r="KRF17" s="418"/>
      <c r="KRG17" s="418"/>
      <c r="KRH17" s="418"/>
      <c r="KRI17" s="418"/>
      <c r="KRJ17" s="418"/>
      <c r="KRK17" s="418"/>
      <c r="KRL17" s="418"/>
      <c r="KRM17" s="418"/>
      <c r="KRN17" s="418"/>
      <c r="KRO17" s="418"/>
      <c r="KRP17" s="418"/>
      <c r="KRQ17" s="418"/>
      <c r="KRR17" s="418"/>
      <c r="KRS17" s="418"/>
      <c r="KRT17" s="418"/>
      <c r="KRU17" s="418"/>
      <c r="KRV17" s="418"/>
      <c r="KRW17" s="418"/>
      <c r="KRX17" s="418"/>
      <c r="KRY17" s="418"/>
      <c r="KRZ17" s="418"/>
      <c r="KSA17" s="418"/>
      <c r="KSB17" s="418"/>
      <c r="KSC17" s="418"/>
      <c r="KSD17" s="418"/>
      <c r="KSE17" s="418"/>
      <c r="KSF17" s="418"/>
      <c r="KSG17" s="418"/>
      <c r="KSH17" s="418"/>
      <c r="KSI17" s="418"/>
      <c r="KSJ17" s="418"/>
      <c r="KSK17" s="418"/>
      <c r="KSL17" s="418"/>
      <c r="KSM17" s="418"/>
      <c r="KSN17" s="418"/>
      <c r="KSO17" s="418"/>
      <c r="KSP17" s="418"/>
      <c r="KSQ17" s="418"/>
      <c r="KSR17" s="418"/>
      <c r="KSS17" s="418"/>
      <c r="KST17" s="418"/>
      <c r="KSU17" s="418"/>
      <c r="KSV17" s="418"/>
      <c r="KSW17" s="418"/>
      <c r="KSX17" s="418"/>
      <c r="KSY17" s="418"/>
      <c r="KSZ17" s="418"/>
      <c r="KTA17" s="418"/>
      <c r="KTB17" s="418"/>
      <c r="KTC17" s="418"/>
      <c r="KTD17" s="418"/>
      <c r="KTE17" s="418"/>
      <c r="KTF17" s="418"/>
      <c r="KTG17" s="418"/>
      <c r="KTH17" s="418"/>
      <c r="KTI17" s="418"/>
      <c r="KTJ17" s="418"/>
      <c r="KTK17" s="418"/>
      <c r="KTL17" s="418"/>
      <c r="KTM17" s="418"/>
      <c r="KTN17" s="418"/>
      <c r="KTO17" s="418"/>
      <c r="KTP17" s="418"/>
      <c r="KTQ17" s="418"/>
      <c r="KTR17" s="418"/>
      <c r="KTS17" s="418"/>
      <c r="KTT17" s="418"/>
      <c r="KTU17" s="418"/>
      <c r="KTV17" s="418"/>
      <c r="KTW17" s="418"/>
      <c r="KTX17" s="418"/>
      <c r="KTY17" s="418"/>
      <c r="KTZ17" s="418"/>
      <c r="KUA17" s="418"/>
      <c r="KUB17" s="418"/>
      <c r="KUC17" s="418"/>
      <c r="KUD17" s="418"/>
      <c r="KUE17" s="418"/>
      <c r="KUF17" s="418"/>
      <c r="KUG17" s="418"/>
      <c r="KUH17" s="418"/>
      <c r="KUI17" s="418"/>
      <c r="KUJ17" s="418"/>
      <c r="KUK17" s="418"/>
      <c r="KUL17" s="418"/>
      <c r="KUM17" s="418"/>
      <c r="KUN17" s="418"/>
      <c r="KUO17" s="418"/>
      <c r="KUP17" s="418"/>
      <c r="KUQ17" s="418"/>
      <c r="KUR17" s="418"/>
      <c r="KUS17" s="418"/>
      <c r="KUT17" s="418"/>
      <c r="KUU17" s="418"/>
      <c r="KUV17" s="418"/>
      <c r="KUW17" s="418"/>
      <c r="KUX17" s="418"/>
      <c r="KUY17" s="418"/>
      <c r="KUZ17" s="418"/>
      <c r="KVA17" s="418"/>
      <c r="KVB17" s="418"/>
      <c r="KVC17" s="418"/>
      <c r="KVD17" s="418"/>
      <c r="KVE17" s="418"/>
      <c r="KVF17" s="418"/>
      <c r="KVG17" s="418"/>
      <c r="KVH17" s="418"/>
      <c r="KVI17" s="418"/>
      <c r="KVJ17" s="418"/>
      <c r="KVK17" s="418"/>
      <c r="KVL17" s="418"/>
      <c r="KVM17" s="418"/>
      <c r="KVN17" s="418"/>
      <c r="KVO17" s="418"/>
      <c r="KVP17" s="418"/>
      <c r="KVQ17" s="418"/>
      <c r="KVR17" s="418"/>
      <c r="KVS17" s="418"/>
      <c r="KVT17" s="418"/>
      <c r="KVU17" s="418"/>
      <c r="KVV17" s="418"/>
      <c r="KVW17" s="418"/>
      <c r="KVX17" s="418"/>
      <c r="KVY17" s="418"/>
      <c r="KVZ17" s="418"/>
      <c r="KWA17" s="418"/>
      <c r="KWB17" s="418"/>
      <c r="KWC17" s="418"/>
      <c r="KWD17" s="418"/>
      <c r="KWE17" s="418"/>
      <c r="KWF17" s="418"/>
      <c r="KWG17" s="418"/>
      <c r="KWH17" s="418"/>
      <c r="KWI17" s="418"/>
      <c r="KWJ17" s="418"/>
      <c r="KWK17" s="418"/>
      <c r="KWL17" s="418"/>
      <c r="KWM17" s="418"/>
      <c r="KWN17" s="418"/>
      <c r="KWO17" s="418"/>
      <c r="KWP17" s="418"/>
      <c r="KWQ17" s="418"/>
      <c r="KWR17" s="418"/>
      <c r="KWS17" s="418"/>
      <c r="KWT17" s="418"/>
      <c r="KWU17" s="418"/>
      <c r="KWV17" s="418"/>
      <c r="KWW17" s="418"/>
      <c r="KWX17" s="418"/>
      <c r="KWY17" s="418"/>
      <c r="KWZ17" s="418"/>
      <c r="KXA17" s="418"/>
      <c r="KXB17" s="418"/>
      <c r="KXC17" s="418"/>
      <c r="KXD17" s="418"/>
      <c r="KXE17" s="418"/>
      <c r="KXF17" s="418"/>
      <c r="KXG17" s="418"/>
      <c r="KXH17" s="418"/>
      <c r="KXI17" s="418"/>
      <c r="KXJ17" s="418"/>
      <c r="KXK17" s="418"/>
      <c r="KXL17" s="418"/>
      <c r="KXM17" s="418"/>
      <c r="KXN17" s="418"/>
      <c r="KXO17" s="418"/>
      <c r="KXP17" s="418"/>
      <c r="KXQ17" s="418"/>
      <c r="KXR17" s="418"/>
      <c r="KXS17" s="418"/>
      <c r="KXT17" s="418"/>
      <c r="KXU17" s="418"/>
      <c r="KXV17" s="418"/>
      <c r="KXW17" s="418"/>
      <c r="KXX17" s="418"/>
      <c r="KXY17" s="418"/>
      <c r="KXZ17" s="418"/>
      <c r="KYA17" s="418"/>
      <c r="KYB17" s="418"/>
      <c r="KYC17" s="418"/>
      <c r="KYD17" s="418"/>
      <c r="KYE17" s="418"/>
      <c r="KYF17" s="418"/>
      <c r="KYG17" s="418"/>
      <c r="KYH17" s="418"/>
      <c r="KYI17" s="418"/>
      <c r="KYJ17" s="418"/>
      <c r="KYK17" s="418"/>
      <c r="KYL17" s="418"/>
      <c r="KYM17" s="418"/>
      <c r="KYN17" s="418"/>
      <c r="KYO17" s="418"/>
      <c r="KYP17" s="418"/>
      <c r="KYQ17" s="418"/>
      <c r="KYR17" s="418"/>
      <c r="KYS17" s="418"/>
      <c r="KYT17" s="418"/>
      <c r="KYU17" s="418"/>
      <c r="KYV17" s="418"/>
      <c r="KYW17" s="418"/>
      <c r="KYX17" s="418"/>
      <c r="KYY17" s="418"/>
      <c r="KYZ17" s="418"/>
      <c r="KZA17" s="418"/>
      <c r="KZB17" s="418"/>
      <c r="KZC17" s="418"/>
      <c r="KZD17" s="418"/>
      <c r="KZE17" s="418"/>
      <c r="KZF17" s="418"/>
      <c r="KZG17" s="418"/>
      <c r="KZH17" s="418"/>
      <c r="KZI17" s="418"/>
      <c r="KZJ17" s="418"/>
      <c r="KZK17" s="418"/>
      <c r="KZL17" s="418"/>
      <c r="KZM17" s="418"/>
      <c r="KZN17" s="418"/>
      <c r="KZO17" s="418"/>
      <c r="KZP17" s="418"/>
      <c r="KZQ17" s="418"/>
      <c r="KZR17" s="418"/>
      <c r="KZS17" s="418"/>
      <c r="KZT17" s="418"/>
      <c r="KZU17" s="418"/>
      <c r="KZV17" s="418"/>
      <c r="KZW17" s="418"/>
      <c r="KZX17" s="418"/>
      <c r="KZY17" s="418"/>
      <c r="KZZ17" s="418"/>
      <c r="LAA17" s="418"/>
      <c r="LAB17" s="418"/>
      <c r="LAC17" s="418"/>
      <c r="LAD17" s="418"/>
      <c r="LAE17" s="418"/>
      <c r="LAF17" s="418"/>
      <c r="LAG17" s="418"/>
      <c r="LAH17" s="418"/>
      <c r="LAI17" s="418"/>
      <c r="LAJ17" s="418"/>
      <c r="LAK17" s="418"/>
      <c r="LAL17" s="418"/>
      <c r="LAM17" s="418"/>
      <c r="LAN17" s="418"/>
      <c r="LAO17" s="418"/>
      <c r="LAP17" s="418"/>
      <c r="LAQ17" s="418"/>
      <c r="LAR17" s="418"/>
      <c r="LAS17" s="418"/>
      <c r="LAT17" s="418"/>
      <c r="LAU17" s="418"/>
      <c r="LAV17" s="418"/>
      <c r="LAW17" s="418"/>
      <c r="LAX17" s="418"/>
      <c r="LAY17" s="418"/>
      <c r="LAZ17" s="418"/>
      <c r="LBA17" s="418"/>
      <c r="LBB17" s="418"/>
      <c r="LBC17" s="418"/>
      <c r="LBD17" s="418"/>
      <c r="LBE17" s="418"/>
      <c r="LBF17" s="418"/>
      <c r="LBG17" s="418"/>
      <c r="LBH17" s="418"/>
      <c r="LBI17" s="418"/>
      <c r="LBJ17" s="418"/>
      <c r="LBK17" s="418"/>
      <c r="LBL17" s="418"/>
      <c r="LBM17" s="418"/>
      <c r="LBN17" s="418"/>
      <c r="LBO17" s="418"/>
      <c r="LBP17" s="418"/>
      <c r="LBQ17" s="418"/>
      <c r="LBR17" s="418"/>
      <c r="LBS17" s="418"/>
      <c r="LBT17" s="418"/>
      <c r="LBU17" s="418"/>
      <c r="LBV17" s="418"/>
      <c r="LBW17" s="418"/>
      <c r="LBX17" s="418"/>
      <c r="LBY17" s="418"/>
      <c r="LBZ17" s="418"/>
      <c r="LCA17" s="418"/>
      <c r="LCB17" s="418"/>
      <c r="LCC17" s="418"/>
      <c r="LCD17" s="418"/>
      <c r="LCE17" s="418"/>
      <c r="LCF17" s="418"/>
      <c r="LCG17" s="418"/>
      <c r="LCH17" s="418"/>
      <c r="LCI17" s="418"/>
      <c r="LCJ17" s="418"/>
      <c r="LCK17" s="418"/>
      <c r="LCL17" s="418"/>
      <c r="LCM17" s="418"/>
      <c r="LCN17" s="418"/>
      <c r="LCO17" s="418"/>
      <c r="LCP17" s="418"/>
      <c r="LCQ17" s="418"/>
      <c r="LCR17" s="418"/>
      <c r="LCS17" s="418"/>
      <c r="LCT17" s="418"/>
      <c r="LCU17" s="418"/>
      <c r="LCV17" s="418"/>
      <c r="LCW17" s="418"/>
      <c r="LCX17" s="418"/>
      <c r="LCY17" s="418"/>
      <c r="LCZ17" s="418"/>
      <c r="LDA17" s="418"/>
      <c r="LDB17" s="418"/>
      <c r="LDC17" s="418"/>
      <c r="LDD17" s="418"/>
      <c r="LDE17" s="418"/>
      <c r="LDF17" s="418"/>
      <c r="LDG17" s="418"/>
      <c r="LDH17" s="418"/>
      <c r="LDI17" s="418"/>
      <c r="LDJ17" s="418"/>
      <c r="LDK17" s="418"/>
      <c r="LDL17" s="418"/>
      <c r="LDM17" s="418"/>
      <c r="LDN17" s="418"/>
      <c r="LDO17" s="418"/>
      <c r="LDP17" s="418"/>
      <c r="LDQ17" s="418"/>
      <c r="LDR17" s="418"/>
      <c r="LDS17" s="418"/>
      <c r="LDT17" s="418"/>
      <c r="LDU17" s="418"/>
      <c r="LDV17" s="418"/>
      <c r="LDW17" s="418"/>
      <c r="LDX17" s="418"/>
      <c r="LDY17" s="418"/>
      <c r="LDZ17" s="418"/>
      <c r="LEA17" s="418"/>
      <c r="LEB17" s="418"/>
      <c r="LEC17" s="418"/>
      <c r="LED17" s="418"/>
      <c r="LEE17" s="418"/>
      <c r="LEF17" s="418"/>
      <c r="LEG17" s="418"/>
      <c r="LEH17" s="418"/>
      <c r="LEI17" s="418"/>
      <c r="LEJ17" s="418"/>
      <c r="LEK17" s="418"/>
      <c r="LEL17" s="418"/>
      <c r="LEM17" s="418"/>
      <c r="LEN17" s="418"/>
      <c r="LEO17" s="418"/>
      <c r="LEP17" s="418"/>
      <c r="LEQ17" s="418"/>
      <c r="LER17" s="418"/>
      <c r="LES17" s="418"/>
      <c r="LET17" s="418"/>
      <c r="LEU17" s="418"/>
      <c r="LEV17" s="418"/>
      <c r="LEW17" s="418"/>
      <c r="LEX17" s="418"/>
      <c r="LEY17" s="418"/>
      <c r="LEZ17" s="418"/>
      <c r="LFA17" s="418"/>
      <c r="LFB17" s="418"/>
      <c r="LFC17" s="418"/>
      <c r="LFD17" s="418"/>
      <c r="LFE17" s="418"/>
      <c r="LFF17" s="418"/>
      <c r="LFG17" s="418"/>
      <c r="LFH17" s="418"/>
      <c r="LFI17" s="418"/>
      <c r="LFJ17" s="418"/>
      <c r="LFK17" s="418"/>
      <c r="LFL17" s="418"/>
      <c r="LFM17" s="418"/>
      <c r="LFN17" s="418"/>
      <c r="LFO17" s="418"/>
      <c r="LFP17" s="418"/>
      <c r="LFQ17" s="418"/>
      <c r="LFR17" s="418"/>
      <c r="LFS17" s="418"/>
      <c r="LFT17" s="418"/>
      <c r="LFU17" s="418"/>
      <c r="LFV17" s="418"/>
      <c r="LFW17" s="418"/>
      <c r="LFX17" s="418"/>
      <c r="LFY17" s="418"/>
      <c r="LFZ17" s="418"/>
      <c r="LGA17" s="418"/>
      <c r="LGB17" s="418"/>
      <c r="LGC17" s="418"/>
      <c r="LGD17" s="418"/>
      <c r="LGE17" s="418"/>
      <c r="LGF17" s="418"/>
      <c r="LGG17" s="418"/>
      <c r="LGH17" s="418"/>
      <c r="LGI17" s="418"/>
      <c r="LGJ17" s="418"/>
      <c r="LGK17" s="418"/>
      <c r="LGL17" s="418"/>
      <c r="LGM17" s="418"/>
      <c r="LGN17" s="418"/>
      <c r="LGO17" s="418"/>
      <c r="LGP17" s="418"/>
      <c r="LGQ17" s="418"/>
      <c r="LGR17" s="418"/>
      <c r="LGS17" s="418"/>
      <c r="LGT17" s="418"/>
      <c r="LGU17" s="418"/>
      <c r="LGV17" s="418"/>
      <c r="LGW17" s="418"/>
      <c r="LGX17" s="418"/>
      <c r="LGY17" s="418"/>
      <c r="LGZ17" s="418"/>
      <c r="LHA17" s="418"/>
      <c r="LHB17" s="418"/>
      <c r="LHC17" s="418"/>
      <c r="LHD17" s="418"/>
      <c r="LHE17" s="418"/>
      <c r="LHF17" s="418"/>
      <c r="LHG17" s="418"/>
      <c r="LHH17" s="418"/>
      <c r="LHI17" s="418"/>
      <c r="LHJ17" s="418"/>
      <c r="LHK17" s="418"/>
      <c r="LHL17" s="418"/>
      <c r="LHM17" s="418"/>
      <c r="LHN17" s="418"/>
      <c r="LHO17" s="418"/>
      <c r="LHP17" s="418"/>
      <c r="LHQ17" s="418"/>
      <c r="LHR17" s="418"/>
      <c r="LHS17" s="418"/>
      <c r="LHT17" s="418"/>
      <c r="LHU17" s="418"/>
      <c r="LHV17" s="418"/>
      <c r="LHW17" s="418"/>
      <c r="LHX17" s="418"/>
      <c r="LHY17" s="418"/>
      <c r="LHZ17" s="418"/>
      <c r="LIA17" s="418"/>
      <c r="LIB17" s="418"/>
      <c r="LIC17" s="418"/>
      <c r="LID17" s="418"/>
      <c r="LIE17" s="418"/>
      <c r="LIF17" s="418"/>
      <c r="LIG17" s="418"/>
      <c r="LIH17" s="418"/>
      <c r="LII17" s="418"/>
      <c r="LIJ17" s="418"/>
      <c r="LIK17" s="418"/>
      <c r="LIL17" s="418"/>
      <c r="LIM17" s="418"/>
      <c r="LIN17" s="418"/>
      <c r="LIO17" s="418"/>
      <c r="LIP17" s="418"/>
      <c r="LIQ17" s="418"/>
      <c r="LIR17" s="418"/>
      <c r="LIS17" s="418"/>
      <c r="LIT17" s="418"/>
      <c r="LIU17" s="418"/>
      <c r="LIV17" s="418"/>
      <c r="LIW17" s="418"/>
      <c r="LIX17" s="418"/>
      <c r="LIY17" s="418"/>
      <c r="LIZ17" s="418"/>
      <c r="LJA17" s="418"/>
      <c r="LJB17" s="418"/>
      <c r="LJC17" s="418"/>
      <c r="LJD17" s="418"/>
      <c r="LJE17" s="418"/>
      <c r="LJF17" s="418"/>
      <c r="LJG17" s="418"/>
      <c r="LJH17" s="418"/>
      <c r="LJI17" s="418"/>
      <c r="LJJ17" s="418"/>
      <c r="LJK17" s="418"/>
      <c r="LJL17" s="418"/>
      <c r="LJM17" s="418"/>
      <c r="LJN17" s="418"/>
      <c r="LJO17" s="418"/>
      <c r="LJP17" s="418"/>
      <c r="LJQ17" s="418"/>
      <c r="LJR17" s="418"/>
      <c r="LJS17" s="418"/>
      <c r="LJT17" s="418"/>
      <c r="LJU17" s="418"/>
      <c r="LJV17" s="418"/>
      <c r="LJW17" s="418"/>
      <c r="LJX17" s="418"/>
      <c r="LJY17" s="418"/>
      <c r="LJZ17" s="418"/>
      <c r="LKA17" s="418"/>
      <c r="LKB17" s="418"/>
      <c r="LKC17" s="418"/>
      <c r="LKD17" s="418"/>
      <c r="LKE17" s="418"/>
      <c r="LKF17" s="418"/>
      <c r="LKG17" s="418"/>
      <c r="LKH17" s="418"/>
      <c r="LKI17" s="418"/>
      <c r="LKJ17" s="418"/>
      <c r="LKK17" s="418"/>
      <c r="LKL17" s="418"/>
      <c r="LKM17" s="418"/>
      <c r="LKN17" s="418"/>
      <c r="LKO17" s="418"/>
      <c r="LKP17" s="418"/>
      <c r="LKQ17" s="418"/>
      <c r="LKR17" s="418"/>
      <c r="LKS17" s="418"/>
      <c r="LKT17" s="418"/>
      <c r="LKU17" s="418"/>
      <c r="LKV17" s="418"/>
      <c r="LKW17" s="418"/>
      <c r="LKX17" s="418"/>
      <c r="LKY17" s="418"/>
      <c r="LKZ17" s="418"/>
      <c r="LLA17" s="418"/>
      <c r="LLB17" s="418"/>
      <c r="LLC17" s="418"/>
      <c r="LLD17" s="418"/>
      <c r="LLE17" s="418"/>
      <c r="LLF17" s="418"/>
      <c r="LLG17" s="418"/>
      <c r="LLH17" s="418"/>
      <c r="LLI17" s="418"/>
      <c r="LLJ17" s="418"/>
      <c r="LLK17" s="418"/>
      <c r="LLL17" s="418"/>
      <c r="LLM17" s="418"/>
      <c r="LLN17" s="418"/>
      <c r="LLO17" s="418"/>
      <c r="LLP17" s="418"/>
      <c r="LLQ17" s="418"/>
      <c r="LLR17" s="418"/>
      <c r="LLS17" s="418"/>
      <c r="LLT17" s="418"/>
      <c r="LLU17" s="418"/>
      <c r="LLV17" s="418"/>
      <c r="LLW17" s="418"/>
      <c r="LLX17" s="418"/>
      <c r="LLY17" s="418"/>
      <c r="LLZ17" s="418"/>
      <c r="LMA17" s="418"/>
      <c r="LMB17" s="418"/>
      <c r="LMC17" s="418"/>
      <c r="LMD17" s="418"/>
      <c r="LME17" s="418"/>
      <c r="LMF17" s="418"/>
      <c r="LMG17" s="418"/>
      <c r="LMH17" s="418"/>
      <c r="LMI17" s="418"/>
      <c r="LMJ17" s="418"/>
      <c r="LMK17" s="418"/>
      <c r="LML17" s="418"/>
      <c r="LMM17" s="418"/>
      <c r="LMN17" s="418"/>
      <c r="LMO17" s="418"/>
      <c r="LMP17" s="418"/>
      <c r="LMQ17" s="418"/>
      <c r="LMR17" s="418"/>
      <c r="LMS17" s="418"/>
      <c r="LMT17" s="418"/>
      <c r="LMU17" s="418"/>
      <c r="LMV17" s="418"/>
      <c r="LMW17" s="418"/>
      <c r="LMX17" s="418"/>
      <c r="LMY17" s="418"/>
      <c r="LMZ17" s="418"/>
      <c r="LNA17" s="418"/>
      <c r="LNB17" s="418"/>
      <c r="LNC17" s="418"/>
      <c r="LND17" s="418"/>
      <c r="LNE17" s="418"/>
      <c r="LNF17" s="418"/>
      <c r="LNG17" s="418"/>
      <c r="LNH17" s="418"/>
      <c r="LNI17" s="418"/>
      <c r="LNJ17" s="418"/>
      <c r="LNK17" s="418"/>
      <c r="LNL17" s="418"/>
      <c r="LNM17" s="418"/>
      <c r="LNN17" s="418"/>
      <c r="LNO17" s="418"/>
      <c r="LNP17" s="418"/>
      <c r="LNQ17" s="418"/>
      <c r="LNR17" s="418"/>
      <c r="LNS17" s="418"/>
      <c r="LNT17" s="418"/>
      <c r="LNU17" s="418"/>
      <c r="LNV17" s="418"/>
      <c r="LNW17" s="418"/>
      <c r="LNX17" s="418"/>
      <c r="LNY17" s="418"/>
      <c r="LNZ17" s="418"/>
      <c r="LOA17" s="418"/>
      <c r="LOB17" s="418"/>
      <c r="LOC17" s="418"/>
      <c r="LOD17" s="418"/>
      <c r="LOE17" s="418"/>
      <c r="LOF17" s="418"/>
      <c r="LOG17" s="418"/>
      <c r="LOH17" s="418"/>
      <c r="LOI17" s="418"/>
      <c r="LOJ17" s="418"/>
      <c r="LOK17" s="418"/>
      <c r="LOL17" s="418"/>
      <c r="LOM17" s="418"/>
      <c r="LON17" s="418"/>
      <c r="LOO17" s="418"/>
      <c r="LOP17" s="418"/>
      <c r="LOQ17" s="418"/>
      <c r="LOR17" s="418"/>
      <c r="LOS17" s="418"/>
      <c r="LOT17" s="418"/>
      <c r="LOU17" s="418"/>
      <c r="LOV17" s="418"/>
      <c r="LOW17" s="418"/>
      <c r="LOX17" s="418"/>
      <c r="LOY17" s="418"/>
      <c r="LOZ17" s="418"/>
      <c r="LPA17" s="418"/>
      <c r="LPB17" s="418"/>
      <c r="LPC17" s="418"/>
      <c r="LPD17" s="418"/>
      <c r="LPE17" s="418"/>
      <c r="LPF17" s="418"/>
      <c r="LPG17" s="418"/>
      <c r="LPH17" s="418"/>
      <c r="LPI17" s="418"/>
      <c r="LPJ17" s="418"/>
      <c r="LPK17" s="418"/>
      <c r="LPL17" s="418"/>
      <c r="LPM17" s="418"/>
      <c r="LPN17" s="418"/>
      <c r="LPO17" s="418"/>
      <c r="LPP17" s="418"/>
      <c r="LPQ17" s="418"/>
      <c r="LPR17" s="418"/>
      <c r="LPS17" s="418"/>
      <c r="LPT17" s="418"/>
      <c r="LPU17" s="418"/>
      <c r="LPV17" s="418"/>
      <c r="LPW17" s="418"/>
      <c r="LPX17" s="418"/>
      <c r="LPY17" s="418"/>
      <c r="LPZ17" s="418"/>
      <c r="LQA17" s="418"/>
      <c r="LQB17" s="418"/>
      <c r="LQC17" s="418"/>
      <c r="LQD17" s="418"/>
      <c r="LQE17" s="418"/>
      <c r="LQF17" s="418"/>
      <c r="LQG17" s="418"/>
      <c r="LQH17" s="418"/>
      <c r="LQI17" s="418"/>
      <c r="LQJ17" s="418"/>
      <c r="LQK17" s="418"/>
      <c r="LQL17" s="418"/>
      <c r="LQM17" s="418"/>
      <c r="LQN17" s="418"/>
      <c r="LQO17" s="418"/>
      <c r="LQP17" s="418"/>
      <c r="LQQ17" s="418"/>
      <c r="LQR17" s="418"/>
      <c r="LQS17" s="418"/>
      <c r="LQT17" s="418"/>
      <c r="LQU17" s="418"/>
      <c r="LQV17" s="418"/>
      <c r="LQW17" s="418"/>
      <c r="LQX17" s="418"/>
      <c r="LQY17" s="418"/>
      <c r="LQZ17" s="418"/>
      <c r="LRA17" s="418"/>
      <c r="LRB17" s="418"/>
      <c r="LRC17" s="418"/>
      <c r="LRD17" s="418"/>
      <c r="LRE17" s="418"/>
      <c r="LRF17" s="418"/>
      <c r="LRG17" s="418"/>
      <c r="LRH17" s="418"/>
      <c r="LRI17" s="418"/>
      <c r="LRJ17" s="418"/>
      <c r="LRK17" s="418"/>
      <c r="LRL17" s="418"/>
      <c r="LRM17" s="418"/>
      <c r="LRN17" s="418"/>
      <c r="LRO17" s="418"/>
      <c r="LRP17" s="418"/>
      <c r="LRQ17" s="418"/>
      <c r="LRR17" s="418"/>
      <c r="LRS17" s="418"/>
      <c r="LRT17" s="418"/>
      <c r="LRU17" s="418"/>
      <c r="LRV17" s="418"/>
      <c r="LRW17" s="418"/>
      <c r="LRX17" s="418"/>
      <c r="LRY17" s="418"/>
      <c r="LRZ17" s="418"/>
      <c r="LSA17" s="418"/>
      <c r="LSB17" s="418"/>
      <c r="LSC17" s="418"/>
      <c r="LSD17" s="418"/>
      <c r="LSE17" s="418"/>
      <c r="LSF17" s="418"/>
      <c r="LSG17" s="418"/>
      <c r="LSH17" s="418"/>
      <c r="LSI17" s="418"/>
      <c r="LSJ17" s="418"/>
      <c r="LSK17" s="418"/>
      <c r="LSL17" s="418"/>
      <c r="LSM17" s="418"/>
      <c r="LSN17" s="418"/>
      <c r="LSO17" s="418"/>
      <c r="LSP17" s="418"/>
      <c r="LSQ17" s="418"/>
      <c r="LSR17" s="418"/>
      <c r="LSS17" s="418"/>
      <c r="LST17" s="418"/>
      <c r="LSU17" s="418"/>
      <c r="LSV17" s="418"/>
      <c r="LSW17" s="418"/>
      <c r="LSX17" s="418"/>
      <c r="LSY17" s="418"/>
      <c r="LSZ17" s="418"/>
      <c r="LTA17" s="418"/>
      <c r="LTB17" s="418"/>
      <c r="LTC17" s="418"/>
      <c r="LTD17" s="418"/>
      <c r="LTE17" s="418"/>
      <c r="LTF17" s="418"/>
      <c r="LTG17" s="418"/>
      <c r="LTH17" s="418"/>
      <c r="LTI17" s="418"/>
      <c r="LTJ17" s="418"/>
      <c r="LTK17" s="418"/>
      <c r="LTL17" s="418"/>
      <c r="LTM17" s="418"/>
      <c r="LTN17" s="418"/>
      <c r="LTO17" s="418"/>
      <c r="LTP17" s="418"/>
      <c r="LTQ17" s="418"/>
      <c r="LTR17" s="418"/>
      <c r="LTS17" s="418"/>
      <c r="LTT17" s="418"/>
      <c r="LTU17" s="418"/>
      <c r="LTV17" s="418"/>
      <c r="LTW17" s="418"/>
      <c r="LTX17" s="418"/>
      <c r="LTY17" s="418"/>
      <c r="LTZ17" s="418"/>
      <c r="LUA17" s="418"/>
      <c r="LUB17" s="418"/>
      <c r="LUC17" s="418"/>
      <c r="LUD17" s="418"/>
      <c r="LUE17" s="418"/>
      <c r="LUF17" s="418"/>
      <c r="LUG17" s="418"/>
      <c r="LUH17" s="418"/>
      <c r="LUI17" s="418"/>
      <c r="LUJ17" s="418"/>
      <c r="LUK17" s="418"/>
      <c r="LUL17" s="418"/>
      <c r="LUM17" s="418"/>
      <c r="LUN17" s="418"/>
      <c r="LUO17" s="418"/>
      <c r="LUP17" s="418"/>
      <c r="LUQ17" s="418"/>
      <c r="LUR17" s="418"/>
      <c r="LUS17" s="418"/>
      <c r="LUT17" s="418"/>
      <c r="LUU17" s="418"/>
      <c r="LUV17" s="418"/>
      <c r="LUW17" s="418"/>
      <c r="LUX17" s="418"/>
      <c r="LUY17" s="418"/>
      <c r="LUZ17" s="418"/>
      <c r="LVA17" s="418"/>
      <c r="LVB17" s="418"/>
      <c r="LVC17" s="418"/>
      <c r="LVD17" s="418"/>
      <c r="LVE17" s="418"/>
      <c r="LVF17" s="418"/>
      <c r="LVG17" s="418"/>
      <c r="LVH17" s="418"/>
      <c r="LVI17" s="418"/>
      <c r="LVJ17" s="418"/>
      <c r="LVK17" s="418"/>
      <c r="LVL17" s="418"/>
      <c r="LVM17" s="418"/>
      <c r="LVN17" s="418"/>
      <c r="LVO17" s="418"/>
      <c r="LVP17" s="418"/>
      <c r="LVQ17" s="418"/>
      <c r="LVR17" s="418"/>
      <c r="LVS17" s="418"/>
      <c r="LVT17" s="418"/>
      <c r="LVU17" s="418"/>
      <c r="LVV17" s="418"/>
      <c r="LVW17" s="418"/>
      <c r="LVX17" s="418"/>
      <c r="LVY17" s="418"/>
      <c r="LVZ17" s="418"/>
      <c r="LWA17" s="418"/>
      <c r="LWB17" s="418"/>
      <c r="LWC17" s="418"/>
      <c r="LWD17" s="418"/>
      <c r="LWE17" s="418"/>
      <c r="LWF17" s="418"/>
      <c r="LWG17" s="418"/>
      <c r="LWH17" s="418"/>
      <c r="LWI17" s="418"/>
      <c r="LWJ17" s="418"/>
      <c r="LWK17" s="418"/>
      <c r="LWL17" s="418"/>
      <c r="LWM17" s="418"/>
      <c r="LWN17" s="418"/>
      <c r="LWO17" s="418"/>
      <c r="LWP17" s="418"/>
      <c r="LWQ17" s="418"/>
      <c r="LWR17" s="418"/>
      <c r="LWS17" s="418"/>
      <c r="LWT17" s="418"/>
      <c r="LWU17" s="418"/>
      <c r="LWV17" s="418"/>
      <c r="LWW17" s="418"/>
      <c r="LWX17" s="418"/>
      <c r="LWY17" s="418"/>
      <c r="LWZ17" s="418"/>
      <c r="LXA17" s="418"/>
      <c r="LXB17" s="418"/>
      <c r="LXC17" s="418"/>
      <c r="LXD17" s="418"/>
      <c r="LXE17" s="418"/>
      <c r="LXF17" s="418"/>
      <c r="LXG17" s="418"/>
      <c r="LXH17" s="418"/>
      <c r="LXI17" s="418"/>
      <c r="LXJ17" s="418"/>
      <c r="LXK17" s="418"/>
      <c r="LXL17" s="418"/>
      <c r="LXM17" s="418"/>
      <c r="LXN17" s="418"/>
      <c r="LXO17" s="418"/>
      <c r="LXP17" s="418"/>
      <c r="LXQ17" s="418"/>
      <c r="LXR17" s="418"/>
      <c r="LXS17" s="418"/>
      <c r="LXT17" s="418"/>
      <c r="LXU17" s="418"/>
      <c r="LXV17" s="418"/>
      <c r="LXW17" s="418"/>
      <c r="LXX17" s="418"/>
      <c r="LXY17" s="418"/>
      <c r="LXZ17" s="418"/>
      <c r="LYA17" s="418"/>
      <c r="LYB17" s="418"/>
      <c r="LYC17" s="418"/>
      <c r="LYD17" s="418"/>
      <c r="LYE17" s="418"/>
      <c r="LYF17" s="418"/>
      <c r="LYG17" s="418"/>
      <c r="LYH17" s="418"/>
      <c r="LYI17" s="418"/>
      <c r="LYJ17" s="418"/>
      <c r="LYK17" s="418"/>
      <c r="LYL17" s="418"/>
      <c r="LYM17" s="418"/>
      <c r="LYN17" s="418"/>
      <c r="LYO17" s="418"/>
      <c r="LYP17" s="418"/>
      <c r="LYQ17" s="418"/>
      <c r="LYR17" s="418"/>
      <c r="LYS17" s="418"/>
      <c r="LYT17" s="418"/>
      <c r="LYU17" s="418"/>
      <c r="LYV17" s="418"/>
      <c r="LYW17" s="418"/>
      <c r="LYX17" s="418"/>
      <c r="LYY17" s="418"/>
      <c r="LYZ17" s="418"/>
      <c r="LZA17" s="418"/>
      <c r="LZB17" s="418"/>
      <c r="LZC17" s="418"/>
      <c r="LZD17" s="418"/>
      <c r="LZE17" s="418"/>
      <c r="LZF17" s="418"/>
      <c r="LZG17" s="418"/>
      <c r="LZH17" s="418"/>
      <c r="LZI17" s="418"/>
      <c r="LZJ17" s="418"/>
      <c r="LZK17" s="418"/>
      <c r="LZL17" s="418"/>
      <c r="LZM17" s="418"/>
      <c r="LZN17" s="418"/>
      <c r="LZO17" s="418"/>
      <c r="LZP17" s="418"/>
      <c r="LZQ17" s="418"/>
      <c r="LZR17" s="418"/>
      <c r="LZS17" s="418"/>
      <c r="LZT17" s="418"/>
      <c r="LZU17" s="418"/>
      <c r="LZV17" s="418"/>
      <c r="LZW17" s="418"/>
      <c r="LZX17" s="418"/>
      <c r="LZY17" s="418"/>
      <c r="LZZ17" s="418"/>
      <c r="MAA17" s="418"/>
      <c r="MAB17" s="418"/>
      <c r="MAC17" s="418"/>
      <c r="MAD17" s="418"/>
      <c r="MAE17" s="418"/>
      <c r="MAF17" s="418"/>
      <c r="MAG17" s="418"/>
      <c r="MAH17" s="418"/>
      <c r="MAI17" s="418"/>
      <c r="MAJ17" s="418"/>
      <c r="MAK17" s="418"/>
      <c r="MAL17" s="418"/>
      <c r="MAM17" s="418"/>
      <c r="MAN17" s="418"/>
      <c r="MAO17" s="418"/>
      <c r="MAP17" s="418"/>
      <c r="MAQ17" s="418"/>
      <c r="MAR17" s="418"/>
      <c r="MAS17" s="418"/>
      <c r="MAT17" s="418"/>
      <c r="MAU17" s="418"/>
      <c r="MAV17" s="418"/>
      <c r="MAW17" s="418"/>
      <c r="MAX17" s="418"/>
      <c r="MAY17" s="418"/>
      <c r="MAZ17" s="418"/>
      <c r="MBA17" s="418"/>
      <c r="MBB17" s="418"/>
      <c r="MBC17" s="418"/>
      <c r="MBD17" s="418"/>
      <c r="MBE17" s="418"/>
      <c r="MBF17" s="418"/>
      <c r="MBG17" s="418"/>
      <c r="MBH17" s="418"/>
      <c r="MBI17" s="418"/>
      <c r="MBJ17" s="418"/>
      <c r="MBK17" s="418"/>
      <c r="MBL17" s="418"/>
      <c r="MBM17" s="418"/>
      <c r="MBN17" s="418"/>
      <c r="MBO17" s="418"/>
      <c r="MBP17" s="418"/>
      <c r="MBQ17" s="418"/>
      <c r="MBR17" s="418"/>
      <c r="MBS17" s="418"/>
      <c r="MBT17" s="418"/>
      <c r="MBU17" s="418"/>
      <c r="MBV17" s="418"/>
      <c r="MBW17" s="418"/>
      <c r="MBX17" s="418"/>
      <c r="MBY17" s="418"/>
      <c r="MBZ17" s="418"/>
      <c r="MCA17" s="418"/>
      <c r="MCB17" s="418"/>
      <c r="MCC17" s="418"/>
      <c r="MCD17" s="418"/>
      <c r="MCE17" s="418"/>
      <c r="MCF17" s="418"/>
      <c r="MCG17" s="418"/>
      <c r="MCH17" s="418"/>
      <c r="MCI17" s="418"/>
      <c r="MCJ17" s="418"/>
      <c r="MCK17" s="418"/>
      <c r="MCL17" s="418"/>
      <c r="MCM17" s="418"/>
      <c r="MCN17" s="418"/>
      <c r="MCO17" s="418"/>
      <c r="MCP17" s="418"/>
      <c r="MCQ17" s="418"/>
      <c r="MCR17" s="418"/>
      <c r="MCS17" s="418"/>
      <c r="MCT17" s="418"/>
      <c r="MCU17" s="418"/>
      <c r="MCV17" s="418"/>
      <c r="MCW17" s="418"/>
      <c r="MCX17" s="418"/>
      <c r="MCY17" s="418"/>
      <c r="MCZ17" s="418"/>
      <c r="MDA17" s="418"/>
      <c r="MDB17" s="418"/>
      <c r="MDC17" s="418"/>
      <c r="MDD17" s="418"/>
      <c r="MDE17" s="418"/>
      <c r="MDF17" s="418"/>
      <c r="MDG17" s="418"/>
      <c r="MDH17" s="418"/>
      <c r="MDI17" s="418"/>
      <c r="MDJ17" s="418"/>
      <c r="MDK17" s="418"/>
      <c r="MDL17" s="418"/>
      <c r="MDM17" s="418"/>
      <c r="MDN17" s="418"/>
      <c r="MDO17" s="418"/>
      <c r="MDP17" s="418"/>
      <c r="MDQ17" s="418"/>
      <c r="MDR17" s="418"/>
      <c r="MDS17" s="418"/>
      <c r="MDT17" s="418"/>
      <c r="MDU17" s="418"/>
      <c r="MDV17" s="418"/>
      <c r="MDW17" s="418"/>
      <c r="MDX17" s="418"/>
      <c r="MDY17" s="418"/>
      <c r="MDZ17" s="418"/>
      <c r="MEA17" s="418"/>
      <c r="MEB17" s="418"/>
      <c r="MEC17" s="418"/>
      <c r="MED17" s="418"/>
      <c r="MEE17" s="418"/>
      <c r="MEF17" s="418"/>
      <c r="MEG17" s="418"/>
      <c r="MEH17" s="418"/>
      <c r="MEI17" s="418"/>
      <c r="MEJ17" s="418"/>
      <c r="MEK17" s="418"/>
      <c r="MEL17" s="418"/>
      <c r="MEM17" s="418"/>
      <c r="MEN17" s="418"/>
      <c r="MEO17" s="418"/>
      <c r="MEP17" s="418"/>
      <c r="MEQ17" s="418"/>
      <c r="MER17" s="418"/>
      <c r="MES17" s="418"/>
      <c r="MET17" s="418"/>
      <c r="MEU17" s="418"/>
      <c r="MEV17" s="418"/>
      <c r="MEW17" s="418"/>
      <c r="MEX17" s="418"/>
      <c r="MEY17" s="418"/>
      <c r="MEZ17" s="418"/>
      <c r="MFA17" s="418"/>
      <c r="MFB17" s="418"/>
      <c r="MFC17" s="418"/>
      <c r="MFD17" s="418"/>
      <c r="MFE17" s="418"/>
      <c r="MFF17" s="418"/>
      <c r="MFG17" s="418"/>
      <c r="MFH17" s="418"/>
      <c r="MFI17" s="418"/>
      <c r="MFJ17" s="418"/>
      <c r="MFK17" s="418"/>
      <c r="MFL17" s="418"/>
      <c r="MFM17" s="418"/>
      <c r="MFN17" s="418"/>
      <c r="MFO17" s="418"/>
      <c r="MFP17" s="418"/>
      <c r="MFQ17" s="418"/>
      <c r="MFR17" s="418"/>
      <c r="MFS17" s="418"/>
      <c r="MFT17" s="418"/>
      <c r="MFU17" s="418"/>
      <c r="MFV17" s="418"/>
      <c r="MFW17" s="418"/>
      <c r="MFX17" s="418"/>
      <c r="MFY17" s="418"/>
      <c r="MFZ17" s="418"/>
      <c r="MGA17" s="418"/>
      <c r="MGB17" s="418"/>
      <c r="MGC17" s="418"/>
      <c r="MGD17" s="418"/>
      <c r="MGE17" s="418"/>
      <c r="MGF17" s="418"/>
      <c r="MGG17" s="418"/>
      <c r="MGH17" s="418"/>
      <c r="MGI17" s="418"/>
      <c r="MGJ17" s="418"/>
      <c r="MGK17" s="418"/>
      <c r="MGL17" s="418"/>
      <c r="MGM17" s="418"/>
      <c r="MGN17" s="418"/>
      <c r="MGO17" s="418"/>
      <c r="MGP17" s="418"/>
      <c r="MGQ17" s="418"/>
      <c r="MGR17" s="418"/>
      <c r="MGS17" s="418"/>
      <c r="MGT17" s="418"/>
      <c r="MGU17" s="418"/>
      <c r="MGV17" s="418"/>
      <c r="MGW17" s="418"/>
      <c r="MGX17" s="418"/>
      <c r="MGY17" s="418"/>
      <c r="MGZ17" s="418"/>
      <c r="MHA17" s="418"/>
      <c r="MHB17" s="418"/>
      <c r="MHC17" s="418"/>
      <c r="MHD17" s="418"/>
      <c r="MHE17" s="418"/>
      <c r="MHF17" s="418"/>
      <c r="MHG17" s="418"/>
      <c r="MHH17" s="418"/>
      <c r="MHI17" s="418"/>
      <c r="MHJ17" s="418"/>
      <c r="MHK17" s="418"/>
      <c r="MHL17" s="418"/>
      <c r="MHM17" s="418"/>
      <c r="MHN17" s="418"/>
      <c r="MHO17" s="418"/>
      <c r="MHP17" s="418"/>
      <c r="MHQ17" s="418"/>
      <c r="MHR17" s="418"/>
      <c r="MHS17" s="418"/>
      <c r="MHT17" s="418"/>
      <c r="MHU17" s="418"/>
      <c r="MHV17" s="418"/>
      <c r="MHW17" s="418"/>
      <c r="MHX17" s="418"/>
      <c r="MHY17" s="418"/>
      <c r="MHZ17" s="418"/>
      <c r="MIA17" s="418"/>
      <c r="MIB17" s="418"/>
      <c r="MIC17" s="418"/>
      <c r="MID17" s="418"/>
      <c r="MIE17" s="418"/>
      <c r="MIF17" s="418"/>
      <c r="MIG17" s="418"/>
      <c r="MIH17" s="418"/>
      <c r="MII17" s="418"/>
      <c r="MIJ17" s="418"/>
      <c r="MIK17" s="418"/>
      <c r="MIL17" s="418"/>
      <c r="MIM17" s="418"/>
      <c r="MIN17" s="418"/>
      <c r="MIO17" s="418"/>
      <c r="MIP17" s="418"/>
      <c r="MIQ17" s="418"/>
      <c r="MIR17" s="418"/>
      <c r="MIS17" s="418"/>
      <c r="MIT17" s="418"/>
      <c r="MIU17" s="418"/>
      <c r="MIV17" s="418"/>
      <c r="MIW17" s="418"/>
      <c r="MIX17" s="418"/>
      <c r="MIY17" s="418"/>
      <c r="MIZ17" s="418"/>
      <c r="MJA17" s="418"/>
      <c r="MJB17" s="418"/>
      <c r="MJC17" s="418"/>
      <c r="MJD17" s="418"/>
      <c r="MJE17" s="418"/>
      <c r="MJF17" s="418"/>
      <c r="MJG17" s="418"/>
      <c r="MJH17" s="418"/>
      <c r="MJI17" s="418"/>
      <c r="MJJ17" s="418"/>
      <c r="MJK17" s="418"/>
      <c r="MJL17" s="418"/>
      <c r="MJM17" s="418"/>
      <c r="MJN17" s="418"/>
      <c r="MJO17" s="418"/>
      <c r="MJP17" s="418"/>
      <c r="MJQ17" s="418"/>
      <c r="MJR17" s="418"/>
      <c r="MJS17" s="418"/>
      <c r="MJT17" s="418"/>
      <c r="MJU17" s="418"/>
      <c r="MJV17" s="418"/>
      <c r="MJW17" s="418"/>
      <c r="MJX17" s="418"/>
      <c r="MJY17" s="418"/>
      <c r="MJZ17" s="418"/>
      <c r="MKA17" s="418"/>
      <c r="MKB17" s="418"/>
      <c r="MKC17" s="418"/>
      <c r="MKD17" s="418"/>
      <c r="MKE17" s="418"/>
      <c r="MKF17" s="418"/>
      <c r="MKG17" s="418"/>
      <c r="MKH17" s="418"/>
      <c r="MKI17" s="418"/>
      <c r="MKJ17" s="418"/>
      <c r="MKK17" s="418"/>
      <c r="MKL17" s="418"/>
      <c r="MKM17" s="418"/>
      <c r="MKN17" s="418"/>
      <c r="MKO17" s="418"/>
      <c r="MKP17" s="418"/>
      <c r="MKQ17" s="418"/>
      <c r="MKR17" s="418"/>
      <c r="MKS17" s="418"/>
      <c r="MKT17" s="418"/>
      <c r="MKU17" s="418"/>
      <c r="MKV17" s="418"/>
      <c r="MKW17" s="418"/>
      <c r="MKX17" s="418"/>
      <c r="MKY17" s="418"/>
      <c r="MKZ17" s="418"/>
      <c r="MLA17" s="418"/>
      <c r="MLB17" s="418"/>
      <c r="MLC17" s="418"/>
      <c r="MLD17" s="418"/>
      <c r="MLE17" s="418"/>
      <c r="MLF17" s="418"/>
      <c r="MLG17" s="418"/>
      <c r="MLH17" s="418"/>
      <c r="MLI17" s="418"/>
      <c r="MLJ17" s="418"/>
      <c r="MLK17" s="418"/>
      <c r="MLL17" s="418"/>
      <c r="MLM17" s="418"/>
      <c r="MLN17" s="418"/>
      <c r="MLO17" s="418"/>
      <c r="MLP17" s="418"/>
      <c r="MLQ17" s="418"/>
      <c r="MLR17" s="418"/>
      <c r="MLS17" s="418"/>
      <c r="MLT17" s="418"/>
      <c r="MLU17" s="418"/>
      <c r="MLV17" s="418"/>
      <c r="MLW17" s="418"/>
      <c r="MLX17" s="418"/>
      <c r="MLY17" s="418"/>
      <c r="MLZ17" s="418"/>
      <c r="MMA17" s="418"/>
      <c r="MMB17" s="418"/>
      <c r="MMC17" s="418"/>
      <c r="MMD17" s="418"/>
      <c r="MME17" s="418"/>
      <c r="MMF17" s="418"/>
      <c r="MMG17" s="418"/>
      <c r="MMH17" s="418"/>
      <c r="MMI17" s="418"/>
      <c r="MMJ17" s="418"/>
      <c r="MMK17" s="418"/>
      <c r="MML17" s="418"/>
      <c r="MMM17" s="418"/>
      <c r="MMN17" s="418"/>
      <c r="MMO17" s="418"/>
      <c r="MMP17" s="418"/>
      <c r="MMQ17" s="418"/>
      <c r="MMR17" s="418"/>
      <c r="MMS17" s="418"/>
      <c r="MMT17" s="418"/>
      <c r="MMU17" s="418"/>
      <c r="MMV17" s="418"/>
      <c r="MMW17" s="418"/>
      <c r="MMX17" s="418"/>
      <c r="MMY17" s="418"/>
      <c r="MMZ17" s="418"/>
      <c r="MNA17" s="418"/>
      <c r="MNB17" s="418"/>
      <c r="MNC17" s="418"/>
      <c r="MND17" s="418"/>
      <c r="MNE17" s="418"/>
      <c r="MNF17" s="418"/>
      <c r="MNG17" s="418"/>
      <c r="MNH17" s="418"/>
      <c r="MNI17" s="418"/>
      <c r="MNJ17" s="418"/>
      <c r="MNK17" s="418"/>
      <c r="MNL17" s="418"/>
      <c r="MNM17" s="418"/>
      <c r="MNN17" s="418"/>
      <c r="MNO17" s="418"/>
      <c r="MNP17" s="418"/>
      <c r="MNQ17" s="418"/>
      <c r="MNR17" s="418"/>
      <c r="MNS17" s="418"/>
      <c r="MNT17" s="418"/>
      <c r="MNU17" s="418"/>
      <c r="MNV17" s="418"/>
      <c r="MNW17" s="418"/>
      <c r="MNX17" s="418"/>
      <c r="MNY17" s="418"/>
      <c r="MNZ17" s="418"/>
      <c r="MOA17" s="418"/>
      <c r="MOB17" s="418"/>
      <c r="MOC17" s="418"/>
      <c r="MOD17" s="418"/>
      <c r="MOE17" s="418"/>
      <c r="MOF17" s="418"/>
      <c r="MOG17" s="418"/>
      <c r="MOH17" s="418"/>
      <c r="MOI17" s="418"/>
      <c r="MOJ17" s="418"/>
      <c r="MOK17" s="418"/>
      <c r="MOL17" s="418"/>
      <c r="MOM17" s="418"/>
      <c r="MON17" s="418"/>
      <c r="MOO17" s="418"/>
      <c r="MOP17" s="418"/>
      <c r="MOQ17" s="418"/>
      <c r="MOR17" s="418"/>
      <c r="MOS17" s="418"/>
      <c r="MOT17" s="418"/>
      <c r="MOU17" s="418"/>
      <c r="MOV17" s="418"/>
      <c r="MOW17" s="418"/>
      <c r="MOX17" s="418"/>
      <c r="MOY17" s="418"/>
      <c r="MOZ17" s="418"/>
      <c r="MPA17" s="418"/>
      <c r="MPB17" s="418"/>
      <c r="MPC17" s="418"/>
      <c r="MPD17" s="418"/>
      <c r="MPE17" s="418"/>
      <c r="MPF17" s="418"/>
      <c r="MPG17" s="418"/>
      <c r="MPH17" s="418"/>
      <c r="MPI17" s="418"/>
      <c r="MPJ17" s="418"/>
      <c r="MPK17" s="418"/>
      <c r="MPL17" s="418"/>
      <c r="MPM17" s="418"/>
      <c r="MPN17" s="418"/>
      <c r="MPO17" s="418"/>
      <c r="MPP17" s="418"/>
      <c r="MPQ17" s="418"/>
      <c r="MPR17" s="418"/>
      <c r="MPS17" s="418"/>
      <c r="MPT17" s="418"/>
      <c r="MPU17" s="418"/>
      <c r="MPV17" s="418"/>
      <c r="MPW17" s="418"/>
      <c r="MPX17" s="418"/>
      <c r="MPY17" s="418"/>
      <c r="MPZ17" s="418"/>
      <c r="MQA17" s="418"/>
      <c r="MQB17" s="418"/>
      <c r="MQC17" s="418"/>
      <c r="MQD17" s="418"/>
      <c r="MQE17" s="418"/>
      <c r="MQF17" s="418"/>
      <c r="MQG17" s="418"/>
      <c r="MQH17" s="418"/>
      <c r="MQI17" s="418"/>
      <c r="MQJ17" s="418"/>
      <c r="MQK17" s="418"/>
      <c r="MQL17" s="418"/>
      <c r="MQM17" s="418"/>
      <c r="MQN17" s="418"/>
      <c r="MQO17" s="418"/>
      <c r="MQP17" s="418"/>
      <c r="MQQ17" s="418"/>
      <c r="MQR17" s="418"/>
      <c r="MQS17" s="418"/>
      <c r="MQT17" s="418"/>
      <c r="MQU17" s="418"/>
      <c r="MQV17" s="418"/>
      <c r="MQW17" s="418"/>
      <c r="MQX17" s="418"/>
      <c r="MQY17" s="418"/>
      <c r="MQZ17" s="418"/>
      <c r="MRA17" s="418"/>
      <c r="MRB17" s="418"/>
      <c r="MRC17" s="418"/>
      <c r="MRD17" s="418"/>
      <c r="MRE17" s="418"/>
      <c r="MRF17" s="418"/>
      <c r="MRG17" s="418"/>
      <c r="MRH17" s="418"/>
      <c r="MRI17" s="418"/>
      <c r="MRJ17" s="418"/>
      <c r="MRK17" s="418"/>
      <c r="MRL17" s="418"/>
      <c r="MRM17" s="418"/>
      <c r="MRN17" s="418"/>
      <c r="MRO17" s="418"/>
      <c r="MRP17" s="418"/>
      <c r="MRQ17" s="418"/>
      <c r="MRR17" s="418"/>
      <c r="MRS17" s="418"/>
      <c r="MRT17" s="418"/>
      <c r="MRU17" s="418"/>
      <c r="MRV17" s="418"/>
      <c r="MRW17" s="418"/>
      <c r="MRX17" s="418"/>
      <c r="MRY17" s="418"/>
      <c r="MRZ17" s="418"/>
      <c r="MSA17" s="418"/>
      <c r="MSB17" s="418"/>
      <c r="MSC17" s="418"/>
      <c r="MSD17" s="418"/>
      <c r="MSE17" s="418"/>
      <c r="MSF17" s="418"/>
      <c r="MSG17" s="418"/>
      <c r="MSH17" s="418"/>
      <c r="MSI17" s="418"/>
      <c r="MSJ17" s="418"/>
      <c r="MSK17" s="418"/>
      <c r="MSL17" s="418"/>
      <c r="MSM17" s="418"/>
      <c r="MSN17" s="418"/>
      <c r="MSO17" s="418"/>
      <c r="MSP17" s="418"/>
      <c r="MSQ17" s="418"/>
      <c r="MSR17" s="418"/>
      <c r="MSS17" s="418"/>
      <c r="MST17" s="418"/>
      <c r="MSU17" s="418"/>
      <c r="MSV17" s="418"/>
      <c r="MSW17" s="418"/>
      <c r="MSX17" s="418"/>
      <c r="MSY17" s="418"/>
      <c r="MSZ17" s="418"/>
      <c r="MTA17" s="418"/>
      <c r="MTB17" s="418"/>
      <c r="MTC17" s="418"/>
      <c r="MTD17" s="418"/>
      <c r="MTE17" s="418"/>
      <c r="MTF17" s="418"/>
      <c r="MTG17" s="418"/>
      <c r="MTH17" s="418"/>
      <c r="MTI17" s="418"/>
      <c r="MTJ17" s="418"/>
      <c r="MTK17" s="418"/>
      <c r="MTL17" s="418"/>
      <c r="MTM17" s="418"/>
      <c r="MTN17" s="418"/>
      <c r="MTO17" s="418"/>
      <c r="MTP17" s="418"/>
      <c r="MTQ17" s="418"/>
      <c r="MTR17" s="418"/>
      <c r="MTS17" s="418"/>
      <c r="MTT17" s="418"/>
      <c r="MTU17" s="418"/>
      <c r="MTV17" s="418"/>
      <c r="MTW17" s="418"/>
      <c r="MTX17" s="418"/>
      <c r="MTY17" s="418"/>
      <c r="MTZ17" s="418"/>
      <c r="MUA17" s="418"/>
      <c r="MUB17" s="418"/>
      <c r="MUC17" s="418"/>
      <c r="MUD17" s="418"/>
      <c r="MUE17" s="418"/>
      <c r="MUF17" s="418"/>
      <c r="MUG17" s="418"/>
      <c r="MUH17" s="418"/>
      <c r="MUI17" s="418"/>
      <c r="MUJ17" s="418"/>
      <c r="MUK17" s="418"/>
      <c r="MUL17" s="418"/>
      <c r="MUM17" s="418"/>
      <c r="MUN17" s="418"/>
      <c r="MUO17" s="418"/>
      <c r="MUP17" s="418"/>
      <c r="MUQ17" s="418"/>
      <c r="MUR17" s="418"/>
      <c r="MUS17" s="418"/>
      <c r="MUT17" s="418"/>
      <c r="MUU17" s="418"/>
      <c r="MUV17" s="418"/>
      <c r="MUW17" s="418"/>
      <c r="MUX17" s="418"/>
      <c r="MUY17" s="418"/>
      <c r="MUZ17" s="418"/>
      <c r="MVA17" s="418"/>
      <c r="MVB17" s="418"/>
      <c r="MVC17" s="418"/>
      <c r="MVD17" s="418"/>
      <c r="MVE17" s="418"/>
      <c r="MVF17" s="418"/>
      <c r="MVG17" s="418"/>
      <c r="MVH17" s="418"/>
      <c r="MVI17" s="418"/>
      <c r="MVJ17" s="418"/>
      <c r="MVK17" s="418"/>
      <c r="MVL17" s="418"/>
      <c r="MVM17" s="418"/>
      <c r="MVN17" s="418"/>
      <c r="MVO17" s="418"/>
      <c r="MVP17" s="418"/>
      <c r="MVQ17" s="418"/>
      <c r="MVR17" s="418"/>
      <c r="MVS17" s="418"/>
      <c r="MVT17" s="418"/>
      <c r="MVU17" s="418"/>
      <c r="MVV17" s="418"/>
      <c r="MVW17" s="418"/>
      <c r="MVX17" s="418"/>
      <c r="MVY17" s="418"/>
      <c r="MVZ17" s="418"/>
      <c r="MWA17" s="418"/>
      <c r="MWB17" s="418"/>
      <c r="MWC17" s="418"/>
      <c r="MWD17" s="418"/>
      <c r="MWE17" s="418"/>
      <c r="MWF17" s="418"/>
      <c r="MWG17" s="418"/>
      <c r="MWH17" s="418"/>
      <c r="MWI17" s="418"/>
      <c r="MWJ17" s="418"/>
      <c r="MWK17" s="418"/>
      <c r="MWL17" s="418"/>
      <c r="MWM17" s="418"/>
      <c r="MWN17" s="418"/>
      <c r="MWO17" s="418"/>
      <c r="MWP17" s="418"/>
      <c r="MWQ17" s="418"/>
      <c r="MWR17" s="418"/>
      <c r="MWS17" s="418"/>
      <c r="MWT17" s="418"/>
      <c r="MWU17" s="418"/>
      <c r="MWV17" s="418"/>
      <c r="MWW17" s="418"/>
      <c r="MWX17" s="418"/>
      <c r="MWY17" s="418"/>
      <c r="MWZ17" s="418"/>
      <c r="MXA17" s="418"/>
      <c r="MXB17" s="418"/>
      <c r="MXC17" s="418"/>
      <c r="MXD17" s="418"/>
      <c r="MXE17" s="418"/>
      <c r="MXF17" s="418"/>
      <c r="MXG17" s="418"/>
      <c r="MXH17" s="418"/>
      <c r="MXI17" s="418"/>
      <c r="MXJ17" s="418"/>
      <c r="MXK17" s="418"/>
      <c r="MXL17" s="418"/>
      <c r="MXM17" s="418"/>
      <c r="MXN17" s="418"/>
      <c r="MXO17" s="418"/>
      <c r="MXP17" s="418"/>
      <c r="MXQ17" s="418"/>
      <c r="MXR17" s="418"/>
      <c r="MXS17" s="418"/>
      <c r="MXT17" s="418"/>
      <c r="MXU17" s="418"/>
      <c r="MXV17" s="418"/>
      <c r="MXW17" s="418"/>
      <c r="MXX17" s="418"/>
      <c r="MXY17" s="418"/>
      <c r="MXZ17" s="418"/>
      <c r="MYA17" s="418"/>
      <c r="MYB17" s="418"/>
      <c r="MYC17" s="418"/>
      <c r="MYD17" s="418"/>
      <c r="MYE17" s="418"/>
      <c r="MYF17" s="418"/>
      <c r="MYG17" s="418"/>
      <c r="MYH17" s="418"/>
      <c r="MYI17" s="418"/>
      <c r="MYJ17" s="418"/>
      <c r="MYK17" s="418"/>
      <c r="MYL17" s="418"/>
      <c r="MYM17" s="418"/>
      <c r="MYN17" s="418"/>
      <c r="MYO17" s="418"/>
      <c r="MYP17" s="418"/>
      <c r="MYQ17" s="418"/>
      <c r="MYR17" s="418"/>
      <c r="MYS17" s="418"/>
      <c r="MYT17" s="418"/>
      <c r="MYU17" s="418"/>
      <c r="MYV17" s="418"/>
      <c r="MYW17" s="418"/>
      <c r="MYX17" s="418"/>
      <c r="MYY17" s="418"/>
      <c r="MYZ17" s="418"/>
      <c r="MZA17" s="418"/>
      <c r="MZB17" s="418"/>
      <c r="MZC17" s="418"/>
      <c r="MZD17" s="418"/>
      <c r="MZE17" s="418"/>
      <c r="MZF17" s="418"/>
      <c r="MZG17" s="418"/>
      <c r="MZH17" s="418"/>
      <c r="MZI17" s="418"/>
      <c r="MZJ17" s="418"/>
      <c r="MZK17" s="418"/>
      <c r="MZL17" s="418"/>
      <c r="MZM17" s="418"/>
      <c r="MZN17" s="418"/>
      <c r="MZO17" s="418"/>
      <c r="MZP17" s="418"/>
      <c r="MZQ17" s="418"/>
      <c r="MZR17" s="418"/>
      <c r="MZS17" s="418"/>
      <c r="MZT17" s="418"/>
      <c r="MZU17" s="418"/>
      <c r="MZV17" s="418"/>
      <c r="MZW17" s="418"/>
      <c r="MZX17" s="418"/>
      <c r="MZY17" s="418"/>
      <c r="MZZ17" s="418"/>
      <c r="NAA17" s="418"/>
      <c r="NAB17" s="418"/>
      <c r="NAC17" s="418"/>
      <c r="NAD17" s="418"/>
      <c r="NAE17" s="418"/>
      <c r="NAF17" s="418"/>
      <c r="NAG17" s="418"/>
      <c r="NAH17" s="418"/>
      <c r="NAI17" s="418"/>
      <c r="NAJ17" s="418"/>
      <c r="NAK17" s="418"/>
      <c r="NAL17" s="418"/>
      <c r="NAM17" s="418"/>
      <c r="NAN17" s="418"/>
      <c r="NAO17" s="418"/>
      <c r="NAP17" s="418"/>
      <c r="NAQ17" s="418"/>
      <c r="NAR17" s="418"/>
      <c r="NAS17" s="418"/>
      <c r="NAT17" s="418"/>
      <c r="NAU17" s="418"/>
      <c r="NAV17" s="418"/>
      <c r="NAW17" s="418"/>
      <c r="NAX17" s="418"/>
      <c r="NAY17" s="418"/>
      <c r="NAZ17" s="418"/>
      <c r="NBA17" s="418"/>
      <c r="NBB17" s="418"/>
      <c r="NBC17" s="418"/>
      <c r="NBD17" s="418"/>
      <c r="NBE17" s="418"/>
      <c r="NBF17" s="418"/>
      <c r="NBG17" s="418"/>
      <c r="NBH17" s="418"/>
      <c r="NBI17" s="418"/>
      <c r="NBJ17" s="418"/>
      <c r="NBK17" s="418"/>
      <c r="NBL17" s="418"/>
      <c r="NBM17" s="418"/>
      <c r="NBN17" s="418"/>
      <c r="NBO17" s="418"/>
      <c r="NBP17" s="418"/>
      <c r="NBQ17" s="418"/>
      <c r="NBR17" s="418"/>
      <c r="NBS17" s="418"/>
      <c r="NBT17" s="418"/>
      <c r="NBU17" s="418"/>
      <c r="NBV17" s="418"/>
      <c r="NBW17" s="418"/>
      <c r="NBX17" s="418"/>
      <c r="NBY17" s="418"/>
      <c r="NBZ17" s="418"/>
      <c r="NCA17" s="418"/>
      <c r="NCB17" s="418"/>
      <c r="NCC17" s="418"/>
      <c r="NCD17" s="418"/>
      <c r="NCE17" s="418"/>
      <c r="NCF17" s="418"/>
      <c r="NCG17" s="418"/>
      <c r="NCH17" s="418"/>
      <c r="NCI17" s="418"/>
      <c r="NCJ17" s="418"/>
      <c r="NCK17" s="418"/>
      <c r="NCL17" s="418"/>
      <c r="NCM17" s="418"/>
      <c r="NCN17" s="418"/>
      <c r="NCO17" s="418"/>
      <c r="NCP17" s="418"/>
      <c r="NCQ17" s="418"/>
      <c r="NCR17" s="418"/>
      <c r="NCS17" s="418"/>
      <c r="NCT17" s="418"/>
      <c r="NCU17" s="418"/>
      <c r="NCV17" s="418"/>
      <c r="NCW17" s="418"/>
      <c r="NCX17" s="418"/>
      <c r="NCY17" s="418"/>
      <c r="NCZ17" s="418"/>
      <c r="NDA17" s="418"/>
      <c r="NDB17" s="418"/>
      <c r="NDC17" s="418"/>
      <c r="NDD17" s="418"/>
      <c r="NDE17" s="418"/>
      <c r="NDF17" s="418"/>
      <c r="NDG17" s="418"/>
      <c r="NDH17" s="418"/>
      <c r="NDI17" s="418"/>
      <c r="NDJ17" s="418"/>
      <c r="NDK17" s="418"/>
      <c r="NDL17" s="418"/>
      <c r="NDM17" s="418"/>
      <c r="NDN17" s="418"/>
      <c r="NDO17" s="418"/>
      <c r="NDP17" s="418"/>
      <c r="NDQ17" s="418"/>
      <c r="NDR17" s="418"/>
      <c r="NDS17" s="418"/>
      <c r="NDT17" s="418"/>
      <c r="NDU17" s="418"/>
      <c r="NDV17" s="418"/>
      <c r="NDW17" s="418"/>
      <c r="NDX17" s="418"/>
      <c r="NDY17" s="418"/>
      <c r="NDZ17" s="418"/>
      <c r="NEA17" s="418"/>
      <c r="NEB17" s="418"/>
      <c r="NEC17" s="418"/>
      <c r="NED17" s="418"/>
      <c r="NEE17" s="418"/>
      <c r="NEF17" s="418"/>
      <c r="NEG17" s="418"/>
      <c r="NEH17" s="418"/>
      <c r="NEI17" s="418"/>
      <c r="NEJ17" s="418"/>
      <c r="NEK17" s="418"/>
      <c r="NEL17" s="418"/>
      <c r="NEM17" s="418"/>
      <c r="NEN17" s="418"/>
      <c r="NEO17" s="418"/>
      <c r="NEP17" s="418"/>
      <c r="NEQ17" s="418"/>
      <c r="NER17" s="418"/>
      <c r="NES17" s="418"/>
      <c r="NET17" s="418"/>
      <c r="NEU17" s="418"/>
      <c r="NEV17" s="418"/>
      <c r="NEW17" s="418"/>
      <c r="NEX17" s="418"/>
      <c r="NEY17" s="418"/>
      <c r="NEZ17" s="418"/>
      <c r="NFA17" s="418"/>
      <c r="NFB17" s="418"/>
      <c r="NFC17" s="418"/>
      <c r="NFD17" s="418"/>
      <c r="NFE17" s="418"/>
      <c r="NFF17" s="418"/>
      <c r="NFG17" s="418"/>
      <c r="NFH17" s="418"/>
      <c r="NFI17" s="418"/>
      <c r="NFJ17" s="418"/>
      <c r="NFK17" s="418"/>
      <c r="NFL17" s="418"/>
      <c r="NFM17" s="418"/>
      <c r="NFN17" s="418"/>
      <c r="NFO17" s="418"/>
      <c r="NFP17" s="418"/>
      <c r="NFQ17" s="418"/>
      <c r="NFR17" s="418"/>
      <c r="NFS17" s="418"/>
      <c r="NFT17" s="418"/>
      <c r="NFU17" s="418"/>
      <c r="NFV17" s="418"/>
      <c r="NFW17" s="418"/>
      <c r="NFX17" s="418"/>
      <c r="NFY17" s="418"/>
      <c r="NFZ17" s="418"/>
      <c r="NGA17" s="418"/>
      <c r="NGB17" s="418"/>
      <c r="NGC17" s="418"/>
      <c r="NGD17" s="418"/>
      <c r="NGE17" s="418"/>
      <c r="NGF17" s="418"/>
      <c r="NGG17" s="418"/>
      <c r="NGH17" s="418"/>
      <c r="NGI17" s="418"/>
      <c r="NGJ17" s="418"/>
      <c r="NGK17" s="418"/>
      <c r="NGL17" s="418"/>
      <c r="NGM17" s="418"/>
      <c r="NGN17" s="418"/>
      <c r="NGO17" s="418"/>
      <c r="NGP17" s="418"/>
      <c r="NGQ17" s="418"/>
      <c r="NGR17" s="418"/>
      <c r="NGS17" s="418"/>
      <c r="NGT17" s="418"/>
      <c r="NGU17" s="418"/>
      <c r="NGV17" s="418"/>
      <c r="NGW17" s="418"/>
      <c r="NGX17" s="418"/>
      <c r="NGY17" s="418"/>
      <c r="NGZ17" s="418"/>
      <c r="NHA17" s="418"/>
      <c r="NHB17" s="418"/>
      <c r="NHC17" s="418"/>
      <c r="NHD17" s="418"/>
      <c r="NHE17" s="418"/>
      <c r="NHF17" s="418"/>
      <c r="NHG17" s="418"/>
      <c r="NHH17" s="418"/>
      <c r="NHI17" s="418"/>
      <c r="NHJ17" s="418"/>
      <c r="NHK17" s="418"/>
      <c r="NHL17" s="418"/>
      <c r="NHM17" s="418"/>
      <c r="NHN17" s="418"/>
      <c r="NHO17" s="418"/>
      <c r="NHP17" s="418"/>
      <c r="NHQ17" s="418"/>
      <c r="NHR17" s="418"/>
      <c r="NHS17" s="418"/>
      <c r="NHT17" s="418"/>
      <c r="NHU17" s="418"/>
      <c r="NHV17" s="418"/>
      <c r="NHW17" s="418"/>
      <c r="NHX17" s="418"/>
      <c r="NHY17" s="418"/>
      <c r="NHZ17" s="418"/>
      <c r="NIA17" s="418"/>
      <c r="NIB17" s="418"/>
      <c r="NIC17" s="418"/>
      <c r="NID17" s="418"/>
      <c r="NIE17" s="418"/>
      <c r="NIF17" s="418"/>
      <c r="NIG17" s="418"/>
      <c r="NIH17" s="418"/>
      <c r="NII17" s="418"/>
      <c r="NIJ17" s="418"/>
      <c r="NIK17" s="418"/>
      <c r="NIL17" s="418"/>
      <c r="NIM17" s="418"/>
      <c r="NIN17" s="418"/>
      <c r="NIO17" s="418"/>
      <c r="NIP17" s="418"/>
      <c r="NIQ17" s="418"/>
      <c r="NIR17" s="418"/>
      <c r="NIS17" s="418"/>
      <c r="NIT17" s="418"/>
      <c r="NIU17" s="418"/>
      <c r="NIV17" s="418"/>
      <c r="NIW17" s="418"/>
      <c r="NIX17" s="418"/>
      <c r="NIY17" s="418"/>
      <c r="NIZ17" s="418"/>
      <c r="NJA17" s="418"/>
      <c r="NJB17" s="418"/>
      <c r="NJC17" s="418"/>
      <c r="NJD17" s="418"/>
      <c r="NJE17" s="418"/>
      <c r="NJF17" s="418"/>
      <c r="NJG17" s="418"/>
      <c r="NJH17" s="418"/>
      <c r="NJI17" s="418"/>
      <c r="NJJ17" s="418"/>
      <c r="NJK17" s="418"/>
      <c r="NJL17" s="418"/>
      <c r="NJM17" s="418"/>
      <c r="NJN17" s="418"/>
      <c r="NJO17" s="418"/>
      <c r="NJP17" s="418"/>
      <c r="NJQ17" s="418"/>
      <c r="NJR17" s="418"/>
      <c r="NJS17" s="418"/>
      <c r="NJT17" s="418"/>
      <c r="NJU17" s="418"/>
      <c r="NJV17" s="418"/>
      <c r="NJW17" s="418"/>
      <c r="NJX17" s="418"/>
      <c r="NJY17" s="418"/>
      <c r="NJZ17" s="418"/>
      <c r="NKA17" s="418"/>
      <c r="NKB17" s="418"/>
      <c r="NKC17" s="418"/>
      <c r="NKD17" s="418"/>
      <c r="NKE17" s="418"/>
      <c r="NKF17" s="418"/>
      <c r="NKG17" s="418"/>
      <c r="NKH17" s="418"/>
      <c r="NKI17" s="418"/>
      <c r="NKJ17" s="418"/>
      <c r="NKK17" s="418"/>
      <c r="NKL17" s="418"/>
      <c r="NKM17" s="418"/>
      <c r="NKN17" s="418"/>
      <c r="NKO17" s="418"/>
      <c r="NKP17" s="418"/>
      <c r="NKQ17" s="418"/>
      <c r="NKR17" s="418"/>
      <c r="NKS17" s="418"/>
      <c r="NKT17" s="418"/>
      <c r="NKU17" s="418"/>
      <c r="NKV17" s="418"/>
      <c r="NKW17" s="418"/>
      <c r="NKX17" s="418"/>
      <c r="NKY17" s="418"/>
      <c r="NKZ17" s="418"/>
      <c r="NLA17" s="418"/>
      <c r="NLB17" s="418"/>
      <c r="NLC17" s="418"/>
      <c r="NLD17" s="418"/>
      <c r="NLE17" s="418"/>
      <c r="NLF17" s="418"/>
      <c r="NLG17" s="418"/>
      <c r="NLH17" s="418"/>
      <c r="NLI17" s="418"/>
      <c r="NLJ17" s="418"/>
      <c r="NLK17" s="418"/>
      <c r="NLL17" s="418"/>
      <c r="NLM17" s="418"/>
      <c r="NLN17" s="418"/>
      <c r="NLO17" s="418"/>
      <c r="NLP17" s="418"/>
      <c r="NLQ17" s="418"/>
      <c r="NLR17" s="418"/>
      <c r="NLS17" s="418"/>
      <c r="NLT17" s="418"/>
      <c r="NLU17" s="418"/>
      <c r="NLV17" s="418"/>
      <c r="NLW17" s="418"/>
      <c r="NLX17" s="418"/>
      <c r="NLY17" s="418"/>
      <c r="NLZ17" s="418"/>
      <c r="NMA17" s="418"/>
      <c r="NMB17" s="418"/>
      <c r="NMC17" s="418"/>
      <c r="NMD17" s="418"/>
      <c r="NME17" s="418"/>
      <c r="NMF17" s="418"/>
      <c r="NMG17" s="418"/>
      <c r="NMH17" s="418"/>
      <c r="NMI17" s="418"/>
      <c r="NMJ17" s="418"/>
      <c r="NMK17" s="418"/>
      <c r="NML17" s="418"/>
      <c r="NMM17" s="418"/>
      <c r="NMN17" s="418"/>
      <c r="NMO17" s="418"/>
      <c r="NMP17" s="418"/>
      <c r="NMQ17" s="418"/>
      <c r="NMR17" s="418"/>
      <c r="NMS17" s="418"/>
      <c r="NMT17" s="418"/>
      <c r="NMU17" s="418"/>
      <c r="NMV17" s="418"/>
      <c r="NMW17" s="418"/>
      <c r="NMX17" s="418"/>
      <c r="NMY17" s="418"/>
      <c r="NMZ17" s="418"/>
      <c r="NNA17" s="418"/>
      <c r="NNB17" s="418"/>
      <c r="NNC17" s="418"/>
      <c r="NND17" s="418"/>
      <c r="NNE17" s="418"/>
      <c r="NNF17" s="418"/>
      <c r="NNG17" s="418"/>
      <c r="NNH17" s="418"/>
      <c r="NNI17" s="418"/>
      <c r="NNJ17" s="418"/>
      <c r="NNK17" s="418"/>
      <c r="NNL17" s="418"/>
      <c r="NNM17" s="418"/>
      <c r="NNN17" s="418"/>
      <c r="NNO17" s="418"/>
      <c r="NNP17" s="418"/>
      <c r="NNQ17" s="418"/>
      <c r="NNR17" s="418"/>
      <c r="NNS17" s="418"/>
      <c r="NNT17" s="418"/>
      <c r="NNU17" s="418"/>
      <c r="NNV17" s="418"/>
      <c r="NNW17" s="418"/>
      <c r="NNX17" s="418"/>
      <c r="NNY17" s="418"/>
      <c r="NNZ17" s="418"/>
      <c r="NOA17" s="418"/>
      <c r="NOB17" s="418"/>
      <c r="NOC17" s="418"/>
      <c r="NOD17" s="418"/>
      <c r="NOE17" s="418"/>
      <c r="NOF17" s="418"/>
      <c r="NOG17" s="418"/>
      <c r="NOH17" s="418"/>
      <c r="NOI17" s="418"/>
      <c r="NOJ17" s="418"/>
      <c r="NOK17" s="418"/>
      <c r="NOL17" s="418"/>
      <c r="NOM17" s="418"/>
      <c r="NON17" s="418"/>
      <c r="NOO17" s="418"/>
      <c r="NOP17" s="418"/>
      <c r="NOQ17" s="418"/>
      <c r="NOR17" s="418"/>
      <c r="NOS17" s="418"/>
      <c r="NOT17" s="418"/>
      <c r="NOU17" s="418"/>
      <c r="NOV17" s="418"/>
      <c r="NOW17" s="418"/>
      <c r="NOX17" s="418"/>
      <c r="NOY17" s="418"/>
      <c r="NOZ17" s="418"/>
      <c r="NPA17" s="418"/>
      <c r="NPB17" s="418"/>
      <c r="NPC17" s="418"/>
      <c r="NPD17" s="418"/>
      <c r="NPE17" s="418"/>
      <c r="NPF17" s="418"/>
      <c r="NPG17" s="418"/>
      <c r="NPH17" s="418"/>
      <c r="NPI17" s="418"/>
      <c r="NPJ17" s="418"/>
      <c r="NPK17" s="418"/>
      <c r="NPL17" s="418"/>
      <c r="NPM17" s="418"/>
      <c r="NPN17" s="418"/>
      <c r="NPO17" s="418"/>
      <c r="NPP17" s="418"/>
      <c r="NPQ17" s="418"/>
      <c r="NPR17" s="418"/>
      <c r="NPS17" s="418"/>
      <c r="NPT17" s="418"/>
      <c r="NPU17" s="418"/>
      <c r="NPV17" s="418"/>
      <c r="NPW17" s="418"/>
      <c r="NPX17" s="418"/>
      <c r="NPY17" s="418"/>
      <c r="NPZ17" s="418"/>
      <c r="NQA17" s="418"/>
      <c r="NQB17" s="418"/>
      <c r="NQC17" s="418"/>
      <c r="NQD17" s="418"/>
      <c r="NQE17" s="418"/>
      <c r="NQF17" s="418"/>
      <c r="NQG17" s="418"/>
      <c r="NQH17" s="418"/>
      <c r="NQI17" s="418"/>
      <c r="NQJ17" s="418"/>
      <c r="NQK17" s="418"/>
      <c r="NQL17" s="418"/>
      <c r="NQM17" s="418"/>
      <c r="NQN17" s="418"/>
      <c r="NQO17" s="418"/>
      <c r="NQP17" s="418"/>
      <c r="NQQ17" s="418"/>
      <c r="NQR17" s="418"/>
      <c r="NQS17" s="418"/>
      <c r="NQT17" s="418"/>
      <c r="NQU17" s="418"/>
      <c r="NQV17" s="418"/>
      <c r="NQW17" s="418"/>
      <c r="NQX17" s="418"/>
      <c r="NQY17" s="418"/>
      <c r="NQZ17" s="418"/>
      <c r="NRA17" s="418"/>
      <c r="NRB17" s="418"/>
      <c r="NRC17" s="418"/>
      <c r="NRD17" s="418"/>
      <c r="NRE17" s="418"/>
      <c r="NRF17" s="418"/>
      <c r="NRG17" s="418"/>
      <c r="NRH17" s="418"/>
      <c r="NRI17" s="418"/>
      <c r="NRJ17" s="418"/>
      <c r="NRK17" s="418"/>
      <c r="NRL17" s="418"/>
      <c r="NRM17" s="418"/>
      <c r="NRN17" s="418"/>
      <c r="NRO17" s="418"/>
      <c r="NRP17" s="418"/>
      <c r="NRQ17" s="418"/>
      <c r="NRR17" s="418"/>
      <c r="NRS17" s="418"/>
      <c r="NRT17" s="418"/>
      <c r="NRU17" s="418"/>
      <c r="NRV17" s="418"/>
      <c r="NRW17" s="418"/>
      <c r="NRX17" s="418"/>
      <c r="NRY17" s="418"/>
      <c r="NRZ17" s="418"/>
      <c r="NSA17" s="418"/>
      <c r="NSB17" s="418"/>
      <c r="NSC17" s="418"/>
      <c r="NSD17" s="418"/>
      <c r="NSE17" s="418"/>
      <c r="NSF17" s="418"/>
      <c r="NSG17" s="418"/>
      <c r="NSH17" s="418"/>
      <c r="NSI17" s="418"/>
      <c r="NSJ17" s="418"/>
      <c r="NSK17" s="418"/>
      <c r="NSL17" s="418"/>
      <c r="NSM17" s="418"/>
      <c r="NSN17" s="418"/>
      <c r="NSO17" s="418"/>
      <c r="NSP17" s="418"/>
      <c r="NSQ17" s="418"/>
      <c r="NSR17" s="418"/>
      <c r="NSS17" s="418"/>
      <c r="NST17" s="418"/>
      <c r="NSU17" s="418"/>
      <c r="NSV17" s="418"/>
      <c r="NSW17" s="418"/>
      <c r="NSX17" s="418"/>
      <c r="NSY17" s="418"/>
      <c r="NSZ17" s="418"/>
      <c r="NTA17" s="418"/>
      <c r="NTB17" s="418"/>
      <c r="NTC17" s="418"/>
      <c r="NTD17" s="418"/>
      <c r="NTE17" s="418"/>
      <c r="NTF17" s="418"/>
      <c r="NTG17" s="418"/>
      <c r="NTH17" s="418"/>
      <c r="NTI17" s="418"/>
      <c r="NTJ17" s="418"/>
      <c r="NTK17" s="418"/>
      <c r="NTL17" s="418"/>
      <c r="NTM17" s="418"/>
      <c r="NTN17" s="418"/>
      <c r="NTO17" s="418"/>
      <c r="NTP17" s="418"/>
      <c r="NTQ17" s="418"/>
      <c r="NTR17" s="418"/>
      <c r="NTS17" s="418"/>
      <c r="NTT17" s="418"/>
      <c r="NTU17" s="418"/>
      <c r="NTV17" s="418"/>
      <c r="NTW17" s="418"/>
      <c r="NTX17" s="418"/>
      <c r="NTY17" s="418"/>
      <c r="NTZ17" s="418"/>
      <c r="NUA17" s="418"/>
      <c r="NUB17" s="418"/>
      <c r="NUC17" s="418"/>
      <c r="NUD17" s="418"/>
      <c r="NUE17" s="418"/>
      <c r="NUF17" s="418"/>
      <c r="NUG17" s="418"/>
      <c r="NUH17" s="418"/>
      <c r="NUI17" s="418"/>
      <c r="NUJ17" s="418"/>
      <c r="NUK17" s="418"/>
      <c r="NUL17" s="418"/>
      <c r="NUM17" s="418"/>
      <c r="NUN17" s="418"/>
      <c r="NUO17" s="418"/>
      <c r="NUP17" s="418"/>
      <c r="NUQ17" s="418"/>
      <c r="NUR17" s="418"/>
      <c r="NUS17" s="418"/>
      <c r="NUT17" s="418"/>
      <c r="NUU17" s="418"/>
      <c r="NUV17" s="418"/>
      <c r="NUW17" s="418"/>
      <c r="NUX17" s="418"/>
      <c r="NUY17" s="418"/>
      <c r="NUZ17" s="418"/>
      <c r="NVA17" s="418"/>
      <c r="NVB17" s="418"/>
      <c r="NVC17" s="418"/>
      <c r="NVD17" s="418"/>
      <c r="NVE17" s="418"/>
      <c r="NVF17" s="418"/>
      <c r="NVG17" s="418"/>
      <c r="NVH17" s="418"/>
      <c r="NVI17" s="418"/>
      <c r="NVJ17" s="418"/>
      <c r="NVK17" s="418"/>
      <c r="NVL17" s="418"/>
      <c r="NVM17" s="418"/>
      <c r="NVN17" s="418"/>
      <c r="NVO17" s="418"/>
      <c r="NVP17" s="418"/>
      <c r="NVQ17" s="418"/>
      <c r="NVR17" s="418"/>
      <c r="NVS17" s="418"/>
      <c r="NVT17" s="418"/>
      <c r="NVU17" s="418"/>
      <c r="NVV17" s="418"/>
      <c r="NVW17" s="418"/>
      <c r="NVX17" s="418"/>
      <c r="NVY17" s="418"/>
      <c r="NVZ17" s="418"/>
      <c r="NWA17" s="418"/>
      <c r="NWB17" s="418"/>
      <c r="NWC17" s="418"/>
      <c r="NWD17" s="418"/>
      <c r="NWE17" s="418"/>
      <c r="NWF17" s="418"/>
      <c r="NWG17" s="418"/>
      <c r="NWH17" s="418"/>
      <c r="NWI17" s="418"/>
      <c r="NWJ17" s="418"/>
      <c r="NWK17" s="418"/>
      <c r="NWL17" s="418"/>
      <c r="NWM17" s="418"/>
      <c r="NWN17" s="418"/>
      <c r="NWO17" s="418"/>
      <c r="NWP17" s="418"/>
      <c r="NWQ17" s="418"/>
      <c r="NWR17" s="418"/>
      <c r="NWS17" s="418"/>
      <c r="NWT17" s="418"/>
      <c r="NWU17" s="418"/>
      <c r="NWV17" s="418"/>
      <c r="NWW17" s="418"/>
      <c r="NWX17" s="418"/>
      <c r="NWY17" s="418"/>
      <c r="NWZ17" s="418"/>
      <c r="NXA17" s="418"/>
      <c r="NXB17" s="418"/>
      <c r="NXC17" s="418"/>
      <c r="NXD17" s="418"/>
      <c r="NXE17" s="418"/>
      <c r="NXF17" s="418"/>
      <c r="NXG17" s="418"/>
      <c r="NXH17" s="418"/>
      <c r="NXI17" s="418"/>
      <c r="NXJ17" s="418"/>
      <c r="NXK17" s="418"/>
      <c r="NXL17" s="418"/>
      <c r="NXM17" s="418"/>
      <c r="NXN17" s="418"/>
      <c r="NXO17" s="418"/>
      <c r="NXP17" s="418"/>
      <c r="NXQ17" s="418"/>
      <c r="NXR17" s="418"/>
      <c r="NXS17" s="418"/>
      <c r="NXT17" s="418"/>
      <c r="NXU17" s="418"/>
      <c r="NXV17" s="418"/>
      <c r="NXW17" s="418"/>
      <c r="NXX17" s="418"/>
      <c r="NXY17" s="418"/>
      <c r="NXZ17" s="418"/>
      <c r="NYA17" s="418"/>
      <c r="NYB17" s="418"/>
      <c r="NYC17" s="418"/>
      <c r="NYD17" s="418"/>
      <c r="NYE17" s="418"/>
      <c r="NYF17" s="418"/>
      <c r="NYG17" s="418"/>
      <c r="NYH17" s="418"/>
      <c r="NYI17" s="418"/>
      <c r="NYJ17" s="418"/>
      <c r="NYK17" s="418"/>
      <c r="NYL17" s="418"/>
      <c r="NYM17" s="418"/>
      <c r="NYN17" s="418"/>
      <c r="NYO17" s="418"/>
      <c r="NYP17" s="418"/>
      <c r="NYQ17" s="418"/>
      <c r="NYR17" s="418"/>
      <c r="NYS17" s="418"/>
      <c r="NYT17" s="418"/>
      <c r="NYU17" s="418"/>
      <c r="NYV17" s="418"/>
      <c r="NYW17" s="418"/>
      <c r="NYX17" s="418"/>
      <c r="NYY17" s="418"/>
      <c r="NYZ17" s="418"/>
      <c r="NZA17" s="418"/>
      <c r="NZB17" s="418"/>
      <c r="NZC17" s="418"/>
      <c r="NZD17" s="418"/>
      <c r="NZE17" s="418"/>
      <c r="NZF17" s="418"/>
      <c r="NZG17" s="418"/>
      <c r="NZH17" s="418"/>
      <c r="NZI17" s="418"/>
      <c r="NZJ17" s="418"/>
      <c r="NZK17" s="418"/>
      <c r="NZL17" s="418"/>
      <c r="NZM17" s="418"/>
      <c r="NZN17" s="418"/>
      <c r="NZO17" s="418"/>
      <c r="NZP17" s="418"/>
      <c r="NZQ17" s="418"/>
      <c r="NZR17" s="418"/>
      <c r="NZS17" s="418"/>
      <c r="NZT17" s="418"/>
      <c r="NZU17" s="418"/>
      <c r="NZV17" s="418"/>
      <c r="NZW17" s="418"/>
      <c r="NZX17" s="418"/>
      <c r="NZY17" s="418"/>
      <c r="NZZ17" s="418"/>
      <c r="OAA17" s="418"/>
      <c r="OAB17" s="418"/>
      <c r="OAC17" s="418"/>
      <c r="OAD17" s="418"/>
      <c r="OAE17" s="418"/>
      <c r="OAF17" s="418"/>
      <c r="OAG17" s="418"/>
      <c r="OAH17" s="418"/>
      <c r="OAI17" s="418"/>
      <c r="OAJ17" s="418"/>
      <c r="OAK17" s="418"/>
      <c r="OAL17" s="418"/>
      <c r="OAM17" s="418"/>
      <c r="OAN17" s="418"/>
      <c r="OAO17" s="418"/>
      <c r="OAP17" s="418"/>
      <c r="OAQ17" s="418"/>
      <c r="OAR17" s="418"/>
      <c r="OAS17" s="418"/>
      <c r="OAT17" s="418"/>
      <c r="OAU17" s="418"/>
      <c r="OAV17" s="418"/>
      <c r="OAW17" s="418"/>
      <c r="OAX17" s="418"/>
      <c r="OAY17" s="418"/>
      <c r="OAZ17" s="418"/>
      <c r="OBA17" s="418"/>
      <c r="OBB17" s="418"/>
      <c r="OBC17" s="418"/>
      <c r="OBD17" s="418"/>
      <c r="OBE17" s="418"/>
      <c r="OBF17" s="418"/>
      <c r="OBG17" s="418"/>
      <c r="OBH17" s="418"/>
      <c r="OBI17" s="418"/>
      <c r="OBJ17" s="418"/>
      <c r="OBK17" s="418"/>
      <c r="OBL17" s="418"/>
      <c r="OBM17" s="418"/>
      <c r="OBN17" s="418"/>
      <c r="OBO17" s="418"/>
      <c r="OBP17" s="418"/>
      <c r="OBQ17" s="418"/>
      <c r="OBR17" s="418"/>
      <c r="OBS17" s="418"/>
      <c r="OBT17" s="418"/>
      <c r="OBU17" s="418"/>
      <c r="OBV17" s="418"/>
      <c r="OBW17" s="418"/>
      <c r="OBX17" s="418"/>
      <c r="OBY17" s="418"/>
      <c r="OBZ17" s="418"/>
      <c r="OCA17" s="418"/>
      <c r="OCB17" s="418"/>
      <c r="OCC17" s="418"/>
      <c r="OCD17" s="418"/>
      <c r="OCE17" s="418"/>
      <c r="OCF17" s="418"/>
      <c r="OCG17" s="418"/>
      <c r="OCH17" s="418"/>
      <c r="OCI17" s="418"/>
      <c r="OCJ17" s="418"/>
      <c r="OCK17" s="418"/>
      <c r="OCL17" s="418"/>
      <c r="OCM17" s="418"/>
      <c r="OCN17" s="418"/>
      <c r="OCO17" s="418"/>
      <c r="OCP17" s="418"/>
      <c r="OCQ17" s="418"/>
      <c r="OCR17" s="418"/>
      <c r="OCS17" s="418"/>
      <c r="OCT17" s="418"/>
      <c r="OCU17" s="418"/>
      <c r="OCV17" s="418"/>
      <c r="OCW17" s="418"/>
      <c r="OCX17" s="418"/>
      <c r="OCY17" s="418"/>
      <c r="OCZ17" s="418"/>
      <c r="ODA17" s="418"/>
      <c r="ODB17" s="418"/>
      <c r="ODC17" s="418"/>
      <c r="ODD17" s="418"/>
      <c r="ODE17" s="418"/>
      <c r="ODF17" s="418"/>
      <c r="ODG17" s="418"/>
      <c r="ODH17" s="418"/>
      <c r="ODI17" s="418"/>
      <c r="ODJ17" s="418"/>
      <c r="ODK17" s="418"/>
      <c r="ODL17" s="418"/>
      <c r="ODM17" s="418"/>
      <c r="ODN17" s="418"/>
      <c r="ODO17" s="418"/>
      <c r="ODP17" s="418"/>
      <c r="ODQ17" s="418"/>
      <c r="ODR17" s="418"/>
      <c r="ODS17" s="418"/>
      <c r="ODT17" s="418"/>
      <c r="ODU17" s="418"/>
      <c r="ODV17" s="418"/>
      <c r="ODW17" s="418"/>
      <c r="ODX17" s="418"/>
      <c r="ODY17" s="418"/>
      <c r="ODZ17" s="418"/>
      <c r="OEA17" s="418"/>
      <c r="OEB17" s="418"/>
      <c r="OEC17" s="418"/>
      <c r="OED17" s="418"/>
      <c r="OEE17" s="418"/>
      <c r="OEF17" s="418"/>
      <c r="OEG17" s="418"/>
      <c r="OEH17" s="418"/>
      <c r="OEI17" s="418"/>
      <c r="OEJ17" s="418"/>
      <c r="OEK17" s="418"/>
      <c r="OEL17" s="418"/>
      <c r="OEM17" s="418"/>
      <c r="OEN17" s="418"/>
      <c r="OEO17" s="418"/>
      <c r="OEP17" s="418"/>
      <c r="OEQ17" s="418"/>
      <c r="OER17" s="418"/>
      <c r="OES17" s="418"/>
      <c r="OET17" s="418"/>
      <c r="OEU17" s="418"/>
      <c r="OEV17" s="418"/>
      <c r="OEW17" s="418"/>
      <c r="OEX17" s="418"/>
      <c r="OEY17" s="418"/>
      <c r="OEZ17" s="418"/>
      <c r="OFA17" s="418"/>
      <c r="OFB17" s="418"/>
      <c r="OFC17" s="418"/>
      <c r="OFD17" s="418"/>
      <c r="OFE17" s="418"/>
      <c r="OFF17" s="418"/>
      <c r="OFG17" s="418"/>
      <c r="OFH17" s="418"/>
      <c r="OFI17" s="418"/>
      <c r="OFJ17" s="418"/>
      <c r="OFK17" s="418"/>
      <c r="OFL17" s="418"/>
      <c r="OFM17" s="418"/>
      <c r="OFN17" s="418"/>
      <c r="OFO17" s="418"/>
      <c r="OFP17" s="418"/>
      <c r="OFQ17" s="418"/>
      <c r="OFR17" s="418"/>
      <c r="OFS17" s="418"/>
      <c r="OFT17" s="418"/>
      <c r="OFU17" s="418"/>
      <c r="OFV17" s="418"/>
      <c r="OFW17" s="418"/>
      <c r="OFX17" s="418"/>
      <c r="OFY17" s="418"/>
      <c r="OFZ17" s="418"/>
      <c r="OGA17" s="418"/>
      <c r="OGB17" s="418"/>
      <c r="OGC17" s="418"/>
      <c r="OGD17" s="418"/>
      <c r="OGE17" s="418"/>
      <c r="OGF17" s="418"/>
      <c r="OGG17" s="418"/>
      <c r="OGH17" s="418"/>
      <c r="OGI17" s="418"/>
      <c r="OGJ17" s="418"/>
      <c r="OGK17" s="418"/>
      <c r="OGL17" s="418"/>
      <c r="OGM17" s="418"/>
      <c r="OGN17" s="418"/>
      <c r="OGO17" s="418"/>
      <c r="OGP17" s="418"/>
      <c r="OGQ17" s="418"/>
      <c r="OGR17" s="418"/>
      <c r="OGS17" s="418"/>
      <c r="OGT17" s="418"/>
      <c r="OGU17" s="418"/>
      <c r="OGV17" s="418"/>
      <c r="OGW17" s="418"/>
      <c r="OGX17" s="418"/>
      <c r="OGY17" s="418"/>
      <c r="OGZ17" s="418"/>
      <c r="OHA17" s="418"/>
      <c r="OHB17" s="418"/>
      <c r="OHC17" s="418"/>
      <c r="OHD17" s="418"/>
      <c r="OHE17" s="418"/>
      <c r="OHF17" s="418"/>
      <c r="OHG17" s="418"/>
      <c r="OHH17" s="418"/>
      <c r="OHI17" s="418"/>
      <c r="OHJ17" s="418"/>
      <c r="OHK17" s="418"/>
      <c r="OHL17" s="418"/>
      <c r="OHM17" s="418"/>
      <c r="OHN17" s="418"/>
      <c r="OHO17" s="418"/>
      <c r="OHP17" s="418"/>
      <c r="OHQ17" s="418"/>
      <c r="OHR17" s="418"/>
      <c r="OHS17" s="418"/>
      <c r="OHT17" s="418"/>
      <c r="OHU17" s="418"/>
      <c r="OHV17" s="418"/>
      <c r="OHW17" s="418"/>
      <c r="OHX17" s="418"/>
      <c r="OHY17" s="418"/>
      <c r="OHZ17" s="418"/>
      <c r="OIA17" s="418"/>
      <c r="OIB17" s="418"/>
      <c r="OIC17" s="418"/>
      <c r="OID17" s="418"/>
      <c r="OIE17" s="418"/>
      <c r="OIF17" s="418"/>
      <c r="OIG17" s="418"/>
      <c r="OIH17" s="418"/>
      <c r="OII17" s="418"/>
      <c r="OIJ17" s="418"/>
      <c r="OIK17" s="418"/>
      <c r="OIL17" s="418"/>
      <c r="OIM17" s="418"/>
      <c r="OIN17" s="418"/>
      <c r="OIO17" s="418"/>
      <c r="OIP17" s="418"/>
      <c r="OIQ17" s="418"/>
      <c r="OIR17" s="418"/>
      <c r="OIS17" s="418"/>
      <c r="OIT17" s="418"/>
      <c r="OIU17" s="418"/>
      <c r="OIV17" s="418"/>
      <c r="OIW17" s="418"/>
      <c r="OIX17" s="418"/>
      <c r="OIY17" s="418"/>
      <c r="OIZ17" s="418"/>
      <c r="OJA17" s="418"/>
      <c r="OJB17" s="418"/>
      <c r="OJC17" s="418"/>
      <c r="OJD17" s="418"/>
      <c r="OJE17" s="418"/>
      <c r="OJF17" s="418"/>
      <c r="OJG17" s="418"/>
      <c r="OJH17" s="418"/>
      <c r="OJI17" s="418"/>
      <c r="OJJ17" s="418"/>
      <c r="OJK17" s="418"/>
      <c r="OJL17" s="418"/>
      <c r="OJM17" s="418"/>
      <c r="OJN17" s="418"/>
      <c r="OJO17" s="418"/>
      <c r="OJP17" s="418"/>
      <c r="OJQ17" s="418"/>
      <c r="OJR17" s="418"/>
      <c r="OJS17" s="418"/>
      <c r="OJT17" s="418"/>
      <c r="OJU17" s="418"/>
      <c r="OJV17" s="418"/>
      <c r="OJW17" s="418"/>
      <c r="OJX17" s="418"/>
      <c r="OJY17" s="418"/>
      <c r="OJZ17" s="418"/>
      <c r="OKA17" s="418"/>
      <c r="OKB17" s="418"/>
      <c r="OKC17" s="418"/>
      <c r="OKD17" s="418"/>
      <c r="OKE17" s="418"/>
      <c r="OKF17" s="418"/>
      <c r="OKG17" s="418"/>
      <c r="OKH17" s="418"/>
      <c r="OKI17" s="418"/>
      <c r="OKJ17" s="418"/>
      <c r="OKK17" s="418"/>
      <c r="OKL17" s="418"/>
      <c r="OKM17" s="418"/>
      <c r="OKN17" s="418"/>
      <c r="OKO17" s="418"/>
      <c r="OKP17" s="418"/>
      <c r="OKQ17" s="418"/>
      <c r="OKR17" s="418"/>
      <c r="OKS17" s="418"/>
      <c r="OKT17" s="418"/>
      <c r="OKU17" s="418"/>
      <c r="OKV17" s="418"/>
      <c r="OKW17" s="418"/>
      <c r="OKX17" s="418"/>
      <c r="OKY17" s="418"/>
      <c r="OKZ17" s="418"/>
      <c r="OLA17" s="418"/>
      <c r="OLB17" s="418"/>
      <c r="OLC17" s="418"/>
      <c r="OLD17" s="418"/>
      <c r="OLE17" s="418"/>
      <c r="OLF17" s="418"/>
      <c r="OLG17" s="418"/>
      <c r="OLH17" s="418"/>
      <c r="OLI17" s="418"/>
      <c r="OLJ17" s="418"/>
      <c r="OLK17" s="418"/>
      <c r="OLL17" s="418"/>
      <c r="OLM17" s="418"/>
      <c r="OLN17" s="418"/>
      <c r="OLO17" s="418"/>
      <c r="OLP17" s="418"/>
      <c r="OLQ17" s="418"/>
      <c r="OLR17" s="418"/>
      <c r="OLS17" s="418"/>
      <c r="OLT17" s="418"/>
      <c r="OLU17" s="418"/>
      <c r="OLV17" s="418"/>
      <c r="OLW17" s="418"/>
      <c r="OLX17" s="418"/>
      <c r="OLY17" s="418"/>
      <c r="OLZ17" s="418"/>
      <c r="OMA17" s="418"/>
      <c r="OMB17" s="418"/>
      <c r="OMC17" s="418"/>
      <c r="OMD17" s="418"/>
      <c r="OME17" s="418"/>
      <c r="OMF17" s="418"/>
      <c r="OMG17" s="418"/>
      <c r="OMH17" s="418"/>
      <c r="OMI17" s="418"/>
      <c r="OMJ17" s="418"/>
      <c r="OMK17" s="418"/>
      <c r="OML17" s="418"/>
      <c r="OMM17" s="418"/>
      <c r="OMN17" s="418"/>
      <c r="OMO17" s="418"/>
      <c r="OMP17" s="418"/>
      <c r="OMQ17" s="418"/>
      <c r="OMR17" s="418"/>
      <c r="OMS17" s="418"/>
      <c r="OMT17" s="418"/>
      <c r="OMU17" s="418"/>
      <c r="OMV17" s="418"/>
      <c r="OMW17" s="418"/>
      <c r="OMX17" s="418"/>
      <c r="OMY17" s="418"/>
      <c r="OMZ17" s="418"/>
      <c r="ONA17" s="418"/>
      <c r="ONB17" s="418"/>
      <c r="ONC17" s="418"/>
      <c r="OND17" s="418"/>
      <c r="ONE17" s="418"/>
      <c r="ONF17" s="418"/>
      <c r="ONG17" s="418"/>
      <c r="ONH17" s="418"/>
      <c r="ONI17" s="418"/>
      <c r="ONJ17" s="418"/>
      <c r="ONK17" s="418"/>
      <c r="ONL17" s="418"/>
      <c r="ONM17" s="418"/>
      <c r="ONN17" s="418"/>
      <c r="ONO17" s="418"/>
      <c r="ONP17" s="418"/>
      <c r="ONQ17" s="418"/>
      <c r="ONR17" s="418"/>
      <c r="ONS17" s="418"/>
      <c r="ONT17" s="418"/>
      <c r="ONU17" s="418"/>
      <c r="ONV17" s="418"/>
      <c r="ONW17" s="418"/>
      <c r="ONX17" s="418"/>
      <c r="ONY17" s="418"/>
      <c r="ONZ17" s="418"/>
      <c r="OOA17" s="418"/>
      <c r="OOB17" s="418"/>
      <c r="OOC17" s="418"/>
      <c r="OOD17" s="418"/>
      <c r="OOE17" s="418"/>
      <c r="OOF17" s="418"/>
      <c r="OOG17" s="418"/>
      <c r="OOH17" s="418"/>
      <c r="OOI17" s="418"/>
      <c r="OOJ17" s="418"/>
      <c r="OOK17" s="418"/>
      <c r="OOL17" s="418"/>
      <c r="OOM17" s="418"/>
      <c r="OON17" s="418"/>
      <c r="OOO17" s="418"/>
      <c r="OOP17" s="418"/>
      <c r="OOQ17" s="418"/>
      <c r="OOR17" s="418"/>
      <c r="OOS17" s="418"/>
      <c r="OOT17" s="418"/>
      <c r="OOU17" s="418"/>
      <c r="OOV17" s="418"/>
      <c r="OOW17" s="418"/>
      <c r="OOX17" s="418"/>
      <c r="OOY17" s="418"/>
      <c r="OOZ17" s="418"/>
      <c r="OPA17" s="418"/>
      <c r="OPB17" s="418"/>
      <c r="OPC17" s="418"/>
      <c r="OPD17" s="418"/>
      <c r="OPE17" s="418"/>
      <c r="OPF17" s="418"/>
      <c r="OPG17" s="418"/>
      <c r="OPH17" s="418"/>
      <c r="OPI17" s="418"/>
      <c r="OPJ17" s="418"/>
      <c r="OPK17" s="418"/>
      <c r="OPL17" s="418"/>
      <c r="OPM17" s="418"/>
      <c r="OPN17" s="418"/>
      <c r="OPO17" s="418"/>
      <c r="OPP17" s="418"/>
      <c r="OPQ17" s="418"/>
      <c r="OPR17" s="418"/>
      <c r="OPS17" s="418"/>
      <c r="OPT17" s="418"/>
      <c r="OPU17" s="418"/>
      <c r="OPV17" s="418"/>
      <c r="OPW17" s="418"/>
      <c r="OPX17" s="418"/>
      <c r="OPY17" s="418"/>
      <c r="OPZ17" s="418"/>
      <c r="OQA17" s="418"/>
      <c r="OQB17" s="418"/>
      <c r="OQC17" s="418"/>
      <c r="OQD17" s="418"/>
      <c r="OQE17" s="418"/>
      <c r="OQF17" s="418"/>
      <c r="OQG17" s="418"/>
      <c r="OQH17" s="418"/>
      <c r="OQI17" s="418"/>
      <c r="OQJ17" s="418"/>
      <c r="OQK17" s="418"/>
      <c r="OQL17" s="418"/>
      <c r="OQM17" s="418"/>
      <c r="OQN17" s="418"/>
      <c r="OQO17" s="418"/>
      <c r="OQP17" s="418"/>
      <c r="OQQ17" s="418"/>
      <c r="OQR17" s="418"/>
      <c r="OQS17" s="418"/>
      <c r="OQT17" s="418"/>
      <c r="OQU17" s="418"/>
      <c r="OQV17" s="418"/>
      <c r="OQW17" s="418"/>
      <c r="OQX17" s="418"/>
      <c r="OQY17" s="418"/>
      <c r="OQZ17" s="418"/>
      <c r="ORA17" s="418"/>
      <c r="ORB17" s="418"/>
      <c r="ORC17" s="418"/>
      <c r="ORD17" s="418"/>
      <c r="ORE17" s="418"/>
      <c r="ORF17" s="418"/>
      <c r="ORG17" s="418"/>
      <c r="ORH17" s="418"/>
      <c r="ORI17" s="418"/>
      <c r="ORJ17" s="418"/>
      <c r="ORK17" s="418"/>
      <c r="ORL17" s="418"/>
      <c r="ORM17" s="418"/>
      <c r="ORN17" s="418"/>
      <c r="ORO17" s="418"/>
      <c r="ORP17" s="418"/>
      <c r="ORQ17" s="418"/>
      <c r="ORR17" s="418"/>
      <c r="ORS17" s="418"/>
      <c r="ORT17" s="418"/>
      <c r="ORU17" s="418"/>
      <c r="ORV17" s="418"/>
      <c r="ORW17" s="418"/>
      <c r="ORX17" s="418"/>
      <c r="ORY17" s="418"/>
      <c r="ORZ17" s="418"/>
      <c r="OSA17" s="418"/>
      <c r="OSB17" s="418"/>
      <c r="OSC17" s="418"/>
      <c r="OSD17" s="418"/>
      <c r="OSE17" s="418"/>
      <c r="OSF17" s="418"/>
      <c r="OSG17" s="418"/>
      <c r="OSH17" s="418"/>
      <c r="OSI17" s="418"/>
      <c r="OSJ17" s="418"/>
      <c r="OSK17" s="418"/>
      <c r="OSL17" s="418"/>
      <c r="OSM17" s="418"/>
      <c r="OSN17" s="418"/>
      <c r="OSO17" s="418"/>
      <c r="OSP17" s="418"/>
      <c r="OSQ17" s="418"/>
      <c r="OSR17" s="418"/>
      <c r="OSS17" s="418"/>
      <c r="OST17" s="418"/>
      <c r="OSU17" s="418"/>
      <c r="OSV17" s="418"/>
      <c r="OSW17" s="418"/>
      <c r="OSX17" s="418"/>
      <c r="OSY17" s="418"/>
      <c r="OSZ17" s="418"/>
      <c r="OTA17" s="418"/>
      <c r="OTB17" s="418"/>
      <c r="OTC17" s="418"/>
      <c r="OTD17" s="418"/>
      <c r="OTE17" s="418"/>
      <c r="OTF17" s="418"/>
      <c r="OTG17" s="418"/>
      <c r="OTH17" s="418"/>
      <c r="OTI17" s="418"/>
      <c r="OTJ17" s="418"/>
      <c r="OTK17" s="418"/>
      <c r="OTL17" s="418"/>
      <c r="OTM17" s="418"/>
      <c r="OTN17" s="418"/>
      <c r="OTO17" s="418"/>
      <c r="OTP17" s="418"/>
      <c r="OTQ17" s="418"/>
      <c r="OTR17" s="418"/>
      <c r="OTS17" s="418"/>
      <c r="OTT17" s="418"/>
      <c r="OTU17" s="418"/>
      <c r="OTV17" s="418"/>
      <c r="OTW17" s="418"/>
      <c r="OTX17" s="418"/>
      <c r="OTY17" s="418"/>
      <c r="OTZ17" s="418"/>
      <c r="OUA17" s="418"/>
      <c r="OUB17" s="418"/>
      <c r="OUC17" s="418"/>
      <c r="OUD17" s="418"/>
      <c r="OUE17" s="418"/>
      <c r="OUF17" s="418"/>
      <c r="OUG17" s="418"/>
      <c r="OUH17" s="418"/>
      <c r="OUI17" s="418"/>
      <c r="OUJ17" s="418"/>
      <c r="OUK17" s="418"/>
      <c r="OUL17" s="418"/>
      <c r="OUM17" s="418"/>
      <c r="OUN17" s="418"/>
      <c r="OUO17" s="418"/>
      <c r="OUP17" s="418"/>
      <c r="OUQ17" s="418"/>
      <c r="OUR17" s="418"/>
      <c r="OUS17" s="418"/>
      <c r="OUT17" s="418"/>
      <c r="OUU17" s="418"/>
      <c r="OUV17" s="418"/>
      <c r="OUW17" s="418"/>
      <c r="OUX17" s="418"/>
      <c r="OUY17" s="418"/>
      <c r="OUZ17" s="418"/>
      <c r="OVA17" s="418"/>
      <c r="OVB17" s="418"/>
      <c r="OVC17" s="418"/>
      <c r="OVD17" s="418"/>
      <c r="OVE17" s="418"/>
      <c r="OVF17" s="418"/>
      <c r="OVG17" s="418"/>
      <c r="OVH17" s="418"/>
      <c r="OVI17" s="418"/>
      <c r="OVJ17" s="418"/>
      <c r="OVK17" s="418"/>
      <c r="OVL17" s="418"/>
      <c r="OVM17" s="418"/>
      <c r="OVN17" s="418"/>
      <c r="OVO17" s="418"/>
      <c r="OVP17" s="418"/>
      <c r="OVQ17" s="418"/>
      <c r="OVR17" s="418"/>
      <c r="OVS17" s="418"/>
      <c r="OVT17" s="418"/>
      <c r="OVU17" s="418"/>
      <c r="OVV17" s="418"/>
      <c r="OVW17" s="418"/>
      <c r="OVX17" s="418"/>
      <c r="OVY17" s="418"/>
      <c r="OVZ17" s="418"/>
      <c r="OWA17" s="418"/>
      <c r="OWB17" s="418"/>
      <c r="OWC17" s="418"/>
      <c r="OWD17" s="418"/>
      <c r="OWE17" s="418"/>
      <c r="OWF17" s="418"/>
      <c r="OWG17" s="418"/>
      <c r="OWH17" s="418"/>
      <c r="OWI17" s="418"/>
      <c r="OWJ17" s="418"/>
      <c r="OWK17" s="418"/>
      <c r="OWL17" s="418"/>
      <c r="OWM17" s="418"/>
      <c r="OWN17" s="418"/>
      <c r="OWO17" s="418"/>
      <c r="OWP17" s="418"/>
      <c r="OWQ17" s="418"/>
      <c r="OWR17" s="418"/>
      <c r="OWS17" s="418"/>
      <c r="OWT17" s="418"/>
      <c r="OWU17" s="418"/>
      <c r="OWV17" s="418"/>
      <c r="OWW17" s="418"/>
      <c r="OWX17" s="418"/>
      <c r="OWY17" s="418"/>
      <c r="OWZ17" s="418"/>
      <c r="OXA17" s="418"/>
      <c r="OXB17" s="418"/>
      <c r="OXC17" s="418"/>
      <c r="OXD17" s="418"/>
      <c r="OXE17" s="418"/>
      <c r="OXF17" s="418"/>
      <c r="OXG17" s="418"/>
      <c r="OXH17" s="418"/>
      <c r="OXI17" s="418"/>
      <c r="OXJ17" s="418"/>
      <c r="OXK17" s="418"/>
      <c r="OXL17" s="418"/>
      <c r="OXM17" s="418"/>
      <c r="OXN17" s="418"/>
      <c r="OXO17" s="418"/>
      <c r="OXP17" s="418"/>
      <c r="OXQ17" s="418"/>
      <c r="OXR17" s="418"/>
      <c r="OXS17" s="418"/>
      <c r="OXT17" s="418"/>
      <c r="OXU17" s="418"/>
      <c r="OXV17" s="418"/>
      <c r="OXW17" s="418"/>
      <c r="OXX17" s="418"/>
      <c r="OXY17" s="418"/>
      <c r="OXZ17" s="418"/>
      <c r="OYA17" s="418"/>
      <c r="OYB17" s="418"/>
      <c r="OYC17" s="418"/>
      <c r="OYD17" s="418"/>
      <c r="OYE17" s="418"/>
      <c r="OYF17" s="418"/>
      <c r="OYG17" s="418"/>
      <c r="OYH17" s="418"/>
      <c r="OYI17" s="418"/>
      <c r="OYJ17" s="418"/>
      <c r="OYK17" s="418"/>
      <c r="OYL17" s="418"/>
      <c r="OYM17" s="418"/>
      <c r="OYN17" s="418"/>
      <c r="OYO17" s="418"/>
      <c r="OYP17" s="418"/>
      <c r="OYQ17" s="418"/>
      <c r="OYR17" s="418"/>
      <c r="OYS17" s="418"/>
      <c r="OYT17" s="418"/>
      <c r="OYU17" s="418"/>
      <c r="OYV17" s="418"/>
      <c r="OYW17" s="418"/>
      <c r="OYX17" s="418"/>
      <c r="OYY17" s="418"/>
      <c r="OYZ17" s="418"/>
      <c r="OZA17" s="418"/>
      <c r="OZB17" s="418"/>
      <c r="OZC17" s="418"/>
      <c r="OZD17" s="418"/>
      <c r="OZE17" s="418"/>
      <c r="OZF17" s="418"/>
      <c r="OZG17" s="418"/>
      <c r="OZH17" s="418"/>
      <c r="OZI17" s="418"/>
      <c r="OZJ17" s="418"/>
      <c r="OZK17" s="418"/>
      <c r="OZL17" s="418"/>
      <c r="OZM17" s="418"/>
      <c r="OZN17" s="418"/>
      <c r="OZO17" s="418"/>
      <c r="OZP17" s="418"/>
      <c r="OZQ17" s="418"/>
      <c r="OZR17" s="418"/>
      <c r="OZS17" s="418"/>
      <c r="OZT17" s="418"/>
      <c r="OZU17" s="418"/>
      <c r="OZV17" s="418"/>
      <c r="OZW17" s="418"/>
      <c r="OZX17" s="418"/>
      <c r="OZY17" s="418"/>
      <c r="OZZ17" s="418"/>
      <c r="PAA17" s="418"/>
      <c r="PAB17" s="418"/>
      <c r="PAC17" s="418"/>
      <c r="PAD17" s="418"/>
      <c r="PAE17" s="418"/>
      <c r="PAF17" s="418"/>
      <c r="PAG17" s="418"/>
      <c r="PAH17" s="418"/>
      <c r="PAI17" s="418"/>
      <c r="PAJ17" s="418"/>
      <c r="PAK17" s="418"/>
      <c r="PAL17" s="418"/>
      <c r="PAM17" s="418"/>
      <c r="PAN17" s="418"/>
      <c r="PAO17" s="418"/>
      <c r="PAP17" s="418"/>
      <c r="PAQ17" s="418"/>
      <c r="PAR17" s="418"/>
      <c r="PAS17" s="418"/>
      <c r="PAT17" s="418"/>
      <c r="PAU17" s="418"/>
      <c r="PAV17" s="418"/>
      <c r="PAW17" s="418"/>
      <c r="PAX17" s="418"/>
      <c r="PAY17" s="418"/>
      <c r="PAZ17" s="418"/>
      <c r="PBA17" s="418"/>
      <c r="PBB17" s="418"/>
      <c r="PBC17" s="418"/>
      <c r="PBD17" s="418"/>
      <c r="PBE17" s="418"/>
      <c r="PBF17" s="418"/>
      <c r="PBG17" s="418"/>
      <c r="PBH17" s="418"/>
      <c r="PBI17" s="418"/>
      <c r="PBJ17" s="418"/>
      <c r="PBK17" s="418"/>
      <c r="PBL17" s="418"/>
      <c r="PBM17" s="418"/>
      <c r="PBN17" s="418"/>
      <c r="PBO17" s="418"/>
      <c r="PBP17" s="418"/>
      <c r="PBQ17" s="418"/>
      <c r="PBR17" s="418"/>
      <c r="PBS17" s="418"/>
      <c r="PBT17" s="418"/>
      <c r="PBU17" s="418"/>
      <c r="PBV17" s="418"/>
      <c r="PBW17" s="418"/>
      <c r="PBX17" s="418"/>
      <c r="PBY17" s="418"/>
      <c r="PBZ17" s="418"/>
      <c r="PCA17" s="418"/>
      <c r="PCB17" s="418"/>
      <c r="PCC17" s="418"/>
      <c r="PCD17" s="418"/>
      <c r="PCE17" s="418"/>
      <c r="PCF17" s="418"/>
      <c r="PCG17" s="418"/>
      <c r="PCH17" s="418"/>
      <c r="PCI17" s="418"/>
      <c r="PCJ17" s="418"/>
      <c r="PCK17" s="418"/>
      <c r="PCL17" s="418"/>
      <c r="PCM17" s="418"/>
      <c r="PCN17" s="418"/>
      <c r="PCO17" s="418"/>
      <c r="PCP17" s="418"/>
      <c r="PCQ17" s="418"/>
      <c r="PCR17" s="418"/>
      <c r="PCS17" s="418"/>
      <c r="PCT17" s="418"/>
      <c r="PCU17" s="418"/>
      <c r="PCV17" s="418"/>
      <c r="PCW17" s="418"/>
      <c r="PCX17" s="418"/>
      <c r="PCY17" s="418"/>
      <c r="PCZ17" s="418"/>
      <c r="PDA17" s="418"/>
      <c r="PDB17" s="418"/>
      <c r="PDC17" s="418"/>
      <c r="PDD17" s="418"/>
      <c r="PDE17" s="418"/>
      <c r="PDF17" s="418"/>
      <c r="PDG17" s="418"/>
      <c r="PDH17" s="418"/>
      <c r="PDI17" s="418"/>
      <c r="PDJ17" s="418"/>
      <c r="PDK17" s="418"/>
      <c r="PDL17" s="418"/>
      <c r="PDM17" s="418"/>
      <c r="PDN17" s="418"/>
      <c r="PDO17" s="418"/>
      <c r="PDP17" s="418"/>
      <c r="PDQ17" s="418"/>
      <c r="PDR17" s="418"/>
      <c r="PDS17" s="418"/>
      <c r="PDT17" s="418"/>
      <c r="PDU17" s="418"/>
      <c r="PDV17" s="418"/>
      <c r="PDW17" s="418"/>
      <c r="PDX17" s="418"/>
      <c r="PDY17" s="418"/>
      <c r="PDZ17" s="418"/>
      <c r="PEA17" s="418"/>
      <c r="PEB17" s="418"/>
      <c r="PEC17" s="418"/>
      <c r="PED17" s="418"/>
      <c r="PEE17" s="418"/>
      <c r="PEF17" s="418"/>
      <c r="PEG17" s="418"/>
      <c r="PEH17" s="418"/>
      <c r="PEI17" s="418"/>
      <c r="PEJ17" s="418"/>
      <c r="PEK17" s="418"/>
      <c r="PEL17" s="418"/>
      <c r="PEM17" s="418"/>
      <c r="PEN17" s="418"/>
      <c r="PEO17" s="418"/>
      <c r="PEP17" s="418"/>
      <c r="PEQ17" s="418"/>
      <c r="PER17" s="418"/>
      <c r="PES17" s="418"/>
      <c r="PET17" s="418"/>
      <c r="PEU17" s="418"/>
      <c r="PEV17" s="418"/>
      <c r="PEW17" s="418"/>
      <c r="PEX17" s="418"/>
      <c r="PEY17" s="418"/>
      <c r="PEZ17" s="418"/>
      <c r="PFA17" s="418"/>
      <c r="PFB17" s="418"/>
      <c r="PFC17" s="418"/>
      <c r="PFD17" s="418"/>
      <c r="PFE17" s="418"/>
      <c r="PFF17" s="418"/>
      <c r="PFG17" s="418"/>
      <c r="PFH17" s="418"/>
      <c r="PFI17" s="418"/>
      <c r="PFJ17" s="418"/>
      <c r="PFK17" s="418"/>
      <c r="PFL17" s="418"/>
      <c r="PFM17" s="418"/>
      <c r="PFN17" s="418"/>
      <c r="PFO17" s="418"/>
      <c r="PFP17" s="418"/>
      <c r="PFQ17" s="418"/>
      <c r="PFR17" s="418"/>
      <c r="PFS17" s="418"/>
      <c r="PFT17" s="418"/>
      <c r="PFU17" s="418"/>
      <c r="PFV17" s="418"/>
      <c r="PFW17" s="418"/>
      <c r="PFX17" s="418"/>
      <c r="PFY17" s="418"/>
      <c r="PFZ17" s="418"/>
      <c r="PGA17" s="418"/>
      <c r="PGB17" s="418"/>
      <c r="PGC17" s="418"/>
      <c r="PGD17" s="418"/>
      <c r="PGE17" s="418"/>
      <c r="PGF17" s="418"/>
      <c r="PGG17" s="418"/>
      <c r="PGH17" s="418"/>
      <c r="PGI17" s="418"/>
      <c r="PGJ17" s="418"/>
      <c r="PGK17" s="418"/>
      <c r="PGL17" s="418"/>
      <c r="PGM17" s="418"/>
      <c r="PGN17" s="418"/>
      <c r="PGO17" s="418"/>
      <c r="PGP17" s="418"/>
      <c r="PGQ17" s="418"/>
      <c r="PGR17" s="418"/>
      <c r="PGS17" s="418"/>
      <c r="PGT17" s="418"/>
      <c r="PGU17" s="418"/>
      <c r="PGV17" s="418"/>
      <c r="PGW17" s="418"/>
      <c r="PGX17" s="418"/>
      <c r="PGY17" s="418"/>
      <c r="PGZ17" s="418"/>
      <c r="PHA17" s="418"/>
      <c r="PHB17" s="418"/>
      <c r="PHC17" s="418"/>
      <c r="PHD17" s="418"/>
      <c r="PHE17" s="418"/>
      <c r="PHF17" s="418"/>
      <c r="PHG17" s="418"/>
      <c r="PHH17" s="418"/>
      <c r="PHI17" s="418"/>
      <c r="PHJ17" s="418"/>
      <c r="PHK17" s="418"/>
      <c r="PHL17" s="418"/>
      <c r="PHM17" s="418"/>
      <c r="PHN17" s="418"/>
      <c r="PHO17" s="418"/>
      <c r="PHP17" s="418"/>
      <c r="PHQ17" s="418"/>
      <c r="PHR17" s="418"/>
      <c r="PHS17" s="418"/>
      <c r="PHT17" s="418"/>
      <c r="PHU17" s="418"/>
      <c r="PHV17" s="418"/>
      <c r="PHW17" s="418"/>
      <c r="PHX17" s="418"/>
      <c r="PHY17" s="418"/>
      <c r="PHZ17" s="418"/>
      <c r="PIA17" s="418"/>
      <c r="PIB17" s="418"/>
      <c r="PIC17" s="418"/>
      <c r="PID17" s="418"/>
      <c r="PIE17" s="418"/>
      <c r="PIF17" s="418"/>
      <c r="PIG17" s="418"/>
      <c r="PIH17" s="418"/>
      <c r="PII17" s="418"/>
      <c r="PIJ17" s="418"/>
      <c r="PIK17" s="418"/>
      <c r="PIL17" s="418"/>
      <c r="PIM17" s="418"/>
      <c r="PIN17" s="418"/>
      <c r="PIO17" s="418"/>
      <c r="PIP17" s="418"/>
      <c r="PIQ17" s="418"/>
      <c r="PIR17" s="418"/>
      <c r="PIS17" s="418"/>
      <c r="PIT17" s="418"/>
      <c r="PIU17" s="418"/>
      <c r="PIV17" s="418"/>
      <c r="PIW17" s="418"/>
      <c r="PIX17" s="418"/>
      <c r="PIY17" s="418"/>
      <c r="PIZ17" s="418"/>
      <c r="PJA17" s="418"/>
      <c r="PJB17" s="418"/>
      <c r="PJC17" s="418"/>
      <c r="PJD17" s="418"/>
      <c r="PJE17" s="418"/>
      <c r="PJF17" s="418"/>
      <c r="PJG17" s="418"/>
      <c r="PJH17" s="418"/>
      <c r="PJI17" s="418"/>
      <c r="PJJ17" s="418"/>
      <c r="PJK17" s="418"/>
      <c r="PJL17" s="418"/>
      <c r="PJM17" s="418"/>
      <c r="PJN17" s="418"/>
      <c r="PJO17" s="418"/>
      <c r="PJP17" s="418"/>
      <c r="PJQ17" s="418"/>
      <c r="PJR17" s="418"/>
      <c r="PJS17" s="418"/>
      <c r="PJT17" s="418"/>
      <c r="PJU17" s="418"/>
      <c r="PJV17" s="418"/>
      <c r="PJW17" s="418"/>
      <c r="PJX17" s="418"/>
      <c r="PJY17" s="418"/>
      <c r="PJZ17" s="418"/>
      <c r="PKA17" s="418"/>
      <c r="PKB17" s="418"/>
      <c r="PKC17" s="418"/>
      <c r="PKD17" s="418"/>
      <c r="PKE17" s="418"/>
      <c r="PKF17" s="418"/>
      <c r="PKG17" s="418"/>
      <c r="PKH17" s="418"/>
      <c r="PKI17" s="418"/>
      <c r="PKJ17" s="418"/>
      <c r="PKK17" s="418"/>
      <c r="PKL17" s="418"/>
      <c r="PKM17" s="418"/>
      <c r="PKN17" s="418"/>
      <c r="PKO17" s="418"/>
      <c r="PKP17" s="418"/>
      <c r="PKQ17" s="418"/>
      <c r="PKR17" s="418"/>
      <c r="PKS17" s="418"/>
      <c r="PKT17" s="418"/>
      <c r="PKU17" s="418"/>
      <c r="PKV17" s="418"/>
      <c r="PKW17" s="418"/>
      <c r="PKX17" s="418"/>
      <c r="PKY17" s="418"/>
      <c r="PKZ17" s="418"/>
      <c r="PLA17" s="418"/>
      <c r="PLB17" s="418"/>
      <c r="PLC17" s="418"/>
      <c r="PLD17" s="418"/>
      <c r="PLE17" s="418"/>
      <c r="PLF17" s="418"/>
      <c r="PLG17" s="418"/>
      <c r="PLH17" s="418"/>
      <c r="PLI17" s="418"/>
      <c r="PLJ17" s="418"/>
      <c r="PLK17" s="418"/>
      <c r="PLL17" s="418"/>
      <c r="PLM17" s="418"/>
      <c r="PLN17" s="418"/>
      <c r="PLO17" s="418"/>
      <c r="PLP17" s="418"/>
      <c r="PLQ17" s="418"/>
      <c r="PLR17" s="418"/>
      <c r="PLS17" s="418"/>
      <c r="PLT17" s="418"/>
      <c r="PLU17" s="418"/>
      <c r="PLV17" s="418"/>
      <c r="PLW17" s="418"/>
      <c r="PLX17" s="418"/>
      <c r="PLY17" s="418"/>
      <c r="PLZ17" s="418"/>
      <c r="PMA17" s="418"/>
      <c r="PMB17" s="418"/>
      <c r="PMC17" s="418"/>
      <c r="PMD17" s="418"/>
      <c r="PME17" s="418"/>
      <c r="PMF17" s="418"/>
      <c r="PMG17" s="418"/>
      <c r="PMH17" s="418"/>
      <c r="PMI17" s="418"/>
      <c r="PMJ17" s="418"/>
      <c r="PMK17" s="418"/>
      <c r="PML17" s="418"/>
      <c r="PMM17" s="418"/>
      <c r="PMN17" s="418"/>
      <c r="PMO17" s="418"/>
      <c r="PMP17" s="418"/>
      <c r="PMQ17" s="418"/>
      <c r="PMR17" s="418"/>
      <c r="PMS17" s="418"/>
      <c r="PMT17" s="418"/>
      <c r="PMU17" s="418"/>
      <c r="PMV17" s="418"/>
      <c r="PMW17" s="418"/>
      <c r="PMX17" s="418"/>
      <c r="PMY17" s="418"/>
      <c r="PMZ17" s="418"/>
      <c r="PNA17" s="418"/>
      <c r="PNB17" s="418"/>
      <c r="PNC17" s="418"/>
      <c r="PND17" s="418"/>
      <c r="PNE17" s="418"/>
      <c r="PNF17" s="418"/>
      <c r="PNG17" s="418"/>
      <c r="PNH17" s="418"/>
      <c r="PNI17" s="418"/>
      <c r="PNJ17" s="418"/>
      <c r="PNK17" s="418"/>
      <c r="PNL17" s="418"/>
      <c r="PNM17" s="418"/>
      <c r="PNN17" s="418"/>
      <c r="PNO17" s="418"/>
      <c r="PNP17" s="418"/>
      <c r="PNQ17" s="418"/>
      <c r="PNR17" s="418"/>
      <c r="PNS17" s="418"/>
      <c r="PNT17" s="418"/>
      <c r="PNU17" s="418"/>
      <c r="PNV17" s="418"/>
      <c r="PNW17" s="418"/>
      <c r="PNX17" s="418"/>
      <c r="PNY17" s="418"/>
      <c r="PNZ17" s="418"/>
      <c r="POA17" s="418"/>
      <c r="POB17" s="418"/>
      <c r="POC17" s="418"/>
      <c r="POD17" s="418"/>
      <c r="POE17" s="418"/>
      <c r="POF17" s="418"/>
      <c r="POG17" s="418"/>
      <c r="POH17" s="418"/>
      <c r="POI17" s="418"/>
      <c r="POJ17" s="418"/>
      <c r="POK17" s="418"/>
      <c r="POL17" s="418"/>
      <c r="POM17" s="418"/>
      <c r="PON17" s="418"/>
      <c r="POO17" s="418"/>
      <c r="POP17" s="418"/>
      <c r="POQ17" s="418"/>
      <c r="POR17" s="418"/>
      <c r="POS17" s="418"/>
      <c r="POT17" s="418"/>
      <c r="POU17" s="418"/>
      <c r="POV17" s="418"/>
      <c r="POW17" s="418"/>
      <c r="POX17" s="418"/>
      <c r="POY17" s="418"/>
      <c r="POZ17" s="418"/>
      <c r="PPA17" s="418"/>
      <c r="PPB17" s="418"/>
      <c r="PPC17" s="418"/>
      <c r="PPD17" s="418"/>
      <c r="PPE17" s="418"/>
      <c r="PPF17" s="418"/>
      <c r="PPG17" s="418"/>
      <c r="PPH17" s="418"/>
      <c r="PPI17" s="418"/>
      <c r="PPJ17" s="418"/>
      <c r="PPK17" s="418"/>
      <c r="PPL17" s="418"/>
      <c r="PPM17" s="418"/>
      <c r="PPN17" s="418"/>
      <c r="PPO17" s="418"/>
      <c r="PPP17" s="418"/>
      <c r="PPQ17" s="418"/>
      <c r="PPR17" s="418"/>
      <c r="PPS17" s="418"/>
      <c r="PPT17" s="418"/>
      <c r="PPU17" s="418"/>
      <c r="PPV17" s="418"/>
      <c r="PPW17" s="418"/>
      <c r="PPX17" s="418"/>
      <c r="PPY17" s="418"/>
      <c r="PPZ17" s="418"/>
      <c r="PQA17" s="418"/>
      <c r="PQB17" s="418"/>
      <c r="PQC17" s="418"/>
      <c r="PQD17" s="418"/>
      <c r="PQE17" s="418"/>
      <c r="PQF17" s="418"/>
      <c r="PQG17" s="418"/>
      <c r="PQH17" s="418"/>
      <c r="PQI17" s="418"/>
      <c r="PQJ17" s="418"/>
      <c r="PQK17" s="418"/>
      <c r="PQL17" s="418"/>
      <c r="PQM17" s="418"/>
      <c r="PQN17" s="418"/>
      <c r="PQO17" s="418"/>
      <c r="PQP17" s="418"/>
      <c r="PQQ17" s="418"/>
      <c r="PQR17" s="418"/>
      <c r="PQS17" s="418"/>
      <c r="PQT17" s="418"/>
      <c r="PQU17" s="418"/>
      <c r="PQV17" s="418"/>
      <c r="PQW17" s="418"/>
      <c r="PQX17" s="418"/>
      <c r="PQY17" s="418"/>
      <c r="PQZ17" s="418"/>
      <c r="PRA17" s="418"/>
      <c r="PRB17" s="418"/>
      <c r="PRC17" s="418"/>
      <c r="PRD17" s="418"/>
      <c r="PRE17" s="418"/>
      <c r="PRF17" s="418"/>
      <c r="PRG17" s="418"/>
      <c r="PRH17" s="418"/>
      <c r="PRI17" s="418"/>
      <c r="PRJ17" s="418"/>
      <c r="PRK17" s="418"/>
      <c r="PRL17" s="418"/>
      <c r="PRM17" s="418"/>
      <c r="PRN17" s="418"/>
      <c r="PRO17" s="418"/>
      <c r="PRP17" s="418"/>
      <c r="PRQ17" s="418"/>
      <c r="PRR17" s="418"/>
      <c r="PRS17" s="418"/>
      <c r="PRT17" s="418"/>
      <c r="PRU17" s="418"/>
      <c r="PRV17" s="418"/>
      <c r="PRW17" s="418"/>
      <c r="PRX17" s="418"/>
      <c r="PRY17" s="418"/>
      <c r="PRZ17" s="418"/>
      <c r="PSA17" s="418"/>
      <c r="PSB17" s="418"/>
      <c r="PSC17" s="418"/>
      <c r="PSD17" s="418"/>
      <c r="PSE17" s="418"/>
      <c r="PSF17" s="418"/>
      <c r="PSG17" s="418"/>
      <c r="PSH17" s="418"/>
      <c r="PSI17" s="418"/>
      <c r="PSJ17" s="418"/>
      <c r="PSK17" s="418"/>
      <c r="PSL17" s="418"/>
      <c r="PSM17" s="418"/>
      <c r="PSN17" s="418"/>
      <c r="PSO17" s="418"/>
      <c r="PSP17" s="418"/>
      <c r="PSQ17" s="418"/>
      <c r="PSR17" s="418"/>
      <c r="PSS17" s="418"/>
      <c r="PST17" s="418"/>
      <c r="PSU17" s="418"/>
      <c r="PSV17" s="418"/>
      <c r="PSW17" s="418"/>
      <c r="PSX17" s="418"/>
      <c r="PSY17" s="418"/>
      <c r="PSZ17" s="418"/>
      <c r="PTA17" s="418"/>
      <c r="PTB17" s="418"/>
      <c r="PTC17" s="418"/>
      <c r="PTD17" s="418"/>
      <c r="PTE17" s="418"/>
      <c r="PTF17" s="418"/>
      <c r="PTG17" s="418"/>
      <c r="PTH17" s="418"/>
      <c r="PTI17" s="418"/>
      <c r="PTJ17" s="418"/>
      <c r="PTK17" s="418"/>
      <c r="PTL17" s="418"/>
      <c r="PTM17" s="418"/>
      <c r="PTN17" s="418"/>
      <c r="PTO17" s="418"/>
      <c r="PTP17" s="418"/>
      <c r="PTQ17" s="418"/>
      <c r="PTR17" s="418"/>
      <c r="PTS17" s="418"/>
      <c r="PTT17" s="418"/>
      <c r="PTU17" s="418"/>
      <c r="PTV17" s="418"/>
      <c r="PTW17" s="418"/>
      <c r="PTX17" s="418"/>
      <c r="PTY17" s="418"/>
      <c r="PTZ17" s="418"/>
      <c r="PUA17" s="418"/>
      <c r="PUB17" s="418"/>
      <c r="PUC17" s="418"/>
      <c r="PUD17" s="418"/>
      <c r="PUE17" s="418"/>
      <c r="PUF17" s="418"/>
      <c r="PUG17" s="418"/>
      <c r="PUH17" s="418"/>
      <c r="PUI17" s="418"/>
      <c r="PUJ17" s="418"/>
      <c r="PUK17" s="418"/>
      <c r="PUL17" s="418"/>
      <c r="PUM17" s="418"/>
      <c r="PUN17" s="418"/>
      <c r="PUO17" s="418"/>
      <c r="PUP17" s="418"/>
      <c r="PUQ17" s="418"/>
      <c r="PUR17" s="418"/>
      <c r="PUS17" s="418"/>
      <c r="PUT17" s="418"/>
      <c r="PUU17" s="418"/>
      <c r="PUV17" s="418"/>
      <c r="PUW17" s="418"/>
      <c r="PUX17" s="418"/>
      <c r="PUY17" s="418"/>
      <c r="PUZ17" s="418"/>
      <c r="PVA17" s="418"/>
      <c r="PVB17" s="418"/>
      <c r="PVC17" s="418"/>
      <c r="PVD17" s="418"/>
      <c r="PVE17" s="418"/>
      <c r="PVF17" s="418"/>
      <c r="PVG17" s="418"/>
      <c r="PVH17" s="418"/>
      <c r="PVI17" s="418"/>
      <c r="PVJ17" s="418"/>
      <c r="PVK17" s="418"/>
      <c r="PVL17" s="418"/>
      <c r="PVM17" s="418"/>
      <c r="PVN17" s="418"/>
      <c r="PVO17" s="418"/>
      <c r="PVP17" s="418"/>
      <c r="PVQ17" s="418"/>
      <c r="PVR17" s="418"/>
      <c r="PVS17" s="418"/>
      <c r="PVT17" s="418"/>
      <c r="PVU17" s="418"/>
      <c r="PVV17" s="418"/>
      <c r="PVW17" s="418"/>
      <c r="PVX17" s="418"/>
      <c r="PVY17" s="418"/>
      <c r="PVZ17" s="418"/>
      <c r="PWA17" s="418"/>
      <c r="PWB17" s="418"/>
      <c r="PWC17" s="418"/>
      <c r="PWD17" s="418"/>
      <c r="PWE17" s="418"/>
      <c r="PWF17" s="418"/>
      <c r="PWG17" s="418"/>
      <c r="PWH17" s="418"/>
      <c r="PWI17" s="418"/>
      <c r="PWJ17" s="418"/>
      <c r="PWK17" s="418"/>
      <c r="PWL17" s="418"/>
      <c r="PWM17" s="418"/>
      <c r="PWN17" s="418"/>
      <c r="PWO17" s="418"/>
      <c r="PWP17" s="418"/>
      <c r="PWQ17" s="418"/>
      <c r="PWR17" s="418"/>
      <c r="PWS17" s="418"/>
      <c r="PWT17" s="418"/>
      <c r="PWU17" s="418"/>
      <c r="PWV17" s="418"/>
      <c r="PWW17" s="418"/>
      <c r="PWX17" s="418"/>
      <c r="PWY17" s="418"/>
      <c r="PWZ17" s="418"/>
      <c r="PXA17" s="418"/>
      <c r="PXB17" s="418"/>
      <c r="PXC17" s="418"/>
      <c r="PXD17" s="418"/>
      <c r="PXE17" s="418"/>
      <c r="PXF17" s="418"/>
      <c r="PXG17" s="418"/>
      <c r="PXH17" s="418"/>
      <c r="PXI17" s="418"/>
      <c r="PXJ17" s="418"/>
      <c r="PXK17" s="418"/>
      <c r="PXL17" s="418"/>
      <c r="PXM17" s="418"/>
      <c r="PXN17" s="418"/>
      <c r="PXO17" s="418"/>
      <c r="PXP17" s="418"/>
      <c r="PXQ17" s="418"/>
      <c r="PXR17" s="418"/>
      <c r="PXS17" s="418"/>
      <c r="PXT17" s="418"/>
      <c r="PXU17" s="418"/>
      <c r="PXV17" s="418"/>
      <c r="PXW17" s="418"/>
      <c r="PXX17" s="418"/>
      <c r="PXY17" s="418"/>
      <c r="PXZ17" s="418"/>
      <c r="PYA17" s="418"/>
      <c r="PYB17" s="418"/>
      <c r="PYC17" s="418"/>
      <c r="PYD17" s="418"/>
      <c r="PYE17" s="418"/>
      <c r="PYF17" s="418"/>
      <c r="PYG17" s="418"/>
      <c r="PYH17" s="418"/>
      <c r="PYI17" s="418"/>
      <c r="PYJ17" s="418"/>
      <c r="PYK17" s="418"/>
      <c r="PYL17" s="418"/>
      <c r="PYM17" s="418"/>
      <c r="PYN17" s="418"/>
      <c r="PYO17" s="418"/>
      <c r="PYP17" s="418"/>
      <c r="PYQ17" s="418"/>
      <c r="PYR17" s="418"/>
      <c r="PYS17" s="418"/>
      <c r="PYT17" s="418"/>
      <c r="PYU17" s="418"/>
      <c r="PYV17" s="418"/>
      <c r="PYW17" s="418"/>
      <c r="PYX17" s="418"/>
      <c r="PYY17" s="418"/>
      <c r="PYZ17" s="418"/>
      <c r="PZA17" s="418"/>
      <c r="PZB17" s="418"/>
      <c r="PZC17" s="418"/>
      <c r="PZD17" s="418"/>
      <c r="PZE17" s="418"/>
      <c r="PZF17" s="418"/>
      <c r="PZG17" s="418"/>
      <c r="PZH17" s="418"/>
      <c r="PZI17" s="418"/>
      <c r="PZJ17" s="418"/>
      <c r="PZK17" s="418"/>
      <c r="PZL17" s="418"/>
      <c r="PZM17" s="418"/>
      <c r="PZN17" s="418"/>
      <c r="PZO17" s="418"/>
      <c r="PZP17" s="418"/>
      <c r="PZQ17" s="418"/>
      <c r="PZR17" s="418"/>
      <c r="PZS17" s="418"/>
      <c r="PZT17" s="418"/>
      <c r="PZU17" s="418"/>
      <c r="PZV17" s="418"/>
      <c r="PZW17" s="418"/>
      <c r="PZX17" s="418"/>
      <c r="PZY17" s="418"/>
      <c r="PZZ17" s="418"/>
      <c r="QAA17" s="418"/>
      <c r="QAB17" s="418"/>
      <c r="QAC17" s="418"/>
      <c r="QAD17" s="418"/>
      <c r="QAE17" s="418"/>
      <c r="QAF17" s="418"/>
      <c r="QAG17" s="418"/>
      <c r="QAH17" s="418"/>
      <c r="QAI17" s="418"/>
      <c r="QAJ17" s="418"/>
      <c r="QAK17" s="418"/>
      <c r="QAL17" s="418"/>
      <c r="QAM17" s="418"/>
      <c r="QAN17" s="418"/>
      <c r="QAO17" s="418"/>
      <c r="QAP17" s="418"/>
      <c r="QAQ17" s="418"/>
      <c r="QAR17" s="418"/>
      <c r="QAS17" s="418"/>
      <c r="QAT17" s="418"/>
      <c r="QAU17" s="418"/>
      <c r="QAV17" s="418"/>
      <c r="QAW17" s="418"/>
      <c r="QAX17" s="418"/>
      <c r="QAY17" s="418"/>
      <c r="QAZ17" s="418"/>
      <c r="QBA17" s="418"/>
      <c r="QBB17" s="418"/>
      <c r="QBC17" s="418"/>
      <c r="QBD17" s="418"/>
      <c r="QBE17" s="418"/>
      <c r="QBF17" s="418"/>
      <c r="QBG17" s="418"/>
      <c r="QBH17" s="418"/>
      <c r="QBI17" s="418"/>
      <c r="QBJ17" s="418"/>
      <c r="QBK17" s="418"/>
      <c r="QBL17" s="418"/>
      <c r="QBM17" s="418"/>
      <c r="QBN17" s="418"/>
      <c r="QBO17" s="418"/>
      <c r="QBP17" s="418"/>
      <c r="QBQ17" s="418"/>
      <c r="QBR17" s="418"/>
      <c r="QBS17" s="418"/>
      <c r="QBT17" s="418"/>
      <c r="QBU17" s="418"/>
      <c r="QBV17" s="418"/>
      <c r="QBW17" s="418"/>
      <c r="QBX17" s="418"/>
      <c r="QBY17" s="418"/>
      <c r="QBZ17" s="418"/>
      <c r="QCA17" s="418"/>
      <c r="QCB17" s="418"/>
      <c r="QCC17" s="418"/>
      <c r="QCD17" s="418"/>
      <c r="QCE17" s="418"/>
      <c r="QCF17" s="418"/>
      <c r="QCG17" s="418"/>
      <c r="QCH17" s="418"/>
      <c r="QCI17" s="418"/>
      <c r="QCJ17" s="418"/>
      <c r="QCK17" s="418"/>
      <c r="QCL17" s="418"/>
      <c r="QCM17" s="418"/>
      <c r="QCN17" s="418"/>
      <c r="QCO17" s="418"/>
      <c r="QCP17" s="418"/>
      <c r="QCQ17" s="418"/>
      <c r="QCR17" s="418"/>
      <c r="QCS17" s="418"/>
      <c r="QCT17" s="418"/>
      <c r="QCU17" s="418"/>
      <c r="QCV17" s="418"/>
      <c r="QCW17" s="418"/>
      <c r="QCX17" s="418"/>
      <c r="QCY17" s="418"/>
      <c r="QCZ17" s="418"/>
      <c r="QDA17" s="418"/>
      <c r="QDB17" s="418"/>
      <c r="QDC17" s="418"/>
      <c r="QDD17" s="418"/>
      <c r="QDE17" s="418"/>
      <c r="QDF17" s="418"/>
      <c r="QDG17" s="418"/>
      <c r="QDH17" s="418"/>
      <c r="QDI17" s="418"/>
      <c r="QDJ17" s="418"/>
      <c r="QDK17" s="418"/>
      <c r="QDL17" s="418"/>
      <c r="QDM17" s="418"/>
      <c r="QDN17" s="418"/>
      <c r="QDO17" s="418"/>
      <c r="QDP17" s="418"/>
      <c r="QDQ17" s="418"/>
      <c r="QDR17" s="418"/>
      <c r="QDS17" s="418"/>
      <c r="QDT17" s="418"/>
      <c r="QDU17" s="418"/>
      <c r="QDV17" s="418"/>
      <c r="QDW17" s="418"/>
      <c r="QDX17" s="418"/>
      <c r="QDY17" s="418"/>
      <c r="QDZ17" s="418"/>
      <c r="QEA17" s="418"/>
      <c r="QEB17" s="418"/>
      <c r="QEC17" s="418"/>
      <c r="QED17" s="418"/>
      <c r="QEE17" s="418"/>
      <c r="QEF17" s="418"/>
      <c r="QEG17" s="418"/>
      <c r="QEH17" s="418"/>
      <c r="QEI17" s="418"/>
      <c r="QEJ17" s="418"/>
      <c r="QEK17" s="418"/>
      <c r="QEL17" s="418"/>
      <c r="QEM17" s="418"/>
      <c r="QEN17" s="418"/>
      <c r="QEO17" s="418"/>
      <c r="QEP17" s="418"/>
      <c r="QEQ17" s="418"/>
      <c r="QER17" s="418"/>
      <c r="QES17" s="418"/>
      <c r="QET17" s="418"/>
      <c r="QEU17" s="418"/>
      <c r="QEV17" s="418"/>
      <c r="QEW17" s="418"/>
      <c r="QEX17" s="418"/>
      <c r="QEY17" s="418"/>
      <c r="QEZ17" s="418"/>
      <c r="QFA17" s="418"/>
      <c r="QFB17" s="418"/>
      <c r="QFC17" s="418"/>
      <c r="QFD17" s="418"/>
      <c r="QFE17" s="418"/>
      <c r="QFF17" s="418"/>
      <c r="QFG17" s="418"/>
      <c r="QFH17" s="418"/>
      <c r="QFI17" s="418"/>
      <c r="QFJ17" s="418"/>
      <c r="QFK17" s="418"/>
      <c r="QFL17" s="418"/>
      <c r="QFM17" s="418"/>
      <c r="QFN17" s="418"/>
      <c r="QFO17" s="418"/>
      <c r="QFP17" s="418"/>
      <c r="QFQ17" s="418"/>
      <c r="QFR17" s="418"/>
      <c r="QFS17" s="418"/>
      <c r="QFT17" s="418"/>
      <c r="QFU17" s="418"/>
      <c r="QFV17" s="418"/>
      <c r="QFW17" s="418"/>
      <c r="QFX17" s="418"/>
      <c r="QFY17" s="418"/>
      <c r="QFZ17" s="418"/>
      <c r="QGA17" s="418"/>
      <c r="QGB17" s="418"/>
      <c r="QGC17" s="418"/>
      <c r="QGD17" s="418"/>
      <c r="QGE17" s="418"/>
      <c r="QGF17" s="418"/>
      <c r="QGG17" s="418"/>
      <c r="QGH17" s="418"/>
      <c r="QGI17" s="418"/>
      <c r="QGJ17" s="418"/>
      <c r="QGK17" s="418"/>
      <c r="QGL17" s="418"/>
      <c r="QGM17" s="418"/>
      <c r="QGN17" s="418"/>
      <c r="QGO17" s="418"/>
      <c r="QGP17" s="418"/>
      <c r="QGQ17" s="418"/>
      <c r="QGR17" s="418"/>
      <c r="QGS17" s="418"/>
      <c r="QGT17" s="418"/>
      <c r="QGU17" s="418"/>
      <c r="QGV17" s="418"/>
      <c r="QGW17" s="418"/>
      <c r="QGX17" s="418"/>
      <c r="QGY17" s="418"/>
      <c r="QGZ17" s="418"/>
      <c r="QHA17" s="418"/>
      <c r="QHB17" s="418"/>
      <c r="QHC17" s="418"/>
      <c r="QHD17" s="418"/>
      <c r="QHE17" s="418"/>
      <c r="QHF17" s="418"/>
      <c r="QHG17" s="418"/>
      <c r="QHH17" s="418"/>
      <c r="QHI17" s="418"/>
      <c r="QHJ17" s="418"/>
      <c r="QHK17" s="418"/>
      <c r="QHL17" s="418"/>
      <c r="QHM17" s="418"/>
      <c r="QHN17" s="418"/>
      <c r="QHO17" s="418"/>
      <c r="QHP17" s="418"/>
      <c r="QHQ17" s="418"/>
      <c r="QHR17" s="418"/>
      <c r="QHS17" s="418"/>
      <c r="QHT17" s="418"/>
      <c r="QHU17" s="418"/>
      <c r="QHV17" s="418"/>
      <c r="QHW17" s="418"/>
      <c r="QHX17" s="418"/>
      <c r="QHY17" s="418"/>
      <c r="QHZ17" s="418"/>
      <c r="QIA17" s="418"/>
      <c r="QIB17" s="418"/>
      <c r="QIC17" s="418"/>
      <c r="QID17" s="418"/>
      <c r="QIE17" s="418"/>
      <c r="QIF17" s="418"/>
      <c r="QIG17" s="418"/>
      <c r="QIH17" s="418"/>
      <c r="QII17" s="418"/>
      <c r="QIJ17" s="418"/>
      <c r="QIK17" s="418"/>
      <c r="QIL17" s="418"/>
      <c r="QIM17" s="418"/>
      <c r="QIN17" s="418"/>
      <c r="QIO17" s="418"/>
      <c r="QIP17" s="418"/>
      <c r="QIQ17" s="418"/>
      <c r="QIR17" s="418"/>
      <c r="QIS17" s="418"/>
      <c r="QIT17" s="418"/>
      <c r="QIU17" s="418"/>
      <c r="QIV17" s="418"/>
      <c r="QIW17" s="418"/>
      <c r="QIX17" s="418"/>
      <c r="QIY17" s="418"/>
      <c r="QIZ17" s="418"/>
      <c r="QJA17" s="418"/>
      <c r="QJB17" s="418"/>
      <c r="QJC17" s="418"/>
      <c r="QJD17" s="418"/>
      <c r="QJE17" s="418"/>
      <c r="QJF17" s="418"/>
      <c r="QJG17" s="418"/>
      <c r="QJH17" s="418"/>
      <c r="QJI17" s="418"/>
      <c r="QJJ17" s="418"/>
      <c r="QJK17" s="418"/>
      <c r="QJL17" s="418"/>
      <c r="QJM17" s="418"/>
      <c r="QJN17" s="418"/>
      <c r="QJO17" s="418"/>
      <c r="QJP17" s="418"/>
      <c r="QJQ17" s="418"/>
      <c r="QJR17" s="418"/>
      <c r="QJS17" s="418"/>
      <c r="QJT17" s="418"/>
      <c r="QJU17" s="418"/>
      <c r="QJV17" s="418"/>
      <c r="QJW17" s="418"/>
      <c r="QJX17" s="418"/>
      <c r="QJY17" s="418"/>
      <c r="QJZ17" s="418"/>
      <c r="QKA17" s="418"/>
      <c r="QKB17" s="418"/>
      <c r="QKC17" s="418"/>
      <c r="QKD17" s="418"/>
      <c r="QKE17" s="418"/>
      <c r="QKF17" s="418"/>
      <c r="QKG17" s="418"/>
      <c r="QKH17" s="418"/>
      <c r="QKI17" s="418"/>
      <c r="QKJ17" s="418"/>
      <c r="QKK17" s="418"/>
      <c r="QKL17" s="418"/>
      <c r="QKM17" s="418"/>
      <c r="QKN17" s="418"/>
      <c r="QKO17" s="418"/>
      <c r="QKP17" s="418"/>
      <c r="QKQ17" s="418"/>
      <c r="QKR17" s="418"/>
      <c r="QKS17" s="418"/>
      <c r="QKT17" s="418"/>
      <c r="QKU17" s="418"/>
      <c r="QKV17" s="418"/>
      <c r="QKW17" s="418"/>
      <c r="QKX17" s="418"/>
      <c r="QKY17" s="418"/>
      <c r="QKZ17" s="418"/>
      <c r="QLA17" s="418"/>
      <c r="QLB17" s="418"/>
      <c r="QLC17" s="418"/>
      <c r="QLD17" s="418"/>
      <c r="QLE17" s="418"/>
      <c r="QLF17" s="418"/>
      <c r="QLG17" s="418"/>
      <c r="QLH17" s="418"/>
      <c r="QLI17" s="418"/>
      <c r="QLJ17" s="418"/>
      <c r="QLK17" s="418"/>
      <c r="QLL17" s="418"/>
      <c r="QLM17" s="418"/>
      <c r="QLN17" s="418"/>
      <c r="QLO17" s="418"/>
      <c r="QLP17" s="418"/>
      <c r="QLQ17" s="418"/>
      <c r="QLR17" s="418"/>
      <c r="QLS17" s="418"/>
      <c r="QLT17" s="418"/>
      <c r="QLU17" s="418"/>
      <c r="QLV17" s="418"/>
      <c r="QLW17" s="418"/>
      <c r="QLX17" s="418"/>
      <c r="QLY17" s="418"/>
      <c r="QLZ17" s="418"/>
      <c r="QMA17" s="418"/>
      <c r="QMB17" s="418"/>
      <c r="QMC17" s="418"/>
      <c r="QMD17" s="418"/>
      <c r="QME17" s="418"/>
      <c r="QMF17" s="418"/>
      <c r="QMG17" s="418"/>
      <c r="QMH17" s="418"/>
      <c r="QMI17" s="418"/>
      <c r="QMJ17" s="418"/>
      <c r="QMK17" s="418"/>
      <c r="QML17" s="418"/>
      <c r="QMM17" s="418"/>
      <c r="QMN17" s="418"/>
      <c r="QMO17" s="418"/>
      <c r="QMP17" s="418"/>
      <c r="QMQ17" s="418"/>
      <c r="QMR17" s="418"/>
      <c r="QMS17" s="418"/>
      <c r="QMT17" s="418"/>
      <c r="QMU17" s="418"/>
      <c r="QMV17" s="418"/>
      <c r="QMW17" s="418"/>
      <c r="QMX17" s="418"/>
      <c r="QMY17" s="418"/>
      <c r="QMZ17" s="418"/>
      <c r="QNA17" s="418"/>
      <c r="QNB17" s="418"/>
      <c r="QNC17" s="418"/>
      <c r="QND17" s="418"/>
      <c r="QNE17" s="418"/>
      <c r="QNF17" s="418"/>
      <c r="QNG17" s="418"/>
      <c r="QNH17" s="418"/>
      <c r="QNI17" s="418"/>
      <c r="QNJ17" s="418"/>
      <c r="QNK17" s="418"/>
      <c r="QNL17" s="418"/>
      <c r="QNM17" s="418"/>
      <c r="QNN17" s="418"/>
      <c r="QNO17" s="418"/>
      <c r="QNP17" s="418"/>
      <c r="QNQ17" s="418"/>
      <c r="QNR17" s="418"/>
      <c r="QNS17" s="418"/>
      <c r="QNT17" s="418"/>
      <c r="QNU17" s="418"/>
      <c r="QNV17" s="418"/>
      <c r="QNW17" s="418"/>
      <c r="QNX17" s="418"/>
      <c r="QNY17" s="418"/>
      <c r="QNZ17" s="418"/>
      <c r="QOA17" s="418"/>
      <c r="QOB17" s="418"/>
      <c r="QOC17" s="418"/>
      <c r="QOD17" s="418"/>
      <c r="QOE17" s="418"/>
      <c r="QOF17" s="418"/>
      <c r="QOG17" s="418"/>
      <c r="QOH17" s="418"/>
      <c r="QOI17" s="418"/>
      <c r="QOJ17" s="418"/>
      <c r="QOK17" s="418"/>
      <c r="QOL17" s="418"/>
      <c r="QOM17" s="418"/>
      <c r="QON17" s="418"/>
      <c r="QOO17" s="418"/>
      <c r="QOP17" s="418"/>
      <c r="QOQ17" s="418"/>
      <c r="QOR17" s="418"/>
      <c r="QOS17" s="418"/>
      <c r="QOT17" s="418"/>
      <c r="QOU17" s="418"/>
      <c r="QOV17" s="418"/>
      <c r="QOW17" s="418"/>
      <c r="QOX17" s="418"/>
      <c r="QOY17" s="418"/>
      <c r="QOZ17" s="418"/>
      <c r="QPA17" s="418"/>
      <c r="QPB17" s="418"/>
      <c r="QPC17" s="418"/>
      <c r="QPD17" s="418"/>
      <c r="QPE17" s="418"/>
      <c r="QPF17" s="418"/>
      <c r="QPG17" s="418"/>
      <c r="QPH17" s="418"/>
      <c r="QPI17" s="418"/>
      <c r="QPJ17" s="418"/>
      <c r="QPK17" s="418"/>
      <c r="QPL17" s="418"/>
      <c r="QPM17" s="418"/>
      <c r="QPN17" s="418"/>
      <c r="QPO17" s="418"/>
      <c r="QPP17" s="418"/>
      <c r="QPQ17" s="418"/>
      <c r="QPR17" s="418"/>
      <c r="QPS17" s="418"/>
      <c r="QPT17" s="418"/>
      <c r="QPU17" s="418"/>
      <c r="QPV17" s="418"/>
      <c r="QPW17" s="418"/>
      <c r="QPX17" s="418"/>
      <c r="QPY17" s="418"/>
      <c r="QPZ17" s="418"/>
      <c r="QQA17" s="418"/>
      <c r="QQB17" s="418"/>
      <c r="QQC17" s="418"/>
      <c r="QQD17" s="418"/>
      <c r="QQE17" s="418"/>
      <c r="QQF17" s="418"/>
      <c r="QQG17" s="418"/>
      <c r="QQH17" s="418"/>
      <c r="QQI17" s="418"/>
      <c r="QQJ17" s="418"/>
      <c r="QQK17" s="418"/>
      <c r="QQL17" s="418"/>
      <c r="QQM17" s="418"/>
      <c r="QQN17" s="418"/>
      <c r="QQO17" s="418"/>
      <c r="QQP17" s="418"/>
      <c r="QQQ17" s="418"/>
      <c r="QQR17" s="418"/>
      <c r="QQS17" s="418"/>
      <c r="QQT17" s="418"/>
      <c r="QQU17" s="418"/>
      <c r="QQV17" s="418"/>
      <c r="QQW17" s="418"/>
      <c r="QQX17" s="418"/>
      <c r="QQY17" s="418"/>
      <c r="QQZ17" s="418"/>
      <c r="QRA17" s="418"/>
      <c r="QRB17" s="418"/>
      <c r="QRC17" s="418"/>
      <c r="QRD17" s="418"/>
      <c r="QRE17" s="418"/>
      <c r="QRF17" s="418"/>
      <c r="QRG17" s="418"/>
      <c r="QRH17" s="418"/>
      <c r="QRI17" s="418"/>
      <c r="QRJ17" s="418"/>
      <c r="QRK17" s="418"/>
      <c r="QRL17" s="418"/>
      <c r="QRM17" s="418"/>
      <c r="QRN17" s="418"/>
      <c r="QRO17" s="418"/>
      <c r="QRP17" s="418"/>
      <c r="QRQ17" s="418"/>
      <c r="QRR17" s="418"/>
      <c r="QRS17" s="418"/>
      <c r="QRT17" s="418"/>
      <c r="QRU17" s="418"/>
      <c r="QRV17" s="418"/>
      <c r="QRW17" s="418"/>
      <c r="QRX17" s="418"/>
      <c r="QRY17" s="418"/>
      <c r="QRZ17" s="418"/>
      <c r="QSA17" s="418"/>
      <c r="QSB17" s="418"/>
      <c r="QSC17" s="418"/>
      <c r="QSD17" s="418"/>
      <c r="QSE17" s="418"/>
      <c r="QSF17" s="418"/>
      <c r="QSG17" s="418"/>
      <c r="QSH17" s="418"/>
      <c r="QSI17" s="418"/>
      <c r="QSJ17" s="418"/>
      <c r="QSK17" s="418"/>
      <c r="QSL17" s="418"/>
      <c r="QSM17" s="418"/>
      <c r="QSN17" s="418"/>
      <c r="QSO17" s="418"/>
      <c r="QSP17" s="418"/>
      <c r="QSQ17" s="418"/>
      <c r="QSR17" s="418"/>
      <c r="QSS17" s="418"/>
      <c r="QST17" s="418"/>
      <c r="QSU17" s="418"/>
      <c r="QSV17" s="418"/>
      <c r="QSW17" s="418"/>
      <c r="QSX17" s="418"/>
      <c r="QSY17" s="418"/>
      <c r="QSZ17" s="418"/>
      <c r="QTA17" s="418"/>
      <c r="QTB17" s="418"/>
      <c r="QTC17" s="418"/>
      <c r="QTD17" s="418"/>
      <c r="QTE17" s="418"/>
      <c r="QTF17" s="418"/>
      <c r="QTG17" s="418"/>
      <c r="QTH17" s="418"/>
      <c r="QTI17" s="418"/>
      <c r="QTJ17" s="418"/>
      <c r="QTK17" s="418"/>
      <c r="QTL17" s="418"/>
      <c r="QTM17" s="418"/>
      <c r="QTN17" s="418"/>
      <c r="QTO17" s="418"/>
      <c r="QTP17" s="418"/>
      <c r="QTQ17" s="418"/>
      <c r="QTR17" s="418"/>
      <c r="QTS17" s="418"/>
      <c r="QTT17" s="418"/>
      <c r="QTU17" s="418"/>
      <c r="QTV17" s="418"/>
      <c r="QTW17" s="418"/>
      <c r="QTX17" s="418"/>
      <c r="QTY17" s="418"/>
      <c r="QTZ17" s="418"/>
      <c r="QUA17" s="418"/>
      <c r="QUB17" s="418"/>
      <c r="QUC17" s="418"/>
      <c r="QUD17" s="418"/>
      <c r="QUE17" s="418"/>
      <c r="QUF17" s="418"/>
      <c r="QUG17" s="418"/>
      <c r="QUH17" s="418"/>
      <c r="QUI17" s="418"/>
      <c r="QUJ17" s="418"/>
      <c r="QUK17" s="418"/>
      <c r="QUL17" s="418"/>
      <c r="QUM17" s="418"/>
      <c r="QUN17" s="418"/>
      <c r="QUO17" s="418"/>
      <c r="QUP17" s="418"/>
      <c r="QUQ17" s="418"/>
      <c r="QUR17" s="418"/>
      <c r="QUS17" s="418"/>
      <c r="QUT17" s="418"/>
      <c r="QUU17" s="418"/>
      <c r="QUV17" s="418"/>
      <c r="QUW17" s="418"/>
      <c r="QUX17" s="418"/>
      <c r="QUY17" s="418"/>
      <c r="QUZ17" s="418"/>
      <c r="QVA17" s="418"/>
      <c r="QVB17" s="418"/>
      <c r="QVC17" s="418"/>
      <c r="QVD17" s="418"/>
      <c r="QVE17" s="418"/>
      <c r="QVF17" s="418"/>
      <c r="QVG17" s="418"/>
      <c r="QVH17" s="418"/>
      <c r="QVI17" s="418"/>
      <c r="QVJ17" s="418"/>
      <c r="QVK17" s="418"/>
      <c r="QVL17" s="418"/>
      <c r="QVM17" s="418"/>
      <c r="QVN17" s="418"/>
      <c r="QVO17" s="418"/>
      <c r="QVP17" s="418"/>
      <c r="QVQ17" s="418"/>
      <c r="QVR17" s="418"/>
      <c r="QVS17" s="418"/>
      <c r="QVT17" s="418"/>
      <c r="QVU17" s="418"/>
      <c r="QVV17" s="418"/>
      <c r="QVW17" s="418"/>
      <c r="QVX17" s="418"/>
      <c r="QVY17" s="418"/>
      <c r="QVZ17" s="418"/>
      <c r="QWA17" s="418"/>
      <c r="QWB17" s="418"/>
      <c r="QWC17" s="418"/>
      <c r="QWD17" s="418"/>
      <c r="QWE17" s="418"/>
      <c r="QWF17" s="418"/>
      <c r="QWG17" s="418"/>
      <c r="QWH17" s="418"/>
      <c r="QWI17" s="418"/>
      <c r="QWJ17" s="418"/>
      <c r="QWK17" s="418"/>
      <c r="QWL17" s="418"/>
      <c r="QWM17" s="418"/>
      <c r="QWN17" s="418"/>
      <c r="QWO17" s="418"/>
      <c r="QWP17" s="418"/>
      <c r="QWQ17" s="418"/>
      <c r="QWR17" s="418"/>
      <c r="QWS17" s="418"/>
      <c r="QWT17" s="418"/>
      <c r="QWU17" s="418"/>
      <c r="QWV17" s="418"/>
      <c r="QWW17" s="418"/>
      <c r="QWX17" s="418"/>
      <c r="QWY17" s="418"/>
      <c r="QWZ17" s="418"/>
      <c r="QXA17" s="418"/>
      <c r="QXB17" s="418"/>
      <c r="QXC17" s="418"/>
      <c r="QXD17" s="418"/>
      <c r="QXE17" s="418"/>
      <c r="QXF17" s="418"/>
      <c r="QXG17" s="418"/>
      <c r="QXH17" s="418"/>
      <c r="QXI17" s="418"/>
      <c r="QXJ17" s="418"/>
      <c r="QXK17" s="418"/>
      <c r="QXL17" s="418"/>
      <c r="QXM17" s="418"/>
      <c r="QXN17" s="418"/>
      <c r="QXO17" s="418"/>
      <c r="QXP17" s="418"/>
      <c r="QXQ17" s="418"/>
      <c r="QXR17" s="418"/>
      <c r="QXS17" s="418"/>
      <c r="QXT17" s="418"/>
      <c r="QXU17" s="418"/>
      <c r="QXV17" s="418"/>
      <c r="QXW17" s="418"/>
      <c r="QXX17" s="418"/>
      <c r="QXY17" s="418"/>
      <c r="QXZ17" s="418"/>
      <c r="QYA17" s="418"/>
      <c r="QYB17" s="418"/>
      <c r="QYC17" s="418"/>
      <c r="QYD17" s="418"/>
      <c r="QYE17" s="418"/>
      <c r="QYF17" s="418"/>
      <c r="QYG17" s="418"/>
      <c r="QYH17" s="418"/>
      <c r="QYI17" s="418"/>
      <c r="QYJ17" s="418"/>
      <c r="QYK17" s="418"/>
      <c r="QYL17" s="418"/>
      <c r="QYM17" s="418"/>
      <c r="QYN17" s="418"/>
      <c r="QYO17" s="418"/>
      <c r="QYP17" s="418"/>
      <c r="QYQ17" s="418"/>
      <c r="QYR17" s="418"/>
      <c r="QYS17" s="418"/>
      <c r="QYT17" s="418"/>
      <c r="QYU17" s="418"/>
      <c r="QYV17" s="418"/>
      <c r="QYW17" s="418"/>
      <c r="QYX17" s="418"/>
      <c r="QYY17" s="418"/>
      <c r="QYZ17" s="418"/>
      <c r="QZA17" s="418"/>
      <c r="QZB17" s="418"/>
      <c r="QZC17" s="418"/>
      <c r="QZD17" s="418"/>
      <c r="QZE17" s="418"/>
      <c r="QZF17" s="418"/>
      <c r="QZG17" s="418"/>
      <c r="QZH17" s="418"/>
      <c r="QZI17" s="418"/>
      <c r="QZJ17" s="418"/>
      <c r="QZK17" s="418"/>
      <c r="QZL17" s="418"/>
      <c r="QZM17" s="418"/>
      <c r="QZN17" s="418"/>
      <c r="QZO17" s="418"/>
      <c r="QZP17" s="418"/>
      <c r="QZQ17" s="418"/>
      <c r="QZR17" s="418"/>
      <c r="QZS17" s="418"/>
      <c r="QZT17" s="418"/>
      <c r="QZU17" s="418"/>
      <c r="QZV17" s="418"/>
      <c r="QZW17" s="418"/>
      <c r="QZX17" s="418"/>
      <c r="QZY17" s="418"/>
      <c r="QZZ17" s="418"/>
      <c r="RAA17" s="418"/>
      <c r="RAB17" s="418"/>
      <c r="RAC17" s="418"/>
      <c r="RAD17" s="418"/>
      <c r="RAE17" s="418"/>
      <c r="RAF17" s="418"/>
      <c r="RAG17" s="418"/>
      <c r="RAH17" s="418"/>
      <c r="RAI17" s="418"/>
      <c r="RAJ17" s="418"/>
      <c r="RAK17" s="418"/>
      <c r="RAL17" s="418"/>
      <c r="RAM17" s="418"/>
      <c r="RAN17" s="418"/>
      <c r="RAO17" s="418"/>
      <c r="RAP17" s="418"/>
      <c r="RAQ17" s="418"/>
      <c r="RAR17" s="418"/>
      <c r="RAS17" s="418"/>
      <c r="RAT17" s="418"/>
      <c r="RAU17" s="418"/>
      <c r="RAV17" s="418"/>
      <c r="RAW17" s="418"/>
      <c r="RAX17" s="418"/>
      <c r="RAY17" s="418"/>
      <c r="RAZ17" s="418"/>
      <c r="RBA17" s="418"/>
      <c r="RBB17" s="418"/>
      <c r="RBC17" s="418"/>
      <c r="RBD17" s="418"/>
      <c r="RBE17" s="418"/>
      <c r="RBF17" s="418"/>
      <c r="RBG17" s="418"/>
      <c r="RBH17" s="418"/>
      <c r="RBI17" s="418"/>
      <c r="RBJ17" s="418"/>
      <c r="RBK17" s="418"/>
      <c r="RBL17" s="418"/>
      <c r="RBM17" s="418"/>
      <c r="RBN17" s="418"/>
      <c r="RBO17" s="418"/>
      <c r="RBP17" s="418"/>
      <c r="RBQ17" s="418"/>
      <c r="RBR17" s="418"/>
      <c r="RBS17" s="418"/>
      <c r="RBT17" s="418"/>
      <c r="RBU17" s="418"/>
      <c r="RBV17" s="418"/>
      <c r="RBW17" s="418"/>
      <c r="RBX17" s="418"/>
      <c r="RBY17" s="418"/>
      <c r="RBZ17" s="418"/>
      <c r="RCA17" s="418"/>
      <c r="RCB17" s="418"/>
      <c r="RCC17" s="418"/>
      <c r="RCD17" s="418"/>
      <c r="RCE17" s="418"/>
      <c r="RCF17" s="418"/>
      <c r="RCG17" s="418"/>
      <c r="RCH17" s="418"/>
      <c r="RCI17" s="418"/>
      <c r="RCJ17" s="418"/>
      <c r="RCK17" s="418"/>
      <c r="RCL17" s="418"/>
      <c r="RCM17" s="418"/>
      <c r="RCN17" s="418"/>
      <c r="RCO17" s="418"/>
      <c r="RCP17" s="418"/>
      <c r="RCQ17" s="418"/>
      <c r="RCR17" s="418"/>
      <c r="RCS17" s="418"/>
      <c r="RCT17" s="418"/>
      <c r="RCU17" s="418"/>
      <c r="RCV17" s="418"/>
      <c r="RCW17" s="418"/>
      <c r="RCX17" s="418"/>
      <c r="RCY17" s="418"/>
      <c r="RCZ17" s="418"/>
      <c r="RDA17" s="418"/>
      <c r="RDB17" s="418"/>
      <c r="RDC17" s="418"/>
      <c r="RDD17" s="418"/>
      <c r="RDE17" s="418"/>
      <c r="RDF17" s="418"/>
      <c r="RDG17" s="418"/>
      <c r="RDH17" s="418"/>
      <c r="RDI17" s="418"/>
      <c r="RDJ17" s="418"/>
      <c r="RDK17" s="418"/>
      <c r="RDL17" s="418"/>
      <c r="RDM17" s="418"/>
      <c r="RDN17" s="418"/>
      <c r="RDO17" s="418"/>
      <c r="RDP17" s="418"/>
      <c r="RDQ17" s="418"/>
      <c r="RDR17" s="418"/>
      <c r="RDS17" s="418"/>
      <c r="RDT17" s="418"/>
      <c r="RDU17" s="418"/>
      <c r="RDV17" s="418"/>
      <c r="RDW17" s="418"/>
      <c r="RDX17" s="418"/>
      <c r="RDY17" s="418"/>
      <c r="RDZ17" s="418"/>
      <c r="REA17" s="418"/>
      <c r="REB17" s="418"/>
      <c r="REC17" s="418"/>
      <c r="RED17" s="418"/>
      <c r="REE17" s="418"/>
      <c r="REF17" s="418"/>
      <c r="REG17" s="418"/>
      <c r="REH17" s="418"/>
      <c r="REI17" s="418"/>
      <c r="REJ17" s="418"/>
      <c r="REK17" s="418"/>
      <c r="REL17" s="418"/>
      <c r="REM17" s="418"/>
      <c r="REN17" s="418"/>
      <c r="REO17" s="418"/>
      <c r="REP17" s="418"/>
      <c r="REQ17" s="418"/>
      <c r="RER17" s="418"/>
      <c r="RES17" s="418"/>
      <c r="RET17" s="418"/>
      <c r="REU17" s="418"/>
      <c r="REV17" s="418"/>
      <c r="REW17" s="418"/>
      <c r="REX17" s="418"/>
      <c r="REY17" s="418"/>
      <c r="REZ17" s="418"/>
      <c r="RFA17" s="418"/>
      <c r="RFB17" s="418"/>
      <c r="RFC17" s="418"/>
      <c r="RFD17" s="418"/>
      <c r="RFE17" s="418"/>
      <c r="RFF17" s="418"/>
      <c r="RFG17" s="418"/>
      <c r="RFH17" s="418"/>
      <c r="RFI17" s="418"/>
      <c r="RFJ17" s="418"/>
      <c r="RFK17" s="418"/>
      <c r="RFL17" s="418"/>
      <c r="RFM17" s="418"/>
      <c r="RFN17" s="418"/>
      <c r="RFO17" s="418"/>
      <c r="RFP17" s="418"/>
      <c r="RFQ17" s="418"/>
      <c r="RFR17" s="418"/>
      <c r="RFS17" s="418"/>
      <c r="RFT17" s="418"/>
      <c r="RFU17" s="418"/>
      <c r="RFV17" s="418"/>
      <c r="RFW17" s="418"/>
      <c r="RFX17" s="418"/>
      <c r="RFY17" s="418"/>
      <c r="RFZ17" s="418"/>
      <c r="RGA17" s="418"/>
      <c r="RGB17" s="418"/>
      <c r="RGC17" s="418"/>
      <c r="RGD17" s="418"/>
      <c r="RGE17" s="418"/>
      <c r="RGF17" s="418"/>
      <c r="RGG17" s="418"/>
      <c r="RGH17" s="418"/>
      <c r="RGI17" s="418"/>
      <c r="RGJ17" s="418"/>
      <c r="RGK17" s="418"/>
      <c r="RGL17" s="418"/>
      <c r="RGM17" s="418"/>
      <c r="RGN17" s="418"/>
      <c r="RGO17" s="418"/>
      <c r="RGP17" s="418"/>
      <c r="RGQ17" s="418"/>
      <c r="RGR17" s="418"/>
      <c r="RGS17" s="418"/>
      <c r="RGT17" s="418"/>
      <c r="RGU17" s="418"/>
      <c r="RGV17" s="418"/>
      <c r="RGW17" s="418"/>
      <c r="RGX17" s="418"/>
      <c r="RGY17" s="418"/>
      <c r="RGZ17" s="418"/>
      <c r="RHA17" s="418"/>
      <c r="RHB17" s="418"/>
      <c r="RHC17" s="418"/>
      <c r="RHD17" s="418"/>
      <c r="RHE17" s="418"/>
      <c r="RHF17" s="418"/>
      <c r="RHG17" s="418"/>
      <c r="RHH17" s="418"/>
      <c r="RHI17" s="418"/>
      <c r="RHJ17" s="418"/>
      <c r="RHK17" s="418"/>
      <c r="RHL17" s="418"/>
      <c r="RHM17" s="418"/>
      <c r="RHN17" s="418"/>
      <c r="RHO17" s="418"/>
      <c r="RHP17" s="418"/>
      <c r="RHQ17" s="418"/>
      <c r="RHR17" s="418"/>
      <c r="RHS17" s="418"/>
      <c r="RHT17" s="418"/>
      <c r="RHU17" s="418"/>
      <c r="RHV17" s="418"/>
      <c r="RHW17" s="418"/>
      <c r="RHX17" s="418"/>
      <c r="RHY17" s="418"/>
      <c r="RHZ17" s="418"/>
      <c r="RIA17" s="418"/>
      <c r="RIB17" s="418"/>
      <c r="RIC17" s="418"/>
      <c r="RID17" s="418"/>
      <c r="RIE17" s="418"/>
      <c r="RIF17" s="418"/>
      <c r="RIG17" s="418"/>
      <c r="RIH17" s="418"/>
      <c r="RII17" s="418"/>
      <c r="RIJ17" s="418"/>
      <c r="RIK17" s="418"/>
      <c r="RIL17" s="418"/>
      <c r="RIM17" s="418"/>
      <c r="RIN17" s="418"/>
      <c r="RIO17" s="418"/>
      <c r="RIP17" s="418"/>
      <c r="RIQ17" s="418"/>
      <c r="RIR17" s="418"/>
      <c r="RIS17" s="418"/>
      <c r="RIT17" s="418"/>
      <c r="RIU17" s="418"/>
      <c r="RIV17" s="418"/>
      <c r="RIW17" s="418"/>
      <c r="RIX17" s="418"/>
      <c r="RIY17" s="418"/>
      <c r="RIZ17" s="418"/>
      <c r="RJA17" s="418"/>
      <c r="RJB17" s="418"/>
      <c r="RJC17" s="418"/>
      <c r="RJD17" s="418"/>
      <c r="RJE17" s="418"/>
      <c r="RJF17" s="418"/>
      <c r="RJG17" s="418"/>
      <c r="RJH17" s="418"/>
      <c r="RJI17" s="418"/>
      <c r="RJJ17" s="418"/>
      <c r="RJK17" s="418"/>
      <c r="RJL17" s="418"/>
      <c r="RJM17" s="418"/>
      <c r="RJN17" s="418"/>
      <c r="RJO17" s="418"/>
      <c r="RJP17" s="418"/>
      <c r="RJQ17" s="418"/>
      <c r="RJR17" s="418"/>
      <c r="RJS17" s="418"/>
      <c r="RJT17" s="418"/>
      <c r="RJU17" s="418"/>
      <c r="RJV17" s="418"/>
      <c r="RJW17" s="418"/>
      <c r="RJX17" s="418"/>
      <c r="RJY17" s="418"/>
      <c r="RJZ17" s="418"/>
      <c r="RKA17" s="418"/>
      <c r="RKB17" s="418"/>
      <c r="RKC17" s="418"/>
      <c r="RKD17" s="418"/>
      <c r="RKE17" s="418"/>
      <c r="RKF17" s="418"/>
      <c r="RKG17" s="418"/>
      <c r="RKH17" s="418"/>
      <c r="RKI17" s="418"/>
      <c r="RKJ17" s="418"/>
      <c r="RKK17" s="418"/>
      <c r="RKL17" s="418"/>
      <c r="RKM17" s="418"/>
      <c r="RKN17" s="418"/>
      <c r="RKO17" s="418"/>
      <c r="RKP17" s="418"/>
      <c r="RKQ17" s="418"/>
      <c r="RKR17" s="418"/>
      <c r="RKS17" s="418"/>
      <c r="RKT17" s="418"/>
      <c r="RKU17" s="418"/>
      <c r="RKV17" s="418"/>
      <c r="RKW17" s="418"/>
      <c r="RKX17" s="418"/>
      <c r="RKY17" s="418"/>
      <c r="RKZ17" s="418"/>
      <c r="RLA17" s="418"/>
      <c r="RLB17" s="418"/>
      <c r="RLC17" s="418"/>
      <c r="RLD17" s="418"/>
      <c r="RLE17" s="418"/>
      <c r="RLF17" s="418"/>
      <c r="RLG17" s="418"/>
      <c r="RLH17" s="418"/>
      <c r="RLI17" s="418"/>
      <c r="RLJ17" s="418"/>
      <c r="RLK17" s="418"/>
      <c r="RLL17" s="418"/>
      <c r="RLM17" s="418"/>
      <c r="RLN17" s="418"/>
      <c r="RLO17" s="418"/>
      <c r="RLP17" s="418"/>
      <c r="RLQ17" s="418"/>
      <c r="RLR17" s="418"/>
      <c r="RLS17" s="418"/>
      <c r="RLT17" s="418"/>
      <c r="RLU17" s="418"/>
      <c r="RLV17" s="418"/>
      <c r="RLW17" s="418"/>
      <c r="RLX17" s="418"/>
      <c r="RLY17" s="418"/>
      <c r="RLZ17" s="418"/>
      <c r="RMA17" s="418"/>
      <c r="RMB17" s="418"/>
      <c r="RMC17" s="418"/>
      <c r="RMD17" s="418"/>
      <c r="RME17" s="418"/>
      <c r="RMF17" s="418"/>
      <c r="RMG17" s="418"/>
      <c r="RMH17" s="418"/>
      <c r="RMI17" s="418"/>
      <c r="RMJ17" s="418"/>
      <c r="RMK17" s="418"/>
      <c r="RML17" s="418"/>
      <c r="RMM17" s="418"/>
      <c r="RMN17" s="418"/>
      <c r="RMO17" s="418"/>
      <c r="RMP17" s="418"/>
      <c r="RMQ17" s="418"/>
      <c r="RMR17" s="418"/>
      <c r="RMS17" s="418"/>
      <c r="RMT17" s="418"/>
      <c r="RMU17" s="418"/>
      <c r="RMV17" s="418"/>
      <c r="RMW17" s="418"/>
      <c r="RMX17" s="418"/>
      <c r="RMY17" s="418"/>
      <c r="RMZ17" s="418"/>
      <c r="RNA17" s="418"/>
      <c r="RNB17" s="418"/>
      <c r="RNC17" s="418"/>
      <c r="RND17" s="418"/>
      <c r="RNE17" s="418"/>
      <c r="RNF17" s="418"/>
      <c r="RNG17" s="418"/>
      <c r="RNH17" s="418"/>
      <c r="RNI17" s="418"/>
      <c r="RNJ17" s="418"/>
      <c r="RNK17" s="418"/>
      <c r="RNL17" s="418"/>
      <c r="RNM17" s="418"/>
      <c r="RNN17" s="418"/>
      <c r="RNO17" s="418"/>
      <c r="RNP17" s="418"/>
      <c r="RNQ17" s="418"/>
      <c r="RNR17" s="418"/>
      <c r="RNS17" s="418"/>
      <c r="RNT17" s="418"/>
      <c r="RNU17" s="418"/>
      <c r="RNV17" s="418"/>
      <c r="RNW17" s="418"/>
      <c r="RNX17" s="418"/>
      <c r="RNY17" s="418"/>
      <c r="RNZ17" s="418"/>
      <c r="ROA17" s="418"/>
      <c r="ROB17" s="418"/>
      <c r="ROC17" s="418"/>
      <c r="ROD17" s="418"/>
      <c r="ROE17" s="418"/>
      <c r="ROF17" s="418"/>
      <c r="ROG17" s="418"/>
      <c r="ROH17" s="418"/>
      <c r="ROI17" s="418"/>
      <c r="ROJ17" s="418"/>
      <c r="ROK17" s="418"/>
      <c r="ROL17" s="418"/>
      <c r="ROM17" s="418"/>
      <c r="RON17" s="418"/>
      <c r="ROO17" s="418"/>
      <c r="ROP17" s="418"/>
      <c r="ROQ17" s="418"/>
      <c r="ROR17" s="418"/>
      <c r="ROS17" s="418"/>
      <c r="ROT17" s="418"/>
      <c r="ROU17" s="418"/>
      <c r="ROV17" s="418"/>
      <c r="ROW17" s="418"/>
      <c r="ROX17" s="418"/>
      <c r="ROY17" s="418"/>
      <c r="ROZ17" s="418"/>
      <c r="RPA17" s="418"/>
      <c r="RPB17" s="418"/>
      <c r="RPC17" s="418"/>
      <c r="RPD17" s="418"/>
      <c r="RPE17" s="418"/>
      <c r="RPF17" s="418"/>
      <c r="RPG17" s="418"/>
      <c r="RPH17" s="418"/>
      <c r="RPI17" s="418"/>
      <c r="RPJ17" s="418"/>
      <c r="RPK17" s="418"/>
      <c r="RPL17" s="418"/>
      <c r="RPM17" s="418"/>
      <c r="RPN17" s="418"/>
      <c r="RPO17" s="418"/>
      <c r="RPP17" s="418"/>
      <c r="RPQ17" s="418"/>
      <c r="RPR17" s="418"/>
      <c r="RPS17" s="418"/>
      <c r="RPT17" s="418"/>
      <c r="RPU17" s="418"/>
      <c r="RPV17" s="418"/>
      <c r="RPW17" s="418"/>
      <c r="RPX17" s="418"/>
      <c r="RPY17" s="418"/>
      <c r="RPZ17" s="418"/>
      <c r="RQA17" s="418"/>
      <c r="RQB17" s="418"/>
      <c r="RQC17" s="418"/>
      <c r="RQD17" s="418"/>
      <c r="RQE17" s="418"/>
      <c r="RQF17" s="418"/>
      <c r="RQG17" s="418"/>
      <c r="RQH17" s="418"/>
      <c r="RQI17" s="418"/>
      <c r="RQJ17" s="418"/>
      <c r="RQK17" s="418"/>
      <c r="RQL17" s="418"/>
      <c r="RQM17" s="418"/>
      <c r="RQN17" s="418"/>
      <c r="RQO17" s="418"/>
      <c r="RQP17" s="418"/>
      <c r="RQQ17" s="418"/>
      <c r="RQR17" s="418"/>
      <c r="RQS17" s="418"/>
      <c r="RQT17" s="418"/>
      <c r="RQU17" s="418"/>
      <c r="RQV17" s="418"/>
      <c r="RQW17" s="418"/>
      <c r="RQX17" s="418"/>
      <c r="RQY17" s="418"/>
      <c r="RQZ17" s="418"/>
      <c r="RRA17" s="418"/>
      <c r="RRB17" s="418"/>
      <c r="RRC17" s="418"/>
      <c r="RRD17" s="418"/>
      <c r="RRE17" s="418"/>
      <c r="RRF17" s="418"/>
      <c r="RRG17" s="418"/>
      <c r="RRH17" s="418"/>
      <c r="RRI17" s="418"/>
      <c r="RRJ17" s="418"/>
      <c r="RRK17" s="418"/>
      <c r="RRL17" s="418"/>
      <c r="RRM17" s="418"/>
      <c r="RRN17" s="418"/>
      <c r="RRO17" s="418"/>
      <c r="RRP17" s="418"/>
      <c r="RRQ17" s="418"/>
      <c r="RRR17" s="418"/>
      <c r="RRS17" s="418"/>
      <c r="RRT17" s="418"/>
      <c r="RRU17" s="418"/>
      <c r="RRV17" s="418"/>
      <c r="RRW17" s="418"/>
      <c r="RRX17" s="418"/>
      <c r="RRY17" s="418"/>
      <c r="RRZ17" s="418"/>
      <c r="RSA17" s="418"/>
      <c r="RSB17" s="418"/>
      <c r="RSC17" s="418"/>
      <c r="RSD17" s="418"/>
      <c r="RSE17" s="418"/>
      <c r="RSF17" s="418"/>
      <c r="RSG17" s="418"/>
      <c r="RSH17" s="418"/>
      <c r="RSI17" s="418"/>
      <c r="RSJ17" s="418"/>
      <c r="RSK17" s="418"/>
      <c r="RSL17" s="418"/>
      <c r="RSM17" s="418"/>
      <c r="RSN17" s="418"/>
      <c r="RSO17" s="418"/>
      <c r="RSP17" s="418"/>
      <c r="RSQ17" s="418"/>
      <c r="RSR17" s="418"/>
      <c r="RSS17" s="418"/>
      <c r="RST17" s="418"/>
      <c r="RSU17" s="418"/>
      <c r="RSV17" s="418"/>
      <c r="RSW17" s="418"/>
      <c r="RSX17" s="418"/>
      <c r="RSY17" s="418"/>
      <c r="RSZ17" s="418"/>
      <c r="RTA17" s="418"/>
      <c r="RTB17" s="418"/>
      <c r="RTC17" s="418"/>
      <c r="RTD17" s="418"/>
      <c r="RTE17" s="418"/>
      <c r="RTF17" s="418"/>
      <c r="RTG17" s="418"/>
      <c r="RTH17" s="418"/>
      <c r="RTI17" s="418"/>
      <c r="RTJ17" s="418"/>
      <c r="RTK17" s="418"/>
      <c r="RTL17" s="418"/>
      <c r="RTM17" s="418"/>
      <c r="RTN17" s="418"/>
      <c r="RTO17" s="418"/>
      <c r="RTP17" s="418"/>
      <c r="RTQ17" s="418"/>
      <c r="RTR17" s="418"/>
      <c r="RTS17" s="418"/>
      <c r="RTT17" s="418"/>
      <c r="RTU17" s="418"/>
      <c r="RTV17" s="418"/>
      <c r="RTW17" s="418"/>
      <c r="RTX17" s="418"/>
      <c r="RTY17" s="418"/>
      <c r="RTZ17" s="418"/>
      <c r="RUA17" s="418"/>
      <c r="RUB17" s="418"/>
      <c r="RUC17" s="418"/>
      <c r="RUD17" s="418"/>
      <c r="RUE17" s="418"/>
      <c r="RUF17" s="418"/>
      <c r="RUG17" s="418"/>
      <c r="RUH17" s="418"/>
      <c r="RUI17" s="418"/>
      <c r="RUJ17" s="418"/>
      <c r="RUK17" s="418"/>
      <c r="RUL17" s="418"/>
      <c r="RUM17" s="418"/>
      <c r="RUN17" s="418"/>
      <c r="RUO17" s="418"/>
      <c r="RUP17" s="418"/>
      <c r="RUQ17" s="418"/>
      <c r="RUR17" s="418"/>
      <c r="RUS17" s="418"/>
      <c r="RUT17" s="418"/>
      <c r="RUU17" s="418"/>
      <c r="RUV17" s="418"/>
      <c r="RUW17" s="418"/>
      <c r="RUX17" s="418"/>
      <c r="RUY17" s="418"/>
      <c r="RUZ17" s="418"/>
      <c r="RVA17" s="418"/>
      <c r="RVB17" s="418"/>
      <c r="RVC17" s="418"/>
      <c r="RVD17" s="418"/>
      <c r="RVE17" s="418"/>
      <c r="RVF17" s="418"/>
      <c r="RVG17" s="418"/>
      <c r="RVH17" s="418"/>
      <c r="RVI17" s="418"/>
      <c r="RVJ17" s="418"/>
      <c r="RVK17" s="418"/>
      <c r="RVL17" s="418"/>
      <c r="RVM17" s="418"/>
      <c r="RVN17" s="418"/>
      <c r="RVO17" s="418"/>
      <c r="RVP17" s="418"/>
      <c r="RVQ17" s="418"/>
      <c r="RVR17" s="418"/>
      <c r="RVS17" s="418"/>
      <c r="RVT17" s="418"/>
      <c r="RVU17" s="418"/>
      <c r="RVV17" s="418"/>
      <c r="RVW17" s="418"/>
      <c r="RVX17" s="418"/>
      <c r="RVY17" s="418"/>
      <c r="RVZ17" s="418"/>
      <c r="RWA17" s="418"/>
      <c r="RWB17" s="418"/>
      <c r="RWC17" s="418"/>
      <c r="RWD17" s="418"/>
      <c r="RWE17" s="418"/>
      <c r="RWF17" s="418"/>
      <c r="RWG17" s="418"/>
      <c r="RWH17" s="418"/>
      <c r="RWI17" s="418"/>
      <c r="RWJ17" s="418"/>
      <c r="RWK17" s="418"/>
      <c r="RWL17" s="418"/>
      <c r="RWM17" s="418"/>
      <c r="RWN17" s="418"/>
      <c r="RWO17" s="418"/>
      <c r="RWP17" s="418"/>
      <c r="RWQ17" s="418"/>
      <c r="RWR17" s="418"/>
      <c r="RWS17" s="418"/>
      <c r="RWT17" s="418"/>
      <c r="RWU17" s="418"/>
      <c r="RWV17" s="418"/>
      <c r="RWW17" s="418"/>
      <c r="RWX17" s="418"/>
      <c r="RWY17" s="418"/>
      <c r="RWZ17" s="418"/>
      <c r="RXA17" s="418"/>
      <c r="RXB17" s="418"/>
      <c r="RXC17" s="418"/>
      <c r="RXD17" s="418"/>
      <c r="RXE17" s="418"/>
      <c r="RXF17" s="418"/>
      <c r="RXG17" s="418"/>
      <c r="RXH17" s="418"/>
      <c r="RXI17" s="418"/>
      <c r="RXJ17" s="418"/>
      <c r="RXK17" s="418"/>
      <c r="RXL17" s="418"/>
      <c r="RXM17" s="418"/>
      <c r="RXN17" s="418"/>
      <c r="RXO17" s="418"/>
      <c r="RXP17" s="418"/>
      <c r="RXQ17" s="418"/>
      <c r="RXR17" s="418"/>
      <c r="RXS17" s="418"/>
      <c r="RXT17" s="418"/>
      <c r="RXU17" s="418"/>
      <c r="RXV17" s="418"/>
      <c r="RXW17" s="418"/>
      <c r="RXX17" s="418"/>
      <c r="RXY17" s="418"/>
      <c r="RXZ17" s="418"/>
      <c r="RYA17" s="418"/>
      <c r="RYB17" s="418"/>
      <c r="RYC17" s="418"/>
      <c r="RYD17" s="418"/>
      <c r="RYE17" s="418"/>
      <c r="RYF17" s="418"/>
      <c r="RYG17" s="418"/>
      <c r="RYH17" s="418"/>
      <c r="RYI17" s="418"/>
      <c r="RYJ17" s="418"/>
      <c r="RYK17" s="418"/>
      <c r="RYL17" s="418"/>
      <c r="RYM17" s="418"/>
      <c r="RYN17" s="418"/>
      <c r="RYO17" s="418"/>
      <c r="RYP17" s="418"/>
      <c r="RYQ17" s="418"/>
      <c r="RYR17" s="418"/>
      <c r="RYS17" s="418"/>
      <c r="RYT17" s="418"/>
      <c r="RYU17" s="418"/>
      <c r="RYV17" s="418"/>
      <c r="RYW17" s="418"/>
      <c r="RYX17" s="418"/>
      <c r="RYY17" s="418"/>
      <c r="RYZ17" s="418"/>
      <c r="RZA17" s="418"/>
      <c r="RZB17" s="418"/>
      <c r="RZC17" s="418"/>
      <c r="RZD17" s="418"/>
      <c r="RZE17" s="418"/>
      <c r="RZF17" s="418"/>
      <c r="RZG17" s="418"/>
      <c r="RZH17" s="418"/>
      <c r="RZI17" s="418"/>
      <c r="RZJ17" s="418"/>
      <c r="RZK17" s="418"/>
      <c r="RZL17" s="418"/>
      <c r="RZM17" s="418"/>
      <c r="RZN17" s="418"/>
      <c r="RZO17" s="418"/>
      <c r="RZP17" s="418"/>
      <c r="RZQ17" s="418"/>
      <c r="RZR17" s="418"/>
      <c r="RZS17" s="418"/>
      <c r="RZT17" s="418"/>
      <c r="RZU17" s="418"/>
      <c r="RZV17" s="418"/>
      <c r="RZW17" s="418"/>
      <c r="RZX17" s="418"/>
      <c r="RZY17" s="418"/>
      <c r="RZZ17" s="418"/>
      <c r="SAA17" s="418"/>
      <c r="SAB17" s="418"/>
      <c r="SAC17" s="418"/>
      <c r="SAD17" s="418"/>
      <c r="SAE17" s="418"/>
      <c r="SAF17" s="418"/>
      <c r="SAG17" s="418"/>
      <c r="SAH17" s="418"/>
      <c r="SAI17" s="418"/>
      <c r="SAJ17" s="418"/>
      <c r="SAK17" s="418"/>
      <c r="SAL17" s="418"/>
      <c r="SAM17" s="418"/>
      <c r="SAN17" s="418"/>
      <c r="SAO17" s="418"/>
      <c r="SAP17" s="418"/>
      <c r="SAQ17" s="418"/>
      <c r="SAR17" s="418"/>
      <c r="SAS17" s="418"/>
      <c r="SAT17" s="418"/>
      <c r="SAU17" s="418"/>
      <c r="SAV17" s="418"/>
      <c r="SAW17" s="418"/>
      <c r="SAX17" s="418"/>
      <c r="SAY17" s="418"/>
      <c r="SAZ17" s="418"/>
      <c r="SBA17" s="418"/>
      <c r="SBB17" s="418"/>
      <c r="SBC17" s="418"/>
      <c r="SBD17" s="418"/>
      <c r="SBE17" s="418"/>
      <c r="SBF17" s="418"/>
      <c r="SBG17" s="418"/>
      <c r="SBH17" s="418"/>
      <c r="SBI17" s="418"/>
      <c r="SBJ17" s="418"/>
      <c r="SBK17" s="418"/>
      <c r="SBL17" s="418"/>
      <c r="SBM17" s="418"/>
      <c r="SBN17" s="418"/>
      <c r="SBO17" s="418"/>
      <c r="SBP17" s="418"/>
      <c r="SBQ17" s="418"/>
      <c r="SBR17" s="418"/>
      <c r="SBS17" s="418"/>
      <c r="SBT17" s="418"/>
      <c r="SBU17" s="418"/>
      <c r="SBV17" s="418"/>
      <c r="SBW17" s="418"/>
      <c r="SBX17" s="418"/>
      <c r="SBY17" s="418"/>
      <c r="SBZ17" s="418"/>
      <c r="SCA17" s="418"/>
      <c r="SCB17" s="418"/>
      <c r="SCC17" s="418"/>
      <c r="SCD17" s="418"/>
      <c r="SCE17" s="418"/>
      <c r="SCF17" s="418"/>
      <c r="SCG17" s="418"/>
      <c r="SCH17" s="418"/>
      <c r="SCI17" s="418"/>
      <c r="SCJ17" s="418"/>
      <c r="SCK17" s="418"/>
      <c r="SCL17" s="418"/>
      <c r="SCM17" s="418"/>
      <c r="SCN17" s="418"/>
      <c r="SCO17" s="418"/>
      <c r="SCP17" s="418"/>
      <c r="SCQ17" s="418"/>
      <c r="SCR17" s="418"/>
      <c r="SCS17" s="418"/>
      <c r="SCT17" s="418"/>
      <c r="SCU17" s="418"/>
      <c r="SCV17" s="418"/>
      <c r="SCW17" s="418"/>
      <c r="SCX17" s="418"/>
      <c r="SCY17" s="418"/>
      <c r="SCZ17" s="418"/>
      <c r="SDA17" s="418"/>
      <c r="SDB17" s="418"/>
      <c r="SDC17" s="418"/>
      <c r="SDD17" s="418"/>
      <c r="SDE17" s="418"/>
      <c r="SDF17" s="418"/>
      <c r="SDG17" s="418"/>
      <c r="SDH17" s="418"/>
      <c r="SDI17" s="418"/>
      <c r="SDJ17" s="418"/>
      <c r="SDK17" s="418"/>
      <c r="SDL17" s="418"/>
      <c r="SDM17" s="418"/>
      <c r="SDN17" s="418"/>
      <c r="SDO17" s="418"/>
      <c r="SDP17" s="418"/>
      <c r="SDQ17" s="418"/>
      <c r="SDR17" s="418"/>
      <c r="SDS17" s="418"/>
      <c r="SDT17" s="418"/>
      <c r="SDU17" s="418"/>
      <c r="SDV17" s="418"/>
      <c r="SDW17" s="418"/>
      <c r="SDX17" s="418"/>
      <c r="SDY17" s="418"/>
      <c r="SDZ17" s="418"/>
      <c r="SEA17" s="418"/>
      <c r="SEB17" s="418"/>
      <c r="SEC17" s="418"/>
      <c r="SED17" s="418"/>
      <c r="SEE17" s="418"/>
      <c r="SEF17" s="418"/>
      <c r="SEG17" s="418"/>
      <c r="SEH17" s="418"/>
      <c r="SEI17" s="418"/>
      <c r="SEJ17" s="418"/>
      <c r="SEK17" s="418"/>
      <c r="SEL17" s="418"/>
      <c r="SEM17" s="418"/>
      <c r="SEN17" s="418"/>
      <c r="SEO17" s="418"/>
      <c r="SEP17" s="418"/>
      <c r="SEQ17" s="418"/>
      <c r="SER17" s="418"/>
      <c r="SES17" s="418"/>
      <c r="SET17" s="418"/>
      <c r="SEU17" s="418"/>
      <c r="SEV17" s="418"/>
      <c r="SEW17" s="418"/>
      <c r="SEX17" s="418"/>
      <c r="SEY17" s="418"/>
      <c r="SEZ17" s="418"/>
      <c r="SFA17" s="418"/>
      <c r="SFB17" s="418"/>
      <c r="SFC17" s="418"/>
      <c r="SFD17" s="418"/>
      <c r="SFE17" s="418"/>
      <c r="SFF17" s="418"/>
      <c r="SFG17" s="418"/>
      <c r="SFH17" s="418"/>
      <c r="SFI17" s="418"/>
      <c r="SFJ17" s="418"/>
      <c r="SFK17" s="418"/>
      <c r="SFL17" s="418"/>
      <c r="SFM17" s="418"/>
      <c r="SFN17" s="418"/>
      <c r="SFO17" s="418"/>
      <c r="SFP17" s="418"/>
      <c r="SFQ17" s="418"/>
      <c r="SFR17" s="418"/>
      <c r="SFS17" s="418"/>
      <c r="SFT17" s="418"/>
      <c r="SFU17" s="418"/>
      <c r="SFV17" s="418"/>
      <c r="SFW17" s="418"/>
      <c r="SFX17" s="418"/>
      <c r="SFY17" s="418"/>
      <c r="SFZ17" s="418"/>
      <c r="SGA17" s="418"/>
      <c r="SGB17" s="418"/>
      <c r="SGC17" s="418"/>
      <c r="SGD17" s="418"/>
      <c r="SGE17" s="418"/>
      <c r="SGF17" s="418"/>
      <c r="SGG17" s="418"/>
      <c r="SGH17" s="418"/>
      <c r="SGI17" s="418"/>
      <c r="SGJ17" s="418"/>
      <c r="SGK17" s="418"/>
      <c r="SGL17" s="418"/>
      <c r="SGM17" s="418"/>
      <c r="SGN17" s="418"/>
      <c r="SGO17" s="418"/>
      <c r="SGP17" s="418"/>
      <c r="SGQ17" s="418"/>
      <c r="SGR17" s="418"/>
      <c r="SGS17" s="418"/>
      <c r="SGT17" s="418"/>
      <c r="SGU17" s="418"/>
      <c r="SGV17" s="418"/>
      <c r="SGW17" s="418"/>
      <c r="SGX17" s="418"/>
      <c r="SGY17" s="418"/>
      <c r="SGZ17" s="418"/>
      <c r="SHA17" s="418"/>
      <c r="SHB17" s="418"/>
      <c r="SHC17" s="418"/>
      <c r="SHD17" s="418"/>
      <c r="SHE17" s="418"/>
      <c r="SHF17" s="418"/>
      <c r="SHG17" s="418"/>
      <c r="SHH17" s="418"/>
      <c r="SHI17" s="418"/>
      <c r="SHJ17" s="418"/>
      <c r="SHK17" s="418"/>
      <c r="SHL17" s="418"/>
      <c r="SHM17" s="418"/>
      <c r="SHN17" s="418"/>
      <c r="SHO17" s="418"/>
      <c r="SHP17" s="418"/>
      <c r="SHQ17" s="418"/>
      <c r="SHR17" s="418"/>
      <c r="SHS17" s="418"/>
      <c r="SHT17" s="418"/>
      <c r="SHU17" s="418"/>
      <c r="SHV17" s="418"/>
      <c r="SHW17" s="418"/>
      <c r="SHX17" s="418"/>
      <c r="SHY17" s="418"/>
      <c r="SHZ17" s="418"/>
      <c r="SIA17" s="418"/>
      <c r="SIB17" s="418"/>
      <c r="SIC17" s="418"/>
      <c r="SID17" s="418"/>
      <c r="SIE17" s="418"/>
      <c r="SIF17" s="418"/>
      <c r="SIG17" s="418"/>
      <c r="SIH17" s="418"/>
      <c r="SII17" s="418"/>
      <c r="SIJ17" s="418"/>
      <c r="SIK17" s="418"/>
      <c r="SIL17" s="418"/>
      <c r="SIM17" s="418"/>
      <c r="SIN17" s="418"/>
      <c r="SIO17" s="418"/>
      <c r="SIP17" s="418"/>
      <c r="SIQ17" s="418"/>
      <c r="SIR17" s="418"/>
      <c r="SIS17" s="418"/>
      <c r="SIT17" s="418"/>
      <c r="SIU17" s="418"/>
      <c r="SIV17" s="418"/>
      <c r="SIW17" s="418"/>
      <c r="SIX17" s="418"/>
      <c r="SIY17" s="418"/>
      <c r="SIZ17" s="418"/>
      <c r="SJA17" s="418"/>
      <c r="SJB17" s="418"/>
      <c r="SJC17" s="418"/>
      <c r="SJD17" s="418"/>
      <c r="SJE17" s="418"/>
      <c r="SJF17" s="418"/>
      <c r="SJG17" s="418"/>
      <c r="SJH17" s="418"/>
      <c r="SJI17" s="418"/>
      <c r="SJJ17" s="418"/>
      <c r="SJK17" s="418"/>
      <c r="SJL17" s="418"/>
      <c r="SJM17" s="418"/>
      <c r="SJN17" s="418"/>
      <c r="SJO17" s="418"/>
      <c r="SJP17" s="418"/>
      <c r="SJQ17" s="418"/>
      <c r="SJR17" s="418"/>
      <c r="SJS17" s="418"/>
      <c r="SJT17" s="418"/>
      <c r="SJU17" s="418"/>
      <c r="SJV17" s="418"/>
      <c r="SJW17" s="418"/>
      <c r="SJX17" s="418"/>
      <c r="SJY17" s="418"/>
      <c r="SJZ17" s="418"/>
      <c r="SKA17" s="418"/>
      <c r="SKB17" s="418"/>
      <c r="SKC17" s="418"/>
      <c r="SKD17" s="418"/>
      <c r="SKE17" s="418"/>
      <c r="SKF17" s="418"/>
      <c r="SKG17" s="418"/>
      <c r="SKH17" s="418"/>
      <c r="SKI17" s="418"/>
      <c r="SKJ17" s="418"/>
      <c r="SKK17" s="418"/>
      <c r="SKL17" s="418"/>
      <c r="SKM17" s="418"/>
      <c r="SKN17" s="418"/>
      <c r="SKO17" s="418"/>
      <c r="SKP17" s="418"/>
      <c r="SKQ17" s="418"/>
      <c r="SKR17" s="418"/>
      <c r="SKS17" s="418"/>
      <c r="SKT17" s="418"/>
      <c r="SKU17" s="418"/>
      <c r="SKV17" s="418"/>
      <c r="SKW17" s="418"/>
      <c r="SKX17" s="418"/>
      <c r="SKY17" s="418"/>
      <c r="SKZ17" s="418"/>
      <c r="SLA17" s="418"/>
      <c r="SLB17" s="418"/>
      <c r="SLC17" s="418"/>
      <c r="SLD17" s="418"/>
      <c r="SLE17" s="418"/>
      <c r="SLF17" s="418"/>
      <c r="SLG17" s="418"/>
      <c r="SLH17" s="418"/>
      <c r="SLI17" s="418"/>
      <c r="SLJ17" s="418"/>
      <c r="SLK17" s="418"/>
      <c r="SLL17" s="418"/>
      <c r="SLM17" s="418"/>
      <c r="SLN17" s="418"/>
      <c r="SLO17" s="418"/>
      <c r="SLP17" s="418"/>
      <c r="SLQ17" s="418"/>
      <c r="SLR17" s="418"/>
      <c r="SLS17" s="418"/>
      <c r="SLT17" s="418"/>
      <c r="SLU17" s="418"/>
      <c r="SLV17" s="418"/>
      <c r="SLW17" s="418"/>
      <c r="SLX17" s="418"/>
      <c r="SLY17" s="418"/>
      <c r="SLZ17" s="418"/>
      <c r="SMA17" s="418"/>
      <c r="SMB17" s="418"/>
      <c r="SMC17" s="418"/>
      <c r="SMD17" s="418"/>
      <c r="SME17" s="418"/>
      <c r="SMF17" s="418"/>
      <c r="SMG17" s="418"/>
      <c r="SMH17" s="418"/>
      <c r="SMI17" s="418"/>
      <c r="SMJ17" s="418"/>
      <c r="SMK17" s="418"/>
      <c r="SML17" s="418"/>
      <c r="SMM17" s="418"/>
      <c r="SMN17" s="418"/>
      <c r="SMO17" s="418"/>
      <c r="SMP17" s="418"/>
      <c r="SMQ17" s="418"/>
      <c r="SMR17" s="418"/>
      <c r="SMS17" s="418"/>
      <c r="SMT17" s="418"/>
      <c r="SMU17" s="418"/>
      <c r="SMV17" s="418"/>
      <c r="SMW17" s="418"/>
      <c r="SMX17" s="418"/>
      <c r="SMY17" s="418"/>
      <c r="SMZ17" s="418"/>
      <c r="SNA17" s="418"/>
      <c r="SNB17" s="418"/>
      <c r="SNC17" s="418"/>
      <c r="SND17" s="418"/>
      <c r="SNE17" s="418"/>
      <c r="SNF17" s="418"/>
      <c r="SNG17" s="418"/>
      <c r="SNH17" s="418"/>
      <c r="SNI17" s="418"/>
      <c r="SNJ17" s="418"/>
      <c r="SNK17" s="418"/>
      <c r="SNL17" s="418"/>
      <c r="SNM17" s="418"/>
      <c r="SNN17" s="418"/>
      <c r="SNO17" s="418"/>
      <c r="SNP17" s="418"/>
      <c r="SNQ17" s="418"/>
      <c r="SNR17" s="418"/>
      <c r="SNS17" s="418"/>
      <c r="SNT17" s="418"/>
      <c r="SNU17" s="418"/>
      <c r="SNV17" s="418"/>
      <c r="SNW17" s="418"/>
      <c r="SNX17" s="418"/>
      <c r="SNY17" s="418"/>
      <c r="SNZ17" s="418"/>
      <c r="SOA17" s="418"/>
      <c r="SOB17" s="418"/>
      <c r="SOC17" s="418"/>
      <c r="SOD17" s="418"/>
      <c r="SOE17" s="418"/>
      <c r="SOF17" s="418"/>
      <c r="SOG17" s="418"/>
      <c r="SOH17" s="418"/>
      <c r="SOI17" s="418"/>
      <c r="SOJ17" s="418"/>
      <c r="SOK17" s="418"/>
      <c r="SOL17" s="418"/>
      <c r="SOM17" s="418"/>
      <c r="SON17" s="418"/>
      <c r="SOO17" s="418"/>
      <c r="SOP17" s="418"/>
      <c r="SOQ17" s="418"/>
      <c r="SOR17" s="418"/>
      <c r="SOS17" s="418"/>
      <c r="SOT17" s="418"/>
      <c r="SOU17" s="418"/>
      <c r="SOV17" s="418"/>
      <c r="SOW17" s="418"/>
      <c r="SOX17" s="418"/>
      <c r="SOY17" s="418"/>
      <c r="SOZ17" s="418"/>
      <c r="SPA17" s="418"/>
      <c r="SPB17" s="418"/>
      <c r="SPC17" s="418"/>
      <c r="SPD17" s="418"/>
      <c r="SPE17" s="418"/>
      <c r="SPF17" s="418"/>
      <c r="SPG17" s="418"/>
      <c r="SPH17" s="418"/>
      <c r="SPI17" s="418"/>
      <c r="SPJ17" s="418"/>
      <c r="SPK17" s="418"/>
      <c r="SPL17" s="418"/>
      <c r="SPM17" s="418"/>
      <c r="SPN17" s="418"/>
      <c r="SPO17" s="418"/>
      <c r="SPP17" s="418"/>
      <c r="SPQ17" s="418"/>
      <c r="SPR17" s="418"/>
      <c r="SPS17" s="418"/>
      <c r="SPT17" s="418"/>
      <c r="SPU17" s="418"/>
      <c r="SPV17" s="418"/>
      <c r="SPW17" s="418"/>
      <c r="SPX17" s="418"/>
      <c r="SPY17" s="418"/>
      <c r="SPZ17" s="418"/>
      <c r="SQA17" s="418"/>
      <c r="SQB17" s="418"/>
      <c r="SQC17" s="418"/>
      <c r="SQD17" s="418"/>
      <c r="SQE17" s="418"/>
      <c r="SQF17" s="418"/>
      <c r="SQG17" s="418"/>
      <c r="SQH17" s="418"/>
      <c r="SQI17" s="418"/>
      <c r="SQJ17" s="418"/>
      <c r="SQK17" s="418"/>
      <c r="SQL17" s="418"/>
      <c r="SQM17" s="418"/>
      <c r="SQN17" s="418"/>
      <c r="SQO17" s="418"/>
      <c r="SQP17" s="418"/>
      <c r="SQQ17" s="418"/>
      <c r="SQR17" s="418"/>
      <c r="SQS17" s="418"/>
      <c r="SQT17" s="418"/>
      <c r="SQU17" s="418"/>
      <c r="SQV17" s="418"/>
      <c r="SQW17" s="418"/>
      <c r="SQX17" s="418"/>
      <c r="SQY17" s="418"/>
      <c r="SQZ17" s="418"/>
      <c r="SRA17" s="418"/>
      <c r="SRB17" s="418"/>
      <c r="SRC17" s="418"/>
      <c r="SRD17" s="418"/>
      <c r="SRE17" s="418"/>
      <c r="SRF17" s="418"/>
      <c r="SRG17" s="418"/>
      <c r="SRH17" s="418"/>
      <c r="SRI17" s="418"/>
      <c r="SRJ17" s="418"/>
      <c r="SRK17" s="418"/>
      <c r="SRL17" s="418"/>
      <c r="SRM17" s="418"/>
      <c r="SRN17" s="418"/>
      <c r="SRO17" s="418"/>
      <c r="SRP17" s="418"/>
      <c r="SRQ17" s="418"/>
      <c r="SRR17" s="418"/>
      <c r="SRS17" s="418"/>
      <c r="SRT17" s="418"/>
      <c r="SRU17" s="418"/>
      <c r="SRV17" s="418"/>
      <c r="SRW17" s="418"/>
      <c r="SRX17" s="418"/>
      <c r="SRY17" s="418"/>
      <c r="SRZ17" s="418"/>
      <c r="SSA17" s="418"/>
      <c r="SSB17" s="418"/>
      <c r="SSC17" s="418"/>
      <c r="SSD17" s="418"/>
      <c r="SSE17" s="418"/>
      <c r="SSF17" s="418"/>
      <c r="SSG17" s="418"/>
      <c r="SSH17" s="418"/>
      <c r="SSI17" s="418"/>
      <c r="SSJ17" s="418"/>
      <c r="SSK17" s="418"/>
      <c r="SSL17" s="418"/>
      <c r="SSM17" s="418"/>
      <c r="SSN17" s="418"/>
      <c r="SSO17" s="418"/>
      <c r="SSP17" s="418"/>
      <c r="SSQ17" s="418"/>
      <c r="SSR17" s="418"/>
      <c r="SSS17" s="418"/>
      <c r="SST17" s="418"/>
      <c r="SSU17" s="418"/>
      <c r="SSV17" s="418"/>
      <c r="SSW17" s="418"/>
      <c r="SSX17" s="418"/>
      <c r="SSY17" s="418"/>
      <c r="SSZ17" s="418"/>
      <c r="STA17" s="418"/>
      <c r="STB17" s="418"/>
      <c r="STC17" s="418"/>
      <c r="STD17" s="418"/>
      <c r="STE17" s="418"/>
      <c r="STF17" s="418"/>
      <c r="STG17" s="418"/>
      <c r="STH17" s="418"/>
      <c r="STI17" s="418"/>
      <c r="STJ17" s="418"/>
      <c r="STK17" s="418"/>
      <c r="STL17" s="418"/>
      <c r="STM17" s="418"/>
      <c r="STN17" s="418"/>
      <c r="STO17" s="418"/>
      <c r="STP17" s="418"/>
      <c r="STQ17" s="418"/>
      <c r="STR17" s="418"/>
      <c r="STS17" s="418"/>
      <c r="STT17" s="418"/>
      <c r="STU17" s="418"/>
      <c r="STV17" s="418"/>
      <c r="STW17" s="418"/>
      <c r="STX17" s="418"/>
      <c r="STY17" s="418"/>
      <c r="STZ17" s="418"/>
      <c r="SUA17" s="418"/>
      <c r="SUB17" s="418"/>
      <c r="SUC17" s="418"/>
      <c r="SUD17" s="418"/>
      <c r="SUE17" s="418"/>
      <c r="SUF17" s="418"/>
      <c r="SUG17" s="418"/>
      <c r="SUH17" s="418"/>
      <c r="SUI17" s="418"/>
      <c r="SUJ17" s="418"/>
      <c r="SUK17" s="418"/>
      <c r="SUL17" s="418"/>
      <c r="SUM17" s="418"/>
      <c r="SUN17" s="418"/>
      <c r="SUO17" s="418"/>
      <c r="SUP17" s="418"/>
      <c r="SUQ17" s="418"/>
      <c r="SUR17" s="418"/>
      <c r="SUS17" s="418"/>
      <c r="SUT17" s="418"/>
      <c r="SUU17" s="418"/>
      <c r="SUV17" s="418"/>
      <c r="SUW17" s="418"/>
      <c r="SUX17" s="418"/>
      <c r="SUY17" s="418"/>
      <c r="SUZ17" s="418"/>
      <c r="SVA17" s="418"/>
      <c r="SVB17" s="418"/>
      <c r="SVC17" s="418"/>
      <c r="SVD17" s="418"/>
      <c r="SVE17" s="418"/>
      <c r="SVF17" s="418"/>
      <c r="SVG17" s="418"/>
      <c r="SVH17" s="418"/>
      <c r="SVI17" s="418"/>
      <c r="SVJ17" s="418"/>
      <c r="SVK17" s="418"/>
      <c r="SVL17" s="418"/>
      <c r="SVM17" s="418"/>
      <c r="SVN17" s="418"/>
      <c r="SVO17" s="418"/>
      <c r="SVP17" s="418"/>
      <c r="SVQ17" s="418"/>
      <c r="SVR17" s="418"/>
      <c r="SVS17" s="418"/>
      <c r="SVT17" s="418"/>
      <c r="SVU17" s="418"/>
      <c r="SVV17" s="418"/>
      <c r="SVW17" s="418"/>
      <c r="SVX17" s="418"/>
      <c r="SVY17" s="418"/>
      <c r="SVZ17" s="418"/>
      <c r="SWA17" s="418"/>
      <c r="SWB17" s="418"/>
      <c r="SWC17" s="418"/>
      <c r="SWD17" s="418"/>
      <c r="SWE17" s="418"/>
      <c r="SWF17" s="418"/>
      <c r="SWG17" s="418"/>
      <c r="SWH17" s="418"/>
      <c r="SWI17" s="418"/>
      <c r="SWJ17" s="418"/>
      <c r="SWK17" s="418"/>
      <c r="SWL17" s="418"/>
      <c r="SWM17" s="418"/>
      <c r="SWN17" s="418"/>
      <c r="SWO17" s="418"/>
      <c r="SWP17" s="418"/>
      <c r="SWQ17" s="418"/>
      <c r="SWR17" s="418"/>
      <c r="SWS17" s="418"/>
      <c r="SWT17" s="418"/>
      <c r="SWU17" s="418"/>
      <c r="SWV17" s="418"/>
      <c r="SWW17" s="418"/>
      <c r="SWX17" s="418"/>
      <c r="SWY17" s="418"/>
      <c r="SWZ17" s="418"/>
      <c r="SXA17" s="418"/>
      <c r="SXB17" s="418"/>
      <c r="SXC17" s="418"/>
      <c r="SXD17" s="418"/>
      <c r="SXE17" s="418"/>
      <c r="SXF17" s="418"/>
      <c r="SXG17" s="418"/>
      <c r="SXH17" s="418"/>
      <c r="SXI17" s="418"/>
      <c r="SXJ17" s="418"/>
      <c r="SXK17" s="418"/>
      <c r="SXL17" s="418"/>
      <c r="SXM17" s="418"/>
      <c r="SXN17" s="418"/>
      <c r="SXO17" s="418"/>
      <c r="SXP17" s="418"/>
      <c r="SXQ17" s="418"/>
      <c r="SXR17" s="418"/>
      <c r="SXS17" s="418"/>
      <c r="SXT17" s="418"/>
      <c r="SXU17" s="418"/>
      <c r="SXV17" s="418"/>
      <c r="SXW17" s="418"/>
      <c r="SXX17" s="418"/>
      <c r="SXY17" s="418"/>
      <c r="SXZ17" s="418"/>
      <c r="SYA17" s="418"/>
      <c r="SYB17" s="418"/>
      <c r="SYC17" s="418"/>
      <c r="SYD17" s="418"/>
      <c r="SYE17" s="418"/>
      <c r="SYF17" s="418"/>
      <c r="SYG17" s="418"/>
      <c r="SYH17" s="418"/>
      <c r="SYI17" s="418"/>
      <c r="SYJ17" s="418"/>
      <c r="SYK17" s="418"/>
      <c r="SYL17" s="418"/>
      <c r="SYM17" s="418"/>
      <c r="SYN17" s="418"/>
      <c r="SYO17" s="418"/>
      <c r="SYP17" s="418"/>
      <c r="SYQ17" s="418"/>
      <c r="SYR17" s="418"/>
      <c r="SYS17" s="418"/>
      <c r="SYT17" s="418"/>
      <c r="SYU17" s="418"/>
      <c r="SYV17" s="418"/>
      <c r="SYW17" s="418"/>
      <c r="SYX17" s="418"/>
      <c r="SYY17" s="418"/>
      <c r="SYZ17" s="418"/>
      <c r="SZA17" s="418"/>
      <c r="SZB17" s="418"/>
      <c r="SZC17" s="418"/>
      <c r="SZD17" s="418"/>
      <c r="SZE17" s="418"/>
      <c r="SZF17" s="418"/>
      <c r="SZG17" s="418"/>
      <c r="SZH17" s="418"/>
      <c r="SZI17" s="418"/>
      <c r="SZJ17" s="418"/>
      <c r="SZK17" s="418"/>
      <c r="SZL17" s="418"/>
      <c r="SZM17" s="418"/>
      <c r="SZN17" s="418"/>
      <c r="SZO17" s="418"/>
      <c r="SZP17" s="418"/>
      <c r="SZQ17" s="418"/>
      <c r="SZR17" s="418"/>
      <c r="SZS17" s="418"/>
      <c r="SZT17" s="418"/>
      <c r="SZU17" s="418"/>
      <c r="SZV17" s="418"/>
      <c r="SZW17" s="418"/>
      <c r="SZX17" s="418"/>
      <c r="SZY17" s="418"/>
      <c r="SZZ17" s="418"/>
      <c r="TAA17" s="418"/>
      <c r="TAB17" s="418"/>
      <c r="TAC17" s="418"/>
      <c r="TAD17" s="418"/>
      <c r="TAE17" s="418"/>
      <c r="TAF17" s="418"/>
      <c r="TAG17" s="418"/>
      <c r="TAH17" s="418"/>
      <c r="TAI17" s="418"/>
      <c r="TAJ17" s="418"/>
      <c r="TAK17" s="418"/>
      <c r="TAL17" s="418"/>
      <c r="TAM17" s="418"/>
      <c r="TAN17" s="418"/>
      <c r="TAO17" s="418"/>
      <c r="TAP17" s="418"/>
      <c r="TAQ17" s="418"/>
      <c r="TAR17" s="418"/>
      <c r="TAS17" s="418"/>
      <c r="TAT17" s="418"/>
      <c r="TAU17" s="418"/>
      <c r="TAV17" s="418"/>
      <c r="TAW17" s="418"/>
      <c r="TAX17" s="418"/>
      <c r="TAY17" s="418"/>
      <c r="TAZ17" s="418"/>
      <c r="TBA17" s="418"/>
      <c r="TBB17" s="418"/>
      <c r="TBC17" s="418"/>
      <c r="TBD17" s="418"/>
      <c r="TBE17" s="418"/>
      <c r="TBF17" s="418"/>
      <c r="TBG17" s="418"/>
      <c r="TBH17" s="418"/>
      <c r="TBI17" s="418"/>
      <c r="TBJ17" s="418"/>
      <c r="TBK17" s="418"/>
      <c r="TBL17" s="418"/>
      <c r="TBM17" s="418"/>
      <c r="TBN17" s="418"/>
      <c r="TBO17" s="418"/>
      <c r="TBP17" s="418"/>
      <c r="TBQ17" s="418"/>
      <c r="TBR17" s="418"/>
      <c r="TBS17" s="418"/>
      <c r="TBT17" s="418"/>
      <c r="TBU17" s="418"/>
      <c r="TBV17" s="418"/>
      <c r="TBW17" s="418"/>
      <c r="TBX17" s="418"/>
      <c r="TBY17" s="418"/>
      <c r="TBZ17" s="418"/>
      <c r="TCA17" s="418"/>
      <c r="TCB17" s="418"/>
      <c r="TCC17" s="418"/>
      <c r="TCD17" s="418"/>
      <c r="TCE17" s="418"/>
      <c r="TCF17" s="418"/>
      <c r="TCG17" s="418"/>
      <c r="TCH17" s="418"/>
      <c r="TCI17" s="418"/>
      <c r="TCJ17" s="418"/>
      <c r="TCK17" s="418"/>
      <c r="TCL17" s="418"/>
      <c r="TCM17" s="418"/>
      <c r="TCN17" s="418"/>
      <c r="TCO17" s="418"/>
      <c r="TCP17" s="418"/>
      <c r="TCQ17" s="418"/>
      <c r="TCR17" s="418"/>
      <c r="TCS17" s="418"/>
      <c r="TCT17" s="418"/>
      <c r="TCU17" s="418"/>
      <c r="TCV17" s="418"/>
      <c r="TCW17" s="418"/>
      <c r="TCX17" s="418"/>
      <c r="TCY17" s="418"/>
      <c r="TCZ17" s="418"/>
      <c r="TDA17" s="418"/>
      <c r="TDB17" s="418"/>
      <c r="TDC17" s="418"/>
      <c r="TDD17" s="418"/>
      <c r="TDE17" s="418"/>
      <c r="TDF17" s="418"/>
      <c r="TDG17" s="418"/>
      <c r="TDH17" s="418"/>
      <c r="TDI17" s="418"/>
      <c r="TDJ17" s="418"/>
      <c r="TDK17" s="418"/>
      <c r="TDL17" s="418"/>
      <c r="TDM17" s="418"/>
      <c r="TDN17" s="418"/>
      <c r="TDO17" s="418"/>
      <c r="TDP17" s="418"/>
      <c r="TDQ17" s="418"/>
      <c r="TDR17" s="418"/>
      <c r="TDS17" s="418"/>
      <c r="TDT17" s="418"/>
      <c r="TDU17" s="418"/>
      <c r="TDV17" s="418"/>
      <c r="TDW17" s="418"/>
      <c r="TDX17" s="418"/>
      <c r="TDY17" s="418"/>
      <c r="TDZ17" s="418"/>
      <c r="TEA17" s="418"/>
      <c r="TEB17" s="418"/>
      <c r="TEC17" s="418"/>
      <c r="TED17" s="418"/>
      <c r="TEE17" s="418"/>
      <c r="TEF17" s="418"/>
      <c r="TEG17" s="418"/>
      <c r="TEH17" s="418"/>
      <c r="TEI17" s="418"/>
      <c r="TEJ17" s="418"/>
      <c r="TEK17" s="418"/>
      <c r="TEL17" s="418"/>
      <c r="TEM17" s="418"/>
      <c r="TEN17" s="418"/>
      <c r="TEO17" s="418"/>
      <c r="TEP17" s="418"/>
      <c r="TEQ17" s="418"/>
      <c r="TER17" s="418"/>
      <c r="TES17" s="418"/>
      <c r="TET17" s="418"/>
      <c r="TEU17" s="418"/>
      <c r="TEV17" s="418"/>
      <c r="TEW17" s="418"/>
      <c r="TEX17" s="418"/>
      <c r="TEY17" s="418"/>
      <c r="TEZ17" s="418"/>
      <c r="TFA17" s="418"/>
      <c r="TFB17" s="418"/>
      <c r="TFC17" s="418"/>
      <c r="TFD17" s="418"/>
      <c r="TFE17" s="418"/>
      <c r="TFF17" s="418"/>
      <c r="TFG17" s="418"/>
      <c r="TFH17" s="418"/>
      <c r="TFI17" s="418"/>
      <c r="TFJ17" s="418"/>
      <c r="TFK17" s="418"/>
      <c r="TFL17" s="418"/>
      <c r="TFM17" s="418"/>
      <c r="TFN17" s="418"/>
      <c r="TFO17" s="418"/>
      <c r="TFP17" s="418"/>
      <c r="TFQ17" s="418"/>
      <c r="TFR17" s="418"/>
      <c r="TFS17" s="418"/>
      <c r="TFT17" s="418"/>
      <c r="TFU17" s="418"/>
      <c r="TFV17" s="418"/>
      <c r="TFW17" s="418"/>
      <c r="TFX17" s="418"/>
      <c r="TFY17" s="418"/>
      <c r="TFZ17" s="418"/>
      <c r="TGA17" s="418"/>
      <c r="TGB17" s="418"/>
      <c r="TGC17" s="418"/>
      <c r="TGD17" s="418"/>
      <c r="TGE17" s="418"/>
      <c r="TGF17" s="418"/>
      <c r="TGG17" s="418"/>
      <c r="TGH17" s="418"/>
      <c r="TGI17" s="418"/>
      <c r="TGJ17" s="418"/>
      <c r="TGK17" s="418"/>
      <c r="TGL17" s="418"/>
      <c r="TGM17" s="418"/>
      <c r="TGN17" s="418"/>
      <c r="TGO17" s="418"/>
      <c r="TGP17" s="418"/>
      <c r="TGQ17" s="418"/>
      <c r="TGR17" s="418"/>
      <c r="TGS17" s="418"/>
      <c r="TGT17" s="418"/>
      <c r="TGU17" s="418"/>
      <c r="TGV17" s="418"/>
      <c r="TGW17" s="418"/>
      <c r="TGX17" s="418"/>
      <c r="TGY17" s="418"/>
      <c r="TGZ17" s="418"/>
      <c r="THA17" s="418"/>
      <c r="THB17" s="418"/>
      <c r="THC17" s="418"/>
      <c r="THD17" s="418"/>
      <c r="THE17" s="418"/>
      <c r="THF17" s="418"/>
      <c r="THG17" s="418"/>
      <c r="THH17" s="418"/>
      <c r="THI17" s="418"/>
      <c r="THJ17" s="418"/>
      <c r="THK17" s="418"/>
      <c r="THL17" s="418"/>
      <c r="THM17" s="418"/>
      <c r="THN17" s="418"/>
      <c r="THO17" s="418"/>
      <c r="THP17" s="418"/>
      <c r="THQ17" s="418"/>
      <c r="THR17" s="418"/>
      <c r="THS17" s="418"/>
      <c r="THT17" s="418"/>
      <c r="THU17" s="418"/>
      <c r="THV17" s="418"/>
      <c r="THW17" s="418"/>
      <c r="THX17" s="418"/>
      <c r="THY17" s="418"/>
      <c r="THZ17" s="418"/>
      <c r="TIA17" s="418"/>
      <c r="TIB17" s="418"/>
      <c r="TIC17" s="418"/>
      <c r="TID17" s="418"/>
      <c r="TIE17" s="418"/>
      <c r="TIF17" s="418"/>
      <c r="TIG17" s="418"/>
      <c r="TIH17" s="418"/>
      <c r="TII17" s="418"/>
      <c r="TIJ17" s="418"/>
      <c r="TIK17" s="418"/>
      <c r="TIL17" s="418"/>
      <c r="TIM17" s="418"/>
      <c r="TIN17" s="418"/>
      <c r="TIO17" s="418"/>
      <c r="TIP17" s="418"/>
      <c r="TIQ17" s="418"/>
      <c r="TIR17" s="418"/>
      <c r="TIS17" s="418"/>
      <c r="TIT17" s="418"/>
      <c r="TIU17" s="418"/>
      <c r="TIV17" s="418"/>
      <c r="TIW17" s="418"/>
      <c r="TIX17" s="418"/>
      <c r="TIY17" s="418"/>
      <c r="TIZ17" s="418"/>
      <c r="TJA17" s="418"/>
      <c r="TJB17" s="418"/>
      <c r="TJC17" s="418"/>
      <c r="TJD17" s="418"/>
      <c r="TJE17" s="418"/>
      <c r="TJF17" s="418"/>
      <c r="TJG17" s="418"/>
      <c r="TJH17" s="418"/>
      <c r="TJI17" s="418"/>
      <c r="TJJ17" s="418"/>
      <c r="TJK17" s="418"/>
      <c r="TJL17" s="418"/>
      <c r="TJM17" s="418"/>
      <c r="TJN17" s="418"/>
      <c r="TJO17" s="418"/>
      <c r="TJP17" s="418"/>
      <c r="TJQ17" s="418"/>
      <c r="TJR17" s="418"/>
      <c r="TJS17" s="418"/>
      <c r="TJT17" s="418"/>
      <c r="TJU17" s="418"/>
      <c r="TJV17" s="418"/>
      <c r="TJW17" s="418"/>
      <c r="TJX17" s="418"/>
      <c r="TJY17" s="418"/>
      <c r="TJZ17" s="418"/>
      <c r="TKA17" s="418"/>
      <c r="TKB17" s="418"/>
      <c r="TKC17" s="418"/>
      <c r="TKD17" s="418"/>
      <c r="TKE17" s="418"/>
      <c r="TKF17" s="418"/>
      <c r="TKG17" s="418"/>
      <c r="TKH17" s="418"/>
      <c r="TKI17" s="418"/>
      <c r="TKJ17" s="418"/>
      <c r="TKK17" s="418"/>
      <c r="TKL17" s="418"/>
      <c r="TKM17" s="418"/>
      <c r="TKN17" s="418"/>
      <c r="TKO17" s="418"/>
      <c r="TKP17" s="418"/>
      <c r="TKQ17" s="418"/>
      <c r="TKR17" s="418"/>
      <c r="TKS17" s="418"/>
      <c r="TKT17" s="418"/>
      <c r="TKU17" s="418"/>
      <c r="TKV17" s="418"/>
      <c r="TKW17" s="418"/>
      <c r="TKX17" s="418"/>
      <c r="TKY17" s="418"/>
      <c r="TKZ17" s="418"/>
      <c r="TLA17" s="418"/>
      <c r="TLB17" s="418"/>
      <c r="TLC17" s="418"/>
      <c r="TLD17" s="418"/>
      <c r="TLE17" s="418"/>
      <c r="TLF17" s="418"/>
      <c r="TLG17" s="418"/>
      <c r="TLH17" s="418"/>
      <c r="TLI17" s="418"/>
      <c r="TLJ17" s="418"/>
      <c r="TLK17" s="418"/>
      <c r="TLL17" s="418"/>
      <c r="TLM17" s="418"/>
      <c r="TLN17" s="418"/>
      <c r="TLO17" s="418"/>
      <c r="TLP17" s="418"/>
      <c r="TLQ17" s="418"/>
      <c r="TLR17" s="418"/>
      <c r="TLS17" s="418"/>
      <c r="TLT17" s="418"/>
      <c r="TLU17" s="418"/>
      <c r="TLV17" s="418"/>
      <c r="TLW17" s="418"/>
      <c r="TLX17" s="418"/>
      <c r="TLY17" s="418"/>
      <c r="TLZ17" s="418"/>
      <c r="TMA17" s="418"/>
      <c r="TMB17" s="418"/>
      <c r="TMC17" s="418"/>
      <c r="TMD17" s="418"/>
      <c r="TME17" s="418"/>
      <c r="TMF17" s="418"/>
      <c r="TMG17" s="418"/>
      <c r="TMH17" s="418"/>
      <c r="TMI17" s="418"/>
      <c r="TMJ17" s="418"/>
      <c r="TMK17" s="418"/>
      <c r="TML17" s="418"/>
      <c r="TMM17" s="418"/>
      <c r="TMN17" s="418"/>
      <c r="TMO17" s="418"/>
      <c r="TMP17" s="418"/>
      <c r="TMQ17" s="418"/>
      <c r="TMR17" s="418"/>
      <c r="TMS17" s="418"/>
      <c r="TMT17" s="418"/>
      <c r="TMU17" s="418"/>
      <c r="TMV17" s="418"/>
      <c r="TMW17" s="418"/>
      <c r="TMX17" s="418"/>
      <c r="TMY17" s="418"/>
      <c r="TMZ17" s="418"/>
      <c r="TNA17" s="418"/>
      <c r="TNB17" s="418"/>
      <c r="TNC17" s="418"/>
      <c r="TND17" s="418"/>
      <c r="TNE17" s="418"/>
      <c r="TNF17" s="418"/>
      <c r="TNG17" s="418"/>
      <c r="TNH17" s="418"/>
      <c r="TNI17" s="418"/>
      <c r="TNJ17" s="418"/>
      <c r="TNK17" s="418"/>
      <c r="TNL17" s="418"/>
      <c r="TNM17" s="418"/>
      <c r="TNN17" s="418"/>
      <c r="TNO17" s="418"/>
      <c r="TNP17" s="418"/>
      <c r="TNQ17" s="418"/>
      <c r="TNR17" s="418"/>
      <c r="TNS17" s="418"/>
      <c r="TNT17" s="418"/>
      <c r="TNU17" s="418"/>
      <c r="TNV17" s="418"/>
      <c r="TNW17" s="418"/>
      <c r="TNX17" s="418"/>
      <c r="TNY17" s="418"/>
      <c r="TNZ17" s="418"/>
      <c r="TOA17" s="418"/>
      <c r="TOB17" s="418"/>
      <c r="TOC17" s="418"/>
      <c r="TOD17" s="418"/>
      <c r="TOE17" s="418"/>
      <c r="TOF17" s="418"/>
      <c r="TOG17" s="418"/>
      <c r="TOH17" s="418"/>
      <c r="TOI17" s="418"/>
      <c r="TOJ17" s="418"/>
      <c r="TOK17" s="418"/>
      <c r="TOL17" s="418"/>
      <c r="TOM17" s="418"/>
      <c r="TON17" s="418"/>
      <c r="TOO17" s="418"/>
      <c r="TOP17" s="418"/>
      <c r="TOQ17" s="418"/>
      <c r="TOR17" s="418"/>
      <c r="TOS17" s="418"/>
      <c r="TOT17" s="418"/>
      <c r="TOU17" s="418"/>
      <c r="TOV17" s="418"/>
      <c r="TOW17" s="418"/>
      <c r="TOX17" s="418"/>
      <c r="TOY17" s="418"/>
      <c r="TOZ17" s="418"/>
      <c r="TPA17" s="418"/>
      <c r="TPB17" s="418"/>
      <c r="TPC17" s="418"/>
      <c r="TPD17" s="418"/>
      <c r="TPE17" s="418"/>
      <c r="TPF17" s="418"/>
      <c r="TPG17" s="418"/>
      <c r="TPH17" s="418"/>
      <c r="TPI17" s="418"/>
      <c r="TPJ17" s="418"/>
      <c r="TPK17" s="418"/>
      <c r="TPL17" s="418"/>
      <c r="TPM17" s="418"/>
      <c r="TPN17" s="418"/>
      <c r="TPO17" s="418"/>
      <c r="TPP17" s="418"/>
      <c r="TPQ17" s="418"/>
      <c r="TPR17" s="418"/>
      <c r="TPS17" s="418"/>
      <c r="TPT17" s="418"/>
      <c r="TPU17" s="418"/>
      <c r="TPV17" s="418"/>
      <c r="TPW17" s="418"/>
      <c r="TPX17" s="418"/>
      <c r="TPY17" s="418"/>
      <c r="TPZ17" s="418"/>
      <c r="TQA17" s="418"/>
      <c r="TQB17" s="418"/>
      <c r="TQC17" s="418"/>
      <c r="TQD17" s="418"/>
      <c r="TQE17" s="418"/>
      <c r="TQF17" s="418"/>
      <c r="TQG17" s="418"/>
      <c r="TQH17" s="418"/>
      <c r="TQI17" s="418"/>
      <c r="TQJ17" s="418"/>
      <c r="TQK17" s="418"/>
      <c r="TQL17" s="418"/>
      <c r="TQM17" s="418"/>
      <c r="TQN17" s="418"/>
      <c r="TQO17" s="418"/>
      <c r="TQP17" s="418"/>
      <c r="TQQ17" s="418"/>
      <c r="TQR17" s="418"/>
      <c r="TQS17" s="418"/>
      <c r="TQT17" s="418"/>
      <c r="TQU17" s="418"/>
      <c r="TQV17" s="418"/>
      <c r="TQW17" s="418"/>
      <c r="TQX17" s="418"/>
      <c r="TQY17" s="418"/>
      <c r="TQZ17" s="418"/>
      <c r="TRA17" s="418"/>
      <c r="TRB17" s="418"/>
      <c r="TRC17" s="418"/>
      <c r="TRD17" s="418"/>
      <c r="TRE17" s="418"/>
      <c r="TRF17" s="418"/>
      <c r="TRG17" s="418"/>
      <c r="TRH17" s="418"/>
      <c r="TRI17" s="418"/>
      <c r="TRJ17" s="418"/>
      <c r="TRK17" s="418"/>
      <c r="TRL17" s="418"/>
      <c r="TRM17" s="418"/>
      <c r="TRN17" s="418"/>
      <c r="TRO17" s="418"/>
      <c r="TRP17" s="418"/>
      <c r="TRQ17" s="418"/>
      <c r="TRR17" s="418"/>
      <c r="TRS17" s="418"/>
      <c r="TRT17" s="418"/>
      <c r="TRU17" s="418"/>
      <c r="TRV17" s="418"/>
      <c r="TRW17" s="418"/>
      <c r="TRX17" s="418"/>
      <c r="TRY17" s="418"/>
      <c r="TRZ17" s="418"/>
      <c r="TSA17" s="418"/>
      <c r="TSB17" s="418"/>
      <c r="TSC17" s="418"/>
      <c r="TSD17" s="418"/>
      <c r="TSE17" s="418"/>
      <c r="TSF17" s="418"/>
      <c r="TSG17" s="418"/>
      <c r="TSH17" s="418"/>
      <c r="TSI17" s="418"/>
      <c r="TSJ17" s="418"/>
      <c r="TSK17" s="418"/>
      <c r="TSL17" s="418"/>
      <c r="TSM17" s="418"/>
      <c r="TSN17" s="418"/>
      <c r="TSO17" s="418"/>
      <c r="TSP17" s="418"/>
      <c r="TSQ17" s="418"/>
      <c r="TSR17" s="418"/>
      <c r="TSS17" s="418"/>
      <c r="TST17" s="418"/>
      <c r="TSU17" s="418"/>
      <c r="TSV17" s="418"/>
      <c r="TSW17" s="418"/>
      <c r="TSX17" s="418"/>
      <c r="TSY17" s="418"/>
      <c r="TSZ17" s="418"/>
      <c r="TTA17" s="418"/>
      <c r="TTB17" s="418"/>
      <c r="TTC17" s="418"/>
      <c r="TTD17" s="418"/>
      <c r="TTE17" s="418"/>
      <c r="TTF17" s="418"/>
      <c r="TTG17" s="418"/>
      <c r="TTH17" s="418"/>
      <c r="TTI17" s="418"/>
      <c r="TTJ17" s="418"/>
      <c r="TTK17" s="418"/>
      <c r="TTL17" s="418"/>
      <c r="TTM17" s="418"/>
      <c r="TTN17" s="418"/>
      <c r="TTO17" s="418"/>
      <c r="TTP17" s="418"/>
      <c r="TTQ17" s="418"/>
      <c r="TTR17" s="418"/>
      <c r="TTS17" s="418"/>
      <c r="TTT17" s="418"/>
      <c r="TTU17" s="418"/>
      <c r="TTV17" s="418"/>
      <c r="TTW17" s="418"/>
      <c r="TTX17" s="418"/>
      <c r="TTY17" s="418"/>
      <c r="TTZ17" s="418"/>
      <c r="TUA17" s="418"/>
      <c r="TUB17" s="418"/>
      <c r="TUC17" s="418"/>
      <c r="TUD17" s="418"/>
      <c r="TUE17" s="418"/>
      <c r="TUF17" s="418"/>
      <c r="TUG17" s="418"/>
      <c r="TUH17" s="418"/>
      <c r="TUI17" s="418"/>
      <c r="TUJ17" s="418"/>
      <c r="TUK17" s="418"/>
      <c r="TUL17" s="418"/>
      <c r="TUM17" s="418"/>
      <c r="TUN17" s="418"/>
      <c r="TUO17" s="418"/>
      <c r="TUP17" s="418"/>
      <c r="TUQ17" s="418"/>
      <c r="TUR17" s="418"/>
      <c r="TUS17" s="418"/>
      <c r="TUT17" s="418"/>
      <c r="TUU17" s="418"/>
      <c r="TUV17" s="418"/>
      <c r="TUW17" s="418"/>
      <c r="TUX17" s="418"/>
      <c r="TUY17" s="418"/>
      <c r="TUZ17" s="418"/>
      <c r="TVA17" s="418"/>
      <c r="TVB17" s="418"/>
      <c r="TVC17" s="418"/>
      <c r="TVD17" s="418"/>
      <c r="TVE17" s="418"/>
      <c r="TVF17" s="418"/>
      <c r="TVG17" s="418"/>
      <c r="TVH17" s="418"/>
      <c r="TVI17" s="418"/>
      <c r="TVJ17" s="418"/>
      <c r="TVK17" s="418"/>
      <c r="TVL17" s="418"/>
      <c r="TVM17" s="418"/>
      <c r="TVN17" s="418"/>
      <c r="TVO17" s="418"/>
      <c r="TVP17" s="418"/>
      <c r="TVQ17" s="418"/>
      <c r="TVR17" s="418"/>
      <c r="TVS17" s="418"/>
      <c r="TVT17" s="418"/>
      <c r="TVU17" s="418"/>
      <c r="TVV17" s="418"/>
      <c r="TVW17" s="418"/>
      <c r="TVX17" s="418"/>
      <c r="TVY17" s="418"/>
      <c r="TVZ17" s="418"/>
      <c r="TWA17" s="418"/>
      <c r="TWB17" s="418"/>
      <c r="TWC17" s="418"/>
      <c r="TWD17" s="418"/>
      <c r="TWE17" s="418"/>
      <c r="TWF17" s="418"/>
      <c r="TWG17" s="418"/>
      <c r="TWH17" s="418"/>
      <c r="TWI17" s="418"/>
      <c r="TWJ17" s="418"/>
      <c r="TWK17" s="418"/>
      <c r="TWL17" s="418"/>
      <c r="TWM17" s="418"/>
      <c r="TWN17" s="418"/>
      <c r="TWO17" s="418"/>
      <c r="TWP17" s="418"/>
      <c r="TWQ17" s="418"/>
      <c r="TWR17" s="418"/>
      <c r="TWS17" s="418"/>
      <c r="TWT17" s="418"/>
      <c r="TWU17" s="418"/>
      <c r="TWV17" s="418"/>
      <c r="TWW17" s="418"/>
      <c r="TWX17" s="418"/>
      <c r="TWY17" s="418"/>
      <c r="TWZ17" s="418"/>
      <c r="TXA17" s="418"/>
      <c r="TXB17" s="418"/>
      <c r="TXC17" s="418"/>
      <c r="TXD17" s="418"/>
      <c r="TXE17" s="418"/>
      <c r="TXF17" s="418"/>
      <c r="TXG17" s="418"/>
      <c r="TXH17" s="418"/>
      <c r="TXI17" s="418"/>
      <c r="TXJ17" s="418"/>
      <c r="TXK17" s="418"/>
      <c r="TXL17" s="418"/>
      <c r="TXM17" s="418"/>
      <c r="TXN17" s="418"/>
      <c r="TXO17" s="418"/>
      <c r="TXP17" s="418"/>
      <c r="TXQ17" s="418"/>
      <c r="TXR17" s="418"/>
      <c r="TXS17" s="418"/>
      <c r="TXT17" s="418"/>
      <c r="TXU17" s="418"/>
      <c r="TXV17" s="418"/>
      <c r="TXW17" s="418"/>
      <c r="TXX17" s="418"/>
      <c r="TXY17" s="418"/>
      <c r="TXZ17" s="418"/>
      <c r="TYA17" s="418"/>
      <c r="TYB17" s="418"/>
      <c r="TYC17" s="418"/>
      <c r="TYD17" s="418"/>
      <c r="TYE17" s="418"/>
      <c r="TYF17" s="418"/>
      <c r="TYG17" s="418"/>
      <c r="TYH17" s="418"/>
      <c r="TYI17" s="418"/>
      <c r="TYJ17" s="418"/>
      <c r="TYK17" s="418"/>
      <c r="TYL17" s="418"/>
      <c r="TYM17" s="418"/>
      <c r="TYN17" s="418"/>
      <c r="TYO17" s="418"/>
      <c r="TYP17" s="418"/>
      <c r="TYQ17" s="418"/>
      <c r="TYR17" s="418"/>
      <c r="TYS17" s="418"/>
      <c r="TYT17" s="418"/>
      <c r="TYU17" s="418"/>
      <c r="TYV17" s="418"/>
      <c r="TYW17" s="418"/>
      <c r="TYX17" s="418"/>
      <c r="TYY17" s="418"/>
      <c r="TYZ17" s="418"/>
      <c r="TZA17" s="418"/>
      <c r="TZB17" s="418"/>
      <c r="TZC17" s="418"/>
      <c r="TZD17" s="418"/>
      <c r="TZE17" s="418"/>
      <c r="TZF17" s="418"/>
      <c r="TZG17" s="418"/>
      <c r="TZH17" s="418"/>
      <c r="TZI17" s="418"/>
      <c r="TZJ17" s="418"/>
      <c r="TZK17" s="418"/>
      <c r="TZL17" s="418"/>
      <c r="TZM17" s="418"/>
      <c r="TZN17" s="418"/>
      <c r="TZO17" s="418"/>
      <c r="TZP17" s="418"/>
      <c r="TZQ17" s="418"/>
      <c r="TZR17" s="418"/>
      <c r="TZS17" s="418"/>
      <c r="TZT17" s="418"/>
      <c r="TZU17" s="418"/>
      <c r="TZV17" s="418"/>
      <c r="TZW17" s="418"/>
      <c r="TZX17" s="418"/>
      <c r="TZY17" s="418"/>
      <c r="TZZ17" s="418"/>
      <c r="UAA17" s="418"/>
      <c r="UAB17" s="418"/>
      <c r="UAC17" s="418"/>
      <c r="UAD17" s="418"/>
      <c r="UAE17" s="418"/>
      <c r="UAF17" s="418"/>
      <c r="UAG17" s="418"/>
      <c r="UAH17" s="418"/>
      <c r="UAI17" s="418"/>
      <c r="UAJ17" s="418"/>
      <c r="UAK17" s="418"/>
      <c r="UAL17" s="418"/>
      <c r="UAM17" s="418"/>
      <c r="UAN17" s="418"/>
      <c r="UAO17" s="418"/>
      <c r="UAP17" s="418"/>
      <c r="UAQ17" s="418"/>
      <c r="UAR17" s="418"/>
      <c r="UAS17" s="418"/>
      <c r="UAT17" s="418"/>
      <c r="UAU17" s="418"/>
      <c r="UAV17" s="418"/>
      <c r="UAW17" s="418"/>
      <c r="UAX17" s="418"/>
      <c r="UAY17" s="418"/>
      <c r="UAZ17" s="418"/>
      <c r="UBA17" s="418"/>
      <c r="UBB17" s="418"/>
      <c r="UBC17" s="418"/>
      <c r="UBD17" s="418"/>
      <c r="UBE17" s="418"/>
      <c r="UBF17" s="418"/>
      <c r="UBG17" s="418"/>
      <c r="UBH17" s="418"/>
      <c r="UBI17" s="418"/>
      <c r="UBJ17" s="418"/>
      <c r="UBK17" s="418"/>
      <c r="UBL17" s="418"/>
      <c r="UBM17" s="418"/>
      <c r="UBN17" s="418"/>
      <c r="UBO17" s="418"/>
      <c r="UBP17" s="418"/>
      <c r="UBQ17" s="418"/>
      <c r="UBR17" s="418"/>
      <c r="UBS17" s="418"/>
      <c r="UBT17" s="418"/>
      <c r="UBU17" s="418"/>
      <c r="UBV17" s="418"/>
      <c r="UBW17" s="418"/>
      <c r="UBX17" s="418"/>
      <c r="UBY17" s="418"/>
      <c r="UBZ17" s="418"/>
      <c r="UCA17" s="418"/>
      <c r="UCB17" s="418"/>
      <c r="UCC17" s="418"/>
      <c r="UCD17" s="418"/>
      <c r="UCE17" s="418"/>
      <c r="UCF17" s="418"/>
      <c r="UCG17" s="418"/>
      <c r="UCH17" s="418"/>
      <c r="UCI17" s="418"/>
      <c r="UCJ17" s="418"/>
      <c r="UCK17" s="418"/>
      <c r="UCL17" s="418"/>
      <c r="UCM17" s="418"/>
      <c r="UCN17" s="418"/>
      <c r="UCO17" s="418"/>
      <c r="UCP17" s="418"/>
      <c r="UCQ17" s="418"/>
      <c r="UCR17" s="418"/>
      <c r="UCS17" s="418"/>
      <c r="UCT17" s="418"/>
      <c r="UCU17" s="418"/>
      <c r="UCV17" s="418"/>
      <c r="UCW17" s="418"/>
      <c r="UCX17" s="418"/>
      <c r="UCY17" s="418"/>
      <c r="UCZ17" s="418"/>
      <c r="UDA17" s="418"/>
      <c r="UDB17" s="418"/>
      <c r="UDC17" s="418"/>
      <c r="UDD17" s="418"/>
      <c r="UDE17" s="418"/>
      <c r="UDF17" s="418"/>
      <c r="UDG17" s="418"/>
      <c r="UDH17" s="418"/>
      <c r="UDI17" s="418"/>
      <c r="UDJ17" s="418"/>
      <c r="UDK17" s="418"/>
      <c r="UDL17" s="418"/>
      <c r="UDM17" s="418"/>
      <c r="UDN17" s="418"/>
      <c r="UDO17" s="418"/>
      <c r="UDP17" s="418"/>
      <c r="UDQ17" s="418"/>
      <c r="UDR17" s="418"/>
      <c r="UDS17" s="418"/>
      <c r="UDT17" s="418"/>
      <c r="UDU17" s="418"/>
      <c r="UDV17" s="418"/>
      <c r="UDW17" s="418"/>
      <c r="UDX17" s="418"/>
      <c r="UDY17" s="418"/>
      <c r="UDZ17" s="418"/>
      <c r="UEA17" s="418"/>
      <c r="UEB17" s="418"/>
      <c r="UEC17" s="418"/>
      <c r="UED17" s="418"/>
      <c r="UEE17" s="418"/>
      <c r="UEF17" s="418"/>
      <c r="UEG17" s="418"/>
      <c r="UEH17" s="418"/>
      <c r="UEI17" s="418"/>
      <c r="UEJ17" s="418"/>
      <c r="UEK17" s="418"/>
      <c r="UEL17" s="418"/>
      <c r="UEM17" s="418"/>
      <c r="UEN17" s="418"/>
      <c r="UEO17" s="418"/>
      <c r="UEP17" s="418"/>
      <c r="UEQ17" s="418"/>
      <c r="UER17" s="418"/>
      <c r="UES17" s="418"/>
      <c r="UET17" s="418"/>
      <c r="UEU17" s="418"/>
      <c r="UEV17" s="418"/>
      <c r="UEW17" s="418"/>
      <c r="UEX17" s="418"/>
      <c r="UEY17" s="418"/>
      <c r="UEZ17" s="418"/>
      <c r="UFA17" s="418"/>
      <c r="UFB17" s="418"/>
      <c r="UFC17" s="418"/>
      <c r="UFD17" s="418"/>
      <c r="UFE17" s="418"/>
      <c r="UFF17" s="418"/>
      <c r="UFG17" s="418"/>
      <c r="UFH17" s="418"/>
      <c r="UFI17" s="418"/>
      <c r="UFJ17" s="418"/>
      <c r="UFK17" s="418"/>
      <c r="UFL17" s="418"/>
      <c r="UFM17" s="418"/>
      <c r="UFN17" s="418"/>
      <c r="UFO17" s="418"/>
      <c r="UFP17" s="418"/>
      <c r="UFQ17" s="418"/>
      <c r="UFR17" s="418"/>
      <c r="UFS17" s="418"/>
      <c r="UFT17" s="418"/>
      <c r="UFU17" s="418"/>
      <c r="UFV17" s="418"/>
      <c r="UFW17" s="418"/>
      <c r="UFX17" s="418"/>
      <c r="UFY17" s="418"/>
      <c r="UFZ17" s="418"/>
      <c r="UGA17" s="418"/>
      <c r="UGB17" s="418"/>
      <c r="UGC17" s="418"/>
      <c r="UGD17" s="418"/>
      <c r="UGE17" s="418"/>
      <c r="UGF17" s="418"/>
      <c r="UGG17" s="418"/>
      <c r="UGH17" s="418"/>
      <c r="UGI17" s="418"/>
      <c r="UGJ17" s="418"/>
      <c r="UGK17" s="418"/>
      <c r="UGL17" s="418"/>
      <c r="UGM17" s="418"/>
      <c r="UGN17" s="418"/>
      <c r="UGO17" s="418"/>
      <c r="UGP17" s="418"/>
      <c r="UGQ17" s="418"/>
      <c r="UGR17" s="418"/>
      <c r="UGS17" s="418"/>
      <c r="UGT17" s="418"/>
      <c r="UGU17" s="418"/>
      <c r="UGV17" s="418"/>
      <c r="UGW17" s="418"/>
      <c r="UGX17" s="418"/>
      <c r="UGY17" s="418"/>
      <c r="UGZ17" s="418"/>
      <c r="UHA17" s="418"/>
      <c r="UHB17" s="418"/>
      <c r="UHC17" s="418"/>
      <c r="UHD17" s="418"/>
      <c r="UHE17" s="418"/>
      <c r="UHF17" s="418"/>
      <c r="UHG17" s="418"/>
      <c r="UHH17" s="418"/>
      <c r="UHI17" s="418"/>
      <c r="UHJ17" s="418"/>
      <c r="UHK17" s="418"/>
      <c r="UHL17" s="418"/>
      <c r="UHM17" s="418"/>
      <c r="UHN17" s="418"/>
      <c r="UHO17" s="418"/>
      <c r="UHP17" s="418"/>
      <c r="UHQ17" s="418"/>
      <c r="UHR17" s="418"/>
      <c r="UHS17" s="418"/>
      <c r="UHT17" s="418"/>
      <c r="UHU17" s="418"/>
      <c r="UHV17" s="418"/>
      <c r="UHW17" s="418"/>
      <c r="UHX17" s="418"/>
      <c r="UHY17" s="418"/>
      <c r="UHZ17" s="418"/>
      <c r="UIA17" s="418"/>
      <c r="UIB17" s="418"/>
      <c r="UIC17" s="418"/>
      <c r="UID17" s="418"/>
      <c r="UIE17" s="418"/>
      <c r="UIF17" s="418"/>
      <c r="UIG17" s="418"/>
      <c r="UIH17" s="418"/>
      <c r="UII17" s="418"/>
      <c r="UIJ17" s="418"/>
      <c r="UIK17" s="418"/>
      <c r="UIL17" s="418"/>
      <c r="UIM17" s="418"/>
      <c r="UIN17" s="418"/>
      <c r="UIO17" s="418"/>
      <c r="UIP17" s="418"/>
      <c r="UIQ17" s="418"/>
      <c r="UIR17" s="418"/>
      <c r="UIS17" s="418"/>
      <c r="UIT17" s="418"/>
      <c r="UIU17" s="418"/>
      <c r="UIV17" s="418"/>
      <c r="UIW17" s="418"/>
      <c r="UIX17" s="418"/>
      <c r="UIY17" s="418"/>
      <c r="UIZ17" s="418"/>
      <c r="UJA17" s="418"/>
      <c r="UJB17" s="418"/>
      <c r="UJC17" s="418"/>
      <c r="UJD17" s="418"/>
      <c r="UJE17" s="418"/>
      <c r="UJF17" s="418"/>
      <c r="UJG17" s="418"/>
      <c r="UJH17" s="418"/>
      <c r="UJI17" s="418"/>
      <c r="UJJ17" s="418"/>
      <c r="UJK17" s="418"/>
      <c r="UJL17" s="418"/>
      <c r="UJM17" s="418"/>
      <c r="UJN17" s="418"/>
      <c r="UJO17" s="418"/>
      <c r="UJP17" s="418"/>
      <c r="UJQ17" s="418"/>
      <c r="UJR17" s="418"/>
      <c r="UJS17" s="418"/>
      <c r="UJT17" s="418"/>
      <c r="UJU17" s="418"/>
      <c r="UJV17" s="418"/>
      <c r="UJW17" s="418"/>
      <c r="UJX17" s="418"/>
      <c r="UJY17" s="418"/>
      <c r="UJZ17" s="418"/>
      <c r="UKA17" s="418"/>
      <c r="UKB17" s="418"/>
      <c r="UKC17" s="418"/>
      <c r="UKD17" s="418"/>
      <c r="UKE17" s="418"/>
      <c r="UKF17" s="418"/>
      <c r="UKG17" s="418"/>
      <c r="UKH17" s="418"/>
      <c r="UKI17" s="418"/>
      <c r="UKJ17" s="418"/>
      <c r="UKK17" s="418"/>
      <c r="UKL17" s="418"/>
      <c r="UKM17" s="418"/>
      <c r="UKN17" s="418"/>
      <c r="UKO17" s="418"/>
      <c r="UKP17" s="418"/>
      <c r="UKQ17" s="418"/>
      <c r="UKR17" s="418"/>
      <c r="UKS17" s="418"/>
      <c r="UKT17" s="418"/>
      <c r="UKU17" s="418"/>
      <c r="UKV17" s="418"/>
      <c r="UKW17" s="418"/>
      <c r="UKX17" s="418"/>
      <c r="UKY17" s="418"/>
      <c r="UKZ17" s="418"/>
      <c r="ULA17" s="418"/>
      <c r="ULB17" s="418"/>
      <c r="ULC17" s="418"/>
      <c r="ULD17" s="418"/>
      <c r="ULE17" s="418"/>
      <c r="ULF17" s="418"/>
      <c r="ULG17" s="418"/>
      <c r="ULH17" s="418"/>
      <c r="ULI17" s="418"/>
      <c r="ULJ17" s="418"/>
      <c r="ULK17" s="418"/>
      <c r="ULL17" s="418"/>
      <c r="ULM17" s="418"/>
      <c r="ULN17" s="418"/>
      <c r="ULO17" s="418"/>
      <c r="ULP17" s="418"/>
      <c r="ULQ17" s="418"/>
      <c r="ULR17" s="418"/>
      <c r="ULS17" s="418"/>
      <c r="ULT17" s="418"/>
      <c r="ULU17" s="418"/>
      <c r="ULV17" s="418"/>
      <c r="ULW17" s="418"/>
      <c r="ULX17" s="418"/>
      <c r="ULY17" s="418"/>
      <c r="ULZ17" s="418"/>
      <c r="UMA17" s="418"/>
      <c r="UMB17" s="418"/>
      <c r="UMC17" s="418"/>
      <c r="UMD17" s="418"/>
      <c r="UME17" s="418"/>
      <c r="UMF17" s="418"/>
      <c r="UMG17" s="418"/>
      <c r="UMH17" s="418"/>
      <c r="UMI17" s="418"/>
      <c r="UMJ17" s="418"/>
      <c r="UMK17" s="418"/>
      <c r="UML17" s="418"/>
      <c r="UMM17" s="418"/>
      <c r="UMN17" s="418"/>
      <c r="UMO17" s="418"/>
      <c r="UMP17" s="418"/>
      <c r="UMQ17" s="418"/>
      <c r="UMR17" s="418"/>
      <c r="UMS17" s="418"/>
      <c r="UMT17" s="418"/>
      <c r="UMU17" s="418"/>
      <c r="UMV17" s="418"/>
      <c r="UMW17" s="418"/>
      <c r="UMX17" s="418"/>
      <c r="UMY17" s="418"/>
      <c r="UMZ17" s="418"/>
      <c r="UNA17" s="418"/>
      <c r="UNB17" s="418"/>
      <c r="UNC17" s="418"/>
      <c r="UND17" s="418"/>
      <c r="UNE17" s="418"/>
      <c r="UNF17" s="418"/>
      <c r="UNG17" s="418"/>
      <c r="UNH17" s="418"/>
      <c r="UNI17" s="418"/>
      <c r="UNJ17" s="418"/>
      <c r="UNK17" s="418"/>
      <c r="UNL17" s="418"/>
      <c r="UNM17" s="418"/>
      <c r="UNN17" s="418"/>
      <c r="UNO17" s="418"/>
      <c r="UNP17" s="418"/>
      <c r="UNQ17" s="418"/>
      <c r="UNR17" s="418"/>
      <c r="UNS17" s="418"/>
      <c r="UNT17" s="418"/>
      <c r="UNU17" s="418"/>
      <c r="UNV17" s="418"/>
      <c r="UNW17" s="418"/>
      <c r="UNX17" s="418"/>
      <c r="UNY17" s="418"/>
      <c r="UNZ17" s="418"/>
      <c r="UOA17" s="418"/>
      <c r="UOB17" s="418"/>
      <c r="UOC17" s="418"/>
      <c r="UOD17" s="418"/>
      <c r="UOE17" s="418"/>
      <c r="UOF17" s="418"/>
      <c r="UOG17" s="418"/>
      <c r="UOH17" s="418"/>
      <c r="UOI17" s="418"/>
      <c r="UOJ17" s="418"/>
      <c r="UOK17" s="418"/>
      <c r="UOL17" s="418"/>
      <c r="UOM17" s="418"/>
      <c r="UON17" s="418"/>
      <c r="UOO17" s="418"/>
      <c r="UOP17" s="418"/>
      <c r="UOQ17" s="418"/>
      <c r="UOR17" s="418"/>
      <c r="UOS17" s="418"/>
      <c r="UOT17" s="418"/>
      <c r="UOU17" s="418"/>
      <c r="UOV17" s="418"/>
      <c r="UOW17" s="418"/>
      <c r="UOX17" s="418"/>
      <c r="UOY17" s="418"/>
      <c r="UOZ17" s="418"/>
      <c r="UPA17" s="418"/>
      <c r="UPB17" s="418"/>
      <c r="UPC17" s="418"/>
      <c r="UPD17" s="418"/>
      <c r="UPE17" s="418"/>
      <c r="UPF17" s="418"/>
      <c r="UPG17" s="418"/>
      <c r="UPH17" s="418"/>
      <c r="UPI17" s="418"/>
      <c r="UPJ17" s="418"/>
      <c r="UPK17" s="418"/>
      <c r="UPL17" s="418"/>
      <c r="UPM17" s="418"/>
      <c r="UPN17" s="418"/>
      <c r="UPO17" s="418"/>
      <c r="UPP17" s="418"/>
      <c r="UPQ17" s="418"/>
      <c r="UPR17" s="418"/>
      <c r="UPS17" s="418"/>
      <c r="UPT17" s="418"/>
      <c r="UPU17" s="418"/>
      <c r="UPV17" s="418"/>
      <c r="UPW17" s="418"/>
      <c r="UPX17" s="418"/>
      <c r="UPY17" s="418"/>
      <c r="UPZ17" s="418"/>
      <c r="UQA17" s="418"/>
      <c r="UQB17" s="418"/>
      <c r="UQC17" s="418"/>
      <c r="UQD17" s="418"/>
      <c r="UQE17" s="418"/>
      <c r="UQF17" s="418"/>
      <c r="UQG17" s="418"/>
      <c r="UQH17" s="418"/>
      <c r="UQI17" s="418"/>
      <c r="UQJ17" s="418"/>
      <c r="UQK17" s="418"/>
      <c r="UQL17" s="418"/>
      <c r="UQM17" s="418"/>
      <c r="UQN17" s="418"/>
      <c r="UQO17" s="418"/>
      <c r="UQP17" s="418"/>
      <c r="UQQ17" s="418"/>
      <c r="UQR17" s="418"/>
      <c r="UQS17" s="418"/>
      <c r="UQT17" s="418"/>
      <c r="UQU17" s="418"/>
      <c r="UQV17" s="418"/>
      <c r="UQW17" s="418"/>
      <c r="UQX17" s="418"/>
      <c r="UQY17" s="418"/>
      <c r="UQZ17" s="418"/>
      <c r="URA17" s="418"/>
      <c r="URB17" s="418"/>
      <c r="URC17" s="418"/>
      <c r="URD17" s="418"/>
      <c r="URE17" s="418"/>
      <c r="URF17" s="418"/>
      <c r="URG17" s="418"/>
      <c r="URH17" s="418"/>
      <c r="URI17" s="418"/>
      <c r="URJ17" s="418"/>
      <c r="URK17" s="418"/>
      <c r="URL17" s="418"/>
      <c r="URM17" s="418"/>
      <c r="URN17" s="418"/>
      <c r="URO17" s="418"/>
      <c r="URP17" s="418"/>
      <c r="URQ17" s="418"/>
      <c r="URR17" s="418"/>
      <c r="URS17" s="418"/>
      <c r="URT17" s="418"/>
      <c r="URU17" s="418"/>
      <c r="URV17" s="418"/>
      <c r="URW17" s="418"/>
      <c r="URX17" s="418"/>
      <c r="URY17" s="418"/>
      <c r="URZ17" s="418"/>
      <c r="USA17" s="418"/>
      <c r="USB17" s="418"/>
      <c r="USC17" s="418"/>
      <c r="USD17" s="418"/>
      <c r="USE17" s="418"/>
      <c r="USF17" s="418"/>
      <c r="USG17" s="418"/>
      <c r="USH17" s="418"/>
      <c r="USI17" s="418"/>
      <c r="USJ17" s="418"/>
      <c r="USK17" s="418"/>
      <c r="USL17" s="418"/>
      <c r="USM17" s="418"/>
      <c r="USN17" s="418"/>
      <c r="USO17" s="418"/>
      <c r="USP17" s="418"/>
      <c r="USQ17" s="418"/>
      <c r="USR17" s="418"/>
      <c r="USS17" s="418"/>
      <c r="UST17" s="418"/>
      <c r="USU17" s="418"/>
      <c r="USV17" s="418"/>
      <c r="USW17" s="418"/>
      <c r="USX17" s="418"/>
      <c r="USY17" s="418"/>
      <c r="USZ17" s="418"/>
      <c r="UTA17" s="418"/>
      <c r="UTB17" s="418"/>
      <c r="UTC17" s="418"/>
      <c r="UTD17" s="418"/>
      <c r="UTE17" s="418"/>
      <c r="UTF17" s="418"/>
      <c r="UTG17" s="418"/>
      <c r="UTH17" s="418"/>
      <c r="UTI17" s="418"/>
      <c r="UTJ17" s="418"/>
      <c r="UTK17" s="418"/>
      <c r="UTL17" s="418"/>
      <c r="UTM17" s="418"/>
      <c r="UTN17" s="418"/>
      <c r="UTO17" s="418"/>
      <c r="UTP17" s="418"/>
      <c r="UTQ17" s="418"/>
      <c r="UTR17" s="418"/>
      <c r="UTS17" s="418"/>
      <c r="UTT17" s="418"/>
      <c r="UTU17" s="418"/>
      <c r="UTV17" s="418"/>
      <c r="UTW17" s="418"/>
      <c r="UTX17" s="418"/>
      <c r="UTY17" s="418"/>
      <c r="UTZ17" s="418"/>
      <c r="UUA17" s="418"/>
      <c r="UUB17" s="418"/>
      <c r="UUC17" s="418"/>
      <c r="UUD17" s="418"/>
      <c r="UUE17" s="418"/>
      <c r="UUF17" s="418"/>
      <c r="UUG17" s="418"/>
      <c r="UUH17" s="418"/>
      <c r="UUI17" s="418"/>
      <c r="UUJ17" s="418"/>
      <c r="UUK17" s="418"/>
      <c r="UUL17" s="418"/>
      <c r="UUM17" s="418"/>
      <c r="UUN17" s="418"/>
      <c r="UUO17" s="418"/>
      <c r="UUP17" s="418"/>
      <c r="UUQ17" s="418"/>
      <c r="UUR17" s="418"/>
      <c r="UUS17" s="418"/>
      <c r="UUT17" s="418"/>
      <c r="UUU17" s="418"/>
      <c r="UUV17" s="418"/>
      <c r="UUW17" s="418"/>
      <c r="UUX17" s="418"/>
      <c r="UUY17" s="418"/>
      <c r="UUZ17" s="418"/>
      <c r="UVA17" s="418"/>
      <c r="UVB17" s="418"/>
      <c r="UVC17" s="418"/>
      <c r="UVD17" s="418"/>
      <c r="UVE17" s="418"/>
      <c r="UVF17" s="418"/>
      <c r="UVG17" s="418"/>
      <c r="UVH17" s="418"/>
      <c r="UVI17" s="418"/>
      <c r="UVJ17" s="418"/>
      <c r="UVK17" s="418"/>
      <c r="UVL17" s="418"/>
      <c r="UVM17" s="418"/>
      <c r="UVN17" s="418"/>
      <c r="UVO17" s="418"/>
      <c r="UVP17" s="418"/>
      <c r="UVQ17" s="418"/>
      <c r="UVR17" s="418"/>
      <c r="UVS17" s="418"/>
      <c r="UVT17" s="418"/>
      <c r="UVU17" s="418"/>
      <c r="UVV17" s="418"/>
      <c r="UVW17" s="418"/>
      <c r="UVX17" s="418"/>
      <c r="UVY17" s="418"/>
      <c r="UVZ17" s="418"/>
      <c r="UWA17" s="418"/>
      <c r="UWB17" s="418"/>
      <c r="UWC17" s="418"/>
      <c r="UWD17" s="418"/>
      <c r="UWE17" s="418"/>
      <c r="UWF17" s="418"/>
      <c r="UWG17" s="418"/>
      <c r="UWH17" s="418"/>
      <c r="UWI17" s="418"/>
      <c r="UWJ17" s="418"/>
      <c r="UWK17" s="418"/>
      <c r="UWL17" s="418"/>
      <c r="UWM17" s="418"/>
      <c r="UWN17" s="418"/>
      <c r="UWO17" s="418"/>
      <c r="UWP17" s="418"/>
      <c r="UWQ17" s="418"/>
      <c r="UWR17" s="418"/>
      <c r="UWS17" s="418"/>
      <c r="UWT17" s="418"/>
      <c r="UWU17" s="418"/>
      <c r="UWV17" s="418"/>
      <c r="UWW17" s="418"/>
      <c r="UWX17" s="418"/>
      <c r="UWY17" s="418"/>
      <c r="UWZ17" s="418"/>
      <c r="UXA17" s="418"/>
      <c r="UXB17" s="418"/>
      <c r="UXC17" s="418"/>
      <c r="UXD17" s="418"/>
      <c r="UXE17" s="418"/>
      <c r="UXF17" s="418"/>
      <c r="UXG17" s="418"/>
      <c r="UXH17" s="418"/>
      <c r="UXI17" s="418"/>
      <c r="UXJ17" s="418"/>
      <c r="UXK17" s="418"/>
      <c r="UXL17" s="418"/>
      <c r="UXM17" s="418"/>
      <c r="UXN17" s="418"/>
      <c r="UXO17" s="418"/>
      <c r="UXP17" s="418"/>
      <c r="UXQ17" s="418"/>
      <c r="UXR17" s="418"/>
      <c r="UXS17" s="418"/>
      <c r="UXT17" s="418"/>
      <c r="UXU17" s="418"/>
      <c r="UXV17" s="418"/>
      <c r="UXW17" s="418"/>
      <c r="UXX17" s="418"/>
      <c r="UXY17" s="418"/>
      <c r="UXZ17" s="418"/>
      <c r="UYA17" s="418"/>
      <c r="UYB17" s="418"/>
      <c r="UYC17" s="418"/>
      <c r="UYD17" s="418"/>
      <c r="UYE17" s="418"/>
      <c r="UYF17" s="418"/>
      <c r="UYG17" s="418"/>
      <c r="UYH17" s="418"/>
      <c r="UYI17" s="418"/>
      <c r="UYJ17" s="418"/>
      <c r="UYK17" s="418"/>
      <c r="UYL17" s="418"/>
      <c r="UYM17" s="418"/>
      <c r="UYN17" s="418"/>
      <c r="UYO17" s="418"/>
      <c r="UYP17" s="418"/>
      <c r="UYQ17" s="418"/>
      <c r="UYR17" s="418"/>
      <c r="UYS17" s="418"/>
      <c r="UYT17" s="418"/>
      <c r="UYU17" s="418"/>
      <c r="UYV17" s="418"/>
      <c r="UYW17" s="418"/>
      <c r="UYX17" s="418"/>
      <c r="UYY17" s="418"/>
      <c r="UYZ17" s="418"/>
      <c r="UZA17" s="418"/>
      <c r="UZB17" s="418"/>
      <c r="UZC17" s="418"/>
      <c r="UZD17" s="418"/>
      <c r="UZE17" s="418"/>
      <c r="UZF17" s="418"/>
      <c r="UZG17" s="418"/>
      <c r="UZH17" s="418"/>
      <c r="UZI17" s="418"/>
      <c r="UZJ17" s="418"/>
      <c r="UZK17" s="418"/>
      <c r="UZL17" s="418"/>
      <c r="UZM17" s="418"/>
      <c r="UZN17" s="418"/>
      <c r="UZO17" s="418"/>
      <c r="UZP17" s="418"/>
      <c r="UZQ17" s="418"/>
      <c r="UZR17" s="418"/>
      <c r="UZS17" s="418"/>
      <c r="UZT17" s="418"/>
      <c r="UZU17" s="418"/>
      <c r="UZV17" s="418"/>
      <c r="UZW17" s="418"/>
      <c r="UZX17" s="418"/>
      <c r="UZY17" s="418"/>
      <c r="UZZ17" s="418"/>
      <c r="VAA17" s="418"/>
      <c r="VAB17" s="418"/>
      <c r="VAC17" s="418"/>
      <c r="VAD17" s="418"/>
      <c r="VAE17" s="418"/>
      <c r="VAF17" s="418"/>
      <c r="VAG17" s="418"/>
      <c r="VAH17" s="418"/>
      <c r="VAI17" s="418"/>
      <c r="VAJ17" s="418"/>
      <c r="VAK17" s="418"/>
      <c r="VAL17" s="418"/>
      <c r="VAM17" s="418"/>
      <c r="VAN17" s="418"/>
      <c r="VAO17" s="418"/>
      <c r="VAP17" s="418"/>
      <c r="VAQ17" s="418"/>
      <c r="VAR17" s="418"/>
      <c r="VAS17" s="418"/>
      <c r="VAT17" s="418"/>
      <c r="VAU17" s="418"/>
      <c r="VAV17" s="418"/>
      <c r="VAW17" s="418"/>
      <c r="VAX17" s="418"/>
      <c r="VAY17" s="418"/>
      <c r="VAZ17" s="418"/>
      <c r="VBA17" s="418"/>
      <c r="VBB17" s="418"/>
      <c r="VBC17" s="418"/>
      <c r="VBD17" s="418"/>
      <c r="VBE17" s="418"/>
      <c r="VBF17" s="418"/>
      <c r="VBG17" s="418"/>
      <c r="VBH17" s="418"/>
      <c r="VBI17" s="418"/>
      <c r="VBJ17" s="418"/>
      <c r="VBK17" s="418"/>
      <c r="VBL17" s="418"/>
      <c r="VBM17" s="418"/>
      <c r="VBN17" s="418"/>
      <c r="VBO17" s="418"/>
      <c r="VBP17" s="418"/>
      <c r="VBQ17" s="418"/>
      <c r="VBR17" s="418"/>
      <c r="VBS17" s="418"/>
      <c r="VBT17" s="418"/>
      <c r="VBU17" s="418"/>
      <c r="VBV17" s="418"/>
      <c r="VBW17" s="418"/>
      <c r="VBX17" s="418"/>
      <c r="VBY17" s="418"/>
      <c r="VBZ17" s="418"/>
      <c r="VCA17" s="418"/>
      <c r="VCB17" s="418"/>
      <c r="VCC17" s="418"/>
      <c r="VCD17" s="418"/>
      <c r="VCE17" s="418"/>
      <c r="VCF17" s="418"/>
      <c r="VCG17" s="418"/>
      <c r="VCH17" s="418"/>
      <c r="VCI17" s="418"/>
      <c r="VCJ17" s="418"/>
      <c r="VCK17" s="418"/>
      <c r="VCL17" s="418"/>
      <c r="VCM17" s="418"/>
      <c r="VCN17" s="418"/>
      <c r="VCO17" s="418"/>
      <c r="VCP17" s="418"/>
      <c r="VCQ17" s="418"/>
      <c r="VCR17" s="418"/>
      <c r="VCS17" s="418"/>
      <c r="VCT17" s="418"/>
      <c r="VCU17" s="418"/>
      <c r="VCV17" s="418"/>
      <c r="VCW17" s="418"/>
      <c r="VCX17" s="418"/>
      <c r="VCY17" s="418"/>
      <c r="VCZ17" s="418"/>
      <c r="VDA17" s="418"/>
      <c r="VDB17" s="418"/>
      <c r="VDC17" s="418"/>
      <c r="VDD17" s="418"/>
      <c r="VDE17" s="418"/>
      <c r="VDF17" s="418"/>
      <c r="VDG17" s="418"/>
      <c r="VDH17" s="418"/>
      <c r="VDI17" s="418"/>
      <c r="VDJ17" s="418"/>
      <c r="VDK17" s="418"/>
      <c r="VDL17" s="418"/>
      <c r="VDM17" s="418"/>
      <c r="VDN17" s="418"/>
      <c r="VDO17" s="418"/>
      <c r="VDP17" s="418"/>
      <c r="VDQ17" s="418"/>
      <c r="VDR17" s="418"/>
      <c r="VDS17" s="418"/>
      <c r="VDT17" s="418"/>
      <c r="VDU17" s="418"/>
      <c r="VDV17" s="418"/>
      <c r="VDW17" s="418"/>
      <c r="VDX17" s="418"/>
      <c r="VDY17" s="418"/>
      <c r="VDZ17" s="418"/>
      <c r="VEA17" s="418"/>
      <c r="VEB17" s="418"/>
      <c r="VEC17" s="418"/>
      <c r="VED17" s="418"/>
      <c r="VEE17" s="418"/>
      <c r="VEF17" s="418"/>
      <c r="VEG17" s="418"/>
      <c r="VEH17" s="418"/>
      <c r="VEI17" s="418"/>
      <c r="VEJ17" s="418"/>
      <c r="VEK17" s="418"/>
      <c r="VEL17" s="418"/>
      <c r="VEM17" s="418"/>
      <c r="VEN17" s="418"/>
      <c r="VEO17" s="418"/>
      <c r="VEP17" s="418"/>
      <c r="VEQ17" s="418"/>
      <c r="VER17" s="418"/>
      <c r="VES17" s="418"/>
      <c r="VET17" s="418"/>
      <c r="VEU17" s="418"/>
      <c r="VEV17" s="418"/>
      <c r="VEW17" s="418"/>
      <c r="VEX17" s="418"/>
      <c r="VEY17" s="418"/>
      <c r="VEZ17" s="418"/>
      <c r="VFA17" s="418"/>
      <c r="VFB17" s="418"/>
      <c r="VFC17" s="418"/>
      <c r="VFD17" s="418"/>
      <c r="VFE17" s="418"/>
      <c r="VFF17" s="418"/>
      <c r="VFG17" s="418"/>
      <c r="VFH17" s="418"/>
      <c r="VFI17" s="418"/>
      <c r="VFJ17" s="418"/>
      <c r="VFK17" s="418"/>
      <c r="VFL17" s="418"/>
      <c r="VFM17" s="418"/>
      <c r="VFN17" s="418"/>
      <c r="VFO17" s="418"/>
      <c r="VFP17" s="418"/>
      <c r="VFQ17" s="418"/>
      <c r="VFR17" s="418"/>
      <c r="VFS17" s="418"/>
      <c r="VFT17" s="418"/>
      <c r="VFU17" s="418"/>
      <c r="VFV17" s="418"/>
      <c r="VFW17" s="418"/>
      <c r="VFX17" s="418"/>
      <c r="VFY17" s="418"/>
      <c r="VFZ17" s="418"/>
      <c r="VGA17" s="418"/>
      <c r="VGB17" s="418"/>
      <c r="VGC17" s="418"/>
      <c r="VGD17" s="418"/>
      <c r="VGE17" s="418"/>
      <c r="VGF17" s="418"/>
      <c r="VGG17" s="418"/>
      <c r="VGH17" s="418"/>
      <c r="VGI17" s="418"/>
      <c r="VGJ17" s="418"/>
      <c r="VGK17" s="418"/>
      <c r="VGL17" s="418"/>
      <c r="VGM17" s="418"/>
      <c r="VGN17" s="418"/>
      <c r="VGO17" s="418"/>
      <c r="VGP17" s="418"/>
      <c r="VGQ17" s="418"/>
      <c r="VGR17" s="418"/>
      <c r="VGS17" s="418"/>
      <c r="VGT17" s="418"/>
      <c r="VGU17" s="418"/>
      <c r="VGV17" s="418"/>
      <c r="VGW17" s="418"/>
      <c r="VGX17" s="418"/>
      <c r="VGY17" s="418"/>
      <c r="VGZ17" s="418"/>
      <c r="VHA17" s="418"/>
      <c r="VHB17" s="418"/>
      <c r="VHC17" s="418"/>
      <c r="VHD17" s="418"/>
      <c r="VHE17" s="418"/>
      <c r="VHF17" s="418"/>
      <c r="VHG17" s="418"/>
      <c r="VHH17" s="418"/>
      <c r="VHI17" s="418"/>
      <c r="VHJ17" s="418"/>
      <c r="VHK17" s="418"/>
      <c r="VHL17" s="418"/>
      <c r="VHM17" s="418"/>
      <c r="VHN17" s="418"/>
      <c r="VHO17" s="418"/>
      <c r="VHP17" s="418"/>
      <c r="VHQ17" s="418"/>
      <c r="VHR17" s="418"/>
      <c r="VHS17" s="418"/>
      <c r="VHT17" s="418"/>
      <c r="VHU17" s="418"/>
      <c r="VHV17" s="418"/>
      <c r="VHW17" s="418"/>
      <c r="VHX17" s="418"/>
      <c r="VHY17" s="418"/>
      <c r="VHZ17" s="418"/>
      <c r="VIA17" s="418"/>
      <c r="VIB17" s="418"/>
      <c r="VIC17" s="418"/>
      <c r="VID17" s="418"/>
      <c r="VIE17" s="418"/>
      <c r="VIF17" s="418"/>
      <c r="VIG17" s="418"/>
      <c r="VIH17" s="418"/>
      <c r="VII17" s="418"/>
      <c r="VIJ17" s="418"/>
      <c r="VIK17" s="418"/>
      <c r="VIL17" s="418"/>
      <c r="VIM17" s="418"/>
      <c r="VIN17" s="418"/>
      <c r="VIO17" s="418"/>
      <c r="VIP17" s="418"/>
      <c r="VIQ17" s="418"/>
      <c r="VIR17" s="418"/>
      <c r="VIS17" s="418"/>
      <c r="VIT17" s="418"/>
      <c r="VIU17" s="418"/>
      <c r="VIV17" s="418"/>
      <c r="VIW17" s="418"/>
      <c r="VIX17" s="418"/>
      <c r="VIY17" s="418"/>
      <c r="VIZ17" s="418"/>
      <c r="VJA17" s="418"/>
      <c r="VJB17" s="418"/>
      <c r="VJC17" s="418"/>
      <c r="VJD17" s="418"/>
      <c r="VJE17" s="418"/>
      <c r="VJF17" s="418"/>
      <c r="VJG17" s="418"/>
      <c r="VJH17" s="418"/>
      <c r="VJI17" s="418"/>
      <c r="VJJ17" s="418"/>
      <c r="VJK17" s="418"/>
      <c r="VJL17" s="418"/>
      <c r="VJM17" s="418"/>
      <c r="VJN17" s="418"/>
      <c r="VJO17" s="418"/>
      <c r="VJP17" s="418"/>
      <c r="VJQ17" s="418"/>
      <c r="VJR17" s="418"/>
      <c r="VJS17" s="418"/>
      <c r="VJT17" s="418"/>
      <c r="VJU17" s="418"/>
      <c r="VJV17" s="418"/>
      <c r="VJW17" s="418"/>
      <c r="VJX17" s="418"/>
      <c r="VJY17" s="418"/>
      <c r="VJZ17" s="418"/>
      <c r="VKA17" s="418"/>
      <c r="VKB17" s="418"/>
      <c r="VKC17" s="418"/>
      <c r="VKD17" s="418"/>
      <c r="VKE17" s="418"/>
      <c r="VKF17" s="418"/>
      <c r="VKG17" s="418"/>
      <c r="VKH17" s="418"/>
      <c r="VKI17" s="418"/>
      <c r="VKJ17" s="418"/>
      <c r="VKK17" s="418"/>
      <c r="VKL17" s="418"/>
      <c r="VKM17" s="418"/>
      <c r="VKN17" s="418"/>
      <c r="VKO17" s="418"/>
      <c r="VKP17" s="418"/>
      <c r="VKQ17" s="418"/>
      <c r="VKR17" s="418"/>
      <c r="VKS17" s="418"/>
      <c r="VKT17" s="418"/>
      <c r="VKU17" s="418"/>
      <c r="VKV17" s="418"/>
      <c r="VKW17" s="418"/>
      <c r="VKX17" s="418"/>
      <c r="VKY17" s="418"/>
      <c r="VKZ17" s="418"/>
      <c r="VLA17" s="418"/>
      <c r="VLB17" s="418"/>
      <c r="VLC17" s="418"/>
      <c r="VLD17" s="418"/>
      <c r="VLE17" s="418"/>
      <c r="VLF17" s="418"/>
      <c r="VLG17" s="418"/>
      <c r="VLH17" s="418"/>
      <c r="VLI17" s="418"/>
      <c r="VLJ17" s="418"/>
      <c r="VLK17" s="418"/>
      <c r="VLL17" s="418"/>
      <c r="VLM17" s="418"/>
      <c r="VLN17" s="418"/>
      <c r="VLO17" s="418"/>
      <c r="VLP17" s="418"/>
      <c r="VLQ17" s="418"/>
      <c r="VLR17" s="418"/>
      <c r="VLS17" s="418"/>
      <c r="VLT17" s="418"/>
      <c r="VLU17" s="418"/>
      <c r="VLV17" s="418"/>
      <c r="VLW17" s="418"/>
      <c r="VLX17" s="418"/>
      <c r="VLY17" s="418"/>
      <c r="VLZ17" s="418"/>
      <c r="VMA17" s="418"/>
      <c r="VMB17" s="418"/>
      <c r="VMC17" s="418"/>
      <c r="VMD17" s="418"/>
      <c r="VME17" s="418"/>
      <c r="VMF17" s="418"/>
      <c r="VMG17" s="418"/>
      <c r="VMH17" s="418"/>
      <c r="VMI17" s="418"/>
      <c r="VMJ17" s="418"/>
      <c r="VMK17" s="418"/>
      <c r="VML17" s="418"/>
      <c r="VMM17" s="418"/>
      <c r="VMN17" s="418"/>
      <c r="VMO17" s="418"/>
      <c r="VMP17" s="418"/>
      <c r="VMQ17" s="418"/>
      <c r="VMR17" s="418"/>
      <c r="VMS17" s="418"/>
      <c r="VMT17" s="418"/>
      <c r="VMU17" s="418"/>
      <c r="VMV17" s="418"/>
      <c r="VMW17" s="418"/>
      <c r="VMX17" s="418"/>
      <c r="VMY17" s="418"/>
      <c r="VMZ17" s="418"/>
      <c r="VNA17" s="418"/>
      <c r="VNB17" s="418"/>
      <c r="VNC17" s="418"/>
      <c r="VND17" s="418"/>
      <c r="VNE17" s="418"/>
      <c r="VNF17" s="418"/>
      <c r="VNG17" s="418"/>
      <c r="VNH17" s="418"/>
      <c r="VNI17" s="418"/>
      <c r="VNJ17" s="418"/>
      <c r="VNK17" s="418"/>
      <c r="VNL17" s="418"/>
      <c r="VNM17" s="418"/>
      <c r="VNN17" s="418"/>
      <c r="VNO17" s="418"/>
      <c r="VNP17" s="418"/>
      <c r="VNQ17" s="418"/>
      <c r="VNR17" s="418"/>
      <c r="VNS17" s="418"/>
      <c r="VNT17" s="418"/>
      <c r="VNU17" s="418"/>
      <c r="VNV17" s="418"/>
      <c r="VNW17" s="418"/>
      <c r="VNX17" s="418"/>
      <c r="VNY17" s="418"/>
      <c r="VNZ17" s="418"/>
      <c r="VOA17" s="418"/>
      <c r="VOB17" s="418"/>
      <c r="VOC17" s="418"/>
      <c r="VOD17" s="418"/>
      <c r="VOE17" s="418"/>
      <c r="VOF17" s="418"/>
      <c r="VOG17" s="418"/>
      <c r="VOH17" s="418"/>
      <c r="VOI17" s="418"/>
      <c r="VOJ17" s="418"/>
      <c r="VOK17" s="418"/>
      <c r="VOL17" s="418"/>
      <c r="VOM17" s="418"/>
      <c r="VON17" s="418"/>
      <c r="VOO17" s="418"/>
      <c r="VOP17" s="418"/>
      <c r="VOQ17" s="418"/>
      <c r="VOR17" s="418"/>
      <c r="VOS17" s="418"/>
      <c r="VOT17" s="418"/>
      <c r="VOU17" s="418"/>
      <c r="VOV17" s="418"/>
      <c r="VOW17" s="418"/>
      <c r="VOX17" s="418"/>
      <c r="VOY17" s="418"/>
      <c r="VOZ17" s="418"/>
      <c r="VPA17" s="418"/>
      <c r="VPB17" s="418"/>
      <c r="VPC17" s="418"/>
      <c r="VPD17" s="418"/>
      <c r="VPE17" s="418"/>
      <c r="VPF17" s="418"/>
      <c r="VPG17" s="418"/>
      <c r="VPH17" s="418"/>
      <c r="VPI17" s="418"/>
      <c r="VPJ17" s="418"/>
      <c r="VPK17" s="418"/>
      <c r="VPL17" s="418"/>
      <c r="VPM17" s="418"/>
      <c r="VPN17" s="418"/>
      <c r="VPO17" s="418"/>
      <c r="VPP17" s="418"/>
      <c r="VPQ17" s="418"/>
      <c r="VPR17" s="418"/>
      <c r="VPS17" s="418"/>
      <c r="VPT17" s="418"/>
      <c r="VPU17" s="418"/>
      <c r="VPV17" s="418"/>
      <c r="VPW17" s="418"/>
      <c r="VPX17" s="418"/>
      <c r="VPY17" s="418"/>
      <c r="VPZ17" s="418"/>
      <c r="VQA17" s="418"/>
      <c r="VQB17" s="418"/>
      <c r="VQC17" s="418"/>
      <c r="VQD17" s="418"/>
      <c r="VQE17" s="418"/>
      <c r="VQF17" s="418"/>
      <c r="VQG17" s="418"/>
      <c r="VQH17" s="418"/>
      <c r="VQI17" s="418"/>
      <c r="VQJ17" s="418"/>
      <c r="VQK17" s="418"/>
      <c r="VQL17" s="418"/>
      <c r="VQM17" s="418"/>
      <c r="VQN17" s="418"/>
      <c r="VQO17" s="418"/>
      <c r="VQP17" s="418"/>
      <c r="VQQ17" s="418"/>
      <c r="VQR17" s="418"/>
      <c r="VQS17" s="418"/>
      <c r="VQT17" s="418"/>
      <c r="VQU17" s="418"/>
      <c r="VQV17" s="418"/>
      <c r="VQW17" s="418"/>
      <c r="VQX17" s="418"/>
      <c r="VQY17" s="418"/>
      <c r="VQZ17" s="418"/>
      <c r="VRA17" s="418"/>
      <c r="VRB17" s="418"/>
      <c r="VRC17" s="418"/>
      <c r="VRD17" s="418"/>
      <c r="VRE17" s="418"/>
      <c r="VRF17" s="418"/>
      <c r="VRG17" s="418"/>
      <c r="VRH17" s="418"/>
      <c r="VRI17" s="418"/>
      <c r="VRJ17" s="418"/>
      <c r="VRK17" s="418"/>
      <c r="VRL17" s="418"/>
      <c r="VRM17" s="418"/>
      <c r="VRN17" s="418"/>
      <c r="VRO17" s="418"/>
      <c r="VRP17" s="418"/>
      <c r="VRQ17" s="418"/>
      <c r="VRR17" s="418"/>
      <c r="VRS17" s="418"/>
      <c r="VRT17" s="418"/>
      <c r="VRU17" s="418"/>
      <c r="VRV17" s="418"/>
      <c r="VRW17" s="418"/>
      <c r="VRX17" s="418"/>
      <c r="VRY17" s="418"/>
      <c r="VRZ17" s="418"/>
      <c r="VSA17" s="418"/>
      <c r="VSB17" s="418"/>
      <c r="VSC17" s="418"/>
      <c r="VSD17" s="418"/>
      <c r="VSE17" s="418"/>
      <c r="VSF17" s="418"/>
      <c r="VSG17" s="418"/>
      <c r="VSH17" s="418"/>
      <c r="VSI17" s="418"/>
      <c r="VSJ17" s="418"/>
      <c r="VSK17" s="418"/>
      <c r="VSL17" s="418"/>
      <c r="VSM17" s="418"/>
      <c r="VSN17" s="418"/>
      <c r="VSO17" s="418"/>
      <c r="VSP17" s="418"/>
      <c r="VSQ17" s="418"/>
      <c r="VSR17" s="418"/>
      <c r="VSS17" s="418"/>
      <c r="VST17" s="418"/>
      <c r="VSU17" s="418"/>
      <c r="VSV17" s="418"/>
      <c r="VSW17" s="418"/>
      <c r="VSX17" s="418"/>
      <c r="VSY17" s="418"/>
      <c r="VSZ17" s="418"/>
      <c r="VTA17" s="418"/>
      <c r="VTB17" s="418"/>
      <c r="VTC17" s="418"/>
      <c r="VTD17" s="418"/>
      <c r="VTE17" s="418"/>
      <c r="VTF17" s="418"/>
      <c r="VTG17" s="418"/>
      <c r="VTH17" s="418"/>
      <c r="VTI17" s="418"/>
      <c r="VTJ17" s="418"/>
      <c r="VTK17" s="418"/>
      <c r="VTL17" s="418"/>
      <c r="VTM17" s="418"/>
      <c r="VTN17" s="418"/>
      <c r="VTO17" s="418"/>
      <c r="VTP17" s="418"/>
      <c r="VTQ17" s="418"/>
      <c r="VTR17" s="418"/>
      <c r="VTS17" s="418"/>
      <c r="VTT17" s="418"/>
      <c r="VTU17" s="418"/>
      <c r="VTV17" s="418"/>
      <c r="VTW17" s="418"/>
      <c r="VTX17" s="418"/>
      <c r="VTY17" s="418"/>
      <c r="VTZ17" s="418"/>
      <c r="VUA17" s="418"/>
      <c r="VUB17" s="418"/>
      <c r="VUC17" s="418"/>
      <c r="VUD17" s="418"/>
      <c r="VUE17" s="418"/>
      <c r="VUF17" s="418"/>
      <c r="VUG17" s="418"/>
      <c r="VUH17" s="418"/>
      <c r="VUI17" s="418"/>
      <c r="VUJ17" s="418"/>
      <c r="VUK17" s="418"/>
      <c r="VUL17" s="418"/>
      <c r="VUM17" s="418"/>
      <c r="VUN17" s="418"/>
      <c r="VUO17" s="418"/>
      <c r="VUP17" s="418"/>
      <c r="VUQ17" s="418"/>
      <c r="VUR17" s="418"/>
      <c r="VUS17" s="418"/>
      <c r="VUT17" s="418"/>
      <c r="VUU17" s="418"/>
      <c r="VUV17" s="418"/>
      <c r="VUW17" s="418"/>
      <c r="VUX17" s="418"/>
      <c r="VUY17" s="418"/>
      <c r="VUZ17" s="418"/>
      <c r="VVA17" s="418"/>
      <c r="VVB17" s="418"/>
      <c r="VVC17" s="418"/>
      <c r="VVD17" s="418"/>
      <c r="VVE17" s="418"/>
      <c r="VVF17" s="418"/>
      <c r="VVG17" s="418"/>
      <c r="VVH17" s="418"/>
      <c r="VVI17" s="418"/>
      <c r="VVJ17" s="418"/>
      <c r="VVK17" s="418"/>
      <c r="VVL17" s="418"/>
      <c r="VVM17" s="418"/>
      <c r="VVN17" s="418"/>
      <c r="VVO17" s="418"/>
      <c r="VVP17" s="418"/>
      <c r="VVQ17" s="418"/>
      <c r="VVR17" s="418"/>
      <c r="VVS17" s="418"/>
      <c r="VVT17" s="418"/>
      <c r="VVU17" s="418"/>
      <c r="VVV17" s="418"/>
      <c r="VVW17" s="418"/>
      <c r="VVX17" s="418"/>
      <c r="VVY17" s="418"/>
      <c r="VVZ17" s="418"/>
      <c r="VWA17" s="418"/>
      <c r="VWB17" s="418"/>
      <c r="VWC17" s="418"/>
      <c r="VWD17" s="418"/>
      <c r="VWE17" s="418"/>
      <c r="VWF17" s="418"/>
      <c r="VWG17" s="418"/>
      <c r="VWH17" s="418"/>
      <c r="VWI17" s="418"/>
      <c r="VWJ17" s="418"/>
      <c r="VWK17" s="418"/>
      <c r="VWL17" s="418"/>
      <c r="VWM17" s="418"/>
      <c r="VWN17" s="418"/>
      <c r="VWO17" s="418"/>
      <c r="VWP17" s="418"/>
      <c r="VWQ17" s="418"/>
      <c r="VWR17" s="418"/>
      <c r="VWS17" s="418"/>
      <c r="VWT17" s="418"/>
      <c r="VWU17" s="418"/>
      <c r="VWV17" s="418"/>
      <c r="VWW17" s="418"/>
      <c r="VWX17" s="418"/>
      <c r="VWY17" s="418"/>
      <c r="VWZ17" s="418"/>
      <c r="VXA17" s="418"/>
      <c r="VXB17" s="418"/>
      <c r="VXC17" s="418"/>
      <c r="VXD17" s="418"/>
      <c r="VXE17" s="418"/>
      <c r="VXF17" s="418"/>
      <c r="VXG17" s="418"/>
      <c r="VXH17" s="418"/>
      <c r="VXI17" s="418"/>
      <c r="VXJ17" s="418"/>
      <c r="VXK17" s="418"/>
      <c r="VXL17" s="418"/>
      <c r="VXM17" s="418"/>
      <c r="VXN17" s="418"/>
      <c r="VXO17" s="418"/>
      <c r="VXP17" s="418"/>
      <c r="VXQ17" s="418"/>
      <c r="VXR17" s="418"/>
      <c r="VXS17" s="418"/>
      <c r="VXT17" s="418"/>
      <c r="VXU17" s="418"/>
      <c r="VXV17" s="418"/>
      <c r="VXW17" s="418"/>
      <c r="VXX17" s="418"/>
      <c r="VXY17" s="418"/>
      <c r="VXZ17" s="418"/>
      <c r="VYA17" s="418"/>
      <c r="VYB17" s="418"/>
      <c r="VYC17" s="418"/>
      <c r="VYD17" s="418"/>
      <c r="VYE17" s="418"/>
      <c r="VYF17" s="418"/>
      <c r="VYG17" s="418"/>
      <c r="VYH17" s="418"/>
      <c r="VYI17" s="418"/>
      <c r="VYJ17" s="418"/>
      <c r="VYK17" s="418"/>
      <c r="VYL17" s="418"/>
      <c r="VYM17" s="418"/>
      <c r="VYN17" s="418"/>
      <c r="VYO17" s="418"/>
      <c r="VYP17" s="418"/>
      <c r="VYQ17" s="418"/>
      <c r="VYR17" s="418"/>
      <c r="VYS17" s="418"/>
      <c r="VYT17" s="418"/>
      <c r="VYU17" s="418"/>
      <c r="VYV17" s="418"/>
      <c r="VYW17" s="418"/>
      <c r="VYX17" s="418"/>
      <c r="VYY17" s="418"/>
      <c r="VYZ17" s="418"/>
      <c r="VZA17" s="418"/>
      <c r="VZB17" s="418"/>
      <c r="VZC17" s="418"/>
      <c r="VZD17" s="418"/>
      <c r="VZE17" s="418"/>
      <c r="VZF17" s="418"/>
      <c r="VZG17" s="418"/>
      <c r="VZH17" s="418"/>
      <c r="VZI17" s="418"/>
      <c r="VZJ17" s="418"/>
      <c r="VZK17" s="418"/>
      <c r="VZL17" s="418"/>
      <c r="VZM17" s="418"/>
      <c r="VZN17" s="418"/>
      <c r="VZO17" s="418"/>
      <c r="VZP17" s="418"/>
      <c r="VZQ17" s="418"/>
      <c r="VZR17" s="418"/>
      <c r="VZS17" s="418"/>
      <c r="VZT17" s="418"/>
      <c r="VZU17" s="418"/>
      <c r="VZV17" s="418"/>
      <c r="VZW17" s="418"/>
      <c r="VZX17" s="418"/>
      <c r="VZY17" s="418"/>
      <c r="VZZ17" s="418"/>
      <c r="WAA17" s="418"/>
      <c r="WAB17" s="418"/>
      <c r="WAC17" s="418"/>
      <c r="WAD17" s="418"/>
      <c r="WAE17" s="418"/>
      <c r="WAF17" s="418"/>
      <c r="WAG17" s="418"/>
      <c r="WAH17" s="418"/>
      <c r="WAI17" s="418"/>
      <c r="WAJ17" s="418"/>
      <c r="WAK17" s="418"/>
      <c r="WAL17" s="418"/>
      <c r="WAM17" s="418"/>
      <c r="WAN17" s="418"/>
      <c r="WAO17" s="418"/>
      <c r="WAP17" s="418"/>
      <c r="WAQ17" s="418"/>
      <c r="WAR17" s="418"/>
      <c r="WAS17" s="418"/>
      <c r="WAT17" s="418"/>
      <c r="WAU17" s="418"/>
      <c r="WAV17" s="418"/>
      <c r="WAW17" s="418"/>
      <c r="WAX17" s="418"/>
      <c r="WAY17" s="418"/>
      <c r="WAZ17" s="418"/>
      <c r="WBA17" s="418"/>
      <c r="WBB17" s="418"/>
      <c r="WBC17" s="418"/>
      <c r="WBD17" s="418"/>
      <c r="WBE17" s="418"/>
      <c r="WBF17" s="418"/>
      <c r="WBG17" s="418"/>
      <c r="WBH17" s="418"/>
      <c r="WBI17" s="418"/>
      <c r="WBJ17" s="418"/>
      <c r="WBK17" s="418"/>
      <c r="WBL17" s="418"/>
      <c r="WBM17" s="418"/>
      <c r="WBN17" s="418"/>
      <c r="WBO17" s="418"/>
      <c r="WBP17" s="418"/>
      <c r="WBQ17" s="418"/>
      <c r="WBR17" s="418"/>
      <c r="WBS17" s="418"/>
      <c r="WBT17" s="418"/>
      <c r="WBU17" s="418"/>
      <c r="WBV17" s="418"/>
      <c r="WBW17" s="418"/>
      <c r="WBX17" s="418"/>
      <c r="WBY17" s="418"/>
      <c r="WBZ17" s="418"/>
      <c r="WCA17" s="418"/>
      <c r="WCB17" s="418"/>
      <c r="WCC17" s="418"/>
      <c r="WCD17" s="418"/>
      <c r="WCE17" s="418"/>
      <c r="WCF17" s="418"/>
      <c r="WCG17" s="418"/>
      <c r="WCH17" s="418"/>
      <c r="WCI17" s="418"/>
      <c r="WCJ17" s="418"/>
      <c r="WCK17" s="418"/>
      <c r="WCL17" s="418"/>
      <c r="WCM17" s="418"/>
      <c r="WCN17" s="418"/>
      <c r="WCO17" s="418"/>
      <c r="WCP17" s="418"/>
      <c r="WCQ17" s="418"/>
      <c r="WCR17" s="418"/>
      <c r="WCS17" s="418"/>
      <c r="WCT17" s="418"/>
      <c r="WCU17" s="418"/>
      <c r="WCV17" s="418"/>
      <c r="WCW17" s="418"/>
      <c r="WCX17" s="418"/>
      <c r="WCY17" s="418"/>
      <c r="WCZ17" s="418"/>
      <c r="WDA17" s="418"/>
      <c r="WDB17" s="418"/>
      <c r="WDC17" s="418"/>
      <c r="WDD17" s="418"/>
      <c r="WDE17" s="418"/>
      <c r="WDF17" s="418"/>
      <c r="WDG17" s="418"/>
      <c r="WDH17" s="418"/>
      <c r="WDI17" s="418"/>
      <c r="WDJ17" s="418"/>
      <c r="WDK17" s="418"/>
      <c r="WDL17" s="418"/>
      <c r="WDM17" s="418"/>
      <c r="WDN17" s="418"/>
      <c r="WDO17" s="418"/>
      <c r="WDP17" s="418"/>
      <c r="WDQ17" s="418"/>
      <c r="WDR17" s="418"/>
      <c r="WDS17" s="418"/>
      <c r="WDT17" s="418"/>
      <c r="WDU17" s="418"/>
      <c r="WDV17" s="418"/>
      <c r="WDW17" s="418"/>
      <c r="WDX17" s="418"/>
      <c r="WDY17" s="418"/>
      <c r="WDZ17" s="418"/>
      <c r="WEA17" s="418"/>
      <c r="WEB17" s="418"/>
      <c r="WEC17" s="418"/>
      <c r="WED17" s="418"/>
      <c r="WEE17" s="418"/>
      <c r="WEF17" s="418"/>
      <c r="WEG17" s="418"/>
      <c r="WEH17" s="418"/>
      <c r="WEI17" s="418"/>
      <c r="WEJ17" s="418"/>
      <c r="WEK17" s="418"/>
      <c r="WEL17" s="418"/>
      <c r="WEM17" s="418"/>
      <c r="WEN17" s="418"/>
      <c r="WEO17" s="418"/>
      <c r="WEP17" s="418"/>
      <c r="WEQ17" s="418"/>
      <c r="WER17" s="418"/>
      <c r="WES17" s="418"/>
      <c r="WET17" s="418"/>
      <c r="WEU17" s="418"/>
      <c r="WEV17" s="418"/>
      <c r="WEW17" s="418"/>
      <c r="WEX17" s="418"/>
      <c r="WEY17" s="418"/>
      <c r="WEZ17" s="418"/>
      <c r="WFA17" s="418"/>
      <c r="WFB17" s="418"/>
      <c r="WFC17" s="418"/>
      <c r="WFD17" s="418"/>
      <c r="WFE17" s="418"/>
      <c r="WFF17" s="418"/>
      <c r="WFG17" s="418"/>
      <c r="WFH17" s="418"/>
      <c r="WFI17" s="418"/>
      <c r="WFJ17" s="418"/>
      <c r="WFK17" s="418"/>
      <c r="WFL17" s="418"/>
      <c r="WFM17" s="418"/>
      <c r="WFN17" s="418"/>
      <c r="WFO17" s="418"/>
      <c r="WFP17" s="418"/>
      <c r="WFQ17" s="418"/>
      <c r="WFR17" s="418"/>
      <c r="WFS17" s="418"/>
      <c r="WFT17" s="418"/>
      <c r="WFU17" s="418"/>
      <c r="WFV17" s="418"/>
      <c r="WFW17" s="418"/>
      <c r="WFX17" s="418"/>
      <c r="WFY17" s="418"/>
      <c r="WFZ17" s="418"/>
      <c r="WGA17" s="418"/>
      <c r="WGB17" s="418"/>
      <c r="WGC17" s="418"/>
      <c r="WGD17" s="418"/>
      <c r="WGE17" s="418"/>
      <c r="WGF17" s="418"/>
      <c r="WGG17" s="418"/>
      <c r="WGH17" s="418"/>
      <c r="WGI17" s="418"/>
      <c r="WGJ17" s="418"/>
      <c r="WGK17" s="418"/>
      <c r="WGL17" s="418"/>
      <c r="WGM17" s="418"/>
      <c r="WGN17" s="418"/>
      <c r="WGO17" s="418"/>
      <c r="WGP17" s="418"/>
      <c r="WGQ17" s="418"/>
      <c r="WGR17" s="418"/>
      <c r="WGS17" s="418"/>
      <c r="WGT17" s="418"/>
      <c r="WGU17" s="418"/>
      <c r="WGV17" s="418"/>
      <c r="WGW17" s="418"/>
      <c r="WGX17" s="418"/>
      <c r="WGY17" s="418"/>
      <c r="WGZ17" s="418"/>
      <c r="WHA17" s="418"/>
      <c r="WHB17" s="418"/>
      <c r="WHC17" s="418"/>
      <c r="WHD17" s="418"/>
      <c r="WHE17" s="418"/>
      <c r="WHF17" s="418"/>
      <c r="WHG17" s="418"/>
      <c r="WHH17" s="418"/>
      <c r="WHI17" s="418"/>
      <c r="WHJ17" s="418"/>
      <c r="WHK17" s="418"/>
      <c r="WHL17" s="418"/>
      <c r="WHM17" s="418"/>
      <c r="WHN17" s="418"/>
      <c r="WHO17" s="418"/>
      <c r="WHP17" s="418"/>
      <c r="WHQ17" s="418"/>
      <c r="WHR17" s="418"/>
      <c r="WHS17" s="418"/>
      <c r="WHT17" s="418"/>
      <c r="WHU17" s="418"/>
      <c r="WHV17" s="418"/>
      <c r="WHW17" s="418"/>
      <c r="WHX17" s="418"/>
      <c r="WHY17" s="418"/>
      <c r="WHZ17" s="418"/>
      <c r="WIA17" s="418"/>
      <c r="WIB17" s="418"/>
      <c r="WIC17" s="418"/>
      <c r="WID17" s="418"/>
      <c r="WIE17" s="418"/>
      <c r="WIF17" s="418"/>
      <c r="WIG17" s="418"/>
      <c r="WIH17" s="418"/>
      <c r="WII17" s="418"/>
      <c r="WIJ17" s="418"/>
      <c r="WIK17" s="418"/>
      <c r="WIL17" s="418"/>
      <c r="WIM17" s="418"/>
      <c r="WIN17" s="418"/>
      <c r="WIO17" s="418"/>
      <c r="WIP17" s="418"/>
      <c r="WIQ17" s="418"/>
      <c r="WIR17" s="418"/>
      <c r="WIS17" s="418"/>
      <c r="WIT17" s="418"/>
      <c r="WIU17" s="418"/>
      <c r="WIV17" s="418"/>
      <c r="WIW17" s="418"/>
      <c r="WIX17" s="418"/>
      <c r="WIY17" s="418"/>
      <c r="WIZ17" s="418"/>
      <c r="WJA17" s="418"/>
      <c r="WJB17" s="418"/>
      <c r="WJC17" s="418"/>
      <c r="WJD17" s="418"/>
      <c r="WJE17" s="418"/>
      <c r="WJF17" s="418"/>
      <c r="WJG17" s="418"/>
      <c r="WJH17" s="418"/>
      <c r="WJI17" s="418"/>
      <c r="WJJ17" s="418"/>
      <c r="WJK17" s="418"/>
      <c r="WJL17" s="418"/>
      <c r="WJM17" s="418"/>
      <c r="WJN17" s="418"/>
      <c r="WJO17" s="418"/>
      <c r="WJP17" s="418"/>
      <c r="WJQ17" s="418"/>
      <c r="WJR17" s="418"/>
      <c r="WJS17" s="418"/>
      <c r="WJT17" s="418"/>
      <c r="WJU17" s="418"/>
      <c r="WJV17" s="418"/>
      <c r="WJW17" s="418"/>
      <c r="WJX17" s="418"/>
      <c r="WJY17" s="418"/>
      <c r="WJZ17" s="418"/>
      <c r="WKA17" s="418"/>
      <c r="WKB17" s="418"/>
      <c r="WKC17" s="418"/>
      <c r="WKD17" s="418"/>
      <c r="WKE17" s="418"/>
      <c r="WKF17" s="418"/>
      <c r="WKG17" s="418"/>
      <c r="WKH17" s="418"/>
      <c r="WKI17" s="418"/>
      <c r="WKJ17" s="418"/>
      <c r="WKK17" s="418"/>
      <c r="WKL17" s="418"/>
      <c r="WKM17" s="418"/>
      <c r="WKN17" s="418"/>
      <c r="WKO17" s="418"/>
      <c r="WKP17" s="418"/>
      <c r="WKQ17" s="418"/>
      <c r="WKR17" s="418"/>
      <c r="WKS17" s="418"/>
      <c r="WKT17" s="418"/>
      <c r="WKU17" s="418"/>
      <c r="WKV17" s="418"/>
      <c r="WKW17" s="418"/>
      <c r="WKX17" s="418"/>
      <c r="WKY17" s="418"/>
      <c r="WKZ17" s="418"/>
      <c r="WLA17" s="418"/>
      <c r="WLB17" s="418"/>
      <c r="WLC17" s="418"/>
      <c r="WLD17" s="418"/>
      <c r="WLE17" s="418"/>
      <c r="WLF17" s="418"/>
      <c r="WLG17" s="418"/>
      <c r="WLH17" s="418"/>
      <c r="WLI17" s="418"/>
      <c r="WLJ17" s="418"/>
      <c r="WLK17" s="418"/>
      <c r="WLL17" s="418"/>
      <c r="WLM17" s="418"/>
      <c r="WLN17" s="418"/>
      <c r="WLO17" s="418"/>
      <c r="WLP17" s="418"/>
      <c r="WLQ17" s="418"/>
      <c r="WLR17" s="418"/>
      <c r="WLS17" s="418"/>
      <c r="WLT17" s="418"/>
      <c r="WLU17" s="418"/>
      <c r="WLV17" s="418"/>
      <c r="WLW17" s="418"/>
      <c r="WLX17" s="418"/>
      <c r="WLY17" s="418"/>
      <c r="WLZ17" s="418"/>
      <c r="WMA17" s="418"/>
      <c r="WMB17" s="418"/>
      <c r="WMC17" s="418"/>
      <c r="WMD17" s="418"/>
      <c r="WME17" s="418"/>
      <c r="WMF17" s="418"/>
      <c r="WMG17" s="418"/>
      <c r="WMH17" s="418"/>
      <c r="WMI17" s="418"/>
      <c r="WMJ17" s="418"/>
      <c r="WMK17" s="418"/>
      <c r="WML17" s="418"/>
      <c r="WMM17" s="418"/>
      <c r="WMN17" s="418"/>
      <c r="WMO17" s="418"/>
      <c r="WMP17" s="418"/>
      <c r="WMQ17" s="418"/>
      <c r="WMR17" s="418"/>
      <c r="WMS17" s="418"/>
      <c r="WMT17" s="418"/>
      <c r="WMU17" s="418"/>
      <c r="WMV17" s="418"/>
      <c r="WMW17" s="418"/>
      <c r="WMX17" s="418"/>
      <c r="WMY17" s="418"/>
      <c r="WMZ17" s="418"/>
      <c r="WNA17" s="418"/>
      <c r="WNB17" s="418"/>
      <c r="WNC17" s="418"/>
      <c r="WND17" s="418"/>
      <c r="WNE17" s="418"/>
      <c r="WNF17" s="418"/>
      <c r="WNG17" s="418"/>
      <c r="WNH17" s="418"/>
      <c r="WNI17" s="418"/>
      <c r="WNJ17" s="418"/>
      <c r="WNK17" s="418"/>
      <c r="WNL17" s="418"/>
      <c r="WNM17" s="418"/>
      <c r="WNN17" s="418"/>
      <c r="WNO17" s="418"/>
      <c r="WNP17" s="418"/>
      <c r="WNQ17" s="418"/>
      <c r="WNR17" s="418"/>
      <c r="WNS17" s="418"/>
      <c r="WNT17" s="418"/>
      <c r="WNU17" s="418"/>
      <c r="WNV17" s="418"/>
      <c r="WNW17" s="418"/>
      <c r="WNX17" s="418"/>
      <c r="WNY17" s="418"/>
      <c r="WNZ17" s="418"/>
      <c r="WOA17" s="418"/>
      <c r="WOB17" s="418"/>
      <c r="WOC17" s="418"/>
      <c r="WOD17" s="418"/>
      <c r="WOE17" s="418"/>
      <c r="WOF17" s="418"/>
      <c r="WOG17" s="418"/>
      <c r="WOH17" s="418"/>
      <c r="WOI17" s="418"/>
      <c r="WOJ17" s="418"/>
      <c r="WOK17" s="418"/>
      <c r="WOL17" s="418"/>
      <c r="WOM17" s="418"/>
      <c r="WON17" s="418"/>
      <c r="WOO17" s="418"/>
      <c r="WOP17" s="418"/>
      <c r="WOQ17" s="418"/>
      <c r="WOR17" s="418"/>
      <c r="WOS17" s="418"/>
      <c r="WOT17" s="418"/>
      <c r="WOU17" s="418"/>
      <c r="WOV17" s="418"/>
      <c r="WOW17" s="418"/>
      <c r="WOX17" s="418"/>
      <c r="WOY17" s="418"/>
      <c r="WOZ17" s="418"/>
      <c r="WPA17" s="418"/>
      <c r="WPB17" s="418"/>
      <c r="WPC17" s="418"/>
      <c r="WPD17" s="418"/>
      <c r="WPE17" s="418"/>
      <c r="WPF17" s="418"/>
      <c r="WPG17" s="418"/>
      <c r="WPH17" s="418"/>
      <c r="WPI17" s="418"/>
      <c r="WPJ17" s="418"/>
      <c r="WPK17" s="418"/>
      <c r="WPL17" s="418"/>
      <c r="WPM17" s="418"/>
      <c r="WPN17" s="418"/>
      <c r="WPO17" s="418"/>
      <c r="WPP17" s="418"/>
      <c r="WPQ17" s="418"/>
      <c r="WPR17" s="418"/>
      <c r="WPS17" s="418"/>
      <c r="WPT17" s="418"/>
      <c r="WPU17" s="418"/>
      <c r="WPV17" s="418"/>
      <c r="WPW17" s="418"/>
      <c r="WPX17" s="418"/>
      <c r="WPY17" s="418"/>
      <c r="WPZ17" s="418"/>
      <c r="WQA17" s="418"/>
      <c r="WQB17" s="418"/>
      <c r="WQC17" s="418"/>
      <c r="WQD17" s="418"/>
      <c r="WQE17" s="418"/>
      <c r="WQF17" s="418"/>
      <c r="WQG17" s="418"/>
      <c r="WQH17" s="418"/>
      <c r="WQI17" s="418"/>
      <c r="WQJ17" s="418"/>
      <c r="WQK17" s="418"/>
      <c r="WQL17" s="418"/>
      <c r="WQM17" s="418"/>
      <c r="WQN17" s="418"/>
      <c r="WQO17" s="418"/>
      <c r="WQP17" s="418"/>
      <c r="WQQ17" s="418"/>
      <c r="WQR17" s="418"/>
      <c r="WQS17" s="418"/>
      <c r="WQT17" s="418"/>
      <c r="WQU17" s="418"/>
      <c r="WQV17" s="418"/>
      <c r="WQW17" s="418"/>
      <c r="WQX17" s="418"/>
      <c r="WQY17" s="418"/>
      <c r="WQZ17" s="418"/>
      <c r="WRA17" s="418"/>
      <c r="WRB17" s="418"/>
      <c r="WRC17" s="418"/>
      <c r="WRD17" s="418"/>
      <c r="WRE17" s="418"/>
      <c r="WRF17" s="418"/>
      <c r="WRG17" s="418"/>
      <c r="WRH17" s="418"/>
      <c r="WRI17" s="418"/>
      <c r="WRJ17" s="418"/>
      <c r="WRK17" s="418"/>
      <c r="WRL17" s="418"/>
      <c r="WRM17" s="418"/>
      <c r="WRN17" s="418"/>
      <c r="WRO17" s="418"/>
      <c r="WRP17" s="418"/>
      <c r="WRQ17" s="418"/>
      <c r="WRR17" s="418"/>
      <c r="WRS17" s="418"/>
      <c r="WRT17" s="418"/>
      <c r="WRU17" s="418"/>
      <c r="WRV17" s="418"/>
      <c r="WRW17" s="418"/>
      <c r="WRX17" s="418"/>
      <c r="WRY17" s="418"/>
      <c r="WRZ17" s="418"/>
      <c r="WSA17" s="418"/>
      <c r="WSB17" s="418"/>
      <c r="WSC17" s="418"/>
      <c r="WSD17" s="418"/>
      <c r="WSE17" s="418"/>
      <c r="WSF17" s="418"/>
      <c r="WSG17" s="418"/>
      <c r="WSH17" s="418"/>
      <c r="WSI17" s="418"/>
      <c r="WSJ17" s="418"/>
      <c r="WSK17" s="418"/>
      <c r="WSL17" s="418"/>
      <c r="WSM17" s="418"/>
      <c r="WSN17" s="418"/>
      <c r="WSO17" s="418"/>
      <c r="WSP17" s="418"/>
      <c r="WSQ17" s="418"/>
      <c r="WSR17" s="418"/>
      <c r="WSS17" s="418"/>
      <c r="WST17" s="418"/>
      <c r="WSU17" s="418"/>
      <c r="WSV17" s="418"/>
      <c r="WSW17" s="418"/>
      <c r="WSX17" s="418"/>
      <c r="WSY17" s="418"/>
      <c r="WSZ17" s="418"/>
      <c r="WTA17" s="418"/>
      <c r="WTB17" s="418"/>
      <c r="WTC17" s="418"/>
      <c r="WTD17" s="418"/>
      <c r="WTE17" s="418"/>
      <c r="WTF17" s="418"/>
      <c r="WTG17" s="418"/>
      <c r="WTH17" s="418"/>
      <c r="WTI17" s="418"/>
      <c r="WTJ17" s="418"/>
      <c r="WTK17" s="418"/>
      <c r="WTL17" s="418"/>
      <c r="WTM17" s="418"/>
      <c r="WTN17" s="418"/>
      <c r="WTO17" s="418"/>
      <c r="WTP17" s="418"/>
      <c r="WTQ17" s="418"/>
      <c r="WTR17" s="418"/>
      <c r="WTS17" s="418"/>
      <c r="WTT17" s="418"/>
      <c r="WTU17" s="418"/>
      <c r="WTV17" s="418"/>
      <c r="WTW17" s="418"/>
      <c r="WTX17" s="418"/>
      <c r="WTY17" s="418"/>
      <c r="WTZ17" s="418"/>
      <c r="WUA17" s="418"/>
      <c r="WUB17" s="418"/>
      <c r="WUC17" s="418"/>
      <c r="WUD17" s="418"/>
      <c r="WUE17" s="418"/>
      <c r="WUF17" s="418"/>
      <c r="WUG17" s="418"/>
      <c r="WUH17" s="418"/>
      <c r="WUI17" s="418"/>
      <c r="WUJ17" s="418"/>
      <c r="WUK17" s="418"/>
      <c r="WUL17" s="418"/>
      <c r="WUM17" s="418"/>
      <c r="WUN17" s="418"/>
      <c r="WUO17" s="418"/>
      <c r="WUP17" s="418"/>
      <c r="WUQ17" s="418"/>
      <c r="WUR17" s="418"/>
      <c r="WUS17" s="418"/>
      <c r="WUT17" s="418"/>
      <c r="WUU17" s="418"/>
      <c r="WUV17" s="418"/>
      <c r="WUW17" s="418"/>
      <c r="WUX17" s="418"/>
      <c r="WUY17" s="418"/>
      <c r="WUZ17" s="418"/>
      <c r="WVA17" s="418"/>
      <c r="WVB17" s="418"/>
      <c r="WVC17" s="418"/>
      <c r="WVD17" s="418"/>
      <c r="WVE17" s="418"/>
      <c r="WVF17" s="418"/>
      <c r="WVG17" s="418"/>
      <c r="WVH17" s="418"/>
      <c r="WVI17" s="418"/>
      <c r="WVJ17" s="418"/>
      <c r="WVK17" s="418"/>
      <c r="WVL17" s="418"/>
      <c r="WVM17" s="418"/>
      <c r="WVN17" s="418"/>
      <c r="WVO17" s="418"/>
      <c r="WVP17" s="418"/>
      <c r="WVQ17" s="418"/>
      <c r="WVR17" s="418"/>
      <c r="WVS17" s="418"/>
      <c r="WVT17" s="418"/>
      <c r="WVU17" s="418"/>
      <c r="WVV17" s="418"/>
      <c r="WVW17" s="418"/>
      <c r="WVX17" s="418"/>
      <c r="WVY17" s="418"/>
      <c r="WVZ17" s="418"/>
      <c r="WWA17" s="418"/>
      <c r="WWB17" s="418"/>
      <c r="WWC17" s="418"/>
      <c r="WWD17" s="418"/>
      <c r="WWE17" s="418"/>
      <c r="WWF17" s="418"/>
      <c r="WWG17" s="418"/>
      <c r="WWH17" s="418"/>
      <c r="WWI17" s="418"/>
      <c r="WWJ17" s="418"/>
      <c r="WWK17" s="418"/>
      <c r="WWL17" s="418"/>
      <c r="WWM17" s="418"/>
      <c r="WWN17" s="418"/>
      <c r="WWO17" s="418"/>
      <c r="WWP17" s="418"/>
      <c r="WWQ17" s="418"/>
      <c r="WWR17" s="418"/>
      <c r="WWS17" s="418"/>
      <c r="WWT17" s="418"/>
      <c r="WWU17" s="418"/>
      <c r="WWV17" s="418"/>
      <c r="WWW17" s="418"/>
      <c r="WWX17" s="418"/>
      <c r="WWY17" s="418"/>
      <c r="WWZ17" s="418"/>
      <c r="WXA17" s="418"/>
      <c r="WXB17" s="418"/>
      <c r="WXC17" s="418"/>
      <c r="WXD17" s="418"/>
      <c r="WXE17" s="418"/>
      <c r="WXF17" s="418"/>
      <c r="WXG17" s="418"/>
      <c r="WXH17" s="418"/>
      <c r="WXI17" s="418"/>
      <c r="WXJ17" s="418"/>
      <c r="WXK17" s="418"/>
      <c r="WXL17" s="418"/>
      <c r="WXM17" s="418"/>
      <c r="WXN17" s="418"/>
      <c r="WXO17" s="418"/>
      <c r="WXP17" s="418"/>
      <c r="WXQ17" s="418"/>
      <c r="WXR17" s="418"/>
      <c r="WXS17" s="418"/>
      <c r="WXT17" s="418"/>
      <c r="WXU17" s="418"/>
      <c r="WXV17" s="418"/>
      <c r="WXW17" s="418"/>
      <c r="WXX17" s="418"/>
      <c r="WXY17" s="418"/>
      <c r="WXZ17" s="418"/>
      <c r="WYA17" s="418"/>
      <c r="WYB17" s="418"/>
      <c r="WYC17" s="418"/>
      <c r="WYD17" s="418"/>
      <c r="WYE17" s="418"/>
      <c r="WYF17" s="418"/>
      <c r="WYG17" s="418"/>
      <c r="WYH17" s="418"/>
      <c r="WYI17" s="418"/>
      <c r="WYJ17" s="418"/>
      <c r="WYK17" s="418"/>
      <c r="WYL17" s="418"/>
      <c r="WYM17" s="418"/>
      <c r="WYN17" s="418"/>
      <c r="WYO17" s="418"/>
      <c r="WYP17" s="418"/>
      <c r="WYQ17" s="418"/>
      <c r="WYR17" s="418"/>
      <c r="WYS17" s="418"/>
      <c r="WYT17" s="418"/>
      <c r="WYU17" s="418"/>
      <c r="WYV17" s="418"/>
      <c r="WYW17" s="418"/>
      <c r="WYX17" s="418"/>
      <c r="WYY17" s="418"/>
      <c r="WYZ17" s="418"/>
      <c r="WZA17" s="418"/>
      <c r="WZB17" s="418"/>
      <c r="WZC17" s="418"/>
      <c r="WZD17" s="418"/>
      <c r="WZE17" s="418"/>
      <c r="WZF17" s="418"/>
      <c r="WZG17" s="418"/>
      <c r="WZH17" s="418"/>
      <c r="WZI17" s="418"/>
      <c r="WZJ17" s="418"/>
      <c r="WZK17" s="418"/>
      <c r="WZL17" s="418"/>
      <c r="WZM17" s="418"/>
      <c r="WZN17" s="418"/>
      <c r="WZO17" s="418"/>
      <c r="WZP17" s="418"/>
      <c r="WZQ17" s="418"/>
      <c r="WZR17" s="418"/>
      <c r="WZS17" s="418"/>
      <c r="WZT17" s="418"/>
      <c r="WZU17" s="418"/>
      <c r="WZV17" s="418"/>
      <c r="WZW17" s="418"/>
      <c r="WZX17" s="418"/>
      <c r="WZY17" s="418"/>
      <c r="WZZ17" s="418"/>
      <c r="XAA17" s="418"/>
      <c r="XAB17" s="418"/>
      <c r="XAC17" s="418"/>
      <c r="XAD17" s="418"/>
      <c r="XAE17" s="418"/>
      <c r="XAF17" s="418"/>
      <c r="XAG17" s="418"/>
      <c r="XAH17" s="418"/>
      <c r="XAI17" s="418"/>
      <c r="XAJ17" s="418"/>
      <c r="XAK17" s="418"/>
      <c r="XAL17" s="418"/>
      <c r="XAM17" s="418"/>
      <c r="XAN17" s="418"/>
      <c r="XAO17" s="418"/>
      <c r="XAP17" s="418"/>
      <c r="XAQ17" s="418"/>
      <c r="XAR17" s="418"/>
      <c r="XAS17" s="418"/>
      <c r="XAT17" s="418"/>
      <c r="XAU17" s="418"/>
      <c r="XAV17" s="418"/>
      <c r="XAW17" s="418"/>
      <c r="XAX17" s="418"/>
      <c r="XAY17" s="418"/>
      <c r="XAZ17" s="418"/>
      <c r="XBA17" s="418"/>
      <c r="XBB17" s="418"/>
      <c r="XBC17" s="418"/>
      <c r="XBD17" s="418"/>
      <c r="XBE17" s="418"/>
      <c r="XBF17" s="418"/>
      <c r="XBG17" s="418"/>
      <c r="XBH17" s="418"/>
      <c r="XBI17" s="418"/>
      <c r="XBJ17" s="418"/>
      <c r="XBK17" s="418"/>
      <c r="XBL17" s="418"/>
      <c r="XBM17" s="418"/>
      <c r="XBN17" s="418"/>
      <c r="XBO17" s="418"/>
      <c r="XBP17" s="418"/>
      <c r="XBQ17" s="418"/>
      <c r="XBR17" s="418"/>
      <c r="XBS17" s="418"/>
      <c r="XBT17" s="418"/>
      <c r="XBU17" s="418"/>
      <c r="XBV17" s="418"/>
      <c r="XBW17" s="418"/>
      <c r="XBX17" s="418"/>
      <c r="XBY17" s="418"/>
      <c r="XBZ17" s="418"/>
      <c r="XCA17" s="418"/>
      <c r="XCB17" s="418"/>
      <c r="XCC17" s="418"/>
      <c r="XCD17" s="418"/>
      <c r="XCE17" s="418"/>
      <c r="XCF17" s="418"/>
      <c r="XCG17" s="418"/>
      <c r="XCH17" s="418"/>
      <c r="XCI17" s="418"/>
      <c r="XCJ17" s="418"/>
      <c r="XCK17" s="418"/>
      <c r="XCL17" s="418"/>
      <c r="XCM17" s="418"/>
      <c r="XCN17" s="418"/>
      <c r="XCO17" s="418"/>
      <c r="XCP17" s="418"/>
      <c r="XCQ17" s="418"/>
      <c r="XCR17" s="418"/>
      <c r="XCS17" s="418"/>
      <c r="XCT17" s="418"/>
      <c r="XCU17" s="418"/>
      <c r="XCV17" s="418"/>
      <c r="XCW17" s="418"/>
      <c r="XCX17" s="418"/>
      <c r="XCY17" s="418"/>
      <c r="XCZ17" s="418"/>
      <c r="XDA17" s="418"/>
      <c r="XDB17" s="418"/>
      <c r="XDC17" s="418"/>
      <c r="XDD17" s="418"/>
      <c r="XDE17" s="418"/>
      <c r="XDF17" s="418"/>
      <c r="XDG17" s="418"/>
      <c r="XDH17" s="418"/>
      <c r="XDI17" s="418"/>
      <c r="XDJ17" s="418"/>
      <c r="XDK17" s="418"/>
      <c r="XDL17" s="418"/>
      <c r="XDM17" s="418"/>
      <c r="XDN17" s="418"/>
      <c r="XDO17" s="418"/>
      <c r="XDP17" s="418"/>
      <c r="XDQ17" s="418"/>
      <c r="XDR17" s="418"/>
      <c r="XDS17" s="418"/>
      <c r="XDT17" s="418"/>
      <c r="XDU17" s="418"/>
      <c r="XDV17" s="418"/>
      <c r="XDW17" s="418"/>
      <c r="XDX17" s="418"/>
      <c r="XDY17" s="418"/>
      <c r="XDZ17" s="418"/>
      <c r="XEA17" s="418"/>
      <c r="XEB17" s="418"/>
      <c r="XEC17" s="418"/>
      <c r="XED17" s="418"/>
      <c r="XEE17" s="418"/>
      <c r="XEF17" s="418"/>
      <c r="XEG17" s="418"/>
      <c r="XEH17" s="418"/>
      <c r="XEI17" s="418"/>
      <c r="XEJ17" s="418"/>
      <c r="XEK17" s="418"/>
      <c r="XEL17" s="418"/>
      <c r="XEM17" s="418"/>
      <c r="XEN17" s="418"/>
      <c r="XEO17" s="418"/>
      <c r="XEP17" s="418"/>
      <c r="XEQ17" s="418"/>
      <c r="XER17" s="418"/>
      <c r="XES17" s="418"/>
      <c r="XET17" s="418"/>
      <c r="XEU17" s="418"/>
      <c r="XEV17" s="418"/>
      <c r="XEW17" s="418"/>
    </row>
    <row r="18" spans="1:16377" s="244" customFormat="1" ht="33" customHeight="1">
      <c r="A18" s="2539">
        <v>427</v>
      </c>
      <c r="C18" s="1579"/>
      <c r="D18" s="1579"/>
      <c r="E18" s="1582" t="s">
        <v>2591</v>
      </c>
      <c r="F18" s="1582"/>
      <c r="G18" s="1582"/>
      <c r="H18" s="1582"/>
      <c r="I18" s="1582"/>
      <c r="J18" s="1582"/>
      <c r="K18" s="1582"/>
      <c r="L18" s="418"/>
      <c r="M18" s="418"/>
      <c r="N18" s="840"/>
      <c r="O18" s="2743"/>
      <c r="P18" s="840"/>
      <c r="Q18" s="840">
        <f>SUMIF('1401'!$B$6:$B$576,$A18,'1401'!$V$6:$V$576)</f>
        <v>25609</v>
      </c>
      <c r="R18" s="838"/>
      <c r="S18" s="840">
        <v>26454</v>
      </c>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c r="GA18" s="418"/>
      <c r="GB18" s="418"/>
      <c r="GC18" s="418"/>
      <c r="GD18" s="418"/>
      <c r="GE18" s="418"/>
      <c r="GF18" s="418"/>
      <c r="GG18" s="418"/>
      <c r="GH18" s="418"/>
      <c r="GI18" s="418"/>
      <c r="GJ18" s="418"/>
      <c r="GK18" s="418"/>
      <c r="GL18" s="418"/>
      <c r="GM18" s="418"/>
      <c r="GN18" s="418"/>
      <c r="GO18" s="418"/>
      <c r="GP18" s="418"/>
      <c r="GQ18" s="418"/>
      <c r="GR18" s="418"/>
      <c r="GS18" s="418"/>
      <c r="GT18" s="418"/>
      <c r="GU18" s="418"/>
      <c r="GV18" s="418"/>
      <c r="GW18" s="418"/>
      <c r="GX18" s="418"/>
      <c r="GY18" s="418"/>
      <c r="GZ18" s="418"/>
      <c r="HA18" s="418"/>
      <c r="HB18" s="418"/>
      <c r="HC18" s="418"/>
      <c r="HD18" s="418"/>
      <c r="HE18" s="418"/>
      <c r="HF18" s="418"/>
      <c r="HG18" s="418"/>
      <c r="HH18" s="418"/>
      <c r="HI18" s="418"/>
      <c r="HJ18" s="418"/>
      <c r="HK18" s="418"/>
      <c r="HL18" s="418"/>
      <c r="HM18" s="418"/>
      <c r="HN18" s="418"/>
      <c r="HO18" s="418"/>
      <c r="HP18" s="418"/>
      <c r="HQ18" s="418"/>
      <c r="HR18" s="418"/>
      <c r="HS18" s="418"/>
      <c r="HT18" s="418"/>
      <c r="HU18" s="418"/>
      <c r="HV18" s="418"/>
      <c r="HW18" s="418"/>
      <c r="HX18" s="418"/>
      <c r="HY18" s="418"/>
      <c r="HZ18" s="418"/>
      <c r="IA18" s="418"/>
      <c r="IB18" s="418"/>
      <c r="IC18" s="418"/>
      <c r="ID18" s="418"/>
      <c r="IE18" s="418"/>
      <c r="IF18" s="418"/>
      <c r="IG18" s="418"/>
      <c r="IH18" s="418"/>
      <c r="II18" s="418"/>
      <c r="IJ18" s="418"/>
      <c r="IK18" s="418"/>
      <c r="IL18" s="418"/>
      <c r="IM18" s="418"/>
      <c r="IN18" s="418"/>
      <c r="IO18" s="418"/>
      <c r="IP18" s="418"/>
      <c r="IQ18" s="418"/>
      <c r="IR18" s="418"/>
      <c r="IS18" s="418"/>
      <c r="IT18" s="418"/>
      <c r="IU18" s="418"/>
      <c r="IV18" s="418"/>
      <c r="IW18" s="418"/>
      <c r="IX18" s="418"/>
      <c r="IY18" s="418"/>
      <c r="IZ18" s="418"/>
      <c r="JA18" s="418"/>
      <c r="JB18" s="418"/>
      <c r="JC18" s="418"/>
      <c r="JD18" s="418"/>
      <c r="JE18" s="418"/>
      <c r="JF18" s="418"/>
      <c r="JG18" s="418"/>
      <c r="JH18" s="418"/>
      <c r="JI18" s="418"/>
      <c r="JJ18" s="418"/>
      <c r="JK18" s="418"/>
      <c r="JL18" s="418"/>
      <c r="JM18" s="418"/>
      <c r="JN18" s="418"/>
      <c r="JO18" s="418"/>
      <c r="JP18" s="418"/>
      <c r="JQ18" s="418"/>
      <c r="JR18" s="418"/>
      <c r="JS18" s="418"/>
      <c r="JT18" s="418"/>
      <c r="JU18" s="418"/>
      <c r="JV18" s="418"/>
      <c r="JW18" s="418"/>
      <c r="JX18" s="418"/>
      <c r="JY18" s="418"/>
      <c r="JZ18" s="418"/>
      <c r="KA18" s="418"/>
      <c r="KB18" s="418"/>
      <c r="KC18" s="418"/>
      <c r="KD18" s="418"/>
      <c r="KE18" s="418"/>
      <c r="KF18" s="418"/>
      <c r="KG18" s="418"/>
      <c r="KH18" s="418"/>
      <c r="KI18" s="418"/>
      <c r="KJ18" s="418"/>
      <c r="KK18" s="418"/>
      <c r="KL18" s="418"/>
      <c r="KM18" s="418"/>
      <c r="KN18" s="418"/>
      <c r="KO18" s="418"/>
      <c r="KP18" s="418"/>
      <c r="KQ18" s="418"/>
      <c r="KR18" s="418"/>
      <c r="KS18" s="418"/>
      <c r="KT18" s="418"/>
      <c r="KU18" s="418"/>
      <c r="KV18" s="418"/>
      <c r="KW18" s="418"/>
      <c r="KX18" s="418"/>
      <c r="KY18" s="418"/>
      <c r="KZ18" s="418"/>
      <c r="LA18" s="418"/>
      <c r="LB18" s="418"/>
      <c r="LC18" s="418"/>
      <c r="LD18" s="418"/>
      <c r="LE18" s="418"/>
      <c r="LF18" s="418"/>
      <c r="LG18" s="418"/>
      <c r="LH18" s="418"/>
      <c r="LI18" s="418"/>
      <c r="LJ18" s="418"/>
      <c r="LK18" s="418"/>
      <c r="LL18" s="418"/>
      <c r="LM18" s="418"/>
      <c r="LN18" s="418"/>
      <c r="LO18" s="418"/>
      <c r="LP18" s="418"/>
      <c r="LQ18" s="418"/>
      <c r="LR18" s="418"/>
      <c r="LS18" s="418"/>
      <c r="LT18" s="418"/>
      <c r="LU18" s="418"/>
      <c r="LV18" s="418"/>
      <c r="LW18" s="418"/>
      <c r="LX18" s="418"/>
      <c r="LY18" s="418"/>
      <c r="LZ18" s="418"/>
      <c r="MA18" s="418"/>
      <c r="MB18" s="418"/>
      <c r="MC18" s="418"/>
      <c r="MD18" s="418"/>
      <c r="ME18" s="418"/>
      <c r="MF18" s="418"/>
      <c r="MG18" s="418"/>
      <c r="MH18" s="418"/>
      <c r="MI18" s="418"/>
      <c r="MJ18" s="418"/>
      <c r="MK18" s="418"/>
      <c r="ML18" s="418"/>
      <c r="MM18" s="418"/>
      <c r="MN18" s="418"/>
      <c r="MO18" s="418"/>
      <c r="MP18" s="418"/>
      <c r="MQ18" s="418"/>
      <c r="MR18" s="418"/>
      <c r="MS18" s="418"/>
      <c r="MT18" s="418"/>
      <c r="MU18" s="418"/>
      <c r="MV18" s="418"/>
      <c r="MW18" s="418"/>
      <c r="MX18" s="418"/>
      <c r="MY18" s="418"/>
      <c r="MZ18" s="418"/>
      <c r="NA18" s="418"/>
      <c r="NB18" s="418"/>
      <c r="NC18" s="418"/>
      <c r="ND18" s="418"/>
      <c r="NE18" s="418"/>
      <c r="NF18" s="418"/>
      <c r="NG18" s="418"/>
      <c r="NH18" s="418"/>
      <c r="NI18" s="418"/>
      <c r="NJ18" s="418"/>
      <c r="NK18" s="418"/>
      <c r="NL18" s="418"/>
      <c r="NM18" s="418"/>
      <c r="NN18" s="418"/>
      <c r="NO18" s="418"/>
      <c r="NP18" s="418"/>
      <c r="NQ18" s="418"/>
      <c r="NR18" s="418"/>
      <c r="NS18" s="418"/>
      <c r="NT18" s="418"/>
      <c r="NU18" s="418"/>
      <c r="NV18" s="418"/>
      <c r="NW18" s="418"/>
      <c r="NX18" s="418"/>
      <c r="NY18" s="418"/>
      <c r="NZ18" s="418"/>
      <c r="OA18" s="418"/>
      <c r="OB18" s="418"/>
      <c r="OC18" s="418"/>
      <c r="OD18" s="418"/>
      <c r="OE18" s="418"/>
      <c r="OF18" s="418"/>
      <c r="OG18" s="418"/>
      <c r="OH18" s="418"/>
      <c r="OI18" s="418"/>
      <c r="OJ18" s="418"/>
      <c r="OK18" s="418"/>
      <c r="OL18" s="418"/>
      <c r="OM18" s="418"/>
      <c r="ON18" s="418"/>
      <c r="OO18" s="418"/>
      <c r="OP18" s="418"/>
      <c r="OQ18" s="418"/>
      <c r="OR18" s="418"/>
      <c r="OS18" s="418"/>
      <c r="OT18" s="418"/>
      <c r="OU18" s="418"/>
      <c r="OV18" s="418"/>
      <c r="OW18" s="418"/>
      <c r="OX18" s="418"/>
      <c r="OY18" s="418"/>
      <c r="OZ18" s="418"/>
      <c r="PA18" s="418"/>
      <c r="PB18" s="418"/>
      <c r="PC18" s="418"/>
      <c r="PD18" s="418"/>
      <c r="PE18" s="418"/>
      <c r="PF18" s="418"/>
      <c r="PG18" s="418"/>
      <c r="PH18" s="418"/>
      <c r="PI18" s="418"/>
      <c r="PJ18" s="418"/>
      <c r="PK18" s="418"/>
      <c r="PL18" s="418"/>
      <c r="PM18" s="418"/>
      <c r="PN18" s="418"/>
      <c r="PO18" s="418"/>
      <c r="PP18" s="418"/>
      <c r="PQ18" s="418"/>
      <c r="PR18" s="418"/>
      <c r="PS18" s="418"/>
      <c r="PT18" s="418"/>
      <c r="PU18" s="418"/>
      <c r="PV18" s="418"/>
      <c r="PW18" s="418"/>
      <c r="PX18" s="418"/>
      <c r="PY18" s="418"/>
      <c r="PZ18" s="418"/>
      <c r="QA18" s="418"/>
      <c r="QB18" s="418"/>
      <c r="QC18" s="418"/>
      <c r="QD18" s="418"/>
      <c r="QE18" s="418"/>
      <c r="QF18" s="418"/>
      <c r="QG18" s="418"/>
      <c r="QH18" s="418"/>
      <c r="QI18" s="418"/>
      <c r="QJ18" s="418"/>
      <c r="QK18" s="418"/>
      <c r="QL18" s="418"/>
      <c r="QM18" s="418"/>
      <c r="QN18" s="418"/>
      <c r="QO18" s="418"/>
      <c r="QP18" s="418"/>
      <c r="QQ18" s="418"/>
      <c r="QR18" s="418"/>
      <c r="QS18" s="418"/>
      <c r="QT18" s="418"/>
      <c r="QU18" s="418"/>
      <c r="QV18" s="418"/>
      <c r="QW18" s="418"/>
      <c r="QX18" s="418"/>
      <c r="QY18" s="418"/>
      <c r="QZ18" s="418"/>
      <c r="RA18" s="418"/>
      <c r="RB18" s="418"/>
      <c r="RC18" s="418"/>
      <c r="RD18" s="418"/>
      <c r="RE18" s="418"/>
      <c r="RF18" s="418"/>
      <c r="RG18" s="418"/>
      <c r="RH18" s="418"/>
      <c r="RI18" s="418"/>
      <c r="RJ18" s="418"/>
      <c r="RK18" s="418"/>
      <c r="RL18" s="418"/>
      <c r="RM18" s="418"/>
      <c r="RN18" s="418"/>
      <c r="RO18" s="418"/>
      <c r="RP18" s="418"/>
      <c r="RQ18" s="418"/>
      <c r="RR18" s="418"/>
      <c r="RS18" s="418"/>
      <c r="RT18" s="418"/>
      <c r="RU18" s="418"/>
      <c r="RV18" s="418"/>
      <c r="RW18" s="418"/>
      <c r="RX18" s="418"/>
      <c r="RY18" s="418"/>
      <c r="RZ18" s="418"/>
      <c r="SA18" s="418"/>
      <c r="SB18" s="418"/>
      <c r="SC18" s="418"/>
      <c r="SD18" s="418"/>
      <c r="SE18" s="418"/>
      <c r="SF18" s="418"/>
      <c r="SG18" s="418"/>
      <c r="SH18" s="418"/>
      <c r="SI18" s="418"/>
      <c r="SJ18" s="418"/>
      <c r="SK18" s="418"/>
      <c r="SL18" s="418"/>
      <c r="SM18" s="418"/>
      <c r="SN18" s="418"/>
      <c r="SO18" s="418"/>
      <c r="SP18" s="418"/>
      <c r="SQ18" s="418"/>
      <c r="SR18" s="418"/>
      <c r="SS18" s="418"/>
      <c r="ST18" s="418"/>
      <c r="SU18" s="418"/>
      <c r="SV18" s="418"/>
      <c r="SW18" s="418"/>
      <c r="SX18" s="418"/>
      <c r="SY18" s="418"/>
      <c r="SZ18" s="418"/>
      <c r="TA18" s="418"/>
      <c r="TB18" s="418"/>
      <c r="TC18" s="418"/>
      <c r="TD18" s="418"/>
      <c r="TE18" s="418"/>
      <c r="TF18" s="418"/>
      <c r="TG18" s="418"/>
      <c r="TH18" s="418"/>
      <c r="TI18" s="418"/>
      <c r="TJ18" s="418"/>
      <c r="TK18" s="418"/>
      <c r="TL18" s="418"/>
      <c r="TM18" s="418"/>
      <c r="TN18" s="418"/>
      <c r="TO18" s="418"/>
      <c r="TP18" s="418"/>
      <c r="TQ18" s="418"/>
      <c r="TR18" s="418"/>
      <c r="TS18" s="418"/>
      <c r="TT18" s="418"/>
      <c r="TU18" s="418"/>
      <c r="TV18" s="418"/>
      <c r="TW18" s="418"/>
      <c r="TX18" s="418"/>
      <c r="TY18" s="418"/>
      <c r="TZ18" s="418"/>
      <c r="UA18" s="418"/>
      <c r="UB18" s="418"/>
      <c r="UC18" s="418"/>
      <c r="UD18" s="418"/>
      <c r="UE18" s="418"/>
      <c r="UF18" s="418"/>
      <c r="UG18" s="418"/>
      <c r="UH18" s="418"/>
      <c r="UI18" s="418"/>
      <c r="UJ18" s="418"/>
      <c r="UK18" s="418"/>
      <c r="UL18" s="418"/>
      <c r="UM18" s="418"/>
      <c r="UN18" s="418"/>
      <c r="UO18" s="418"/>
      <c r="UP18" s="418"/>
      <c r="UQ18" s="418"/>
      <c r="UR18" s="418"/>
      <c r="US18" s="418"/>
      <c r="UT18" s="418"/>
      <c r="UU18" s="418"/>
      <c r="UV18" s="418"/>
      <c r="UW18" s="418"/>
      <c r="UX18" s="418"/>
      <c r="UY18" s="418"/>
      <c r="UZ18" s="418"/>
      <c r="VA18" s="418"/>
      <c r="VB18" s="418"/>
      <c r="VC18" s="418"/>
      <c r="VD18" s="418"/>
      <c r="VE18" s="418"/>
      <c r="VF18" s="418"/>
      <c r="VG18" s="418"/>
      <c r="VH18" s="418"/>
      <c r="VI18" s="418"/>
      <c r="VJ18" s="418"/>
      <c r="VK18" s="418"/>
      <c r="VL18" s="418"/>
      <c r="VM18" s="418"/>
      <c r="VN18" s="418"/>
      <c r="VO18" s="418"/>
      <c r="VP18" s="418"/>
      <c r="VQ18" s="418"/>
      <c r="VR18" s="418"/>
      <c r="VS18" s="418"/>
      <c r="VT18" s="418"/>
      <c r="VU18" s="418"/>
      <c r="VV18" s="418"/>
      <c r="VW18" s="418"/>
      <c r="VX18" s="418"/>
      <c r="VY18" s="418"/>
      <c r="VZ18" s="418"/>
      <c r="WA18" s="418"/>
      <c r="WB18" s="418"/>
      <c r="WC18" s="418"/>
      <c r="WD18" s="418"/>
      <c r="WE18" s="418"/>
      <c r="WF18" s="418"/>
      <c r="WG18" s="418"/>
      <c r="WH18" s="418"/>
      <c r="WI18" s="418"/>
      <c r="WJ18" s="418"/>
      <c r="WK18" s="418"/>
      <c r="WL18" s="418"/>
      <c r="WM18" s="418"/>
      <c r="WN18" s="418"/>
      <c r="WO18" s="418"/>
      <c r="WP18" s="418"/>
      <c r="WQ18" s="418"/>
      <c r="WR18" s="418"/>
      <c r="WS18" s="418"/>
      <c r="WT18" s="418"/>
      <c r="WU18" s="418"/>
      <c r="WV18" s="418"/>
      <c r="WW18" s="418"/>
      <c r="WX18" s="418"/>
      <c r="WY18" s="418"/>
      <c r="WZ18" s="418"/>
      <c r="XA18" s="418"/>
      <c r="XB18" s="418"/>
      <c r="XC18" s="418"/>
      <c r="XD18" s="418"/>
      <c r="XE18" s="418"/>
      <c r="XF18" s="418"/>
      <c r="XG18" s="418"/>
      <c r="XH18" s="418"/>
      <c r="XI18" s="418"/>
      <c r="XJ18" s="418"/>
      <c r="XK18" s="418"/>
      <c r="XL18" s="418"/>
      <c r="XM18" s="418"/>
      <c r="XN18" s="418"/>
      <c r="XO18" s="418"/>
      <c r="XP18" s="418"/>
      <c r="XQ18" s="418"/>
      <c r="XR18" s="418"/>
      <c r="XS18" s="418"/>
      <c r="XT18" s="418"/>
      <c r="XU18" s="418"/>
      <c r="XV18" s="418"/>
      <c r="XW18" s="418"/>
      <c r="XX18" s="418"/>
      <c r="XY18" s="418"/>
      <c r="XZ18" s="418"/>
      <c r="YA18" s="418"/>
      <c r="YB18" s="418"/>
      <c r="YC18" s="418"/>
      <c r="YD18" s="418"/>
      <c r="YE18" s="418"/>
      <c r="YF18" s="418"/>
      <c r="YG18" s="418"/>
      <c r="YH18" s="418"/>
      <c r="YI18" s="418"/>
      <c r="YJ18" s="418"/>
      <c r="YK18" s="418"/>
      <c r="YL18" s="418"/>
      <c r="YM18" s="418"/>
      <c r="YN18" s="418"/>
      <c r="YO18" s="418"/>
      <c r="YP18" s="418"/>
      <c r="YQ18" s="418"/>
      <c r="YR18" s="418"/>
      <c r="YS18" s="418"/>
      <c r="YT18" s="418"/>
      <c r="YU18" s="418"/>
      <c r="YV18" s="418"/>
      <c r="YW18" s="418"/>
      <c r="YX18" s="418"/>
      <c r="YY18" s="418"/>
      <c r="YZ18" s="418"/>
      <c r="ZA18" s="418"/>
      <c r="ZB18" s="418"/>
      <c r="ZC18" s="418"/>
      <c r="ZD18" s="418"/>
      <c r="ZE18" s="418"/>
      <c r="ZF18" s="418"/>
      <c r="ZG18" s="418"/>
      <c r="ZH18" s="418"/>
      <c r="ZI18" s="418"/>
      <c r="ZJ18" s="418"/>
      <c r="ZK18" s="418"/>
      <c r="ZL18" s="418"/>
      <c r="ZM18" s="418"/>
      <c r="ZN18" s="418"/>
      <c r="ZO18" s="418"/>
      <c r="ZP18" s="418"/>
      <c r="ZQ18" s="418"/>
      <c r="ZR18" s="418"/>
      <c r="ZS18" s="418"/>
      <c r="ZT18" s="418"/>
      <c r="ZU18" s="418"/>
      <c r="ZV18" s="418"/>
      <c r="ZW18" s="418"/>
      <c r="ZX18" s="418"/>
      <c r="ZY18" s="418"/>
      <c r="ZZ18" s="418"/>
      <c r="AAA18" s="418"/>
      <c r="AAB18" s="418"/>
      <c r="AAC18" s="418"/>
      <c r="AAD18" s="418"/>
      <c r="AAE18" s="418"/>
      <c r="AAF18" s="418"/>
      <c r="AAG18" s="418"/>
      <c r="AAH18" s="418"/>
      <c r="AAI18" s="418"/>
      <c r="AAJ18" s="418"/>
      <c r="AAK18" s="418"/>
      <c r="AAL18" s="418"/>
      <c r="AAM18" s="418"/>
      <c r="AAN18" s="418"/>
      <c r="AAO18" s="418"/>
      <c r="AAP18" s="418"/>
      <c r="AAQ18" s="418"/>
      <c r="AAR18" s="418"/>
      <c r="AAS18" s="418"/>
      <c r="AAT18" s="418"/>
      <c r="AAU18" s="418"/>
      <c r="AAV18" s="418"/>
      <c r="AAW18" s="418"/>
      <c r="AAX18" s="418"/>
      <c r="AAY18" s="418"/>
      <c r="AAZ18" s="418"/>
      <c r="ABA18" s="418"/>
      <c r="ABB18" s="418"/>
      <c r="ABC18" s="418"/>
      <c r="ABD18" s="418"/>
      <c r="ABE18" s="418"/>
      <c r="ABF18" s="418"/>
      <c r="ABG18" s="418"/>
      <c r="ABH18" s="418"/>
      <c r="ABI18" s="418"/>
      <c r="ABJ18" s="418"/>
      <c r="ABK18" s="418"/>
      <c r="ABL18" s="418"/>
      <c r="ABM18" s="418"/>
      <c r="ABN18" s="418"/>
      <c r="ABO18" s="418"/>
      <c r="ABP18" s="418"/>
      <c r="ABQ18" s="418"/>
      <c r="ABR18" s="418"/>
      <c r="ABS18" s="418"/>
      <c r="ABT18" s="418"/>
      <c r="ABU18" s="418"/>
      <c r="ABV18" s="418"/>
      <c r="ABW18" s="418"/>
      <c r="ABX18" s="418"/>
      <c r="ABY18" s="418"/>
      <c r="ABZ18" s="418"/>
      <c r="ACA18" s="418"/>
      <c r="ACB18" s="418"/>
      <c r="ACC18" s="418"/>
      <c r="ACD18" s="418"/>
      <c r="ACE18" s="418"/>
      <c r="ACF18" s="418"/>
      <c r="ACG18" s="418"/>
      <c r="ACH18" s="418"/>
      <c r="ACI18" s="418"/>
      <c r="ACJ18" s="418"/>
      <c r="ACK18" s="418"/>
      <c r="ACL18" s="418"/>
      <c r="ACM18" s="418"/>
      <c r="ACN18" s="418"/>
      <c r="ACO18" s="418"/>
      <c r="ACP18" s="418"/>
      <c r="ACQ18" s="418"/>
      <c r="ACR18" s="418"/>
      <c r="ACS18" s="418"/>
      <c r="ACT18" s="418"/>
      <c r="ACU18" s="418"/>
      <c r="ACV18" s="418"/>
      <c r="ACW18" s="418"/>
      <c r="ACX18" s="418"/>
      <c r="ACY18" s="418"/>
      <c r="ACZ18" s="418"/>
      <c r="ADA18" s="418"/>
      <c r="ADB18" s="418"/>
      <c r="ADC18" s="418"/>
      <c r="ADD18" s="418"/>
      <c r="ADE18" s="418"/>
      <c r="ADF18" s="418"/>
      <c r="ADG18" s="418"/>
      <c r="ADH18" s="418"/>
      <c r="ADI18" s="418"/>
      <c r="ADJ18" s="418"/>
      <c r="ADK18" s="418"/>
      <c r="ADL18" s="418"/>
      <c r="ADM18" s="418"/>
      <c r="ADN18" s="418"/>
      <c r="ADO18" s="418"/>
      <c r="ADP18" s="418"/>
      <c r="ADQ18" s="418"/>
      <c r="ADR18" s="418"/>
      <c r="ADS18" s="418"/>
      <c r="ADT18" s="418"/>
      <c r="ADU18" s="418"/>
      <c r="ADV18" s="418"/>
      <c r="ADW18" s="418"/>
      <c r="ADX18" s="418"/>
      <c r="ADY18" s="418"/>
      <c r="ADZ18" s="418"/>
      <c r="AEA18" s="418"/>
      <c r="AEB18" s="418"/>
      <c r="AEC18" s="418"/>
      <c r="AED18" s="418"/>
      <c r="AEE18" s="418"/>
      <c r="AEF18" s="418"/>
      <c r="AEG18" s="418"/>
      <c r="AEH18" s="418"/>
      <c r="AEI18" s="418"/>
      <c r="AEJ18" s="418"/>
      <c r="AEK18" s="418"/>
      <c r="AEL18" s="418"/>
      <c r="AEM18" s="418"/>
      <c r="AEN18" s="418"/>
      <c r="AEO18" s="418"/>
      <c r="AEP18" s="418"/>
      <c r="AEQ18" s="418"/>
      <c r="AER18" s="418"/>
      <c r="AES18" s="418"/>
      <c r="AET18" s="418"/>
      <c r="AEU18" s="418"/>
      <c r="AEV18" s="418"/>
      <c r="AEW18" s="418"/>
      <c r="AEX18" s="418"/>
      <c r="AEY18" s="418"/>
      <c r="AEZ18" s="418"/>
      <c r="AFA18" s="418"/>
      <c r="AFB18" s="418"/>
      <c r="AFC18" s="418"/>
      <c r="AFD18" s="418"/>
      <c r="AFE18" s="418"/>
      <c r="AFF18" s="418"/>
      <c r="AFG18" s="418"/>
      <c r="AFH18" s="418"/>
      <c r="AFI18" s="418"/>
      <c r="AFJ18" s="418"/>
      <c r="AFK18" s="418"/>
      <c r="AFL18" s="418"/>
      <c r="AFM18" s="418"/>
      <c r="AFN18" s="418"/>
      <c r="AFO18" s="418"/>
      <c r="AFP18" s="418"/>
      <c r="AFQ18" s="418"/>
      <c r="AFR18" s="418"/>
      <c r="AFS18" s="418"/>
      <c r="AFT18" s="418"/>
      <c r="AFU18" s="418"/>
      <c r="AFV18" s="418"/>
      <c r="AFW18" s="418"/>
      <c r="AFX18" s="418"/>
      <c r="AFY18" s="418"/>
      <c r="AFZ18" s="418"/>
      <c r="AGA18" s="418"/>
      <c r="AGB18" s="418"/>
      <c r="AGC18" s="418"/>
      <c r="AGD18" s="418"/>
      <c r="AGE18" s="418"/>
      <c r="AGF18" s="418"/>
      <c r="AGG18" s="418"/>
      <c r="AGH18" s="418"/>
      <c r="AGI18" s="418"/>
      <c r="AGJ18" s="418"/>
      <c r="AGK18" s="418"/>
      <c r="AGL18" s="418"/>
      <c r="AGM18" s="418"/>
      <c r="AGN18" s="418"/>
      <c r="AGO18" s="418"/>
      <c r="AGP18" s="418"/>
      <c r="AGQ18" s="418"/>
      <c r="AGR18" s="418"/>
      <c r="AGS18" s="418"/>
      <c r="AGT18" s="418"/>
      <c r="AGU18" s="418"/>
      <c r="AGV18" s="418"/>
      <c r="AGW18" s="418"/>
      <c r="AGX18" s="418"/>
      <c r="AGY18" s="418"/>
      <c r="AGZ18" s="418"/>
      <c r="AHA18" s="418"/>
      <c r="AHB18" s="418"/>
      <c r="AHC18" s="418"/>
      <c r="AHD18" s="418"/>
      <c r="AHE18" s="418"/>
      <c r="AHF18" s="418"/>
      <c r="AHG18" s="418"/>
      <c r="AHH18" s="418"/>
      <c r="AHI18" s="418"/>
      <c r="AHJ18" s="418"/>
      <c r="AHK18" s="418"/>
      <c r="AHL18" s="418"/>
      <c r="AHM18" s="418"/>
      <c r="AHN18" s="418"/>
      <c r="AHO18" s="418"/>
      <c r="AHP18" s="418"/>
      <c r="AHQ18" s="418"/>
      <c r="AHR18" s="418"/>
      <c r="AHS18" s="418"/>
      <c r="AHT18" s="418"/>
      <c r="AHU18" s="418"/>
      <c r="AHV18" s="418"/>
      <c r="AHW18" s="418"/>
      <c r="AHX18" s="418"/>
      <c r="AHY18" s="418"/>
      <c r="AHZ18" s="418"/>
      <c r="AIA18" s="418"/>
      <c r="AIB18" s="418"/>
      <c r="AIC18" s="418"/>
      <c r="AID18" s="418"/>
      <c r="AIE18" s="418"/>
      <c r="AIF18" s="418"/>
      <c r="AIG18" s="418"/>
      <c r="AIH18" s="418"/>
      <c r="AII18" s="418"/>
      <c r="AIJ18" s="418"/>
      <c r="AIK18" s="418"/>
      <c r="AIL18" s="418"/>
      <c r="AIM18" s="418"/>
      <c r="AIN18" s="418"/>
      <c r="AIO18" s="418"/>
      <c r="AIP18" s="418"/>
      <c r="AIQ18" s="418"/>
      <c r="AIR18" s="418"/>
      <c r="AIS18" s="418"/>
      <c r="AIT18" s="418"/>
      <c r="AIU18" s="418"/>
      <c r="AIV18" s="418"/>
      <c r="AIW18" s="418"/>
      <c r="AIX18" s="418"/>
      <c r="AIY18" s="418"/>
      <c r="AIZ18" s="418"/>
      <c r="AJA18" s="418"/>
      <c r="AJB18" s="418"/>
      <c r="AJC18" s="418"/>
      <c r="AJD18" s="418"/>
      <c r="AJE18" s="418"/>
      <c r="AJF18" s="418"/>
      <c r="AJG18" s="418"/>
      <c r="AJH18" s="418"/>
      <c r="AJI18" s="418"/>
      <c r="AJJ18" s="418"/>
      <c r="AJK18" s="418"/>
      <c r="AJL18" s="418"/>
      <c r="AJM18" s="418"/>
      <c r="AJN18" s="418"/>
      <c r="AJO18" s="418"/>
      <c r="AJP18" s="418"/>
      <c r="AJQ18" s="418"/>
      <c r="AJR18" s="418"/>
      <c r="AJS18" s="418"/>
      <c r="AJT18" s="418"/>
      <c r="AJU18" s="418"/>
      <c r="AJV18" s="418"/>
      <c r="AJW18" s="418"/>
      <c r="AJX18" s="418"/>
      <c r="AJY18" s="418"/>
      <c r="AJZ18" s="418"/>
      <c r="AKA18" s="418"/>
      <c r="AKB18" s="418"/>
      <c r="AKC18" s="418"/>
      <c r="AKD18" s="418"/>
      <c r="AKE18" s="418"/>
      <c r="AKF18" s="418"/>
      <c r="AKG18" s="418"/>
      <c r="AKH18" s="418"/>
      <c r="AKI18" s="418"/>
      <c r="AKJ18" s="418"/>
      <c r="AKK18" s="418"/>
      <c r="AKL18" s="418"/>
      <c r="AKM18" s="418"/>
      <c r="AKN18" s="418"/>
      <c r="AKO18" s="418"/>
      <c r="AKP18" s="418"/>
      <c r="AKQ18" s="418"/>
      <c r="AKR18" s="418"/>
      <c r="AKS18" s="418"/>
      <c r="AKT18" s="418"/>
      <c r="AKU18" s="418"/>
      <c r="AKV18" s="418"/>
      <c r="AKW18" s="418"/>
      <c r="AKX18" s="418"/>
      <c r="AKY18" s="418"/>
      <c r="AKZ18" s="418"/>
      <c r="ALA18" s="418"/>
      <c r="ALB18" s="418"/>
      <c r="ALC18" s="418"/>
      <c r="ALD18" s="418"/>
      <c r="ALE18" s="418"/>
      <c r="ALF18" s="418"/>
      <c r="ALG18" s="418"/>
      <c r="ALH18" s="418"/>
      <c r="ALI18" s="418"/>
      <c r="ALJ18" s="418"/>
      <c r="ALK18" s="418"/>
      <c r="ALL18" s="418"/>
      <c r="ALM18" s="418"/>
      <c r="ALN18" s="418"/>
      <c r="ALO18" s="418"/>
      <c r="ALP18" s="418"/>
      <c r="ALQ18" s="418"/>
      <c r="ALR18" s="418"/>
      <c r="ALS18" s="418"/>
      <c r="ALT18" s="418"/>
      <c r="ALU18" s="418"/>
      <c r="ALV18" s="418"/>
      <c r="ALW18" s="418"/>
      <c r="ALX18" s="418"/>
      <c r="ALY18" s="418"/>
      <c r="ALZ18" s="418"/>
      <c r="AMA18" s="418"/>
      <c r="AMB18" s="418"/>
      <c r="AMC18" s="418"/>
      <c r="AMD18" s="418"/>
      <c r="AME18" s="418"/>
      <c r="AMF18" s="418"/>
      <c r="AMG18" s="418"/>
      <c r="AMH18" s="418"/>
      <c r="AMI18" s="418"/>
      <c r="AMJ18" s="418"/>
      <c r="AMK18" s="418"/>
      <c r="AML18" s="418"/>
      <c r="AMM18" s="418"/>
      <c r="AMN18" s="418"/>
      <c r="AMO18" s="418"/>
      <c r="AMP18" s="418"/>
      <c r="AMQ18" s="418"/>
      <c r="AMR18" s="418"/>
      <c r="AMS18" s="418"/>
      <c r="AMT18" s="418"/>
      <c r="AMU18" s="418"/>
      <c r="AMV18" s="418"/>
      <c r="AMW18" s="418"/>
      <c r="AMX18" s="418"/>
      <c r="AMY18" s="418"/>
      <c r="AMZ18" s="418"/>
      <c r="ANA18" s="418"/>
      <c r="ANB18" s="418"/>
      <c r="ANC18" s="418"/>
      <c r="AND18" s="418"/>
      <c r="ANE18" s="418"/>
      <c r="ANF18" s="418"/>
      <c r="ANG18" s="418"/>
      <c r="ANH18" s="418"/>
      <c r="ANI18" s="418"/>
      <c r="ANJ18" s="418"/>
      <c r="ANK18" s="418"/>
      <c r="ANL18" s="418"/>
      <c r="ANM18" s="418"/>
      <c r="ANN18" s="418"/>
      <c r="ANO18" s="418"/>
      <c r="ANP18" s="418"/>
      <c r="ANQ18" s="418"/>
      <c r="ANR18" s="418"/>
      <c r="ANS18" s="418"/>
      <c r="ANT18" s="418"/>
      <c r="ANU18" s="418"/>
      <c r="ANV18" s="418"/>
      <c r="ANW18" s="418"/>
      <c r="ANX18" s="418"/>
      <c r="ANY18" s="418"/>
      <c r="ANZ18" s="418"/>
      <c r="AOA18" s="418"/>
      <c r="AOB18" s="418"/>
      <c r="AOC18" s="418"/>
      <c r="AOD18" s="418"/>
      <c r="AOE18" s="418"/>
      <c r="AOF18" s="418"/>
      <c r="AOG18" s="418"/>
      <c r="AOH18" s="418"/>
      <c r="AOI18" s="418"/>
      <c r="AOJ18" s="418"/>
      <c r="AOK18" s="418"/>
      <c r="AOL18" s="418"/>
      <c r="AOM18" s="418"/>
      <c r="AON18" s="418"/>
      <c r="AOO18" s="418"/>
      <c r="AOP18" s="418"/>
      <c r="AOQ18" s="418"/>
      <c r="AOR18" s="418"/>
      <c r="AOS18" s="418"/>
      <c r="AOT18" s="418"/>
      <c r="AOU18" s="418"/>
      <c r="AOV18" s="418"/>
      <c r="AOW18" s="418"/>
      <c r="AOX18" s="418"/>
      <c r="AOY18" s="418"/>
      <c r="AOZ18" s="418"/>
      <c r="APA18" s="418"/>
      <c r="APB18" s="418"/>
      <c r="APC18" s="418"/>
      <c r="APD18" s="418"/>
      <c r="APE18" s="418"/>
      <c r="APF18" s="418"/>
      <c r="APG18" s="418"/>
      <c r="APH18" s="418"/>
      <c r="API18" s="418"/>
      <c r="APJ18" s="418"/>
      <c r="APK18" s="418"/>
      <c r="APL18" s="418"/>
      <c r="APM18" s="418"/>
      <c r="APN18" s="418"/>
      <c r="APO18" s="418"/>
      <c r="APP18" s="418"/>
      <c r="APQ18" s="418"/>
      <c r="APR18" s="418"/>
      <c r="APS18" s="418"/>
      <c r="APT18" s="418"/>
      <c r="APU18" s="418"/>
      <c r="APV18" s="418"/>
      <c r="APW18" s="418"/>
      <c r="APX18" s="418"/>
      <c r="APY18" s="418"/>
      <c r="APZ18" s="418"/>
      <c r="AQA18" s="418"/>
      <c r="AQB18" s="418"/>
      <c r="AQC18" s="418"/>
      <c r="AQD18" s="418"/>
      <c r="AQE18" s="418"/>
      <c r="AQF18" s="418"/>
      <c r="AQG18" s="418"/>
      <c r="AQH18" s="418"/>
      <c r="AQI18" s="418"/>
      <c r="AQJ18" s="418"/>
      <c r="AQK18" s="418"/>
      <c r="AQL18" s="418"/>
      <c r="AQM18" s="418"/>
      <c r="AQN18" s="418"/>
      <c r="AQO18" s="418"/>
      <c r="AQP18" s="418"/>
      <c r="AQQ18" s="418"/>
      <c r="AQR18" s="418"/>
      <c r="AQS18" s="418"/>
      <c r="AQT18" s="418"/>
      <c r="AQU18" s="418"/>
      <c r="AQV18" s="418"/>
      <c r="AQW18" s="418"/>
      <c r="AQX18" s="418"/>
      <c r="AQY18" s="418"/>
      <c r="AQZ18" s="418"/>
      <c r="ARA18" s="418"/>
      <c r="ARB18" s="418"/>
      <c r="ARC18" s="418"/>
      <c r="ARD18" s="418"/>
      <c r="ARE18" s="418"/>
      <c r="ARF18" s="418"/>
      <c r="ARG18" s="418"/>
      <c r="ARH18" s="418"/>
      <c r="ARI18" s="418"/>
      <c r="ARJ18" s="418"/>
      <c r="ARK18" s="418"/>
      <c r="ARL18" s="418"/>
      <c r="ARM18" s="418"/>
      <c r="ARN18" s="418"/>
      <c r="ARO18" s="418"/>
      <c r="ARP18" s="418"/>
      <c r="ARQ18" s="418"/>
      <c r="ARR18" s="418"/>
      <c r="ARS18" s="418"/>
      <c r="ART18" s="418"/>
      <c r="ARU18" s="418"/>
      <c r="ARV18" s="418"/>
      <c r="ARW18" s="418"/>
      <c r="ARX18" s="418"/>
      <c r="ARY18" s="418"/>
      <c r="ARZ18" s="418"/>
      <c r="ASA18" s="418"/>
      <c r="ASB18" s="418"/>
      <c r="ASC18" s="418"/>
      <c r="ASD18" s="418"/>
      <c r="ASE18" s="418"/>
      <c r="ASF18" s="418"/>
      <c r="ASG18" s="418"/>
      <c r="ASH18" s="418"/>
      <c r="ASI18" s="418"/>
      <c r="ASJ18" s="418"/>
      <c r="ASK18" s="418"/>
      <c r="ASL18" s="418"/>
      <c r="ASM18" s="418"/>
      <c r="ASN18" s="418"/>
      <c r="ASO18" s="418"/>
      <c r="ASP18" s="418"/>
      <c r="ASQ18" s="418"/>
      <c r="ASR18" s="418"/>
      <c r="ASS18" s="418"/>
      <c r="AST18" s="418"/>
      <c r="ASU18" s="418"/>
      <c r="ASV18" s="418"/>
      <c r="ASW18" s="418"/>
      <c r="ASX18" s="418"/>
      <c r="ASY18" s="418"/>
      <c r="ASZ18" s="418"/>
      <c r="ATA18" s="418"/>
      <c r="ATB18" s="418"/>
      <c r="ATC18" s="418"/>
      <c r="ATD18" s="418"/>
      <c r="ATE18" s="418"/>
      <c r="ATF18" s="418"/>
      <c r="ATG18" s="418"/>
      <c r="ATH18" s="418"/>
      <c r="ATI18" s="418"/>
      <c r="ATJ18" s="418"/>
      <c r="ATK18" s="418"/>
      <c r="ATL18" s="418"/>
      <c r="ATM18" s="418"/>
      <c r="ATN18" s="418"/>
      <c r="ATO18" s="418"/>
      <c r="ATP18" s="418"/>
      <c r="ATQ18" s="418"/>
      <c r="ATR18" s="418"/>
      <c r="ATS18" s="418"/>
      <c r="ATT18" s="418"/>
      <c r="ATU18" s="418"/>
      <c r="ATV18" s="418"/>
      <c r="ATW18" s="418"/>
      <c r="ATX18" s="418"/>
      <c r="ATY18" s="418"/>
      <c r="ATZ18" s="418"/>
      <c r="AUA18" s="418"/>
      <c r="AUB18" s="418"/>
      <c r="AUC18" s="418"/>
      <c r="AUD18" s="418"/>
      <c r="AUE18" s="418"/>
      <c r="AUF18" s="418"/>
      <c r="AUG18" s="418"/>
      <c r="AUH18" s="418"/>
      <c r="AUI18" s="418"/>
      <c r="AUJ18" s="418"/>
      <c r="AUK18" s="418"/>
      <c r="AUL18" s="418"/>
      <c r="AUM18" s="418"/>
      <c r="AUN18" s="418"/>
      <c r="AUO18" s="418"/>
      <c r="AUP18" s="418"/>
      <c r="AUQ18" s="418"/>
      <c r="AUR18" s="418"/>
      <c r="AUS18" s="418"/>
      <c r="AUT18" s="418"/>
      <c r="AUU18" s="418"/>
      <c r="AUV18" s="418"/>
      <c r="AUW18" s="418"/>
      <c r="AUX18" s="418"/>
      <c r="AUY18" s="418"/>
      <c r="AUZ18" s="418"/>
      <c r="AVA18" s="418"/>
      <c r="AVB18" s="418"/>
      <c r="AVC18" s="418"/>
      <c r="AVD18" s="418"/>
      <c r="AVE18" s="418"/>
      <c r="AVF18" s="418"/>
      <c r="AVG18" s="418"/>
      <c r="AVH18" s="418"/>
      <c r="AVI18" s="418"/>
      <c r="AVJ18" s="418"/>
      <c r="AVK18" s="418"/>
      <c r="AVL18" s="418"/>
      <c r="AVM18" s="418"/>
      <c r="AVN18" s="418"/>
      <c r="AVO18" s="418"/>
      <c r="AVP18" s="418"/>
      <c r="AVQ18" s="418"/>
      <c r="AVR18" s="418"/>
      <c r="AVS18" s="418"/>
      <c r="AVT18" s="418"/>
      <c r="AVU18" s="418"/>
      <c r="AVV18" s="418"/>
      <c r="AVW18" s="418"/>
      <c r="AVX18" s="418"/>
      <c r="AVY18" s="418"/>
      <c r="AVZ18" s="418"/>
      <c r="AWA18" s="418"/>
      <c r="AWB18" s="418"/>
      <c r="AWC18" s="418"/>
      <c r="AWD18" s="418"/>
      <c r="AWE18" s="418"/>
      <c r="AWF18" s="418"/>
      <c r="AWG18" s="418"/>
      <c r="AWH18" s="418"/>
      <c r="AWI18" s="418"/>
      <c r="AWJ18" s="418"/>
      <c r="AWK18" s="418"/>
      <c r="AWL18" s="418"/>
      <c r="AWM18" s="418"/>
      <c r="AWN18" s="418"/>
      <c r="AWO18" s="418"/>
      <c r="AWP18" s="418"/>
      <c r="AWQ18" s="418"/>
      <c r="AWR18" s="418"/>
      <c r="AWS18" s="418"/>
      <c r="AWT18" s="418"/>
      <c r="AWU18" s="418"/>
      <c r="AWV18" s="418"/>
      <c r="AWW18" s="418"/>
      <c r="AWX18" s="418"/>
      <c r="AWY18" s="418"/>
      <c r="AWZ18" s="418"/>
      <c r="AXA18" s="418"/>
      <c r="AXB18" s="418"/>
      <c r="AXC18" s="418"/>
      <c r="AXD18" s="418"/>
      <c r="AXE18" s="418"/>
      <c r="AXF18" s="418"/>
      <c r="AXG18" s="418"/>
      <c r="AXH18" s="418"/>
      <c r="AXI18" s="418"/>
      <c r="AXJ18" s="418"/>
      <c r="AXK18" s="418"/>
      <c r="AXL18" s="418"/>
      <c r="AXM18" s="418"/>
      <c r="AXN18" s="418"/>
      <c r="AXO18" s="418"/>
      <c r="AXP18" s="418"/>
      <c r="AXQ18" s="418"/>
      <c r="AXR18" s="418"/>
      <c r="AXS18" s="418"/>
      <c r="AXT18" s="418"/>
      <c r="AXU18" s="418"/>
      <c r="AXV18" s="418"/>
      <c r="AXW18" s="418"/>
      <c r="AXX18" s="418"/>
      <c r="AXY18" s="418"/>
      <c r="AXZ18" s="418"/>
      <c r="AYA18" s="418"/>
      <c r="AYB18" s="418"/>
      <c r="AYC18" s="418"/>
      <c r="AYD18" s="418"/>
      <c r="AYE18" s="418"/>
      <c r="AYF18" s="418"/>
      <c r="AYG18" s="418"/>
      <c r="AYH18" s="418"/>
      <c r="AYI18" s="418"/>
      <c r="AYJ18" s="418"/>
      <c r="AYK18" s="418"/>
      <c r="AYL18" s="418"/>
      <c r="AYM18" s="418"/>
      <c r="AYN18" s="418"/>
      <c r="AYO18" s="418"/>
      <c r="AYP18" s="418"/>
      <c r="AYQ18" s="418"/>
      <c r="AYR18" s="418"/>
      <c r="AYS18" s="418"/>
      <c r="AYT18" s="418"/>
      <c r="AYU18" s="418"/>
      <c r="AYV18" s="418"/>
      <c r="AYW18" s="418"/>
      <c r="AYX18" s="418"/>
      <c r="AYY18" s="418"/>
      <c r="AYZ18" s="418"/>
      <c r="AZA18" s="418"/>
      <c r="AZB18" s="418"/>
      <c r="AZC18" s="418"/>
      <c r="AZD18" s="418"/>
      <c r="AZE18" s="418"/>
      <c r="AZF18" s="418"/>
      <c r="AZG18" s="418"/>
      <c r="AZH18" s="418"/>
      <c r="AZI18" s="418"/>
      <c r="AZJ18" s="418"/>
      <c r="AZK18" s="418"/>
      <c r="AZL18" s="418"/>
      <c r="AZM18" s="418"/>
      <c r="AZN18" s="418"/>
      <c r="AZO18" s="418"/>
      <c r="AZP18" s="418"/>
      <c r="AZQ18" s="418"/>
      <c r="AZR18" s="418"/>
      <c r="AZS18" s="418"/>
      <c r="AZT18" s="418"/>
      <c r="AZU18" s="418"/>
      <c r="AZV18" s="418"/>
      <c r="AZW18" s="418"/>
      <c r="AZX18" s="418"/>
      <c r="AZY18" s="418"/>
      <c r="AZZ18" s="418"/>
      <c r="BAA18" s="418"/>
      <c r="BAB18" s="418"/>
      <c r="BAC18" s="418"/>
      <c r="BAD18" s="418"/>
      <c r="BAE18" s="418"/>
      <c r="BAF18" s="418"/>
      <c r="BAG18" s="418"/>
      <c r="BAH18" s="418"/>
      <c r="BAI18" s="418"/>
      <c r="BAJ18" s="418"/>
      <c r="BAK18" s="418"/>
      <c r="BAL18" s="418"/>
      <c r="BAM18" s="418"/>
      <c r="BAN18" s="418"/>
      <c r="BAO18" s="418"/>
      <c r="BAP18" s="418"/>
      <c r="BAQ18" s="418"/>
      <c r="BAR18" s="418"/>
      <c r="BAS18" s="418"/>
      <c r="BAT18" s="418"/>
      <c r="BAU18" s="418"/>
      <c r="BAV18" s="418"/>
      <c r="BAW18" s="418"/>
      <c r="BAX18" s="418"/>
      <c r="BAY18" s="418"/>
      <c r="BAZ18" s="418"/>
      <c r="BBA18" s="418"/>
      <c r="BBB18" s="418"/>
      <c r="BBC18" s="418"/>
      <c r="BBD18" s="418"/>
      <c r="BBE18" s="418"/>
      <c r="BBF18" s="418"/>
      <c r="BBG18" s="418"/>
      <c r="BBH18" s="418"/>
      <c r="BBI18" s="418"/>
      <c r="BBJ18" s="418"/>
      <c r="BBK18" s="418"/>
      <c r="BBL18" s="418"/>
      <c r="BBM18" s="418"/>
      <c r="BBN18" s="418"/>
      <c r="BBO18" s="418"/>
      <c r="BBP18" s="418"/>
      <c r="BBQ18" s="418"/>
      <c r="BBR18" s="418"/>
      <c r="BBS18" s="418"/>
      <c r="BBT18" s="418"/>
      <c r="BBU18" s="418"/>
      <c r="BBV18" s="418"/>
      <c r="BBW18" s="418"/>
      <c r="BBX18" s="418"/>
      <c r="BBY18" s="418"/>
      <c r="BBZ18" s="418"/>
      <c r="BCA18" s="418"/>
      <c r="BCB18" s="418"/>
      <c r="BCC18" s="418"/>
      <c r="BCD18" s="418"/>
      <c r="BCE18" s="418"/>
      <c r="BCF18" s="418"/>
      <c r="BCG18" s="418"/>
      <c r="BCH18" s="418"/>
      <c r="BCI18" s="418"/>
      <c r="BCJ18" s="418"/>
      <c r="BCK18" s="418"/>
      <c r="BCL18" s="418"/>
      <c r="BCM18" s="418"/>
      <c r="BCN18" s="418"/>
      <c r="BCO18" s="418"/>
      <c r="BCP18" s="418"/>
      <c r="BCQ18" s="418"/>
      <c r="BCR18" s="418"/>
      <c r="BCS18" s="418"/>
      <c r="BCT18" s="418"/>
      <c r="BCU18" s="418"/>
      <c r="BCV18" s="418"/>
      <c r="BCW18" s="418"/>
      <c r="BCX18" s="418"/>
      <c r="BCY18" s="418"/>
      <c r="BCZ18" s="418"/>
      <c r="BDA18" s="418"/>
      <c r="BDB18" s="418"/>
      <c r="BDC18" s="418"/>
      <c r="BDD18" s="418"/>
      <c r="BDE18" s="418"/>
      <c r="BDF18" s="418"/>
      <c r="BDG18" s="418"/>
      <c r="BDH18" s="418"/>
      <c r="BDI18" s="418"/>
      <c r="BDJ18" s="418"/>
      <c r="BDK18" s="418"/>
      <c r="BDL18" s="418"/>
      <c r="BDM18" s="418"/>
      <c r="BDN18" s="418"/>
      <c r="BDO18" s="418"/>
      <c r="BDP18" s="418"/>
      <c r="BDQ18" s="418"/>
      <c r="BDR18" s="418"/>
      <c r="BDS18" s="418"/>
      <c r="BDT18" s="418"/>
      <c r="BDU18" s="418"/>
      <c r="BDV18" s="418"/>
      <c r="BDW18" s="418"/>
      <c r="BDX18" s="418"/>
      <c r="BDY18" s="418"/>
      <c r="BDZ18" s="418"/>
      <c r="BEA18" s="418"/>
      <c r="BEB18" s="418"/>
      <c r="BEC18" s="418"/>
      <c r="BED18" s="418"/>
      <c r="BEE18" s="418"/>
      <c r="BEF18" s="418"/>
      <c r="BEG18" s="418"/>
      <c r="BEH18" s="418"/>
      <c r="BEI18" s="418"/>
      <c r="BEJ18" s="418"/>
      <c r="BEK18" s="418"/>
      <c r="BEL18" s="418"/>
      <c r="BEM18" s="418"/>
      <c r="BEN18" s="418"/>
      <c r="BEO18" s="418"/>
      <c r="BEP18" s="418"/>
      <c r="BEQ18" s="418"/>
      <c r="BER18" s="418"/>
      <c r="BES18" s="418"/>
      <c r="BET18" s="418"/>
      <c r="BEU18" s="418"/>
      <c r="BEV18" s="418"/>
      <c r="BEW18" s="418"/>
      <c r="BEX18" s="418"/>
      <c r="BEY18" s="418"/>
      <c r="BEZ18" s="418"/>
      <c r="BFA18" s="418"/>
      <c r="BFB18" s="418"/>
      <c r="BFC18" s="418"/>
      <c r="BFD18" s="418"/>
      <c r="BFE18" s="418"/>
      <c r="BFF18" s="418"/>
      <c r="BFG18" s="418"/>
      <c r="BFH18" s="418"/>
      <c r="BFI18" s="418"/>
      <c r="BFJ18" s="418"/>
      <c r="BFK18" s="418"/>
      <c r="BFL18" s="418"/>
      <c r="BFM18" s="418"/>
      <c r="BFN18" s="418"/>
      <c r="BFO18" s="418"/>
      <c r="BFP18" s="418"/>
      <c r="BFQ18" s="418"/>
      <c r="BFR18" s="418"/>
      <c r="BFS18" s="418"/>
      <c r="BFT18" s="418"/>
      <c r="BFU18" s="418"/>
      <c r="BFV18" s="418"/>
      <c r="BFW18" s="418"/>
      <c r="BFX18" s="418"/>
      <c r="BFY18" s="418"/>
      <c r="BFZ18" s="418"/>
      <c r="BGA18" s="418"/>
      <c r="BGB18" s="418"/>
      <c r="BGC18" s="418"/>
      <c r="BGD18" s="418"/>
      <c r="BGE18" s="418"/>
      <c r="BGF18" s="418"/>
      <c r="BGG18" s="418"/>
      <c r="BGH18" s="418"/>
      <c r="BGI18" s="418"/>
      <c r="BGJ18" s="418"/>
      <c r="BGK18" s="418"/>
      <c r="BGL18" s="418"/>
      <c r="BGM18" s="418"/>
      <c r="BGN18" s="418"/>
      <c r="BGO18" s="418"/>
      <c r="BGP18" s="418"/>
      <c r="BGQ18" s="418"/>
      <c r="BGR18" s="418"/>
      <c r="BGS18" s="418"/>
      <c r="BGT18" s="418"/>
      <c r="BGU18" s="418"/>
      <c r="BGV18" s="418"/>
      <c r="BGW18" s="418"/>
      <c r="BGX18" s="418"/>
      <c r="BGY18" s="418"/>
      <c r="BGZ18" s="418"/>
      <c r="BHA18" s="418"/>
      <c r="BHB18" s="418"/>
      <c r="BHC18" s="418"/>
      <c r="BHD18" s="418"/>
      <c r="BHE18" s="418"/>
      <c r="BHF18" s="418"/>
      <c r="BHG18" s="418"/>
      <c r="BHH18" s="418"/>
      <c r="BHI18" s="418"/>
      <c r="BHJ18" s="418"/>
      <c r="BHK18" s="418"/>
      <c r="BHL18" s="418"/>
      <c r="BHM18" s="418"/>
      <c r="BHN18" s="418"/>
      <c r="BHO18" s="418"/>
      <c r="BHP18" s="418"/>
      <c r="BHQ18" s="418"/>
      <c r="BHR18" s="418"/>
      <c r="BHS18" s="418"/>
      <c r="BHT18" s="418"/>
      <c r="BHU18" s="418"/>
      <c r="BHV18" s="418"/>
      <c r="BHW18" s="418"/>
      <c r="BHX18" s="418"/>
      <c r="BHY18" s="418"/>
      <c r="BHZ18" s="418"/>
      <c r="BIA18" s="418"/>
      <c r="BIB18" s="418"/>
      <c r="BIC18" s="418"/>
      <c r="BID18" s="418"/>
      <c r="BIE18" s="418"/>
      <c r="BIF18" s="418"/>
      <c r="BIG18" s="418"/>
      <c r="BIH18" s="418"/>
      <c r="BII18" s="418"/>
      <c r="BIJ18" s="418"/>
      <c r="BIK18" s="418"/>
      <c r="BIL18" s="418"/>
      <c r="BIM18" s="418"/>
      <c r="BIN18" s="418"/>
      <c r="BIO18" s="418"/>
      <c r="BIP18" s="418"/>
      <c r="BIQ18" s="418"/>
      <c r="BIR18" s="418"/>
      <c r="BIS18" s="418"/>
      <c r="BIT18" s="418"/>
      <c r="BIU18" s="418"/>
      <c r="BIV18" s="418"/>
      <c r="BIW18" s="418"/>
      <c r="BIX18" s="418"/>
      <c r="BIY18" s="418"/>
      <c r="BIZ18" s="418"/>
      <c r="BJA18" s="418"/>
      <c r="BJB18" s="418"/>
      <c r="BJC18" s="418"/>
      <c r="BJD18" s="418"/>
      <c r="BJE18" s="418"/>
      <c r="BJF18" s="418"/>
      <c r="BJG18" s="418"/>
      <c r="BJH18" s="418"/>
      <c r="BJI18" s="418"/>
      <c r="BJJ18" s="418"/>
      <c r="BJK18" s="418"/>
      <c r="BJL18" s="418"/>
      <c r="BJM18" s="418"/>
      <c r="BJN18" s="418"/>
      <c r="BJO18" s="418"/>
      <c r="BJP18" s="418"/>
      <c r="BJQ18" s="418"/>
      <c r="BJR18" s="418"/>
      <c r="BJS18" s="418"/>
      <c r="BJT18" s="418"/>
      <c r="BJU18" s="418"/>
      <c r="BJV18" s="418"/>
      <c r="BJW18" s="418"/>
      <c r="BJX18" s="418"/>
      <c r="BJY18" s="418"/>
      <c r="BJZ18" s="418"/>
      <c r="BKA18" s="418"/>
      <c r="BKB18" s="418"/>
      <c r="BKC18" s="418"/>
      <c r="BKD18" s="418"/>
      <c r="BKE18" s="418"/>
      <c r="BKF18" s="418"/>
      <c r="BKG18" s="418"/>
      <c r="BKH18" s="418"/>
      <c r="BKI18" s="418"/>
      <c r="BKJ18" s="418"/>
      <c r="BKK18" s="418"/>
      <c r="BKL18" s="418"/>
      <c r="BKM18" s="418"/>
      <c r="BKN18" s="418"/>
      <c r="BKO18" s="418"/>
      <c r="BKP18" s="418"/>
      <c r="BKQ18" s="418"/>
      <c r="BKR18" s="418"/>
      <c r="BKS18" s="418"/>
      <c r="BKT18" s="418"/>
      <c r="BKU18" s="418"/>
      <c r="BKV18" s="418"/>
      <c r="BKW18" s="418"/>
      <c r="BKX18" s="418"/>
      <c r="BKY18" s="418"/>
      <c r="BKZ18" s="418"/>
      <c r="BLA18" s="418"/>
      <c r="BLB18" s="418"/>
      <c r="BLC18" s="418"/>
      <c r="BLD18" s="418"/>
      <c r="BLE18" s="418"/>
      <c r="BLF18" s="418"/>
      <c r="BLG18" s="418"/>
      <c r="BLH18" s="418"/>
      <c r="BLI18" s="418"/>
      <c r="BLJ18" s="418"/>
      <c r="BLK18" s="418"/>
      <c r="BLL18" s="418"/>
      <c r="BLM18" s="418"/>
      <c r="BLN18" s="418"/>
      <c r="BLO18" s="418"/>
      <c r="BLP18" s="418"/>
      <c r="BLQ18" s="418"/>
      <c r="BLR18" s="418"/>
      <c r="BLS18" s="418"/>
      <c r="BLT18" s="418"/>
      <c r="BLU18" s="418"/>
      <c r="BLV18" s="418"/>
      <c r="BLW18" s="418"/>
      <c r="BLX18" s="418"/>
      <c r="BLY18" s="418"/>
      <c r="BLZ18" s="418"/>
      <c r="BMA18" s="418"/>
      <c r="BMB18" s="418"/>
      <c r="BMC18" s="418"/>
      <c r="BMD18" s="418"/>
      <c r="BME18" s="418"/>
      <c r="BMF18" s="418"/>
      <c r="BMG18" s="418"/>
      <c r="BMH18" s="418"/>
      <c r="BMI18" s="418"/>
      <c r="BMJ18" s="418"/>
      <c r="BMK18" s="418"/>
      <c r="BML18" s="418"/>
      <c r="BMM18" s="418"/>
      <c r="BMN18" s="418"/>
      <c r="BMO18" s="418"/>
      <c r="BMP18" s="418"/>
      <c r="BMQ18" s="418"/>
      <c r="BMR18" s="418"/>
      <c r="BMS18" s="418"/>
      <c r="BMT18" s="418"/>
      <c r="BMU18" s="418"/>
      <c r="BMV18" s="418"/>
      <c r="BMW18" s="418"/>
      <c r="BMX18" s="418"/>
      <c r="BMY18" s="418"/>
      <c r="BMZ18" s="418"/>
      <c r="BNA18" s="418"/>
      <c r="BNB18" s="418"/>
      <c r="BNC18" s="418"/>
      <c r="BND18" s="418"/>
      <c r="BNE18" s="418"/>
      <c r="BNF18" s="418"/>
      <c r="BNG18" s="418"/>
      <c r="BNH18" s="418"/>
      <c r="BNI18" s="418"/>
      <c r="BNJ18" s="418"/>
      <c r="BNK18" s="418"/>
      <c r="BNL18" s="418"/>
      <c r="BNM18" s="418"/>
      <c r="BNN18" s="418"/>
      <c r="BNO18" s="418"/>
      <c r="BNP18" s="418"/>
      <c r="BNQ18" s="418"/>
      <c r="BNR18" s="418"/>
      <c r="BNS18" s="418"/>
      <c r="BNT18" s="418"/>
      <c r="BNU18" s="418"/>
      <c r="BNV18" s="418"/>
      <c r="BNW18" s="418"/>
      <c r="BNX18" s="418"/>
      <c r="BNY18" s="418"/>
      <c r="BNZ18" s="418"/>
      <c r="BOA18" s="418"/>
      <c r="BOB18" s="418"/>
      <c r="BOC18" s="418"/>
      <c r="BOD18" s="418"/>
      <c r="BOE18" s="418"/>
      <c r="BOF18" s="418"/>
      <c r="BOG18" s="418"/>
      <c r="BOH18" s="418"/>
      <c r="BOI18" s="418"/>
      <c r="BOJ18" s="418"/>
      <c r="BOK18" s="418"/>
      <c r="BOL18" s="418"/>
      <c r="BOM18" s="418"/>
      <c r="BON18" s="418"/>
      <c r="BOO18" s="418"/>
      <c r="BOP18" s="418"/>
      <c r="BOQ18" s="418"/>
      <c r="BOR18" s="418"/>
      <c r="BOS18" s="418"/>
      <c r="BOT18" s="418"/>
      <c r="BOU18" s="418"/>
      <c r="BOV18" s="418"/>
      <c r="BOW18" s="418"/>
      <c r="BOX18" s="418"/>
      <c r="BOY18" s="418"/>
      <c r="BOZ18" s="418"/>
      <c r="BPA18" s="418"/>
      <c r="BPB18" s="418"/>
      <c r="BPC18" s="418"/>
      <c r="BPD18" s="418"/>
      <c r="BPE18" s="418"/>
      <c r="BPF18" s="418"/>
      <c r="BPG18" s="418"/>
      <c r="BPH18" s="418"/>
      <c r="BPI18" s="418"/>
      <c r="BPJ18" s="418"/>
      <c r="BPK18" s="418"/>
      <c r="BPL18" s="418"/>
      <c r="BPM18" s="418"/>
      <c r="BPN18" s="418"/>
      <c r="BPO18" s="418"/>
      <c r="BPP18" s="418"/>
      <c r="BPQ18" s="418"/>
      <c r="BPR18" s="418"/>
      <c r="BPS18" s="418"/>
      <c r="BPT18" s="418"/>
      <c r="BPU18" s="418"/>
      <c r="BPV18" s="418"/>
      <c r="BPW18" s="418"/>
      <c r="BPX18" s="418"/>
      <c r="BPY18" s="418"/>
      <c r="BPZ18" s="418"/>
      <c r="BQA18" s="418"/>
      <c r="BQB18" s="418"/>
      <c r="BQC18" s="418"/>
      <c r="BQD18" s="418"/>
      <c r="BQE18" s="418"/>
      <c r="BQF18" s="418"/>
      <c r="BQG18" s="418"/>
      <c r="BQH18" s="418"/>
      <c r="BQI18" s="418"/>
      <c r="BQJ18" s="418"/>
      <c r="BQK18" s="418"/>
      <c r="BQL18" s="418"/>
      <c r="BQM18" s="418"/>
      <c r="BQN18" s="418"/>
      <c r="BQO18" s="418"/>
      <c r="BQP18" s="418"/>
      <c r="BQQ18" s="418"/>
      <c r="BQR18" s="418"/>
      <c r="BQS18" s="418"/>
      <c r="BQT18" s="418"/>
      <c r="BQU18" s="418"/>
      <c r="BQV18" s="418"/>
      <c r="BQW18" s="418"/>
      <c r="BQX18" s="418"/>
      <c r="BQY18" s="418"/>
      <c r="BQZ18" s="418"/>
      <c r="BRA18" s="418"/>
      <c r="BRB18" s="418"/>
      <c r="BRC18" s="418"/>
      <c r="BRD18" s="418"/>
      <c r="BRE18" s="418"/>
      <c r="BRF18" s="418"/>
      <c r="BRG18" s="418"/>
      <c r="BRH18" s="418"/>
      <c r="BRI18" s="418"/>
      <c r="BRJ18" s="418"/>
      <c r="BRK18" s="418"/>
      <c r="BRL18" s="418"/>
      <c r="BRM18" s="418"/>
      <c r="BRN18" s="418"/>
      <c r="BRO18" s="418"/>
      <c r="BRP18" s="418"/>
      <c r="BRQ18" s="418"/>
      <c r="BRR18" s="418"/>
      <c r="BRS18" s="418"/>
      <c r="BRT18" s="418"/>
      <c r="BRU18" s="418"/>
      <c r="BRV18" s="418"/>
      <c r="BRW18" s="418"/>
      <c r="BRX18" s="418"/>
      <c r="BRY18" s="418"/>
      <c r="BRZ18" s="418"/>
      <c r="BSA18" s="418"/>
      <c r="BSB18" s="418"/>
      <c r="BSC18" s="418"/>
      <c r="BSD18" s="418"/>
      <c r="BSE18" s="418"/>
      <c r="BSF18" s="418"/>
      <c r="BSG18" s="418"/>
      <c r="BSH18" s="418"/>
      <c r="BSI18" s="418"/>
      <c r="BSJ18" s="418"/>
      <c r="BSK18" s="418"/>
      <c r="BSL18" s="418"/>
      <c r="BSM18" s="418"/>
      <c r="BSN18" s="418"/>
      <c r="BSO18" s="418"/>
      <c r="BSP18" s="418"/>
      <c r="BSQ18" s="418"/>
      <c r="BSR18" s="418"/>
      <c r="BSS18" s="418"/>
      <c r="BST18" s="418"/>
      <c r="BSU18" s="418"/>
      <c r="BSV18" s="418"/>
      <c r="BSW18" s="418"/>
      <c r="BSX18" s="418"/>
      <c r="BSY18" s="418"/>
      <c r="BSZ18" s="418"/>
      <c r="BTA18" s="418"/>
      <c r="BTB18" s="418"/>
      <c r="BTC18" s="418"/>
      <c r="BTD18" s="418"/>
      <c r="BTE18" s="418"/>
      <c r="BTF18" s="418"/>
      <c r="BTG18" s="418"/>
      <c r="BTH18" s="418"/>
      <c r="BTI18" s="418"/>
      <c r="BTJ18" s="418"/>
      <c r="BTK18" s="418"/>
      <c r="BTL18" s="418"/>
      <c r="BTM18" s="418"/>
      <c r="BTN18" s="418"/>
      <c r="BTO18" s="418"/>
      <c r="BTP18" s="418"/>
      <c r="BTQ18" s="418"/>
      <c r="BTR18" s="418"/>
      <c r="BTS18" s="418"/>
      <c r="BTT18" s="418"/>
      <c r="BTU18" s="418"/>
      <c r="BTV18" s="418"/>
      <c r="BTW18" s="418"/>
      <c r="BTX18" s="418"/>
      <c r="BTY18" s="418"/>
      <c r="BTZ18" s="418"/>
      <c r="BUA18" s="418"/>
      <c r="BUB18" s="418"/>
      <c r="BUC18" s="418"/>
      <c r="BUD18" s="418"/>
      <c r="BUE18" s="418"/>
      <c r="BUF18" s="418"/>
      <c r="BUG18" s="418"/>
      <c r="BUH18" s="418"/>
      <c r="BUI18" s="418"/>
      <c r="BUJ18" s="418"/>
      <c r="BUK18" s="418"/>
      <c r="BUL18" s="418"/>
      <c r="BUM18" s="418"/>
      <c r="BUN18" s="418"/>
      <c r="BUO18" s="418"/>
      <c r="BUP18" s="418"/>
      <c r="BUQ18" s="418"/>
      <c r="BUR18" s="418"/>
      <c r="BUS18" s="418"/>
      <c r="BUT18" s="418"/>
      <c r="BUU18" s="418"/>
      <c r="BUV18" s="418"/>
      <c r="BUW18" s="418"/>
      <c r="BUX18" s="418"/>
      <c r="BUY18" s="418"/>
      <c r="BUZ18" s="418"/>
      <c r="BVA18" s="418"/>
      <c r="BVB18" s="418"/>
      <c r="BVC18" s="418"/>
      <c r="BVD18" s="418"/>
      <c r="BVE18" s="418"/>
      <c r="BVF18" s="418"/>
      <c r="BVG18" s="418"/>
      <c r="BVH18" s="418"/>
      <c r="BVI18" s="418"/>
      <c r="BVJ18" s="418"/>
      <c r="BVK18" s="418"/>
      <c r="BVL18" s="418"/>
      <c r="BVM18" s="418"/>
      <c r="BVN18" s="418"/>
      <c r="BVO18" s="418"/>
      <c r="BVP18" s="418"/>
      <c r="BVQ18" s="418"/>
      <c r="BVR18" s="418"/>
      <c r="BVS18" s="418"/>
      <c r="BVT18" s="418"/>
      <c r="BVU18" s="418"/>
      <c r="BVV18" s="418"/>
      <c r="BVW18" s="418"/>
      <c r="BVX18" s="418"/>
      <c r="BVY18" s="418"/>
      <c r="BVZ18" s="418"/>
      <c r="BWA18" s="418"/>
      <c r="BWB18" s="418"/>
      <c r="BWC18" s="418"/>
      <c r="BWD18" s="418"/>
      <c r="BWE18" s="418"/>
      <c r="BWF18" s="418"/>
      <c r="BWG18" s="418"/>
      <c r="BWH18" s="418"/>
      <c r="BWI18" s="418"/>
      <c r="BWJ18" s="418"/>
      <c r="BWK18" s="418"/>
      <c r="BWL18" s="418"/>
      <c r="BWM18" s="418"/>
      <c r="BWN18" s="418"/>
      <c r="BWO18" s="418"/>
      <c r="BWP18" s="418"/>
      <c r="BWQ18" s="418"/>
      <c r="BWR18" s="418"/>
      <c r="BWS18" s="418"/>
      <c r="BWT18" s="418"/>
      <c r="BWU18" s="418"/>
      <c r="BWV18" s="418"/>
      <c r="BWW18" s="418"/>
      <c r="BWX18" s="418"/>
      <c r="BWY18" s="418"/>
      <c r="BWZ18" s="418"/>
      <c r="BXA18" s="418"/>
      <c r="BXB18" s="418"/>
      <c r="BXC18" s="418"/>
      <c r="BXD18" s="418"/>
      <c r="BXE18" s="418"/>
      <c r="BXF18" s="418"/>
      <c r="BXG18" s="418"/>
      <c r="BXH18" s="418"/>
      <c r="BXI18" s="418"/>
      <c r="BXJ18" s="418"/>
      <c r="BXK18" s="418"/>
      <c r="BXL18" s="418"/>
      <c r="BXM18" s="418"/>
      <c r="BXN18" s="418"/>
      <c r="BXO18" s="418"/>
      <c r="BXP18" s="418"/>
      <c r="BXQ18" s="418"/>
      <c r="BXR18" s="418"/>
      <c r="BXS18" s="418"/>
      <c r="BXT18" s="418"/>
      <c r="BXU18" s="418"/>
      <c r="BXV18" s="418"/>
      <c r="BXW18" s="418"/>
      <c r="BXX18" s="418"/>
      <c r="BXY18" s="418"/>
      <c r="BXZ18" s="418"/>
      <c r="BYA18" s="418"/>
      <c r="BYB18" s="418"/>
      <c r="BYC18" s="418"/>
      <c r="BYD18" s="418"/>
      <c r="BYE18" s="418"/>
      <c r="BYF18" s="418"/>
      <c r="BYG18" s="418"/>
      <c r="BYH18" s="418"/>
      <c r="BYI18" s="418"/>
      <c r="BYJ18" s="418"/>
      <c r="BYK18" s="418"/>
      <c r="BYL18" s="418"/>
      <c r="BYM18" s="418"/>
      <c r="BYN18" s="418"/>
      <c r="BYO18" s="418"/>
      <c r="BYP18" s="418"/>
      <c r="BYQ18" s="418"/>
      <c r="BYR18" s="418"/>
      <c r="BYS18" s="418"/>
      <c r="BYT18" s="418"/>
      <c r="BYU18" s="418"/>
      <c r="BYV18" s="418"/>
      <c r="BYW18" s="418"/>
      <c r="BYX18" s="418"/>
      <c r="BYY18" s="418"/>
      <c r="BYZ18" s="418"/>
      <c r="BZA18" s="418"/>
      <c r="BZB18" s="418"/>
      <c r="BZC18" s="418"/>
      <c r="BZD18" s="418"/>
      <c r="BZE18" s="418"/>
      <c r="BZF18" s="418"/>
      <c r="BZG18" s="418"/>
      <c r="BZH18" s="418"/>
      <c r="BZI18" s="418"/>
      <c r="BZJ18" s="418"/>
      <c r="BZK18" s="418"/>
      <c r="BZL18" s="418"/>
      <c r="BZM18" s="418"/>
      <c r="BZN18" s="418"/>
      <c r="BZO18" s="418"/>
      <c r="BZP18" s="418"/>
      <c r="BZQ18" s="418"/>
      <c r="BZR18" s="418"/>
      <c r="BZS18" s="418"/>
      <c r="BZT18" s="418"/>
      <c r="BZU18" s="418"/>
      <c r="BZV18" s="418"/>
      <c r="BZW18" s="418"/>
      <c r="BZX18" s="418"/>
      <c r="BZY18" s="418"/>
      <c r="BZZ18" s="418"/>
      <c r="CAA18" s="418"/>
      <c r="CAB18" s="418"/>
      <c r="CAC18" s="418"/>
      <c r="CAD18" s="418"/>
      <c r="CAE18" s="418"/>
      <c r="CAF18" s="418"/>
      <c r="CAG18" s="418"/>
      <c r="CAH18" s="418"/>
      <c r="CAI18" s="418"/>
      <c r="CAJ18" s="418"/>
      <c r="CAK18" s="418"/>
      <c r="CAL18" s="418"/>
      <c r="CAM18" s="418"/>
      <c r="CAN18" s="418"/>
      <c r="CAO18" s="418"/>
      <c r="CAP18" s="418"/>
      <c r="CAQ18" s="418"/>
      <c r="CAR18" s="418"/>
      <c r="CAS18" s="418"/>
      <c r="CAT18" s="418"/>
      <c r="CAU18" s="418"/>
      <c r="CAV18" s="418"/>
      <c r="CAW18" s="418"/>
      <c r="CAX18" s="418"/>
      <c r="CAY18" s="418"/>
      <c r="CAZ18" s="418"/>
      <c r="CBA18" s="418"/>
      <c r="CBB18" s="418"/>
      <c r="CBC18" s="418"/>
      <c r="CBD18" s="418"/>
      <c r="CBE18" s="418"/>
      <c r="CBF18" s="418"/>
      <c r="CBG18" s="418"/>
      <c r="CBH18" s="418"/>
      <c r="CBI18" s="418"/>
      <c r="CBJ18" s="418"/>
      <c r="CBK18" s="418"/>
      <c r="CBL18" s="418"/>
      <c r="CBM18" s="418"/>
      <c r="CBN18" s="418"/>
      <c r="CBO18" s="418"/>
      <c r="CBP18" s="418"/>
      <c r="CBQ18" s="418"/>
      <c r="CBR18" s="418"/>
      <c r="CBS18" s="418"/>
      <c r="CBT18" s="418"/>
      <c r="CBU18" s="418"/>
      <c r="CBV18" s="418"/>
      <c r="CBW18" s="418"/>
      <c r="CBX18" s="418"/>
      <c r="CBY18" s="418"/>
      <c r="CBZ18" s="418"/>
      <c r="CCA18" s="418"/>
      <c r="CCB18" s="418"/>
      <c r="CCC18" s="418"/>
      <c r="CCD18" s="418"/>
      <c r="CCE18" s="418"/>
      <c r="CCF18" s="418"/>
      <c r="CCG18" s="418"/>
      <c r="CCH18" s="418"/>
      <c r="CCI18" s="418"/>
      <c r="CCJ18" s="418"/>
      <c r="CCK18" s="418"/>
      <c r="CCL18" s="418"/>
      <c r="CCM18" s="418"/>
      <c r="CCN18" s="418"/>
      <c r="CCO18" s="418"/>
      <c r="CCP18" s="418"/>
      <c r="CCQ18" s="418"/>
      <c r="CCR18" s="418"/>
      <c r="CCS18" s="418"/>
      <c r="CCT18" s="418"/>
      <c r="CCU18" s="418"/>
      <c r="CCV18" s="418"/>
      <c r="CCW18" s="418"/>
      <c r="CCX18" s="418"/>
      <c r="CCY18" s="418"/>
      <c r="CCZ18" s="418"/>
      <c r="CDA18" s="418"/>
      <c r="CDB18" s="418"/>
      <c r="CDC18" s="418"/>
      <c r="CDD18" s="418"/>
      <c r="CDE18" s="418"/>
      <c r="CDF18" s="418"/>
      <c r="CDG18" s="418"/>
      <c r="CDH18" s="418"/>
      <c r="CDI18" s="418"/>
      <c r="CDJ18" s="418"/>
      <c r="CDK18" s="418"/>
      <c r="CDL18" s="418"/>
      <c r="CDM18" s="418"/>
      <c r="CDN18" s="418"/>
      <c r="CDO18" s="418"/>
      <c r="CDP18" s="418"/>
      <c r="CDQ18" s="418"/>
      <c r="CDR18" s="418"/>
      <c r="CDS18" s="418"/>
      <c r="CDT18" s="418"/>
      <c r="CDU18" s="418"/>
      <c r="CDV18" s="418"/>
      <c r="CDW18" s="418"/>
      <c r="CDX18" s="418"/>
      <c r="CDY18" s="418"/>
      <c r="CDZ18" s="418"/>
      <c r="CEA18" s="418"/>
      <c r="CEB18" s="418"/>
      <c r="CEC18" s="418"/>
      <c r="CED18" s="418"/>
      <c r="CEE18" s="418"/>
      <c r="CEF18" s="418"/>
      <c r="CEG18" s="418"/>
      <c r="CEH18" s="418"/>
      <c r="CEI18" s="418"/>
      <c r="CEJ18" s="418"/>
      <c r="CEK18" s="418"/>
      <c r="CEL18" s="418"/>
      <c r="CEM18" s="418"/>
      <c r="CEN18" s="418"/>
      <c r="CEO18" s="418"/>
      <c r="CEP18" s="418"/>
      <c r="CEQ18" s="418"/>
      <c r="CER18" s="418"/>
      <c r="CES18" s="418"/>
      <c r="CET18" s="418"/>
      <c r="CEU18" s="418"/>
      <c r="CEV18" s="418"/>
      <c r="CEW18" s="418"/>
      <c r="CEX18" s="418"/>
      <c r="CEY18" s="418"/>
      <c r="CEZ18" s="418"/>
      <c r="CFA18" s="418"/>
      <c r="CFB18" s="418"/>
      <c r="CFC18" s="418"/>
      <c r="CFD18" s="418"/>
      <c r="CFE18" s="418"/>
      <c r="CFF18" s="418"/>
      <c r="CFG18" s="418"/>
      <c r="CFH18" s="418"/>
      <c r="CFI18" s="418"/>
      <c r="CFJ18" s="418"/>
      <c r="CFK18" s="418"/>
      <c r="CFL18" s="418"/>
      <c r="CFM18" s="418"/>
      <c r="CFN18" s="418"/>
      <c r="CFO18" s="418"/>
      <c r="CFP18" s="418"/>
      <c r="CFQ18" s="418"/>
      <c r="CFR18" s="418"/>
      <c r="CFS18" s="418"/>
      <c r="CFT18" s="418"/>
      <c r="CFU18" s="418"/>
      <c r="CFV18" s="418"/>
      <c r="CFW18" s="418"/>
      <c r="CFX18" s="418"/>
      <c r="CFY18" s="418"/>
      <c r="CFZ18" s="418"/>
      <c r="CGA18" s="418"/>
      <c r="CGB18" s="418"/>
      <c r="CGC18" s="418"/>
      <c r="CGD18" s="418"/>
      <c r="CGE18" s="418"/>
      <c r="CGF18" s="418"/>
      <c r="CGG18" s="418"/>
      <c r="CGH18" s="418"/>
      <c r="CGI18" s="418"/>
      <c r="CGJ18" s="418"/>
      <c r="CGK18" s="418"/>
      <c r="CGL18" s="418"/>
      <c r="CGM18" s="418"/>
      <c r="CGN18" s="418"/>
      <c r="CGO18" s="418"/>
      <c r="CGP18" s="418"/>
      <c r="CGQ18" s="418"/>
      <c r="CGR18" s="418"/>
      <c r="CGS18" s="418"/>
      <c r="CGT18" s="418"/>
      <c r="CGU18" s="418"/>
      <c r="CGV18" s="418"/>
      <c r="CGW18" s="418"/>
      <c r="CGX18" s="418"/>
      <c r="CGY18" s="418"/>
      <c r="CGZ18" s="418"/>
      <c r="CHA18" s="418"/>
      <c r="CHB18" s="418"/>
      <c r="CHC18" s="418"/>
      <c r="CHD18" s="418"/>
      <c r="CHE18" s="418"/>
      <c r="CHF18" s="418"/>
      <c r="CHG18" s="418"/>
      <c r="CHH18" s="418"/>
      <c r="CHI18" s="418"/>
      <c r="CHJ18" s="418"/>
      <c r="CHK18" s="418"/>
      <c r="CHL18" s="418"/>
      <c r="CHM18" s="418"/>
      <c r="CHN18" s="418"/>
      <c r="CHO18" s="418"/>
      <c r="CHP18" s="418"/>
      <c r="CHQ18" s="418"/>
      <c r="CHR18" s="418"/>
      <c r="CHS18" s="418"/>
      <c r="CHT18" s="418"/>
      <c r="CHU18" s="418"/>
      <c r="CHV18" s="418"/>
      <c r="CHW18" s="418"/>
      <c r="CHX18" s="418"/>
      <c r="CHY18" s="418"/>
      <c r="CHZ18" s="418"/>
      <c r="CIA18" s="418"/>
      <c r="CIB18" s="418"/>
      <c r="CIC18" s="418"/>
      <c r="CID18" s="418"/>
      <c r="CIE18" s="418"/>
      <c r="CIF18" s="418"/>
      <c r="CIG18" s="418"/>
      <c r="CIH18" s="418"/>
      <c r="CII18" s="418"/>
      <c r="CIJ18" s="418"/>
      <c r="CIK18" s="418"/>
      <c r="CIL18" s="418"/>
      <c r="CIM18" s="418"/>
      <c r="CIN18" s="418"/>
      <c r="CIO18" s="418"/>
      <c r="CIP18" s="418"/>
      <c r="CIQ18" s="418"/>
      <c r="CIR18" s="418"/>
      <c r="CIS18" s="418"/>
      <c r="CIT18" s="418"/>
      <c r="CIU18" s="418"/>
      <c r="CIV18" s="418"/>
      <c r="CIW18" s="418"/>
      <c r="CIX18" s="418"/>
      <c r="CIY18" s="418"/>
      <c r="CIZ18" s="418"/>
      <c r="CJA18" s="418"/>
      <c r="CJB18" s="418"/>
      <c r="CJC18" s="418"/>
      <c r="CJD18" s="418"/>
      <c r="CJE18" s="418"/>
      <c r="CJF18" s="418"/>
      <c r="CJG18" s="418"/>
      <c r="CJH18" s="418"/>
      <c r="CJI18" s="418"/>
      <c r="CJJ18" s="418"/>
      <c r="CJK18" s="418"/>
      <c r="CJL18" s="418"/>
      <c r="CJM18" s="418"/>
      <c r="CJN18" s="418"/>
      <c r="CJO18" s="418"/>
      <c r="CJP18" s="418"/>
      <c r="CJQ18" s="418"/>
      <c r="CJR18" s="418"/>
      <c r="CJS18" s="418"/>
      <c r="CJT18" s="418"/>
      <c r="CJU18" s="418"/>
      <c r="CJV18" s="418"/>
      <c r="CJW18" s="418"/>
      <c r="CJX18" s="418"/>
      <c r="CJY18" s="418"/>
      <c r="CJZ18" s="418"/>
      <c r="CKA18" s="418"/>
      <c r="CKB18" s="418"/>
      <c r="CKC18" s="418"/>
      <c r="CKD18" s="418"/>
      <c r="CKE18" s="418"/>
      <c r="CKF18" s="418"/>
      <c r="CKG18" s="418"/>
      <c r="CKH18" s="418"/>
      <c r="CKI18" s="418"/>
      <c r="CKJ18" s="418"/>
      <c r="CKK18" s="418"/>
      <c r="CKL18" s="418"/>
      <c r="CKM18" s="418"/>
      <c r="CKN18" s="418"/>
      <c r="CKO18" s="418"/>
      <c r="CKP18" s="418"/>
      <c r="CKQ18" s="418"/>
      <c r="CKR18" s="418"/>
      <c r="CKS18" s="418"/>
      <c r="CKT18" s="418"/>
      <c r="CKU18" s="418"/>
      <c r="CKV18" s="418"/>
      <c r="CKW18" s="418"/>
      <c r="CKX18" s="418"/>
      <c r="CKY18" s="418"/>
      <c r="CKZ18" s="418"/>
      <c r="CLA18" s="418"/>
      <c r="CLB18" s="418"/>
      <c r="CLC18" s="418"/>
      <c r="CLD18" s="418"/>
      <c r="CLE18" s="418"/>
      <c r="CLF18" s="418"/>
      <c r="CLG18" s="418"/>
      <c r="CLH18" s="418"/>
      <c r="CLI18" s="418"/>
      <c r="CLJ18" s="418"/>
      <c r="CLK18" s="418"/>
      <c r="CLL18" s="418"/>
      <c r="CLM18" s="418"/>
      <c r="CLN18" s="418"/>
      <c r="CLO18" s="418"/>
      <c r="CLP18" s="418"/>
      <c r="CLQ18" s="418"/>
      <c r="CLR18" s="418"/>
      <c r="CLS18" s="418"/>
      <c r="CLT18" s="418"/>
      <c r="CLU18" s="418"/>
      <c r="CLV18" s="418"/>
      <c r="CLW18" s="418"/>
      <c r="CLX18" s="418"/>
      <c r="CLY18" s="418"/>
      <c r="CLZ18" s="418"/>
      <c r="CMA18" s="418"/>
      <c r="CMB18" s="418"/>
      <c r="CMC18" s="418"/>
      <c r="CMD18" s="418"/>
      <c r="CME18" s="418"/>
      <c r="CMF18" s="418"/>
      <c r="CMG18" s="418"/>
      <c r="CMH18" s="418"/>
      <c r="CMI18" s="418"/>
      <c r="CMJ18" s="418"/>
      <c r="CMK18" s="418"/>
      <c r="CML18" s="418"/>
      <c r="CMM18" s="418"/>
      <c r="CMN18" s="418"/>
      <c r="CMO18" s="418"/>
      <c r="CMP18" s="418"/>
      <c r="CMQ18" s="418"/>
      <c r="CMR18" s="418"/>
      <c r="CMS18" s="418"/>
      <c r="CMT18" s="418"/>
      <c r="CMU18" s="418"/>
      <c r="CMV18" s="418"/>
      <c r="CMW18" s="418"/>
      <c r="CMX18" s="418"/>
      <c r="CMY18" s="418"/>
      <c r="CMZ18" s="418"/>
      <c r="CNA18" s="418"/>
      <c r="CNB18" s="418"/>
      <c r="CNC18" s="418"/>
      <c r="CND18" s="418"/>
      <c r="CNE18" s="418"/>
      <c r="CNF18" s="418"/>
      <c r="CNG18" s="418"/>
      <c r="CNH18" s="418"/>
      <c r="CNI18" s="418"/>
      <c r="CNJ18" s="418"/>
      <c r="CNK18" s="418"/>
      <c r="CNL18" s="418"/>
      <c r="CNM18" s="418"/>
      <c r="CNN18" s="418"/>
      <c r="CNO18" s="418"/>
      <c r="CNP18" s="418"/>
      <c r="CNQ18" s="418"/>
      <c r="CNR18" s="418"/>
      <c r="CNS18" s="418"/>
      <c r="CNT18" s="418"/>
      <c r="CNU18" s="418"/>
      <c r="CNV18" s="418"/>
      <c r="CNW18" s="418"/>
      <c r="CNX18" s="418"/>
      <c r="CNY18" s="418"/>
      <c r="CNZ18" s="418"/>
      <c r="COA18" s="418"/>
      <c r="COB18" s="418"/>
      <c r="COC18" s="418"/>
      <c r="COD18" s="418"/>
      <c r="COE18" s="418"/>
      <c r="COF18" s="418"/>
      <c r="COG18" s="418"/>
      <c r="COH18" s="418"/>
      <c r="COI18" s="418"/>
      <c r="COJ18" s="418"/>
      <c r="COK18" s="418"/>
      <c r="COL18" s="418"/>
      <c r="COM18" s="418"/>
      <c r="CON18" s="418"/>
      <c r="COO18" s="418"/>
      <c r="COP18" s="418"/>
      <c r="COQ18" s="418"/>
      <c r="COR18" s="418"/>
      <c r="COS18" s="418"/>
      <c r="COT18" s="418"/>
      <c r="COU18" s="418"/>
      <c r="COV18" s="418"/>
      <c r="COW18" s="418"/>
      <c r="COX18" s="418"/>
      <c r="COY18" s="418"/>
      <c r="COZ18" s="418"/>
      <c r="CPA18" s="418"/>
      <c r="CPB18" s="418"/>
      <c r="CPC18" s="418"/>
      <c r="CPD18" s="418"/>
      <c r="CPE18" s="418"/>
      <c r="CPF18" s="418"/>
      <c r="CPG18" s="418"/>
      <c r="CPH18" s="418"/>
      <c r="CPI18" s="418"/>
      <c r="CPJ18" s="418"/>
      <c r="CPK18" s="418"/>
      <c r="CPL18" s="418"/>
      <c r="CPM18" s="418"/>
      <c r="CPN18" s="418"/>
      <c r="CPO18" s="418"/>
      <c r="CPP18" s="418"/>
      <c r="CPQ18" s="418"/>
      <c r="CPR18" s="418"/>
      <c r="CPS18" s="418"/>
      <c r="CPT18" s="418"/>
      <c r="CPU18" s="418"/>
      <c r="CPV18" s="418"/>
      <c r="CPW18" s="418"/>
      <c r="CPX18" s="418"/>
      <c r="CPY18" s="418"/>
      <c r="CPZ18" s="418"/>
      <c r="CQA18" s="418"/>
      <c r="CQB18" s="418"/>
      <c r="CQC18" s="418"/>
      <c r="CQD18" s="418"/>
      <c r="CQE18" s="418"/>
      <c r="CQF18" s="418"/>
      <c r="CQG18" s="418"/>
      <c r="CQH18" s="418"/>
      <c r="CQI18" s="418"/>
      <c r="CQJ18" s="418"/>
      <c r="CQK18" s="418"/>
      <c r="CQL18" s="418"/>
      <c r="CQM18" s="418"/>
      <c r="CQN18" s="418"/>
      <c r="CQO18" s="418"/>
      <c r="CQP18" s="418"/>
      <c r="CQQ18" s="418"/>
      <c r="CQR18" s="418"/>
      <c r="CQS18" s="418"/>
      <c r="CQT18" s="418"/>
      <c r="CQU18" s="418"/>
      <c r="CQV18" s="418"/>
      <c r="CQW18" s="418"/>
      <c r="CQX18" s="418"/>
      <c r="CQY18" s="418"/>
      <c r="CQZ18" s="418"/>
      <c r="CRA18" s="418"/>
      <c r="CRB18" s="418"/>
      <c r="CRC18" s="418"/>
      <c r="CRD18" s="418"/>
      <c r="CRE18" s="418"/>
      <c r="CRF18" s="418"/>
      <c r="CRG18" s="418"/>
      <c r="CRH18" s="418"/>
      <c r="CRI18" s="418"/>
      <c r="CRJ18" s="418"/>
      <c r="CRK18" s="418"/>
      <c r="CRL18" s="418"/>
      <c r="CRM18" s="418"/>
      <c r="CRN18" s="418"/>
      <c r="CRO18" s="418"/>
      <c r="CRP18" s="418"/>
      <c r="CRQ18" s="418"/>
      <c r="CRR18" s="418"/>
      <c r="CRS18" s="418"/>
      <c r="CRT18" s="418"/>
      <c r="CRU18" s="418"/>
      <c r="CRV18" s="418"/>
      <c r="CRW18" s="418"/>
      <c r="CRX18" s="418"/>
      <c r="CRY18" s="418"/>
      <c r="CRZ18" s="418"/>
      <c r="CSA18" s="418"/>
      <c r="CSB18" s="418"/>
      <c r="CSC18" s="418"/>
      <c r="CSD18" s="418"/>
      <c r="CSE18" s="418"/>
      <c r="CSF18" s="418"/>
      <c r="CSG18" s="418"/>
      <c r="CSH18" s="418"/>
      <c r="CSI18" s="418"/>
      <c r="CSJ18" s="418"/>
      <c r="CSK18" s="418"/>
      <c r="CSL18" s="418"/>
      <c r="CSM18" s="418"/>
      <c r="CSN18" s="418"/>
      <c r="CSO18" s="418"/>
      <c r="CSP18" s="418"/>
      <c r="CSQ18" s="418"/>
      <c r="CSR18" s="418"/>
      <c r="CSS18" s="418"/>
      <c r="CST18" s="418"/>
      <c r="CSU18" s="418"/>
      <c r="CSV18" s="418"/>
      <c r="CSW18" s="418"/>
      <c r="CSX18" s="418"/>
      <c r="CSY18" s="418"/>
      <c r="CSZ18" s="418"/>
      <c r="CTA18" s="418"/>
      <c r="CTB18" s="418"/>
      <c r="CTC18" s="418"/>
      <c r="CTD18" s="418"/>
      <c r="CTE18" s="418"/>
      <c r="CTF18" s="418"/>
      <c r="CTG18" s="418"/>
      <c r="CTH18" s="418"/>
      <c r="CTI18" s="418"/>
      <c r="CTJ18" s="418"/>
      <c r="CTK18" s="418"/>
      <c r="CTL18" s="418"/>
      <c r="CTM18" s="418"/>
      <c r="CTN18" s="418"/>
      <c r="CTO18" s="418"/>
      <c r="CTP18" s="418"/>
      <c r="CTQ18" s="418"/>
      <c r="CTR18" s="418"/>
      <c r="CTS18" s="418"/>
      <c r="CTT18" s="418"/>
      <c r="CTU18" s="418"/>
      <c r="CTV18" s="418"/>
      <c r="CTW18" s="418"/>
      <c r="CTX18" s="418"/>
      <c r="CTY18" s="418"/>
      <c r="CTZ18" s="418"/>
      <c r="CUA18" s="418"/>
      <c r="CUB18" s="418"/>
      <c r="CUC18" s="418"/>
      <c r="CUD18" s="418"/>
      <c r="CUE18" s="418"/>
      <c r="CUF18" s="418"/>
      <c r="CUG18" s="418"/>
      <c r="CUH18" s="418"/>
      <c r="CUI18" s="418"/>
      <c r="CUJ18" s="418"/>
      <c r="CUK18" s="418"/>
      <c r="CUL18" s="418"/>
      <c r="CUM18" s="418"/>
      <c r="CUN18" s="418"/>
      <c r="CUO18" s="418"/>
      <c r="CUP18" s="418"/>
      <c r="CUQ18" s="418"/>
      <c r="CUR18" s="418"/>
      <c r="CUS18" s="418"/>
      <c r="CUT18" s="418"/>
      <c r="CUU18" s="418"/>
      <c r="CUV18" s="418"/>
      <c r="CUW18" s="418"/>
      <c r="CUX18" s="418"/>
      <c r="CUY18" s="418"/>
      <c r="CUZ18" s="418"/>
      <c r="CVA18" s="418"/>
      <c r="CVB18" s="418"/>
      <c r="CVC18" s="418"/>
      <c r="CVD18" s="418"/>
      <c r="CVE18" s="418"/>
      <c r="CVF18" s="418"/>
      <c r="CVG18" s="418"/>
      <c r="CVH18" s="418"/>
      <c r="CVI18" s="418"/>
      <c r="CVJ18" s="418"/>
      <c r="CVK18" s="418"/>
      <c r="CVL18" s="418"/>
      <c r="CVM18" s="418"/>
      <c r="CVN18" s="418"/>
      <c r="CVO18" s="418"/>
      <c r="CVP18" s="418"/>
      <c r="CVQ18" s="418"/>
      <c r="CVR18" s="418"/>
      <c r="CVS18" s="418"/>
      <c r="CVT18" s="418"/>
      <c r="CVU18" s="418"/>
      <c r="CVV18" s="418"/>
      <c r="CVW18" s="418"/>
      <c r="CVX18" s="418"/>
      <c r="CVY18" s="418"/>
      <c r="CVZ18" s="418"/>
      <c r="CWA18" s="418"/>
      <c r="CWB18" s="418"/>
      <c r="CWC18" s="418"/>
      <c r="CWD18" s="418"/>
      <c r="CWE18" s="418"/>
      <c r="CWF18" s="418"/>
      <c r="CWG18" s="418"/>
      <c r="CWH18" s="418"/>
      <c r="CWI18" s="418"/>
      <c r="CWJ18" s="418"/>
      <c r="CWK18" s="418"/>
      <c r="CWL18" s="418"/>
      <c r="CWM18" s="418"/>
      <c r="CWN18" s="418"/>
      <c r="CWO18" s="418"/>
      <c r="CWP18" s="418"/>
      <c r="CWQ18" s="418"/>
      <c r="CWR18" s="418"/>
      <c r="CWS18" s="418"/>
      <c r="CWT18" s="418"/>
      <c r="CWU18" s="418"/>
      <c r="CWV18" s="418"/>
      <c r="CWW18" s="418"/>
      <c r="CWX18" s="418"/>
      <c r="CWY18" s="418"/>
      <c r="CWZ18" s="418"/>
      <c r="CXA18" s="418"/>
      <c r="CXB18" s="418"/>
      <c r="CXC18" s="418"/>
      <c r="CXD18" s="418"/>
      <c r="CXE18" s="418"/>
      <c r="CXF18" s="418"/>
      <c r="CXG18" s="418"/>
      <c r="CXH18" s="418"/>
      <c r="CXI18" s="418"/>
      <c r="CXJ18" s="418"/>
      <c r="CXK18" s="418"/>
      <c r="CXL18" s="418"/>
      <c r="CXM18" s="418"/>
      <c r="CXN18" s="418"/>
      <c r="CXO18" s="418"/>
      <c r="CXP18" s="418"/>
      <c r="CXQ18" s="418"/>
      <c r="CXR18" s="418"/>
      <c r="CXS18" s="418"/>
      <c r="CXT18" s="418"/>
      <c r="CXU18" s="418"/>
      <c r="CXV18" s="418"/>
      <c r="CXW18" s="418"/>
      <c r="CXX18" s="418"/>
      <c r="CXY18" s="418"/>
      <c r="CXZ18" s="418"/>
      <c r="CYA18" s="418"/>
      <c r="CYB18" s="418"/>
      <c r="CYC18" s="418"/>
      <c r="CYD18" s="418"/>
      <c r="CYE18" s="418"/>
      <c r="CYF18" s="418"/>
      <c r="CYG18" s="418"/>
      <c r="CYH18" s="418"/>
      <c r="CYI18" s="418"/>
      <c r="CYJ18" s="418"/>
      <c r="CYK18" s="418"/>
      <c r="CYL18" s="418"/>
      <c r="CYM18" s="418"/>
      <c r="CYN18" s="418"/>
      <c r="CYO18" s="418"/>
      <c r="CYP18" s="418"/>
      <c r="CYQ18" s="418"/>
      <c r="CYR18" s="418"/>
      <c r="CYS18" s="418"/>
      <c r="CYT18" s="418"/>
      <c r="CYU18" s="418"/>
      <c r="CYV18" s="418"/>
      <c r="CYW18" s="418"/>
      <c r="CYX18" s="418"/>
      <c r="CYY18" s="418"/>
      <c r="CYZ18" s="418"/>
      <c r="CZA18" s="418"/>
      <c r="CZB18" s="418"/>
      <c r="CZC18" s="418"/>
      <c r="CZD18" s="418"/>
      <c r="CZE18" s="418"/>
      <c r="CZF18" s="418"/>
      <c r="CZG18" s="418"/>
      <c r="CZH18" s="418"/>
      <c r="CZI18" s="418"/>
      <c r="CZJ18" s="418"/>
      <c r="CZK18" s="418"/>
      <c r="CZL18" s="418"/>
      <c r="CZM18" s="418"/>
      <c r="CZN18" s="418"/>
      <c r="CZO18" s="418"/>
      <c r="CZP18" s="418"/>
      <c r="CZQ18" s="418"/>
      <c r="CZR18" s="418"/>
      <c r="CZS18" s="418"/>
      <c r="CZT18" s="418"/>
      <c r="CZU18" s="418"/>
      <c r="CZV18" s="418"/>
      <c r="CZW18" s="418"/>
      <c r="CZX18" s="418"/>
      <c r="CZY18" s="418"/>
      <c r="CZZ18" s="418"/>
      <c r="DAA18" s="418"/>
      <c r="DAB18" s="418"/>
      <c r="DAC18" s="418"/>
      <c r="DAD18" s="418"/>
      <c r="DAE18" s="418"/>
      <c r="DAF18" s="418"/>
      <c r="DAG18" s="418"/>
      <c r="DAH18" s="418"/>
      <c r="DAI18" s="418"/>
      <c r="DAJ18" s="418"/>
      <c r="DAK18" s="418"/>
      <c r="DAL18" s="418"/>
      <c r="DAM18" s="418"/>
      <c r="DAN18" s="418"/>
      <c r="DAO18" s="418"/>
      <c r="DAP18" s="418"/>
      <c r="DAQ18" s="418"/>
      <c r="DAR18" s="418"/>
      <c r="DAS18" s="418"/>
      <c r="DAT18" s="418"/>
      <c r="DAU18" s="418"/>
      <c r="DAV18" s="418"/>
      <c r="DAW18" s="418"/>
      <c r="DAX18" s="418"/>
      <c r="DAY18" s="418"/>
      <c r="DAZ18" s="418"/>
      <c r="DBA18" s="418"/>
      <c r="DBB18" s="418"/>
      <c r="DBC18" s="418"/>
      <c r="DBD18" s="418"/>
      <c r="DBE18" s="418"/>
      <c r="DBF18" s="418"/>
      <c r="DBG18" s="418"/>
      <c r="DBH18" s="418"/>
      <c r="DBI18" s="418"/>
      <c r="DBJ18" s="418"/>
      <c r="DBK18" s="418"/>
      <c r="DBL18" s="418"/>
      <c r="DBM18" s="418"/>
      <c r="DBN18" s="418"/>
      <c r="DBO18" s="418"/>
      <c r="DBP18" s="418"/>
      <c r="DBQ18" s="418"/>
      <c r="DBR18" s="418"/>
      <c r="DBS18" s="418"/>
      <c r="DBT18" s="418"/>
      <c r="DBU18" s="418"/>
      <c r="DBV18" s="418"/>
      <c r="DBW18" s="418"/>
      <c r="DBX18" s="418"/>
      <c r="DBY18" s="418"/>
      <c r="DBZ18" s="418"/>
      <c r="DCA18" s="418"/>
      <c r="DCB18" s="418"/>
      <c r="DCC18" s="418"/>
      <c r="DCD18" s="418"/>
      <c r="DCE18" s="418"/>
      <c r="DCF18" s="418"/>
      <c r="DCG18" s="418"/>
      <c r="DCH18" s="418"/>
      <c r="DCI18" s="418"/>
      <c r="DCJ18" s="418"/>
      <c r="DCK18" s="418"/>
      <c r="DCL18" s="418"/>
      <c r="DCM18" s="418"/>
      <c r="DCN18" s="418"/>
      <c r="DCO18" s="418"/>
      <c r="DCP18" s="418"/>
      <c r="DCQ18" s="418"/>
      <c r="DCR18" s="418"/>
      <c r="DCS18" s="418"/>
      <c r="DCT18" s="418"/>
      <c r="DCU18" s="418"/>
      <c r="DCV18" s="418"/>
      <c r="DCW18" s="418"/>
      <c r="DCX18" s="418"/>
      <c r="DCY18" s="418"/>
      <c r="DCZ18" s="418"/>
      <c r="DDA18" s="418"/>
      <c r="DDB18" s="418"/>
      <c r="DDC18" s="418"/>
      <c r="DDD18" s="418"/>
      <c r="DDE18" s="418"/>
      <c r="DDF18" s="418"/>
      <c r="DDG18" s="418"/>
      <c r="DDH18" s="418"/>
      <c r="DDI18" s="418"/>
      <c r="DDJ18" s="418"/>
      <c r="DDK18" s="418"/>
      <c r="DDL18" s="418"/>
      <c r="DDM18" s="418"/>
      <c r="DDN18" s="418"/>
      <c r="DDO18" s="418"/>
      <c r="DDP18" s="418"/>
      <c r="DDQ18" s="418"/>
      <c r="DDR18" s="418"/>
      <c r="DDS18" s="418"/>
      <c r="DDT18" s="418"/>
      <c r="DDU18" s="418"/>
      <c r="DDV18" s="418"/>
      <c r="DDW18" s="418"/>
      <c r="DDX18" s="418"/>
      <c r="DDY18" s="418"/>
      <c r="DDZ18" s="418"/>
      <c r="DEA18" s="418"/>
      <c r="DEB18" s="418"/>
      <c r="DEC18" s="418"/>
      <c r="DED18" s="418"/>
      <c r="DEE18" s="418"/>
      <c r="DEF18" s="418"/>
      <c r="DEG18" s="418"/>
      <c r="DEH18" s="418"/>
      <c r="DEI18" s="418"/>
      <c r="DEJ18" s="418"/>
      <c r="DEK18" s="418"/>
      <c r="DEL18" s="418"/>
      <c r="DEM18" s="418"/>
      <c r="DEN18" s="418"/>
      <c r="DEO18" s="418"/>
      <c r="DEP18" s="418"/>
      <c r="DEQ18" s="418"/>
      <c r="DER18" s="418"/>
      <c r="DES18" s="418"/>
      <c r="DET18" s="418"/>
      <c r="DEU18" s="418"/>
      <c r="DEV18" s="418"/>
      <c r="DEW18" s="418"/>
      <c r="DEX18" s="418"/>
      <c r="DEY18" s="418"/>
      <c r="DEZ18" s="418"/>
      <c r="DFA18" s="418"/>
      <c r="DFB18" s="418"/>
      <c r="DFC18" s="418"/>
      <c r="DFD18" s="418"/>
      <c r="DFE18" s="418"/>
      <c r="DFF18" s="418"/>
      <c r="DFG18" s="418"/>
      <c r="DFH18" s="418"/>
      <c r="DFI18" s="418"/>
      <c r="DFJ18" s="418"/>
      <c r="DFK18" s="418"/>
      <c r="DFL18" s="418"/>
      <c r="DFM18" s="418"/>
      <c r="DFN18" s="418"/>
      <c r="DFO18" s="418"/>
      <c r="DFP18" s="418"/>
      <c r="DFQ18" s="418"/>
      <c r="DFR18" s="418"/>
      <c r="DFS18" s="418"/>
      <c r="DFT18" s="418"/>
      <c r="DFU18" s="418"/>
      <c r="DFV18" s="418"/>
      <c r="DFW18" s="418"/>
      <c r="DFX18" s="418"/>
      <c r="DFY18" s="418"/>
      <c r="DFZ18" s="418"/>
      <c r="DGA18" s="418"/>
      <c r="DGB18" s="418"/>
      <c r="DGC18" s="418"/>
      <c r="DGD18" s="418"/>
      <c r="DGE18" s="418"/>
      <c r="DGF18" s="418"/>
      <c r="DGG18" s="418"/>
      <c r="DGH18" s="418"/>
      <c r="DGI18" s="418"/>
      <c r="DGJ18" s="418"/>
      <c r="DGK18" s="418"/>
      <c r="DGL18" s="418"/>
      <c r="DGM18" s="418"/>
      <c r="DGN18" s="418"/>
      <c r="DGO18" s="418"/>
      <c r="DGP18" s="418"/>
      <c r="DGQ18" s="418"/>
      <c r="DGR18" s="418"/>
      <c r="DGS18" s="418"/>
      <c r="DGT18" s="418"/>
      <c r="DGU18" s="418"/>
      <c r="DGV18" s="418"/>
      <c r="DGW18" s="418"/>
      <c r="DGX18" s="418"/>
      <c r="DGY18" s="418"/>
      <c r="DGZ18" s="418"/>
      <c r="DHA18" s="418"/>
      <c r="DHB18" s="418"/>
      <c r="DHC18" s="418"/>
      <c r="DHD18" s="418"/>
      <c r="DHE18" s="418"/>
      <c r="DHF18" s="418"/>
      <c r="DHG18" s="418"/>
      <c r="DHH18" s="418"/>
      <c r="DHI18" s="418"/>
      <c r="DHJ18" s="418"/>
      <c r="DHK18" s="418"/>
      <c r="DHL18" s="418"/>
      <c r="DHM18" s="418"/>
      <c r="DHN18" s="418"/>
      <c r="DHO18" s="418"/>
      <c r="DHP18" s="418"/>
      <c r="DHQ18" s="418"/>
      <c r="DHR18" s="418"/>
      <c r="DHS18" s="418"/>
      <c r="DHT18" s="418"/>
      <c r="DHU18" s="418"/>
      <c r="DHV18" s="418"/>
      <c r="DHW18" s="418"/>
      <c r="DHX18" s="418"/>
      <c r="DHY18" s="418"/>
      <c r="DHZ18" s="418"/>
      <c r="DIA18" s="418"/>
      <c r="DIB18" s="418"/>
      <c r="DIC18" s="418"/>
      <c r="DID18" s="418"/>
      <c r="DIE18" s="418"/>
      <c r="DIF18" s="418"/>
      <c r="DIG18" s="418"/>
      <c r="DIH18" s="418"/>
      <c r="DII18" s="418"/>
      <c r="DIJ18" s="418"/>
      <c r="DIK18" s="418"/>
      <c r="DIL18" s="418"/>
      <c r="DIM18" s="418"/>
      <c r="DIN18" s="418"/>
      <c r="DIO18" s="418"/>
      <c r="DIP18" s="418"/>
      <c r="DIQ18" s="418"/>
      <c r="DIR18" s="418"/>
      <c r="DIS18" s="418"/>
      <c r="DIT18" s="418"/>
      <c r="DIU18" s="418"/>
      <c r="DIV18" s="418"/>
      <c r="DIW18" s="418"/>
      <c r="DIX18" s="418"/>
      <c r="DIY18" s="418"/>
      <c r="DIZ18" s="418"/>
      <c r="DJA18" s="418"/>
      <c r="DJB18" s="418"/>
      <c r="DJC18" s="418"/>
      <c r="DJD18" s="418"/>
      <c r="DJE18" s="418"/>
      <c r="DJF18" s="418"/>
      <c r="DJG18" s="418"/>
      <c r="DJH18" s="418"/>
      <c r="DJI18" s="418"/>
      <c r="DJJ18" s="418"/>
      <c r="DJK18" s="418"/>
      <c r="DJL18" s="418"/>
      <c r="DJM18" s="418"/>
      <c r="DJN18" s="418"/>
      <c r="DJO18" s="418"/>
      <c r="DJP18" s="418"/>
      <c r="DJQ18" s="418"/>
      <c r="DJR18" s="418"/>
      <c r="DJS18" s="418"/>
      <c r="DJT18" s="418"/>
      <c r="DJU18" s="418"/>
      <c r="DJV18" s="418"/>
      <c r="DJW18" s="418"/>
      <c r="DJX18" s="418"/>
      <c r="DJY18" s="418"/>
      <c r="DJZ18" s="418"/>
      <c r="DKA18" s="418"/>
      <c r="DKB18" s="418"/>
      <c r="DKC18" s="418"/>
      <c r="DKD18" s="418"/>
      <c r="DKE18" s="418"/>
      <c r="DKF18" s="418"/>
      <c r="DKG18" s="418"/>
      <c r="DKH18" s="418"/>
      <c r="DKI18" s="418"/>
      <c r="DKJ18" s="418"/>
      <c r="DKK18" s="418"/>
      <c r="DKL18" s="418"/>
      <c r="DKM18" s="418"/>
      <c r="DKN18" s="418"/>
      <c r="DKO18" s="418"/>
      <c r="DKP18" s="418"/>
      <c r="DKQ18" s="418"/>
      <c r="DKR18" s="418"/>
      <c r="DKS18" s="418"/>
      <c r="DKT18" s="418"/>
      <c r="DKU18" s="418"/>
      <c r="DKV18" s="418"/>
      <c r="DKW18" s="418"/>
      <c r="DKX18" s="418"/>
      <c r="DKY18" s="418"/>
      <c r="DKZ18" s="418"/>
      <c r="DLA18" s="418"/>
      <c r="DLB18" s="418"/>
      <c r="DLC18" s="418"/>
      <c r="DLD18" s="418"/>
      <c r="DLE18" s="418"/>
      <c r="DLF18" s="418"/>
      <c r="DLG18" s="418"/>
      <c r="DLH18" s="418"/>
      <c r="DLI18" s="418"/>
      <c r="DLJ18" s="418"/>
      <c r="DLK18" s="418"/>
      <c r="DLL18" s="418"/>
      <c r="DLM18" s="418"/>
      <c r="DLN18" s="418"/>
      <c r="DLO18" s="418"/>
      <c r="DLP18" s="418"/>
      <c r="DLQ18" s="418"/>
      <c r="DLR18" s="418"/>
      <c r="DLS18" s="418"/>
      <c r="DLT18" s="418"/>
      <c r="DLU18" s="418"/>
      <c r="DLV18" s="418"/>
      <c r="DLW18" s="418"/>
      <c r="DLX18" s="418"/>
      <c r="DLY18" s="418"/>
      <c r="DLZ18" s="418"/>
      <c r="DMA18" s="418"/>
      <c r="DMB18" s="418"/>
      <c r="DMC18" s="418"/>
      <c r="DMD18" s="418"/>
      <c r="DME18" s="418"/>
      <c r="DMF18" s="418"/>
      <c r="DMG18" s="418"/>
      <c r="DMH18" s="418"/>
      <c r="DMI18" s="418"/>
      <c r="DMJ18" s="418"/>
      <c r="DMK18" s="418"/>
      <c r="DML18" s="418"/>
      <c r="DMM18" s="418"/>
      <c r="DMN18" s="418"/>
      <c r="DMO18" s="418"/>
      <c r="DMP18" s="418"/>
      <c r="DMQ18" s="418"/>
      <c r="DMR18" s="418"/>
      <c r="DMS18" s="418"/>
      <c r="DMT18" s="418"/>
      <c r="DMU18" s="418"/>
      <c r="DMV18" s="418"/>
      <c r="DMW18" s="418"/>
      <c r="DMX18" s="418"/>
      <c r="DMY18" s="418"/>
      <c r="DMZ18" s="418"/>
      <c r="DNA18" s="418"/>
      <c r="DNB18" s="418"/>
      <c r="DNC18" s="418"/>
      <c r="DND18" s="418"/>
      <c r="DNE18" s="418"/>
      <c r="DNF18" s="418"/>
      <c r="DNG18" s="418"/>
      <c r="DNH18" s="418"/>
      <c r="DNI18" s="418"/>
      <c r="DNJ18" s="418"/>
      <c r="DNK18" s="418"/>
      <c r="DNL18" s="418"/>
      <c r="DNM18" s="418"/>
      <c r="DNN18" s="418"/>
      <c r="DNO18" s="418"/>
      <c r="DNP18" s="418"/>
      <c r="DNQ18" s="418"/>
      <c r="DNR18" s="418"/>
      <c r="DNS18" s="418"/>
      <c r="DNT18" s="418"/>
      <c r="DNU18" s="418"/>
      <c r="DNV18" s="418"/>
      <c r="DNW18" s="418"/>
      <c r="DNX18" s="418"/>
      <c r="DNY18" s="418"/>
      <c r="DNZ18" s="418"/>
      <c r="DOA18" s="418"/>
      <c r="DOB18" s="418"/>
      <c r="DOC18" s="418"/>
      <c r="DOD18" s="418"/>
      <c r="DOE18" s="418"/>
      <c r="DOF18" s="418"/>
      <c r="DOG18" s="418"/>
      <c r="DOH18" s="418"/>
      <c r="DOI18" s="418"/>
      <c r="DOJ18" s="418"/>
      <c r="DOK18" s="418"/>
      <c r="DOL18" s="418"/>
      <c r="DOM18" s="418"/>
      <c r="DON18" s="418"/>
      <c r="DOO18" s="418"/>
      <c r="DOP18" s="418"/>
      <c r="DOQ18" s="418"/>
      <c r="DOR18" s="418"/>
      <c r="DOS18" s="418"/>
      <c r="DOT18" s="418"/>
      <c r="DOU18" s="418"/>
      <c r="DOV18" s="418"/>
      <c r="DOW18" s="418"/>
      <c r="DOX18" s="418"/>
      <c r="DOY18" s="418"/>
      <c r="DOZ18" s="418"/>
      <c r="DPA18" s="418"/>
      <c r="DPB18" s="418"/>
      <c r="DPC18" s="418"/>
      <c r="DPD18" s="418"/>
      <c r="DPE18" s="418"/>
      <c r="DPF18" s="418"/>
      <c r="DPG18" s="418"/>
      <c r="DPH18" s="418"/>
      <c r="DPI18" s="418"/>
      <c r="DPJ18" s="418"/>
      <c r="DPK18" s="418"/>
      <c r="DPL18" s="418"/>
      <c r="DPM18" s="418"/>
      <c r="DPN18" s="418"/>
      <c r="DPO18" s="418"/>
      <c r="DPP18" s="418"/>
      <c r="DPQ18" s="418"/>
      <c r="DPR18" s="418"/>
      <c r="DPS18" s="418"/>
      <c r="DPT18" s="418"/>
      <c r="DPU18" s="418"/>
      <c r="DPV18" s="418"/>
      <c r="DPW18" s="418"/>
      <c r="DPX18" s="418"/>
      <c r="DPY18" s="418"/>
      <c r="DPZ18" s="418"/>
      <c r="DQA18" s="418"/>
      <c r="DQB18" s="418"/>
      <c r="DQC18" s="418"/>
      <c r="DQD18" s="418"/>
      <c r="DQE18" s="418"/>
      <c r="DQF18" s="418"/>
      <c r="DQG18" s="418"/>
      <c r="DQH18" s="418"/>
      <c r="DQI18" s="418"/>
      <c r="DQJ18" s="418"/>
      <c r="DQK18" s="418"/>
      <c r="DQL18" s="418"/>
      <c r="DQM18" s="418"/>
      <c r="DQN18" s="418"/>
      <c r="DQO18" s="418"/>
      <c r="DQP18" s="418"/>
      <c r="DQQ18" s="418"/>
      <c r="DQR18" s="418"/>
      <c r="DQS18" s="418"/>
      <c r="DQT18" s="418"/>
      <c r="DQU18" s="418"/>
      <c r="DQV18" s="418"/>
      <c r="DQW18" s="418"/>
      <c r="DQX18" s="418"/>
      <c r="DQY18" s="418"/>
      <c r="DQZ18" s="418"/>
      <c r="DRA18" s="418"/>
      <c r="DRB18" s="418"/>
      <c r="DRC18" s="418"/>
      <c r="DRD18" s="418"/>
      <c r="DRE18" s="418"/>
      <c r="DRF18" s="418"/>
      <c r="DRG18" s="418"/>
      <c r="DRH18" s="418"/>
      <c r="DRI18" s="418"/>
      <c r="DRJ18" s="418"/>
      <c r="DRK18" s="418"/>
      <c r="DRL18" s="418"/>
      <c r="DRM18" s="418"/>
      <c r="DRN18" s="418"/>
      <c r="DRO18" s="418"/>
      <c r="DRP18" s="418"/>
      <c r="DRQ18" s="418"/>
      <c r="DRR18" s="418"/>
      <c r="DRS18" s="418"/>
      <c r="DRT18" s="418"/>
      <c r="DRU18" s="418"/>
      <c r="DRV18" s="418"/>
      <c r="DRW18" s="418"/>
      <c r="DRX18" s="418"/>
      <c r="DRY18" s="418"/>
      <c r="DRZ18" s="418"/>
      <c r="DSA18" s="418"/>
      <c r="DSB18" s="418"/>
      <c r="DSC18" s="418"/>
      <c r="DSD18" s="418"/>
      <c r="DSE18" s="418"/>
      <c r="DSF18" s="418"/>
      <c r="DSG18" s="418"/>
      <c r="DSH18" s="418"/>
      <c r="DSI18" s="418"/>
      <c r="DSJ18" s="418"/>
      <c r="DSK18" s="418"/>
      <c r="DSL18" s="418"/>
      <c r="DSM18" s="418"/>
      <c r="DSN18" s="418"/>
      <c r="DSO18" s="418"/>
      <c r="DSP18" s="418"/>
      <c r="DSQ18" s="418"/>
      <c r="DSR18" s="418"/>
      <c r="DSS18" s="418"/>
      <c r="DST18" s="418"/>
      <c r="DSU18" s="418"/>
      <c r="DSV18" s="418"/>
      <c r="DSW18" s="418"/>
      <c r="DSX18" s="418"/>
      <c r="DSY18" s="418"/>
      <c r="DSZ18" s="418"/>
      <c r="DTA18" s="418"/>
      <c r="DTB18" s="418"/>
      <c r="DTC18" s="418"/>
      <c r="DTD18" s="418"/>
      <c r="DTE18" s="418"/>
      <c r="DTF18" s="418"/>
      <c r="DTG18" s="418"/>
      <c r="DTH18" s="418"/>
      <c r="DTI18" s="418"/>
      <c r="DTJ18" s="418"/>
      <c r="DTK18" s="418"/>
      <c r="DTL18" s="418"/>
      <c r="DTM18" s="418"/>
      <c r="DTN18" s="418"/>
      <c r="DTO18" s="418"/>
      <c r="DTP18" s="418"/>
      <c r="DTQ18" s="418"/>
      <c r="DTR18" s="418"/>
      <c r="DTS18" s="418"/>
      <c r="DTT18" s="418"/>
      <c r="DTU18" s="418"/>
      <c r="DTV18" s="418"/>
      <c r="DTW18" s="418"/>
      <c r="DTX18" s="418"/>
      <c r="DTY18" s="418"/>
      <c r="DTZ18" s="418"/>
      <c r="DUA18" s="418"/>
      <c r="DUB18" s="418"/>
      <c r="DUC18" s="418"/>
      <c r="DUD18" s="418"/>
      <c r="DUE18" s="418"/>
      <c r="DUF18" s="418"/>
      <c r="DUG18" s="418"/>
      <c r="DUH18" s="418"/>
      <c r="DUI18" s="418"/>
      <c r="DUJ18" s="418"/>
      <c r="DUK18" s="418"/>
      <c r="DUL18" s="418"/>
      <c r="DUM18" s="418"/>
      <c r="DUN18" s="418"/>
      <c r="DUO18" s="418"/>
      <c r="DUP18" s="418"/>
      <c r="DUQ18" s="418"/>
      <c r="DUR18" s="418"/>
      <c r="DUS18" s="418"/>
      <c r="DUT18" s="418"/>
      <c r="DUU18" s="418"/>
      <c r="DUV18" s="418"/>
      <c r="DUW18" s="418"/>
      <c r="DUX18" s="418"/>
      <c r="DUY18" s="418"/>
      <c r="DUZ18" s="418"/>
      <c r="DVA18" s="418"/>
      <c r="DVB18" s="418"/>
      <c r="DVC18" s="418"/>
      <c r="DVD18" s="418"/>
      <c r="DVE18" s="418"/>
      <c r="DVF18" s="418"/>
      <c r="DVG18" s="418"/>
      <c r="DVH18" s="418"/>
      <c r="DVI18" s="418"/>
      <c r="DVJ18" s="418"/>
      <c r="DVK18" s="418"/>
      <c r="DVL18" s="418"/>
      <c r="DVM18" s="418"/>
      <c r="DVN18" s="418"/>
      <c r="DVO18" s="418"/>
      <c r="DVP18" s="418"/>
      <c r="DVQ18" s="418"/>
      <c r="DVR18" s="418"/>
      <c r="DVS18" s="418"/>
      <c r="DVT18" s="418"/>
      <c r="DVU18" s="418"/>
      <c r="DVV18" s="418"/>
      <c r="DVW18" s="418"/>
      <c r="DVX18" s="418"/>
      <c r="DVY18" s="418"/>
      <c r="DVZ18" s="418"/>
      <c r="DWA18" s="418"/>
      <c r="DWB18" s="418"/>
      <c r="DWC18" s="418"/>
      <c r="DWD18" s="418"/>
      <c r="DWE18" s="418"/>
      <c r="DWF18" s="418"/>
      <c r="DWG18" s="418"/>
      <c r="DWH18" s="418"/>
      <c r="DWI18" s="418"/>
      <c r="DWJ18" s="418"/>
      <c r="DWK18" s="418"/>
      <c r="DWL18" s="418"/>
      <c r="DWM18" s="418"/>
      <c r="DWN18" s="418"/>
      <c r="DWO18" s="418"/>
      <c r="DWP18" s="418"/>
      <c r="DWQ18" s="418"/>
      <c r="DWR18" s="418"/>
      <c r="DWS18" s="418"/>
      <c r="DWT18" s="418"/>
      <c r="DWU18" s="418"/>
      <c r="DWV18" s="418"/>
      <c r="DWW18" s="418"/>
      <c r="DWX18" s="418"/>
      <c r="DWY18" s="418"/>
      <c r="DWZ18" s="418"/>
      <c r="DXA18" s="418"/>
      <c r="DXB18" s="418"/>
      <c r="DXC18" s="418"/>
      <c r="DXD18" s="418"/>
      <c r="DXE18" s="418"/>
      <c r="DXF18" s="418"/>
      <c r="DXG18" s="418"/>
      <c r="DXH18" s="418"/>
      <c r="DXI18" s="418"/>
      <c r="DXJ18" s="418"/>
      <c r="DXK18" s="418"/>
      <c r="DXL18" s="418"/>
      <c r="DXM18" s="418"/>
      <c r="DXN18" s="418"/>
      <c r="DXO18" s="418"/>
      <c r="DXP18" s="418"/>
      <c r="DXQ18" s="418"/>
      <c r="DXR18" s="418"/>
      <c r="DXS18" s="418"/>
      <c r="DXT18" s="418"/>
      <c r="DXU18" s="418"/>
      <c r="DXV18" s="418"/>
      <c r="DXW18" s="418"/>
      <c r="DXX18" s="418"/>
      <c r="DXY18" s="418"/>
      <c r="DXZ18" s="418"/>
      <c r="DYA18" s="418"/>
      <c r="DYB18" s="418"/>
      <c r="DYC18" s="418"/>
      <c r="DYD18" s="418"/>
      <c r="DYE18" s="418"/>
      <c r="DYF18" s="418"/>
      <c r="DYG18" s="418"/>
      <c r="DYH18" s="418"/>
      <c r="DYI18" s="418"/>
      <c r="DYJ18" s="418"/>
      <c r="DYK18" s="418"/>
      <c r="DYL18" s="418"/>
      <c r="DYM18" s="418"/>
      <c r="DYN18" s="418"/>
      <c r="DYO18" s="418"/>
      <c r="DYP18" s="418"/>
      <c r="DYQ18" s="418"/>
      <c r="DYR18" s="418"/>
      <c r="DYS18" s="418"/>
      <c r="DYT18" s="418"/>
      <c r="DYU18" s="418"/>
      <c r="DYV18" s="418"/>
      <c r="DYW18" s="418"/>
      <c r="DYX18" s="418"/>
      <c r="DYY18" s="418"/>
      <c r="DYZ18" s="418"/>
      <c r="DZA18" s="418"/>
      <c r="DZB18" s="418"/>
      <c r="DZC18" s="418"/>
      <c r="DZD18" s="418"/>
      <c r="DZE18" s="418"/>
      <c r="DZF18" s="418"/>
      <c r="DZG18" s="418"/>
      <c r="DZH18" s="418"/>
      <c r="DZI18" s="418"/>
      <c r="DZJ18" s="418"/>
      <c r="DZK18" s="418"/>
      <c r="DZL18" s="418"/>
      <c r="DZM18" s="418"/>
      <c r="DZN18" s="418"/>
      <c r="DZO18" s="418"/>
      <c r="DZP18" s="418"/>
      <c r="DZQ18" s="418"/>
      <c r="DZR18" s="418"/>
      <c r="DZS18" s="418"/>
      <c r="DZT18" s="418"/>
      <c r="DZU18" s="418"/>
      <c r="DZV18" s="418"/>
      <c r="DZW18" s="418"/>
      <c r="DZX18" s="418"/>
      <c r="DZY18" s="418"/>
      <c r="DZZ18" s="418"/>
      <c r="EAA18" s="418"/>
      <c r="EAB18" s="418"/>
      <c r="EAC18" s="418"/>
      <c r="EAD18" s="418"/>
      <c r="EAE18" s="418"/>
      <c r="EAF18" s="418"/>
      <c r="EAG18" s="418"/>
      <c r="EAH18" s="418"/>
      <c r="EAI18" s="418"/>
      <c r="EAJ18" s="418"/>
      <c r="EAK18" s="418"/>
      <c r="EAL18" s="418"/>
      <c r="EAM18" s="418"/>
      <c r="EAN18" s="418"/>
      <c r="EAO18" s="418"/>
      <c r="EAP18" s="418"/>
      <c r="EAQ18" s="418"/>
      <c r="EAR18" s="418"/>
      <c r="EAS18" s="418"/>
      <c r="EAT18" s="418"/>
      <c r="EAU18" s="418"/>
      <c r="EAV18" s="418"/>
      <c r="EAW18" s="418"/>
      <c r="EAX18" s="418"/>
      <c r="EAY18" s="418"/>
      <c r="EAZ18" s="418"/>
      <c r="EBA18" s="418"/>
      <c r="EBB18" s="418"/>
      <c r="EBC18" s="418"/>
      <c r="EBD18" s="418"/>
      <c r="EBE18" s="418"/>
      <c r="EBF18" s="418"/>
      <c r="EBG18" s="418"/>
      <c r="EBH18" s="418"/>
      <c r="EBI18" s="418"/>
      <c r="EBJ18" s="418"/>
      <c r="EBK18" s="418"/>
      <c r="EBL18" s="418"/>
      <c r="EBM18" s="418"/>
      <c r="EBN18" s="418"/>
      <c r="EBO18" s="418"/>
      <c r="EBP18" s="418"/>
      <c r="EBQ18" s="418"/>
      <c r="EBR18" s="418"/>
      <c r="EBS18" s="418"/>
      <c r="EBT18" s="418"/>
      <c r="EBU18" s="418"/>
      <c r="EBV18" s="418"/>
      <c r="EBW18" s="418"/>
      <c r="EBX18" s="418"/>
      <c r="EBY18" s="418"/>
      <c r="EBZ18" s="418"/>
      <c r="ECA18" s="418"/>
      <c r="ECB18" s="418"/>
      <c r="ECC18" s="418"/>
      <c r="ECD18" s="418"/>
      <c r="ECE18" s="418"/>
      <c r="ECF18" s="418"/>
      <c r="ECG18" s="418"/>
      <c r="ECH18" s="418"/>
      <c r="ECI18" s="418"/>
      <c r="ECJ18" s="418"/>
      <c r="ECK18" s="418"/>
      <c r="ECL18" s="418"/>
      <c r="ECM18" s="418"/>
      <c r="ECN18" s="418"/>
      <c r="ECO18" s="418"/>
      <c r="ECP18" s="418"/>
      <c r="ECQ18" s="418"/>
      <c r="ECR18" s="418"/>
      <c r="ECS18" s="418"/>
      <c r="ECT18" s="418"/>
      <c r="ECU18" s="418"/>
      <c r="ECV18" s="418"/>
      <c r="ECW18" s="418"/>
      <c r="ECX18" s="418"/>
      <c r="ECY18" s="418"/>
      <c r="ECZ18" s="418"/>
      <c r="EDA18" s="418"/>
      <c r="EDB18" s="418"/>
      <c r="EDC18" s="418"/>
      <c r="EDD18" s="418"/>
      <c r="EDE18" s="418"/>
      <c r="EDF18" s="418"/>
      <c r="EDG18" s="418"/>
      <c r="EDH18" s="418"/>
      <c r="EDI18" s="418"/>
      <c r="EDJ18" s="418"/>
      <c r="EDK18" s="418"/>
      <c r="EDL18" s="418"/>
      <c r="EDM18" s="418"/>
      <c r="EDN18" s="418"/>
      <c r="EDO18" s="418"/>
      <c r="EDP18" s="418"/>
      <c r="EDQ18" s="418"/>
      <c r="EDR18" s="418"/>
      <c r="EDS18" s="418"/>
      <c r="EDT18" s="418"/>
      <c r="EDU18" s="418"/>
      <c r="EDV18" s="418"/>
      <c r="EDW18" s="418"/>
      <c r="EDX18" s="418"/>
      <c r="EDY18" s="418"/>
      <c r="EDZ18" s="418"/>
      <c r="EEA18" s="418"/>
      <c r="EEB18" s="418"/>
      <c r="EEC18" s="418"/>
      <c r="EED18" s="418"/>
      <c r="EEE18" s="418"/>
      <c r="EEF18" s="418"/>
      <c r="EEG18" s="418"/>
      <c r="EEH18" s="418"/>
      <c r="EEI18" s="418"/>
      <c r="EEJ18" s="418"/>
      <c r="EEK18" s="418"/>
      <c r="EEL18" s="418"/>
      <c r="EEM18" s="418"/>
      <c r="EEN18" s="418"/>
      <c r="EEO18" s="418"/>
      <c r="EEP18" s="418"/>
      <c r="EEQ18" s="418"/>
      <c r="EER18" s="418"/>
      <c r="EES18" s="418"/>
      <c r="EET18" s="418"/>
      <c r="EEU18" s="418"/>
      <c r="EEV18" s="418"/>
      <c r="EEW18" s="418"/>
      <c r="EEX18" s="418"/>
      <c r="EEY18" s="418"/>
      <c r="EEZ18" s="418"/>
      <c r="EFA18" s="418"/>
      <c r="EFB18" s="418"/>
      <c r="EFC18" s="418"/>
      <c r="EFD18" s="418"/>
      <c r="EFE18" s="418"/>
      <c r="EFF18" s="418"/>
      <c r="EFG18" s="418"/>
      <c r="EFH18" s="418"/>
      <c r="EFI18" s="418"/>
      <c r="EFJ18" s="418"/>
      <c r="EFK18" s="418"/>
      <c r="EFL18" s="418"/>
      <c r="EFM18" s="418"/>
      <c r="EFN18" s="418"/>
      <c r="EFO18" s="418"/>
      <c r="EFP18" s="418"/>
      <c r="EFQ18" s="418"/>
      <c r="EFR18" s="418"/>
      <c r="EFS18" s="418"/>
      <c r="EFT18" s="418"/>
      <c r="EFU18" s="418"/>
      <c r="EFV18" s="418"/>
      <c r="EFW18" s="418"/>
      <c r="EFX18" s="418"/>
      <c r="EFY18" s="418"/>
      <c r="EFZ18" s="418"/>
      <c r="EGA18" s="418"/>
      <c r="EGB18" s="418"/>
      <c r="EGC18" s="418"/>
      <c r="EGD18" s="418"/>
      <c r="EGE18" s="418"/>
      <c r="EGF18" s="418"/>
      <c r="EGG18" s="418"/>
      <c r="EGH18" s="418"/>
      <c r="EGI18" s="418"/>
      <c r="EGJ18" s="418"/>
      <c r="EGK18" s="418"/>
      <c r="EGL18" s="418"/>
      <c r="EGM18" s="418"/>
      <c r="EGN18" s="418"/>
      <c r="EGO18" s="418"/>
      <c r="EGP18" s="418"/>
      <c r="EGQ18" s="418"/>
      <c r="EGR18" s="418"/>
      <c r="EGS18" s="418"/>
      <c r="EGT18" s="418"/>
      <c r="EGU18" s="418"/>
      <c r="EGV18" s="418"/>
      <c r="EGW18" s="418"/>
      <c r="EGX18" s="418"/>
      <c r="EGY18" s="418"/>
      <c r="EGZ18" s="418"/>
      <c r="EHA18" s="418"/>
      <c r="EHB18" s="418"/>
      <c r="EHC18" s="418"/>
      <c r="EHD18" s="418"/>
      <c r="EHE18" s="418"/>
      <c r="EHF18" s="418"/>
      <c r="EHG18" s="418"/>
      <c r="EHH18" s="418"/>
      <c r="EHI18" s="418"/>
      <c r="EHJ18" s="418"/>
      <c r="EHK18" s="418"/>
      <c r="EHL18" s="418"/>
      <c r="EHM18" s="418"/>
      <c r="EHN18" s="418"/>
      <c r="EHO18" s="418"/>
      <c r="EHP18" s="418"/>
      <c r="EHQ18" s="418"/>
      <c r="EHR18" s="418"/>
      <c r="EHS18" s="418"/>
      <c r="EHT18" s="418"/>
      <c r="EHU18" s="418"/>
      <c r="EHV18" s="418"/>
      <c r="EHW18" s="418"/>
      <c r="EHX18" s="418"/>
      <c r="EHY18" s="418"/>
      <c r="EHZ18" s="418"/>
      <c r="EIA18" s="418"/>
      <c r="EIB18" s="418"/>
      <c r="EIC18" s="418"/>
      <c r="EID18" s="418"/>
      <c r="EIE18" s="418"/>
      <c r="EIF18" s="418"/>
      <c r="EIG18" s="418"/>
      <c r="EIH18" s="418"/>
      <c r="EII18" s="418"/>
      <c r="EIJ18" s="418"/>
      <c r="EIK18" s="418"/>
      <c r="EIL18" s="418"/>
      <c r="EIM18" s="418"/>
      <c r="EIN18" s="418"/>
      <c r="EIO18" s="418"/>
      <c r="EIP18" s="418"/>
      <c r="EIQ18" s="418"/>
      <c r="EIR18" s="418"/>
      <c r="EIS18" s="418"/>
      <c r="EIT18" s="418"/>
      <c r="EIU18" s="418"/>
      <c r="EIV18" s="418"/>
      <c r="EIW18" s="418"/>
      <c r="EIX18" s="418"/>
      <c r="EIY18" s="418"/>
      <c r="EIZ18" s="418"/>
      <c r="EJA18" s="418"/>
      <c r="EJB18" s="418"/>
      <c r="EJC18" s="418"/>
      <c r="EJD18" s="418"/>
      <c r="EJE18" s="418"/>
      <c r="EJF18" s="418"/>
      <c r="EJG18" s="418"/>
      <c r="EJH18" s="418"/>
      <c r="EJI18" s="418"/>
      <c r="EJJ18" s="418"/>
      <c r="EJK18" s="418"/>
      <c r="EJL18" s="418"/>
      <c r="EJM18" s="418"/>
      <c r="EJN18" s="418"/>
      <c r="EJO18" s="418"/>
      <c r="EJP18" s="418"/>
      <c r="EJQ18" s="418"/>
      <c r="EJR18" s="418"/>
      <c r="EJS18" s="418"/>
      <c r="EJT18" s="418"/>
      <c r="EJU18" s="418"/>
      <c r="EJV18" s="418"/>
      <c r="EJW18" s="418"/>
      <c r="EJX18" s="418"/>
      <c r="EJY18" s="418"/>
      <c r="EJZ18" s="418"/>
      <c r="EKA18" s="418"/>
      <c r="EKB18" s="418"/>
      <c r="EKC18" s="418"/>
      <c r="EKD18" s="418"/>
      <c r="EKE18" s="418"/>
      <c r="EKF18" s="418"/>
      <c r="EKG18" s="418"/>
      <c r="EKH18" s="418"/>
      <c r="EKI18" s="418"/>
      <c r="EKJ18" s="418"/>
      <c r="EKK18" s="418"/>
      <c r="EKL18" s="418"/>
      <c r="EKM18" s="418"/>
      <c r="EKN18" s="418"/>
      <c r="EKO18" s="418"/>
      <c r="EKP18" s="418"/>
      <c r="EKQ18" s="418"/>
      <c r="EKR18" s="418"/>
      <c r="EKS18" s="418"/>
      <c r="EKT18" s="418"/>
      <c r="EKU18" s="418"/>
      <c r="EKV18" s="418"/>
      <c r="EKW18" s="418"/>
      <c r="EKX18" s="418"/>
      <c r="EKY18" s="418"/>
      <c r="EKZ18" s="418"/>
      <c r="ELA18" s="418"/>
      <c r="ELB18" s="418"/>
      <c r="ELC18" s="418"/>
      <c r="ELD18" s="418"/>
      <c r="ELE18" s="418"/>
      <c r="ELF18" s="418"/>
      <c r="ELG18" s="418"/>
      <c r="ELH18" s="418"/>
      <c r="ELI18" s="418"/>
      <c r="ELJ18" s="418"/>
      <c r="ELK18" s="418"/>
      <c r="ELL18" s="418"/>
      <c r="ELM18" s="418"/>
      <c r="ELN18" s="418"/>
      <c r="ELO18" s="418"/>
      <c r="ELP18" s="418"/>
      <c r="ELQ18" s="418"/>
      <c r="ELR18" s="418"/>
      <c r="ELS18" s="418"/>
      <c r="ELT18" s="418"/>
      <c r="ELU18" s="418"/>
      <c r="ELV18" s="418"/>
      <c r="ELW18" s="418"/>
      <c r="ELX18" s="418"/>
      <c r="ELY18" s="418"/>
      <c r="ELZ18" s="418"/>
      <c r="EMA18" s="418"/>
      <c r="EMB18" s="418"/>
      <c r="EMC18" s="418"/>
      <c r="EMD18" s="418"/>
      <c r="EME18" s="418"/>
      <c r="EMF18" s="418"/>
      <c r="EMG18" s="418"/>
      <c r="EMH18" s="418"/>
      <c r="EMI18" s="418"/>
      <c r="EMJ18" s="418"/>
      <c r="EMK18" s="418"/>
      <c r="EML18" s="418"/>
      <c r="EMM18" s="418"/>
      <c r="EMN18" s="418"/>
      <c r="EMO18" s="418"/>
      <c r="EMP18" s="418"/>
      <c r="EMQ18" s="418"/>
      <c r="EMR18" s="418"/>
      <c r="EMS18" s="418"/>
      <c r="EMT18" s="418"/>
      <c r="EMU18" s="418"/>
      <c r="EMV18" s="418"/>
      <c r="EMW18" s="418"/>
      <c r="EMX18" s="418"/>
      <c r="EMY18" s="418"/>
      <c r="EMZ18" s="418"/>
      <c r="ENA18" s="418"/>
      <c r="ENB18" s="418"/>
      <c r="ENC18" s="418"/>
      <c r="END18" s="418"/>
      <c r="ENE18" s="418"/>
      <c r="ENF18" s="418"/>
      <c r="ENG18" s="418"/>
      <c r="ENH18" s="418"/>
      <c r="ENI18" s="418"/>
      <c r="ENJ18" s="418"/>
      <c r="ENK18" s="418"/>
      <c r="ENL18" s="418"/>
      <c r="ENM18" s="418"/>
      <c r="ENN18" s="418"/>
      <c r="ENO18" s="418"/>
      <c r="ENP18" s="418"/>
      <c r="ENQ18" s="418"/>
      <c r="ENR18" s="418"/>
      <c r="ENS18" s="418"/>
      <c r="ENT18" s="418"/>
      <c r="ENU18" s="418"/>
      <c r="ENV18" s="418"/>
      <c r="ENW18" s="418"/>
      <c r="ENX18" s="418"/>
      <c r="ENY18" s="418"/>
      <c r="ENZ18" s="418"/>
      <c r="EOA18" s="418"/>
      <c r="EOB18" s="418"/>
      <c r="EOC18" s="418"/>
      <c r="EOD18" s="418"/>
      <c r="EOE18" s="418"/>
      <c r="EOF18" s="418"/>
      <c r="EOG18" s="418"/>
      <c r="EOH18" s="418"/>
      <c r="EOI18" s="418"/>
      <c r="EOJ18" s="418"/>
      <c r="EOK18" s="418"/>
      <c r="EOL18" s="418"/>
      <c r="EOM18" s="418"/>
      <c r="EON18" s="418"/>
      <c r="EOO18" s="418"/>
      <c r="EOP18" s="418"/>
      <c r="EOQ18" s="418"/>
      <c r="EOR18" s="418"/>
      <c r="EOS18" s="418"/>
      <c r="EOT18" s="418"/>
      <c r="EOU18" s="418"/>
      <c r="EOV18" s="418"/>
      <c r="EOW18" s="418"/>
      <c r="EOX18" s="418"/>
      <c r="EOY18" s="418"/>
      <c r="EOZ18" s="418"/>
      <c r="EPA18" s="418"/>
      <c r="EPB18" s="418"/>
      <c r="EPC18" s="418"/>
      <c r="EPD18" s="418"/>
      <c r="EPE18" s="418"/>
      <c r="EPF18" s="418"/>
      <c r="EPG18" s="418"/>
      <c r="EPH18" s="418"/>
      <c r="EPI18" s="418"/>
      <c r="EPJ18" s="418"/>
      <c r="EPK18" s="418"/>
      <c r="EPL18" s="418"/>
      <c r="EPM18" s="418"/>
      <c r="EPN18" s="418"/>
      <c r="EPO18" s="418"/>
      <c r="EPP18" s="418"/>
      <c r="EPQ18" s="418"/>
      <c r="EPR18" s="418"/>
      <c r="EPS18" s="418"/>
      <c r="EPT18" s="418"/>
      <c r="EPU18" s="418"/>
      <c r="EPV18" s="418"/>
      <c r="EPW18" s="418"/>
      <c r="EPX18" s="418"/>
      <c r="EPY18" s="418"/>
      <c r="EPZ18" s="418"/>
      <c r="EQA18" s="418"/>
      <c r="EQB18" s="418"/>
      <c r="EQC18" s="418"/>
      <c r="EQD18" s="418"/>
      <c r="EQE18" s="418"/>
      <c r="EQF18" s="418"/>
      <c r="EQG18" s="418"/>
      <c r="EQH18" s="418"/>
      <c r="EQI18" s="418"/>
      <c r="EQJ18" s="418"/>
      <c r="EQK18" s="418"/>
      <c r="EQL18" s="418"/>
      <c r="EQM18" s="418"/>
      <c r="EQN18" s="418"/>
      <c r="EQO18" s="418"/>
      <c r="EQP18" s="418"/>
      <c r="EQQ18" s="418"/>
      <c r="EQR18" s="418"/>
      <c r="EQS18" s="418"/>
      <c r="EQT18" s="418"/>
      <c r="EQU18" s="418"/>
      <c r="EQV18" s="418"/>
      <c r="EQW18" s="418"/>
      <c r="EQX18" s="418"/>
      <c r="EQY18" s="418"/>
      <c r="EQZ18" s="418"/>
      <c r="ERA18" s="418"/>
      <c r="ERB18" s="418"/>
      <c r="ERC18" s="418"/>
      <c r="ERD18" s="418"/>
      <c r="ERE18" s="418"/>
      <c r="ERF18" s="418"/>
      <c r="ERG18" s="418"/>
      <c r="ERH18" s="418"/>
      <c r="ERI18" s="418"/>
      <c r="ERJ18" s="418"/>
      <c r="ERK18" s="418"/>
      <c r="ERL18" s="418"/>
      <c r="ERM18" s="418"/>
      <c r="ERN18" s="418"/>
      <c r="ERO18" s="418"/>
      <c r="ERP18" s="418"/>
      <c r="ERQ18" s="418"/>
      <c r="ERR18" s="418"/>
      <c r="ERS18" s="418"/>
      <c r="ERT18" s="418"/>
      <c r="ERU18" s="418"/>
      <c r="ERV18" s="418"/>
      <c r="ERW18" s="418"/>
      <c r="ERX18" s="418"/>
      <c r="ERY18" s="418"/>
      <c r="ERZ18" s="418"/>
      <c r="ESA18" s="418"/>
      <c r="ESB18" s="418"/>
      <c r="ESC18" s="418"/>
      <c r="ESD18" s="418"/>
      <c r="ESE18" s="418"/>
      <c r="ESF18" s="418"/>
      <c r="ESG18" s="418"/>
      <c r="ESH18" s="418"/>
      <c r="ESI18" s="418"/>
      <c r="ESJ18" s="418"/>
      <c r="ESK18" s="418"/>
      <c r="ESL18" s="418"/>
      <c r="ESM18" s="418"/>
      <c r="ESN18" s="418"/>
      <c r="ESO18" s="418"/>
      <c r="ESP18" s="418"/>
      <c r="ESQ18" s="418"/>
      <c r="ESR18" s="418"/>
      <c r="ESS18" s="418"/>
      <c r="EST18" s="418"/>
      <c r="ESU18" s="418"/>
      <c r="ESV18" s="418"/>
      <c r="ESW18" s="418"/>
      <c r="ESX18" s="418"/>
      <c r="ESY18" s="418"/>
      <c r="ESZ18" s="418"/>
      <c r="ETA18" s="418"/>
      <c r="ETB18" s="418"/>
      <c r="ETC18" s="418"/>
      <c r="ETD18" s="418"/>
      <c r="ETE18" s="418"/>
      <c r="ETF18" s="418"/>
      <c r="ETG18" s="418"/>
      <c r="ETH18" s="418"/>
      <c r="ETI18" s="418"/>
      <c r="ETJ18" s="418"/>
      <c r="ETK18" s="418"/>
      <c r="ETL18" s="418"/>
      <c r="ETM18" s="418"/>
      <c r="ETN18" s="418"/>
      <c r="ETO18" s="418"/>
      <c r="ETP18" s="418"/>
      <c r="ETQ18" s="418"/>
      <c r="ETR18" s="418"/>
      <c r="ETS18" s="418"/>
      <c r="ETT18" s="418"/>
      <c r="ETU18" s="418"/>
      <c r="ETV18" s="418"/>
      <c r="ETW18" s="418"/>
      <c r="ETX18" s="418"/>
      <c r="ETY18" s="418"/>
      <c r="ETZ18" s="418"/>
      <c r="EUA18" s="418"/>
      <c r="EUB18" s="418"/>
      <c r="EUC18" s="418"/>
      <c r="EUD18" s="418"/>
      <c r="EUE18" s="418"/>
      <c r="EUF18" s="418"/>
      <c r="EUG18" s="418"/>
      <c r="EUH18" s="418"/>
      <c r="EUI18" s="418"/>
      <c r="EUJ18" s="418"/>
      <c r="EUK18" s="418"/>
      <c r="EUL18" s="418"/>
      <c r="EUM18" s="418"/>
      <c r="EUN18" s="418"/>
      <c r="EUO18" s="418"/>
      <c r="EUP18" s="418"/>
      <c r="EUQ18" s="418"/>
      <c r="EUR18" s="418"/>
      <c r="EUS18" s="418"/>
      <c r="EUT18" s="418"/>
      <c r="EUU18" s="418"/>
      <c r="EUV18" s="418"/>
      <c r="EUW18" s="418"/>
      <c r="EUX18" s="418"/>
      <c r="EUY18" s="418"/>
      <c r="EUZ18" s="418"/>
      <c r="EVA18" s="418"/>
      <c r="EVB18" s="418"/>
      <c r="EVC18" s="418"/>
      <c r="EVD18" s="418"/>
      <c r="EVE18" s="418"/>
      <c r="EVF18" s="418"/>
      <c r="EVG18" s="418"/>
      <c r="EVH18" s="418"/>
      <c r="EVI18" s="418"/>
      <c r="EVJ18" s="418"/>
      <c r="EVK18" s="418"/>
      <c r="EVL18" s="418"/>
      <c r="EVM18" s="418"/>
      <c r="EVN18" s="418"/>
      <c r="EVO18" s="418"/>
      <c r="EVP18" s="418"/>
      <c r="EVQ18" s="418"/>
      <c r="EVR18" s="418"/>
      <c r="EVS18" s="418"/>
      <c r="EVT18" s="418"/>
      <c r="EVU18" s="418"/>
      <c r="EVV18" s="418"/>
      <c r="EVW18" s="418"/>
      <c r="EVX18" s="418"/>
      <c r="EVY18" s="418"/>
      <c r="EVZ18" s="418"/>
      <c r="EWA18" s="418"/>
      <c r="EWB18" s="418"/>
      <c r="EWC18" s="418"/>
      <c r="EWD18" s="418"/>
      <c r="EWE18" s="418"/>
      <c r="EWF18" s="418"/>
      <c r="EWG18" s="418"/>
      <c r="EWH18" s="418"/>
      <c r="EWI18" s="418"/>
      <c r="EWJ18" s="418"/>
      <c r="EWK18" s="418"/>
      <c r="EWL18" s="418"/>
      <c r="EWM18" s="418"/>
      <c r="EWN18" s="418"/>
      <c r="EWO18" s="418"/>
      <c r="EWP18" s="418"/>
      <c r="EWQ18" s="418"/>
      <c r="EWR18" s="418"/>
      <c r="EWS18" s="418"/>
      <c r="EWT18" s="418"/>
      <c r="EWU18" s="418"/>
      <c r="EWV18" s="418"/>
      <c r="EWW18" s="418"/>
      <c r="EWX18" s="418"/>
      <c r="EWY18" s="418"/>
      <c r="EWZ18" s="418"/>
      <c r="EXA18" s="418"/>
      <c r="EXB18" s="418"/>
      <c r="EXC18" s="418"/>
      <c r="EXD18" s="418"/>
      <c r="EXE18" s="418"/>
      <c r="EXF18" s="418"/>
      <c r="EXG18" s="418"/>
      <c r="EXH18" s="418"/>
      <c r="EXI18" s="418"/>
      <c r="EXJ18" s="418"/>
      <c r="EXK18" s="418"/>
      <c r="EXL18" s="418"/>
      <c r="EXM18" s="418"/>
      <c r="EXN18" s="418"/>
      <c r="EXO18" s="418"/>
      <c r="EXP18" s="418"/>
      <c r="EXQ18" s="418"/>
      <c r="EXR18" s="418"/>
      <c r="EXS18" s="418"/>
      <c r="EXT18" s="418"/>
      <c r="EXU18" s="418"/>
      <c r="EXV18" s="418"/>
      <c r="EXW18" s="418"/>
      <c r="EXX18" s="418"/>
      <c r="EXY18" s="418"/>
      <c r="EXZ18" s="418"/>
      <c r="EYA18" s="418"/>
      <c r="EYB18" s="418"/>
      <c r="EYC18" s="418"/>
      <c r="EYD18" s="418"/>
      <c r="EYE18" s="418"/>
      <c r="EYF18" s="418"/>
      <c r="EYG18" s="418"/>
      <c r="EYH18" s="418"/>
      <c r="EYI18" s="418"/>
      <c r="EYJ18" s="418"/>
      <c r="EYK18" s="418"/>
      <c r="EYL18" s="418"/>
      <c r="EYM18" s="418"/>
      <c r="EYN18" s="418"/>
      <c r="EYO18" s="418"/>
      <c r="EYP18" s="418"/>
      <c r="EYQ18" s="418"/>
      <c r="EYR18" s="418"/>
      <c r="EYS18" s="418"/>
      <c r="EYT18" s="418"/>
      <c r="EYU18" s="418"/>
      <c r="EYV18" s="418"/>
      <c r="EYW18" s="418"/>
      <c r="EYX18" s="418"/>
      <c r="EYY18" s="418"/>
      <c r="EYZ18" s="418"/>
      <c r="EZA18" s="418"/>
      <c r="EZB18" s="418"/>
      <c r="EZC18" s="418"/>
      <c r="EZD18" s="418"/>
      <c r="EZE18" s="418"/>
      <c r="EZF18" s="418"/>
      <c r="EZG18" s="418"/>
      <c r="EZH18" s="418"/>
      <c r="EZI18" s="418"/>
      <c r="EZJ18" s="418"/>
      <c r="EZK18" s="418"/>
      <c r="EZL18" s="418"/>
      <c r="EZM18" s="418"/>
      <c r="EZN18" s="418"/>
      <c r="EZO18" s="418"/>
      <c r="EZP18" s="418"/>
      <c r="EZQ18" s="418"/>
      <c r="EZR18" s="418"/>
      <c r="EZS18" s="418"/>
      <c r="EZT18" s="418"/>
      <c r="EZU18" s="418"/>
      <c r="EZV18" s="418"/>
      <c r="EZW18" s="418"/>
      <c r="EZX18" s="418"/>
      <c r="EZY18" s="418"/>
      <c r="EZZ18" s="418"/>
      <c r="FAA18" s="418"/>
      <c r="FAB18" s="418"/>
      <c r="FAC18" s="418"/>
      <c r="FAD18" s="418"/>
      <c r="FAE18" s="418"/>
      <c r="FAF18" s="418"/>
      <c r="FAG18" s="418"/>
      <c r="FAH18" s="418"/>
      <c r="FAI18" s="418"/>
      <c r="FAJ18" s="418"/>
      <c r="FAK18" s="418"/>
      <c r="FAL18" s="418"/>
      <c r="FAM18" s="418"/>
      <c r="FAN18" s="418"/>
      <c r="FAO18" s="418"/>
      <c r="FAP18" s="418"/>
      <c r="FAQ18" s="418"/>
      <c r="FAR18" s="418"/>
      <c r="FAS18" s="418"/>
      <c r="FAT18" s="418"/>
      <c r="FAU18" s="418"/>
      <c r="FAV18" s="418"/>
      <c r="FAW18" s="418"/>
      <c r="FAX18" s="418"/>
      <c r="FAY18" s="418"/>
      <c r="FAZ18" s="418"/>
      <c r="FBA18" s="418"/>
      <c r="FBB18" s="418"/>
      <c r="FBC18" s="418"/>
      <c r="FBD18" s="418"/>
      <c r="FBE18" s="418"/>
      <c r="FBF18" s="418"/>
      <c r="FBG18" s="418"/>
      <c r="FBH18" s="418"/>
      <c r="FBI18" s="418"/>
      <c r="FBJ18" s="418"/>
      <c r="FBK18" s="418"/>
      <c r="FBL18" s="418"/>
      <c r="FBM18" s="418"/>
      <c r="FBN18" s="418"/>
      <c r="FBO18" s="418"/>
      <c r="FBP18" s="418"/>
      <c r="FBQ18" s="418"/>
      <c r="FBR18" s="418"/>
      <c r="FBS18" s="418"/>
      <c r="FBT18" s="418"/>
      <c r="FBU18" s="418"/>
      <c r="FBV18" s="418"/>
      <c r="FBW18" s="418"/>
      <c r="FBX18" s="418"/>
      <c r="FBY18" s="418"/>
      <c r="FBZ18" s="418"/>
      <c r="FCA18" s="418"/>
      <c r="FCB18" s="418"/>
      <c r="FCC18" s="418"/>
      <c r="FCD18" s="418"/>
      <c r="FCE18" s="418"/>
      <c r="FCF18" s="418"/>
      <c r="FCG18" s="418"/>
      <c r="FCH18" s="418"/>
      <c r="FCI18" s="418"/>
      <c r="FCJ18" s="418"/>
      <c r="FCK18" s="418"/>
      <c r="FCL18" s="418"/>
      <c r="FCM18" s="418"/>
      <c r="FCN18" s="418"/>
      <c r="FCO18" s="418"/>
      <c r="FCP18" s="418"/>
      <c r="FCQ18" s="418"/>
      <c r="FCR18" s="418"/>
      <c r="FCS18" s="418"/>
      <c r="FCT18" s="418"/>
      <c r="FCU18" s="418"/>
      <c r="FCV18" s="418"/>
      <c r="FCW18" s="418"/>
      <c r="FCX18" s="418"/>
      <c r="FCY18" s="418"/>
      <c r="FCZ18" s="418"/>
      <c r="FDA18" s="418"/>
      <c r="FDB18" s="418"/>
      <c r="FDC18" s="418"/>
      <c r="FDD18" s="418"/>
      <c r="FDE18" s="418"/>
      <c r="FDF18" s="418"/>
      <c r="FDG18" s="418"/>
      <c r="FDH18" s="418"/>
      <c r="FDI18" s="418"/>
      <c r="FDJ18" s="418"/>
      <c r="FDK18" s="418"/>
      <c r="FDL18" s="418"/>
      <c r="FDM18" s="418"/>
      <c r="FDN18" s="418"/>
      <c r="FDO18" s="418"/>
      <c r="FDP18" s="418"/>
      <c r="FDQ18" s="418"/>
      <c r="FDR18" s="418"/>
      <c r="FDS18" s="418"/>
      <c r="FDT18" s="418"/>
      <c r="FDU18" s="418"/>
      <c r="FDV18" s="418"/>
      <c r="FDW18" s="418"/>
      <c r="FDX18" s="418"/>
      <c r="FDY18" s="418"/>
      <c r="FDZ18" s="418"/>
      <c r="FEA18" s="418"/>
      <c r="FEB18" s="418"/>
      <c r="FEC18" s="418"/>
      <c r="FED18" s="418"/>
      <c r="FEE18" s="418"/>
      <c r="FEF18" s="418"/>
      <c r="FEG18" s="418"/>
      <c r="FEH18" s="418"/>
      <c r="FEI18" s="418"/>
      <c r="FEJ18" s="418"/>
      <c r="FEK18" s="418"/>
      <c r="FEL18" s="418"/>
      <c r="FEM18" s="418"/>
      <c r="FEN18" s="418"/>
      <c r="FEO18" s="418"/>
      <c r="FEP18" s="418"/>
      <c r="FEQ18" s="418"/>
      <c r="FER18" s="418"/>
      <c r="FES18" s="418"/>
      <c r="FET18" s="418"/>
      <c r="FEU18" s="418"/>
      <c r="FEV18" s="418"/>
      <c r="FEW18" s="418"/>
      <c r="FEX18" s="418"/>
      <c r="FEY18" s="418"/>
      <c r="FEZ18" s="418"/>
      <c r="FFA18" s="418"/>
      <c r="FFB18" s="418"/>
      <c r="FFC18" s="418"/>
      <c r="FFD18" s="418"/>
      <c r="FFE18" s="418"/>
      <c r="FFF18" s="418"/>
      <c r="FFG18" s="418"/>
      <c r="FFH18" s="418"/>
      <c r="FFI18" s="418"/>
      <c r="FFJ18" s="418"/>
      <c r="FFK18" s="418"/>
      <c r="FFL18" s="418"/>
      <c r="FFM18" s="418"/>
      <c r="FFN18" s="418"/>
      <c r="FFO18" s="418"/>
      <c r="FFP18" s="418"/>
      <c r="FFQ18" s="418"/>
      <c r="FFR18" s="418"/>
      <c r="FFS18" s="418"/>
      <c r="FFT18" s="418"/>
      <c r="FFU18" s="418"/>
      <c r="FFV18" s="418"/>
      <c r="FFW18" s="418"/>
      <c r="FFX18" s="418"/>
      <c r="FFY18" s="418"/>
      <c r="FFZ18" s="418"/>
      <c r="FGA18" s="418"/>
      <c r="FGB18" s="418"/>
      <c r="FGC18" s="418"/>
      <c r="FGD18" s="418"/>
      <c r="FGE18" s="418"/>
      <c r="FGF18" s="418"/>
      <c r="FGG18" s="418"/>
      <c r="FGH18" s="418"/>
      <c r="FGI18" s="418"/>
      <c r="FGJ18" s="418"/>
      <c r="FGK18" s="418"/>
      <c r="FGL18" s="418"/>
      <c r="FGM18" s="418"/>
      <c r="FGN18" s="418"/>
      <c r="FGO18" s="418"/>
      <c r="FGP18" s="418"/>
      <c r="FGQ18" s="418"/>
      <c r="FGR18" s="418"/>
      <c r="FGS18" s="418"/>
      <c r="FGT18" s="418"/>
      <c r="FGU18" s="418"/>
      <c r="FGV18" s="418"/>
      <c r="FGW18" s="418"/>
      <c r="FGX18" s="418"/>
      <c r="FGY18" s="418"/>
      <c r="FGZ18" s="418"/>
      <c r="FHA18" s="418"/>
      <c r="FHB18" s="418"/>
      <c r="FHC18" s="418"/>
      <c r="FHD18" s="418"/>
      <c r="FHE18" s="418"/>
      <c r="FHF18" s="418"/>
      <c r="FHG18" s="418"/>
      <c r="FHH18" s="418"/>
      <c r="FHI18" s="418"/>
      <c r="FHJ18" s="418"/>
      <c r="FHK18" s="418"/>
      <c r="FHL18" s="418"/>
      <c r="FHM18" s="418"/>
      <c r="FHN18" s="418"/>
      <c r="FHO18" s="418"/>
      <c r="FHP18" s="418"/>
      <c r="FHQ18" s="418"/>
      <c r="FHR18" s="418"/>
      <c r="FHS18" s="418"/>
      <c r="FHT18" s="418"/>
      <c r="FHU18" s="418"/>
      <c r="FHV18" s="418"/>
      <c r="FHW18" s="418"/>
      <c r="FHX18" s="418"/>
      <c r="FHY18" s="418"/>
      <c r="FHZ18" s="418"/>
      <c r="FIA18" s="418"/>
      <c r="FIB18" s="418"/>
      <c r="FIC18" s="418"/>
      <c r="FID18" s="418"/>
      <c r="FIE18" s="418"/>
      <c r="FIF18" s="418"/>
      <c r="FIG18" s="418"/>
      <c r="FIH18" s="418"/>
      <c r="FII18" s="418"/>
      <c r="FIJ18" s="418"/>
      <c r="FIK18" s="418"/>
      <c r="FIL18" s="418"/>
      <c r="FIM18" s="418"/>
      <c r="FIN18" s="418"/>
      <c r="FIO18" s="418"/>
      <c r="FIP18" s="418"/>
      <c r="FIQ18" s="418"/>
      <c r="FIR18" s="418"/>
      <c r="FIS18" s="418"/>
      <c r="FIT18" s="418"/>
      <c r="FIU18" s="418"/>
      <c r="FIV18" s="418"/>
      <c r="FIW18" s="418"/>
      <c r="FIX18" s="418"/>
      <c r="FIY18" s="418"/>
      <c r="FIZ18" s="418"/>
      <c r="FJA18" s="418"/>
      <c r="FJB18" s="418"/>
      <c r="FJC18" s="418"/>
      <c r="FJD18" s="418"/>
      <c r="FJE18" s="418"/>
      <c r="FJF18" s="418"/>
      <c r="FJG18" s="418"/>
      <c r="FJH18" s="418"/>
      <c r="FJI18" s="418"/>
      <c r="FJJ18" s="418"/>
      <c r="FJK18" s="418"/>
      <c r="FJL18" s="418"/>
      <c r="FJM18" s="418"/>
      <c r="FJN18" s="418"/>
      <c r="FJO18" s="418"/>
      <c r="FJP18" s="418"/>
      <c r="FJQ18" s="418"/>
      <c r="FJR18" s="418"/>
      <c r="FJS18" s="418"/>
      <c r="FJT18" s="418"/>
      <c r="FJU18" s="418"/>
      <c r="FJV18" s="418"/>
      <c r="FJW18" s="418"/>
      <c r="FJX18" s="418"/>
      <c r="FJY18" s="418"/>
      <c r="FJZ18" s="418"/>
      <c r="FKA18" s="418"/>
      <c r="FKB18" s="418"/>
      <c r="FKC18" s="418"/>
      <c r="FKD18" s="418"/>
      <c r="FKE18" s="418"/>
      <c r="FKF18" s="418"/>
      <c r="FKG18" s="418"/>
      <c r="FKH18" s="418"/>
      <c r="FKI18" s="418"/>
      <c r="FKJ18" s="418"/>
      <c r="FKK18" s="418"/>
      <c r="FKL18" s="418"/>
      <c r="FKM18" s="418"/>
      <c r="FKN18" s="418"/>
      <c r="FKO18" s="418"/>
      <c r="FKP18" s="418"/>
      <c r="FKQ18" s="418"/>
      <c r="FKR18" s="418"/>
      <c r="FKS18" s="418"/>
      <c r="FKT18" s="418"/>
      <c r="FKU18" s="418"/>
      <c r="FKV18" s="418"/>
      <c r="FKW18" s="418"/>
      <c r="FKX18" s="418"/>
      <c r="FKY18" s="418"/>
      <c r="FKZ18" s="418"/>
      <c r="FLA18" s="418"/>
      <c r="FLB18" s="418"/>
      <c r="FLC18" s="418"/>
      <c r="FLD18" s="418"/>
      <c r="FLE18" s="418"/>
      <c r="FLF18" s="418"/>
      <c r="FLG18" s="418"/>
      <c r="FLH18" s="418"/>
      <c r="FLI18" s="418"/>
      <c r="FLJ18" s="418"/>
      <c r="FLK18" s="418"/>
      <c r="FLL18" s="418"/>
      <c r="FLM18" s="418"/>
      <c r="FLN18" s="418"/>
      <c r="FLO18" s="418"/>
      <c r="FLP18" s="418"/>
      <c r="FLQ18" s="418"/>
      <c r="FLR18" s="418"/>
      <c r="FLS18" s="418"/>
      <c r="FLT18" s="418"/>
      <c r="FLU18" s="418"/>
      <c r="FLV18" s="418"/>
      <c r="FLW18" s="418"/>
      <c r="FLX18" s="418"/>
      <c r="FLY18" s="418"/>
      <c r="FLZ18" s="418"/>
      <c r="FMA18" s="418"/>
      <c r="FMB18" s="418"/>
      <c r="FMC18" s="418"/>
      <c r="FMD18" s="418"/>
      <c r="FME18" s="418"/>
      <c r="FMF18" s="418"/>
      <c r="FMG18" s="418"/>
      <c r="FMH18" s="418"/>
      <c r="FMI18" s="418"/>
      <c r="FMJ18" s="418"/>
      <c r="FMK18" s="418"/>
      <c r="FML18" s="418"/>
      <c r="FMM18" s="418"/>
      <c r="FMN18" s="418"/>
      <c r="FMO18" s="418"/>
      <c r="FMP18" s="418"/>
      <c r="FMQ18" s="418"/>
      <c r="FMR18" s="418"/>
      <c r="FMS18" s="418"/>
      <c r="FMT18" s="418"/>
      <c r="FMU18" s="418"/>
      <c r="FMV18" s="418"/>
      <c r="FMW18" s="418"/>
      <c r="FMX18" s="418"/>
      <c r="FMY18" s="418"/>
      <c r="FMZ18" s="418"/>
      <c r="FNA18" s="418"/>
      <c r="FNB18" s="418"/>
      <c r="FNC18" s="418"/>
      <c r="FND18" s="418"/>
      <c r="FNE18" s="418"/>
      <c r="FNF18" s="418"/>
      <c r="FNG18" s="418"/>
      <c r="FNH18" s="418"/>
      <c r="FNI18" s="418"/>
      <c r="FNJ18" s="418"/>
      <c r="FNK18" s="418"/>
      <c r="FNL18" s="418"/>
      <c r="FNM18" s="418"/>
      <c r="FNN18" s="418"/>
      <c r="FNO18" s="418"/>
      <c r="FNP18" s="418"/>
      <c r="FNQ18" s="418"/>
      <c r="FNR18" s="418"/>
      <c r="FNS18" s="418"/>
      <c r="FNT18" s="418"/>
      <c r="FNU18" s="418"/>
      <c r="FNV18" s="418"/>
      <c r="FNW18" s="418"/>
      <c r="FNX18" s="418"/>
      <c r="FNY18" s="418"/>
      <c r="FNZ18" s="418"/>
      <c r="FOA18" s="418"/>
      <c r="FOB18" s="418"/>
      <c r="FOC18" s="418"/>
      <c r="FOD18" s="418"/>
      <c r="FOE18" s="418"/>
      <c r="FOF18" s="418"/>
      <c r="FOG18" s="418"/>
      <c r="FOH18" s="418"/>
      <c r="FOI18" s="418"/>
      <c r="FOJ18" s="418"/>
      <c r="FOK18" s="418"/>
      <c r="FOL18" s="418"/>
      <c r="FOM18" s="418"/>
      <c r="FON18" s="418"/>
      <c r="FOO18" s="418"/>
      <c r="FOP18" s="418"/>
      <c r="FOQ18" s="418"/>
      <c r="FOR18" s="418"/>
      <c r="FOS18" s="418"/>
      <c r="FOT18" s="418"/>
      <c r="FOU18" s="418"/>
      <c r="FOV18" s="418"/>
      <c r="FOW18" s="418"/>
      <c r="FOX18" s="418"/>
      <c r="FOY18" s="418"/>
      <c r="FOZ18" s="418"/>
      <c r="FPA18" s="418"/>
      <c r="FPB18" s="418"/>
      <c r="FPC18" s="418"/>
      <c r="FPD18" s="418"/>
      <c r="FPE18" s="418"/>
      <c r="FPF18" s="418"/>
      <c r="FPG18" s="418"/>
      <c r="FPH18" s="418"/>
      <c r="FPI18" s="418"/>
      <c r="FPJ18" s="418"/>
      <c r="FPK18" s="418"/>
      <c r="FPL18" s="418"/>
      <c r="FPM18" s="418"/>
      <c r="FPN18" s="418"/>
      <c r="FPO18" s="418"/>
      <c r="FPP18" s="418"/>
      <c r="FPQ18" s="418"/>
      <c r="FPR18" s="418"/>
      <c r="FPS18" s="418"/>
      <c r="FPT18" s="418"/>
      <c r="FPU18" s="418"/>
      <c r="FPV18" s="418"/>
      <c r="FPW18" s="418"/>
      <c r="FPX18" s="418"/>
      <c r="FPY18" s="418"/>
      <c r="FPZ18" s="418"/>
      <c r="FQA18" s="418"/>
      <c r="FQB18" s="418"/>
      <c r="FQC18" s="418"/>
      <c r="FQD18" s="418"/>
      <c r="FQE18" s="418"/>
      <c r="FQF18" s="418"/>
      <c r="FQG18" s="418"/>
      <c r="FQH18" s="418"/>
      <c r="FQI18" s="418"/>
      <c r="FQJ18" s="418"/>
      <c r="FQK18" s="418"/>
      <c r="FQL18" s="418"/>
      <c r="FQM18" s="418"/>
      <c r="FQN18" s="418"/>
      <c r="FQO18" s="418"/>
      <c r="FQP18" s="418"/>
      <c r="FQQ18" s="418"/>
      <c r="FQR18" s="418"/>
      <c r="FQS18" s="418"/>
      <c r="FQT18" s="418"/>
      <c r="FQU18" s="418"/>
      <c r="FQV18" s="418"/>
      <c r="FQW18" s="418"/>
      <c r="FQX18" s="418"/>
      <c r="FQY18" s="418"/>
      <c r="FQZ18" s="418"/>
      <c r="FRA18" s="418"/>
      <c r="FRB18" s="418"/>
      <c r="FRC18" s="418"/>
      <c r="FRD18" s="418"/>
      <c r="FRE18" s="418"/>
      <c r="FRF18" s="418"/>
      <c r="FRG18" s="418"/>
      <c r="FRH18" s="418"/>
      <c r="FRI18" s="418"/>
      <c r="FRJ18" s="418"/>
      <c r="FRK18" s="418"/>
      <c r="FRL18" s="418"/>
      <c r="FRM18" s="418"/>
      <c r="FRN18" s="418"/>
      <c r="FRO18" s="418"/>
      <c r="FRP18" s="418"/>
      <c r="FRQ18" s="418"/>
      <c r="FRR18" s="418"/>
      <c r="FRS18" s="418"/>
      <c r="FRT18" s="418"/>
      <c r="FRU18" s="418"/>
      <c r="FRV18" s="418"/>
      <c r="FRW18" s="418"/>
      <c r="FRX18" s="418"/>
      <c r="FRY18" s="418"/>
      <c r="FRZ18" s="418"/>
      <c r="FSA18" s="418"/>
      <c r="FSB18" s="418"/>
      <c r="FSC18" s="418"/>
      <c r="FSD18" s="418"/>
      <c r="FSE18" s="418"/>
      <c r="FSF18" s="418"/>
      <c r="FSG18" s="418"/>
      <c r="FSH18" s="418"/>
      <c r="FSI18" s="418"/>
      <c r="FSJ18" s="418"/>
      <c r="FSK18" s="418"/>
      <c r="FSL18" s="418"/>
      <c r="FSM18" s="418"/>
      <c r="FSN18" s="418"/>
      <c r="FSO18" s="418"/>
      <c r="FSP18" s="418"/>
      <c r="FSQ18" s="418"/>
      <c r="FSR18" s="418"/>
      <c r="FSS18" s="418"/>
      <c r="FST18" s="418"/>
      <c r="FSU18" s="418"/>
      <c r="FSV18" s="418"/>
      <c r="FSW18" s="418"/>
      <c r="FSX18" s="418"/>
      <c r="FSY18" s="418"/>
      <c r="FSZ18" s="418"/>
      <c r="FTA18" s="418"/>
      <c r="FTB18" s="418"/>
      <c r="FTC18" s="418"/>
      <c r="FTD18" s="418"/>
      <c r="FTE18" s="418"/>
      <c r="FTF18" s="418"/>
      <c r="FTG18" s="418"/>
      <c r="FTH18" s="418"/>
      <c r="FTI18" s="418"/>
      <c r="FTJ18" s="418"/>
      <c r="FTK18" s="418"/>
      <c r="FTL18" s="418"/>
      <c r="FTM18" s="418"/>
      <c r="FTN18" s="418"/>
      <c r="FTO18" s="418"/>
      <c r="FTP18" s="418"/>
      <c r="FTQ18" s="418"/>
      <c r="FTR18" s="418"/>
      <c r="FTS18" s="418"/>
      <c r="FTT18" s="418"/>
      <c r="FTU18" s="418"/>
      <c r="FTV18" s="418"/>
      <c r="FTW18" s="418"/>
      <c r="FTX18" s="418"/>
      <c r="FTY18" s="418"/>
      <c r="FTZ18" s="418"/>
      <c r="FUA18" s="418"/>
      <c r="FUB18" s="418"/>
      <c r="FUC18" s="418"/>
      <c r="FUD18" s="418"/>
      <c r="FUE18" s="418"/>
      <c r="FUF18" s="418"/>
      <c r="FUG18" s="418"/>
      <c r="FUH18" s="418"/>
      <c r="FUI18" s="418"/>
      <c r="FUJ18" s="418"/>
      <c r="FUK18" s="418"/>
      <c r="FUL18" s="418"/>
      <c r="FUM18" s="418"/>
      <c r="FUN18" s="418"/>
      <c r="FUO18" s="418"/>
      <c r="FUP18" s="418"/>
      <c r="FUQ18" s="418"/>
      <c r="FUR18" s="418"/>
      <c r="FUS18" s="418"/>
      <c r="FUT18" s="418"/>
      <c r="FUU18" s="418"/>
      <c r="FUV18" s="418"/>
      <c r="FUW18" s="418"/>
      <c r="FUX18" s="418"/>
      <c r="FUY18" s="418"/>
      <c r="FUZ18" s="418"/>
      <c r="FVA18" s="418"/>
      <c r="FVB18" s="418"/>
      <c r="FVC18" s="418"/>
      <c r="FVD18" s="418"/>
      <c r="FVE18" s="418"/>
      <c r="FVF18" s="418"/>
      <c r="FVG18" s="418"/>
      <c r="FVH18" s="418"/>
      <c r="FVI18" s="418"/>
      <c r="FVJ18" s="418"/>
      <c r="FVK18" s="418"/>
      <c r="FVL18" s="418"/>
      <c r="FVM18" s="418"/>
      <c r="FVN18" s="418"/>
      <c r="FVO18" s="418"/>
      <c r="FVP18" s="418"/>
      <c r="FVQ18" s="418"/>
      <c r="FVR18" s="418"/>
      <c r="FVS18" s="418"/>
      <c r="FVT18" s="418"/>
      <c r="FVU18" s="418"/>
      <c r="FVV18" s="418"/>
      <c r="FVW18" s="418"/>
      <c r="FVX18" s="418"/>
      <c r="FVY18" s="418"/>
      <c r="FVZ18" s="418"/>
      <c r="FWA18" s="418"/>
      <c r="FWB18" s="418"/>
      <c r="FWC18" s="418"/>
      <c r="FWD18" s="418"/>
      <c r="FWE18" s="418"/>
      <c r="FWF18" s="418"/>
      <c r="FWG18" s="418"/>
      <c r="FWH18" s="418"/>
      <c r="FWI18" s="418"/>
      <c r="FWJ18" s="418"/>
      <c r="FWK18" s="418"/>
      <c r="FWL18" s="418"/>
      <c r="FWM18" s="418"/>
      <c r="FWN18" s="418"/>
      <c r="FWO18" s="418"/>
      <c r="FWP18" s="418"/>
      <c r="FWQ18" s="418"/>
      <c r="FWR18" s="418"/>
      <c r="FWS18" s="418"/>
      <c r="FWT18" s="418"/>
      <c r="FWU18" s="418"/>
      <c r="FWV18" s="418"/>
      <c r="FWW18" s="418"/>
      <c r="FWX18" s="418"/>
      <c r="FWY18" s="418"/>
      <c r="FWZ18" s="418"/>
      <c r="FXA18" s="418"/>
      <c r="FXB18" s="418"/>
      <c r="FXC18" s="418"/>
      <c r="FXD18" s="418"/>
      <c r="FXE18" s="418"/>
      <c r="FXF18" s="418"/>
      <c r="FXG18" s="418"/>
      <c r="FXH18" s="418"/>
      <c r="FXI18" s="418"/>
      <c r="FXJ18" s="418"/>
      <c r="FXK18" s="418"/>
      <c r="FXL18" s="418"/>
      <c r="FXM18" s="418"/>
      <c r="FXN18" s="418"/>
      <c r="FXO18" s="418"/>
      <c r="FXP18" s="418"/>
      <c r="FXQ18" s="418"/>
      <c r="FXR18" s="418"/>
      <c r="FXS18" s="418"/>
      <c r="FXT18" s="418"/>
      <c r="FXU18" s="418"/>
      <c r="FXV18" s="418"/>
      <c r="FXW18" s="418"/>
      <c r="FXX18" s="418"/>
      <c r="FXY18" s="418"/>
      <c r="FXZ18" s="418"/>
      <c r="FYA18" s="418"/>
      <c r="FYB18" s="418"/>
      <c r="FYC18" s="418"/>
      <c r="FYD18" s="418"/>
      <c r="FYE18" s="418"/>
      <c r="FYF18" s="418"/>
      <c r="FYG18" s="418"/>
      <c r="FYH18" s="418"/>
      <c r="FYI18" s="418"/>
      <c r="FYJ18" s="418"/>
      <c r="FYK18" s="418"/>
      <c r="FYL18" s="418"/>
      <c r="FYM18" s="418"/>
      <c r="FYN18" s="418"/>
      <c r="FYO18" s="418"/>
      <c r="FYP18" s="418"/>
      <c r="FYQ18" s="418"/>
      <c r="FYR18" s="418"/>
      <c r="FYS18" s="418"/>
      <c r="FYT18" s="418"/>
      <c r="FYU18" s="418"/>
      <c r="FYV18" s="418"/>
      <c r="FYW18" s="418"/>
      <c r="FYX18" s="418"/>
      <c r="FYY18" s="418"/>
      <c r="FYZ18" s="418"/>
      <c r="FZA18" s="418"/>
      <c r="FZB18" s="418"/>
      <c r="FZC18" s="418"/>
      <c r="FZD18" s="418"/>
      <c r="FZE18" s="418"/>
      <c r="FZF18" s="418"/>
      <c r="FZG18" s="418"/>
      <c r="FZH18" s="418"/>
      <c r="FZI18" s="418"/>
      <c r="FZJ18" s="418"/>
      <c r="FZK18" s="418"/>
      <c r="FZL18" s="418"/>
      <c r="FZM18" s="418"/>
      <c r="FZN18" s="418"/>
      <c r="FZO18" s="418"/>
      <c r="FZP18" s="418"/>
      <c r="FZQ18" s="418"/>
      <c r="FZR18" s="418"/>
      <c r="FZS18" s="418"/>
      <c r="FZT18" s="418"/>
      <c r="FZU18" s="418"/>
      <c r="FZV18" s="418"/>
      <c r="FZW18" s="418"/>
      <c r="FZX18" s="418"/>
      <c r="FZY18" s="418"/>
      <c r="FZZ18" s="418"/>
      <c r="GAA18" s="418"/>
      <c r="GAB18" s="418"/>
      <c r="GAC18" s="418"/>
      <c r="GAD18" s="418"/>
      <c r="GAE18" s="418"/>
      <c r="GAF18" s="418"/>
      <c r="GAG18" s="418"/>
      <c r="GAH18" s="418"/>
      <c r="GAI18" s="418"/>
      <c r="GAJ18" s="418"/>
      <c r="GAK18" s="418"/>
      <c r="GAL18" s="418"/>
      <c r="GAM18" s="418"/>
      <c r="GAN18" s="418"/>
      <c r="GAO18" s="418"/>
      <c r="GAP18" s="418"/>
      <c r="GAQ18" s="418"/>
      <c r="GAR18" s="418"/>
      <c r="GAS18" s="418"/>
      <c r="GAT18" s="418"/>
      <c r="GAU18" s="418"/>
      <c r="GAV18" s="418"/>
      <c r="GAW18" s="418"/>
      <c r="GAX18" s="418"/>
      <c r="GAY18" s="418"/>
      <c r="GAZ18" s="418"/>
      <c r="GBA18" s="418"/>
      <c r="GBB18" s="418"/>
      <c r="GBC18" s="418"/>
      <c r="GBD18" s="418"/>
      <c r="GBE18" s="418"/>
      <c r="GBF18" s="418"/>
      <c r="GBG18" s="418"/>
      <c r="GBH18" s="418"/>
      <c r="GBI18" s="418"/>
      <c r="GBJ18" s="418"/>
      <c r="GBK18" s="418"/>
      <c r="GBL18" s="418"/>
      <c r="GBM18" s="418"/>
      <c r="GBN18" s="418"/>
      <c r="GBO18" s="418"/>
      <c r="GBP18" s="418"/>
      <c r="GBQ18" s="418"/>
      <c r="GBR18" s="418"/>
      <c r="GBS18" s="418"/>
      <c r="GBT18" s="418"/>
      <c r="GBU18" s="418"/>
      <c r="GBV18" s="418"/>
      <c r="GBW18" s="418"/>
      <c r="GBX18" s="418"/>
      <c r="GBY18" s="418"/>
      <c r="GBZ18" s="418"/>
      <c r="GCA18" s="418"/>
      <c r="GCB18" s="418"/>
      <c r="GCC18" s="418"/>
      <c r="GCD18" s="418"/>
      <c r="GCE18" s="418"/>
      <c r="GCF18" s="418"/>
      <c r="GCG18" s="418"/>
      <c r="GCH18" s="418"/>
      <c r="GCI18" s="418"/>
      <c r="GCJ18" s="418"/>
      <c r="GCK18" s="418"/>
      <c r="GCL18" s="418"/>
      <c r="GCM18" s="418"/>
      <c r="GCN18" s="418"/>
      <c r="GCO18" s="418"/>
      <c r="GCP18" s="418"/>
      <c r="GCQ18" s="418"/>
      <c r="GCR18" s="418"/>
      <c r="GCS18" s="418"/>
      <c r="GCT18" s="418"/>
      <c r="GCU18" s="418"/>
      <c r="GCV18" s="418"/>
      <c r="GCW18" s="418"/>
      <c r="GCX18" s="418"/>
      <c r="GCY18" s="418"/>
      <c r="GCZ18" s="418"/>
      <c r="GDA18" s="418"/>
      <c r="GDB18" s="418"/>
      <c r="GDC18" s="418"/>
      <c r="GDD18" s="418"/>
      <c r="GDE18" s="418"/>
      <c r="GDF18" s="418"/>
      <c r="GDG18" s="418"/>
      <c r="GDH18" s="418"/>
      <c r="GDI18" s="418"/>
      <c r="GDJ18" s="418"/>
      <c r="GDK18" s="418"/>
      <c r="GDL18" s="418"/>
      <c r="GDM18" s="418"/>
      <c r="GDN18" s="418"/>
      <c r="GDO18" s="418"/>
      <c r="GDP18" s="418"/>
      <c r="GDQ18" s="418"/>
      <c r="GDR18" s="418"/>
      <c r="GDS18" s="418"/>
      <c r="GDT18" s="418"/>
      <c r="GDU18" s="418"/>
      <c r="GDV18" s="418"/>
      <c r="GDW18" s="418"/>
      <c r="GDX18" s="418"/>
      <c r="GDY18" s="418"/>
      <c r="GDZ18" s="418"/>
      <c r="GEA18" s="418"/>
      <c r="GEB18" s="418"/>
      <c r="GEC18" s="418"/>
      <c r="GED18" s="418"/>
      <c r="GEE18" s="418"/>
      <c r="GEF18" s="418"/>
      <c r="GEG18" s="418"/>
      <c r="GEH18" s="418"/>
      <c r="GEI18" s="418"/>
      <c r="GEJ18" s="418"/>
      <c r="GEK18" s="418"/>
      <c r="GEL18" s="418"/>
      <c r="GEM18" s="418"/>
      <c r="GEN18" s="418"/>
      <c r="GEO18" s="418"/>
      <c r="GEP18" s="418"/>
      <c r="GEQ18" s="418"/>
      <c r="GER18" s="418"/>
      <c r="GES18" s="418"/>
      <c r="GET18" s="418"/>
      <c r="GEU18" s="418"/>
      <c r="GEV18" s="418"/>
      <c r="GEW18" s="418"/>
      <c r="GEX18" s="418"/>
      <c r="GEY18" s="418"/>
      <c r="GEZ18" s="418"/>
      <c r="GFA18" s="418"/>
      <c r="GFB18" s="418"/>
      <c r="GFC18" s="418"/>
      <c r="GFD18" s="418"/>
      <c r="GFE18" s="418"/>
      <c r="GFF18" s="418"/>
      <c r="GFG18" s="418"/>
      <c r="GFH18" s="418"/>
      <c r="GFI18" s="418"/>
      <c r="GFJ18" s="418"/>
      <c r="GFK18" s="418"/>
      <c r="GFL18" s="418"/>
      <c r="GFM18" s="418"/>
      <c r="GFN18" s="418"/>
      <c r="GFO18" s="418"/>
      <c r="GFP18" s="418"/>
      <c r="GFQ18" s="418"/>
      <c r="GFR18" s="418"/>
      <c r="GFS18" s="418"/>
      <c r="GFT18" s="418"/>
      <c r="GFU18" s="418"/>
      <c r="GFV18" s="418"/>
      <c r="GFW18" s="418"/>
      <c r="GFX18" s="418"/>
      <c r="GFY18" s="418"/>
      <c r="GFZ18" s="418"/>
      <c r="GGA18" s="418"/>
      <c r="GGB18" s="418"/>
      <c r="GGC18" s="418"/>
      <c r="GGD18" s="418"/>
      <c r="GGE18" s="418"/>
      <c r="GGF18" s="418"/>
      <c r="GGG18" s="418"/>
      <c r="GGH18" s="418"/>
      <c r="GGI18" s="418"/>
      <c r="GGJ18" s="418"/>
      <c r="GGK18" s="418"/>
      <c r="GGL18" s="418"/>
      <c r="GGM18" s="418"/>
      <c r="GGN18" s="418"/>
      <c r="GGO18" s="418"/>
      <c r="GGP18" s="418"/>
      <c r="GGQ18" s="418"/>
      <c r="GGR18" s="418"/>
      <c r="GGS18" s="418"/>
      <c r="GGT18" s="418"/>
      <c r="GGU18" s="418"/>
      <c r="GGV18" s="418"/>
      <c r="GGW18" s="418"/>
      <c r="GGX18" s="418"/>
      <c r="GGY18" s="418"/>
      <c r="GGZ18" s="418"/>
      <c r="GHA18" s="418"/>
      <c r="GHB18" s="418"/>
      <c r="GHC18" s="418"/>
      <c r="GHD18" s="418"/>
      <c r="GHE18" s="418"/>
      <c r="GHF18" s="418"/>
      <c r="GHG18" s="418"/>
      <c r="GHH18" s="418"/>
      <c r="GHI18" s="418"/>
      <c r="GHJ18" s="418"/>
      <c r="GHK18" s="418"/>
      <c r="GHL18" s="418"/>
      <c r="GHM18" s="418"/>
      <c r="GHN18" s="418"/>
      <c r="GHO18" s="418"/>
      <c r="GHP18" s="418"/>
      <c r="GHQ18" s="418"/>
      <c r="GHR18" s="418"/>
      <c r="GHS18" s="418"/>
      <c r="GHT18" s="418"/>
      <c r="GHU18" s="418"/>
      <c r="GHV18" s="418"/>
      <c r="GHW18" s="418"/>
      <c r="GHX18" s="418"/>
      <c r="GHY18" s="418"/>
      <c r="GHZ18" s="418"/>
      <c r="GIA18" s="418"/>
      <c r="GIB18" s="418"/>
      <c r="GIC18" s="418"/>
      <c r="GID18" s="418"/>
      <c r="GIE18" s="418"/>
      <c r="GIF18" s="418"/>
      <c r="GIG18" s="418"/>
      <c r="GIH18" s="418"/>
      <c r="GII18" s="418"/>
      <c r="GIJ18" s="418"/>
      <c r="GIK18" s="418"/>
      <c r="GIL18" s="418"/>
      <c r="GIM18" s="418"/>
      <c r="GIN18" s="418"/>
      <c r="GIO18" s="418"/>
      <c r="GIP18" s="418"/>
      <c r="GIQ18" s="418"/>
      <c r="GIR18" s="418"/>
      <c r="GIS18" s="418"/>
      <c r="GIT18" s="418"/>
      <c r="GIU18" s="418"/>
      <c r="GIV18" s="418"/>
      <c r="GIW18" s="418"/>
      <c r="GIX18" s="418"/>
      <c r="GIY18" s="418"/>
      <c r="GIZ18" s="418"/>
      <c r="GJA18" s="418"/>
      <c r="GJB18" s="418"/>
      <c r="GJC18" s="418"/>
      <c r="GJD18" s="418"/>
      <c r="GJE18" s="418"/>
      <c r="GJF18" s="418"/>
      <c r="GJG18" s="418"/>
      <c r="GJH18" s="418"/>
      <c r="GJI18" s="418"/>
      <c r="GJJ18" s="418"/>
      <c r="GJK18" s="418"/>
      <c r="GJL18" s="418"/>
      <c r="GJM18" s="418"/>
      <c r="GJN18" s="418"/>
      <c r="GJO18" s="418"/>
      <c r="GJP18" s="418"/>
      <c r="GJQ18" s="418"/>
      <c r="GJR18" s="418"/>
      <c r="GJS18" s="418"/>
      <c r="GJT18" s="418"/>
      <c r="GJU18" s="418"/>
      <c r="GJV18" s="418"/>
      <c r="GJW18" s="418"/>
      <c r="GJX18" s="418"/>
      <c r="GJY18" s="418"/>
      <c r="GJZ18" s="418"/>
      <c r="GKA18" s="418"/>
      <c r="GKB18" s="418"/>
      <c r="GKC18" s="418"/>
      <c r="GKD18" s="418"/>
      <c r="GKE18" s="418"/>
      <c r="GKF18" s="418"/>
      <c r="GKG18" s="418"/>
      <c r="GKH18" s="418"/>
      <c r="GKI18" s="418"/>
      <c r="GKJ18" s="418"/>
      <c r="GKK18" s="418"/>
      <c r="GKL18" s="418"/>
      <c r="GKM18" s="418"/>
      <c r="GKN18" s="418"/>
      <c r="GKO18" s="418"/>
      <c r="GKP18" s="418"/>
      <c r="GKQ18" s="418"/>
      <c r="GKR18" s="418"/>
      <c r="GKS18" s="418"/>
      <c r="GKT18" s="418"/>
      <c r="GKU18" s="418"/>
      <c r="GKV18" s="418"/>
      <c r="GKW18" s="418"/>
      <c r="GKX18" s="418"/>
      <c r="GKY18" s="418"/>
      <c r="GKZ18" s="418"/>
      <c r="GLA18" s="418"/>
      <c r="GLB18" s="418"/>
      <c r="GLC18" s="418"/>
      <c r="GLD18" s="418"/>
      <c r="GLE18" s="418"/>
      <c r="GLF18" s="418"/>
      <c r="GLG18" s="418"/>
      <c r="GLH18" s="418"/>
      <c r="GLI18" s="418"/>
      <c r="GLJ18" s="418"/>
      <c r="GLK18" s="418"/>
      <c r="GLL18" s="418"/>
      <c r="GLM18" s="418"/>
      <c r="GLN18" s="418"/>
      <c r="GLO18" s="418"/>
      <c r="GLP18" s="418"/>
      <c r="GLQ18" s="418"/>
      <c r="GLR18" s="418"/>
      <c r="GLS18" s="418"/>
      <c r="GLT18" s="418"/>
      <c r="GLU18" s="418"/>
      <c r="GLV18" s="418"/>
      <c r="GLW18" s="418"/>
      <c r="GLX18" s="418"/>
      <c r="GLY18" s="418"/>
      <c r="GLZ18" s="418"/>
      <c r="GMA18" s="418"/>
      <c r="GMB18" s="418"/>
      <c r="GMC18" s="418"/>
      <c r="GMD18" s="418"/>
      <c r="GME18" s="418"/>
      <c r="GMF18" s="418"/>
      <c r="GMG18" s="418"/>
      <c r="GMH18" s="418"/>
      <c r="GMI18" s="418"/>
      <c r="GMJ18" s="418"/>
      <c r="GMK18" s="418"/>
      <c r="GML18" s="418"/>
      <c r="GMM18" s="418"/>
      <c r="GMN18" s="418"/>
      <c r="GMO18" s="418"/>
      <c r="GMP18" s="418"/>
      <c r="GMQ18" s="418"/>
      <c r="GMR18" s="418"/>
      <c r="GMS18" s="418"/>
      <c r="GMT18" s="418"/>
      <c r="GMU18" s="418"/>
      <c r="GMV18" s="418"/>
      <c r="GMW18" s="418"/>
      <c r="GMX18" s="418"/>
      <c r="GMY18" s="418"/>
      <c r="GMZ18" s="418"/>
      <c r="GNA18" s="418"/>
      <c r="GNB18" s="418"/>
      <c r="GNC18" s="418"/>
      <c r="GND18" s="418"/>
      <c r="GNE18" s="418"/>
      <c r="GNF18" s="418"/>
      <c r="GNG18" s="418"/>
      <c r="GNH18" s="418"/>
      <c r="GNI18" s="418"/>
      <c r="GNJ18" s="418"/>
      <c r="GNK18" s="418"/>
      <c r="GNL18" s="418"/>
      <c r="GNM18" s="418"/>
      <c r="GNN18" s="418"/>
      <c r="GNO18" s="418"/>
      <c r="GNP18" s="418"/>
      <c r="GNQ18" s="418"/>
      <c r="GNR18" s="418"/>
      <c r="GNS18" s="418"/>
      <c r="GNT18" s="418"/>
      <c r="GNU18" s="418"/>
      <c r="GNV18" s="418"/>
      <c r="GNW18" s="418"/>
      <c r="GNX18" s="418"/>
      <c r="GNY18" s="418"/>
      <c r="GNZ18" s="418"/>
      <c r="GOA18" s="418"/>
      <c r="GOB18" s="418"/>
      <c r="GOC18" s="418"/>
      <c r="GOD18" s="418"/>
      <c r="GOE18" s="418"/>
      <c r="GOF18" s="418"/>
      <c r="GOG18" s="418"/>
      <c r="GOH18" s="418"/>
      <c r="GOI18" s="418"/>
      <c r="GOJ18" s="418"/>
      <c r="GOK18" s="418"/>
      <c r="GOL18" s="418"/>
      <c r="GOM18" s="418"/>
      <c r="GON18" s="418"/>
      <c r="GOO18" s="418"/>
      <c r="GOP18" s="418"/>
      <c r="GOQ18" s="418"/>
      <c r="GOR18" s="418"/>
      <c r="GOS18" s="418"/>
      <c r="GOT18" s="418"/>
      <c r="GOU18" s="418"/>
      <c r="GOV18" s="418"/>
      <c r="GOW18" s="418"/>
      <c r="GOX18" s="418"/>
      <c r="GOY18" s="418"/>
      <c r="GOZ18" s="418"/>
      <c r="GPA18" s="418"/>
      <c r="GPB18" s="418"/>
      <c r="GPC18" s="418"/>
      <c r="GPD18" s="418"/>
      <c r="GPE18" s="418"/>
      <c r="GPF18" s="418"/>
      <c r="GPG18" s="418"/>
      <c r="GPH18" s="418"/>
      <c r="GPI18" s="418"/>
      <c r="GPJ18" s="418"/>
      <c r="GPK18" s="418"/>
      <c r="GPL18" s="418"/>
      <c r="GPM18" s="418"/>
      <c r="GPN18" s="418"/>
      <c r="GPO18" s="418"/>
      <c r="GPP18" s="418"/>
      <c r="GPQ18" s="418"/>
      <c r="GPR18" s="418"/>
      <c r="GPS18" s="418"/>
      <c r="GPT18" s="418"/>
      <c r="GPU18" s="418"/>
      <c r="GPV18" s="418"/>
      <c r="GPW18" s="418"/>
      <c r="GPX18" s="418"/>
      <c r="GPY18" s="418"/>
      <c r="GPZ18" s="418"/>
      <c r="GQA18" s="418"/>
      <c r="GQB18" s="418"/>
      <c r="GQC18" s="418"/>
      <c r="GQD18" s="418"/>
      <c r="GQE18" s="418"/>
      <c r="GQF18" s="418"/>
      <c r="GQG18" s="418"/>
      <c r="GQH18" s="418"/>
      <c r="GQI18" s="418"/>
      <c r="GQJ18" s="418"/>
      <c r="GQK18" s="418"/>
      <c r="GQL18" s="418"/>
      <c r="GQM18" s="418"/>
      <c r="GQN18" s="418"/>
      <c r="GQO18" s="418"/>
      <c r="GQP18" s="418"/>
      <c r="GQQ18" s="418"/>
      <c r="GQR18" s="418"/>
      <c r="GQS18" s="418"/>
      <c r="GQT18" s="418"/>
      <c r="GQU18" s="418"/>
      <c r="GQV18" s="418"/>
      <c r="GQW18" s="418"/>
      <c r="GQX18" s="418"/>
      <c r="GQY18" s="418"/>
      <c r="GQZ18" s="418"/>
      <c r="GRA18" s="418"/>
      <c r="GRB18" s="418"/>
      <c r="GRC18" s="418"/>
      <c r="GRD18" s="418"/>
      <c r="GRE18" s="418"/>
      <c r="GRF18" s="418"/>
      <c r="GRG18" s="418"/>
      <c r="GRH18" s="418"/>
      <c r="GRI18" s="418"/>
      <c r="GRJ18" s="418"/>
      <c r="GRK18" s="418"/>
      <c r="GRL18" s="418"/>
      <c r="GRM18" s="418"/>
      <c r="GRN18" s="418"/>
      <c r="GRO18" s="418"/>
      <c r="GRP18" s="418"/>
      <c r="GRQ18" s="418"/>
      <c r="GRR18" s="418"/>
      <c r="GRS18" s="418"/>
      <c r="GRT18" s="418"/>
      <c r="GRU18" s="418"/>
      <c r="GRV18" s="418"/>
      <c r="GRW18" s="418"/>
      <c r="GRX18" s="418"/>
      <c r="GRY18" s="418"/>
      <c r="GRZ18" s="418"/>
      <c r="GSA18" s="418"/>
      <c r="GSB18" s="418"/>
      <c r="GSC18" s="418"/>
      <c r="GSD18" s="418"/>
      <c r="GSE18" s="418"/>
      <c r="GSF18" s="418"/>
      <c r="GSG18" s="418"/>
      <c r="GSH18" s="418"/>
      <c r="GSI18" s="418"/>
      <c r="GSJ18" s="418"/>
      <c r="GSK18" s="418"/>
      <c r="GSL18" s="418"/>
      <c r="GSM18" s="418"/>
      <c r="GSN18" s="418"/>
      <c r="GSO18" s="418"/>
      <c r="GSP18" s="418"/>
      <c r="GSQ18" s="418"/>
      <c r="GSR18" s="418"/>
      <c r="GSS18" s="418"/>
      <c r="GST18" s="418"/>
      <c r="GSU18" s="418"/>
      <c r="GSV18" s="418"/>
      <c r="GSW18" s="418"/>
      <c r="GSX18" s="418"/>
      <c r="GSY18" s="418"/>
      <c r="GSZ18" s="418"/>
      <c r="GTA18" s="418"/>
      <c r="GTB18" s="418"/>
      <c r="GTC18" s="418"/>
      <c r="GTD18" s="418"/>
      <c r="GTE18" s="418"/>
      <c r="GTF18" s="418"/>
      <c r="GTG18" s="418"/>
      <c r="GTH18" s="418"/>
      <c r="GTI18" s="418"/>
      <c r="GTJ18" s="418"/>
      <c r="GTK18" s="418"/>
      <c r="GTL18" s="418"/>
      <c r="GTM18" s="418"/>
      <c r="GTN18" s="418"/>
      <c r="GTO18" s="418"/>
      <c r="GTP18" s="418"/>
      <c r="GTQ18" s="418"/>
      <c r="GTR18" s="418"/>
      <c r="GTS18" s="418"/>
      <c r="GTT18" s="418"/>
      <c r="GTU18" s="418"/>
      <c r="GTV18" s="418"/>
      <c r="GTW18" s="418"/>
      <c r="GTX18" s="418"/>
      <c r="GTY18" s="418"/>
      <c r="GTZ18" s="418"/>
      <c r="GUA18" s="418"/>
      <c r="GUB18" s="418"/>
      <c r="GUC18" s="418"/>
      <c r="GUD18" s="418"/>
      <c r="GUE18" s="418"/>
      <c r="GUF18" s="418"/>
      <c r="GUG18" s="418"/>
      <c r="GUH18" s="418"/>
      <c r="GUI18" s="418"/>
      <c r="GUJ18" s="418"/>
      <c r="GUK18" s="418"/>
      <c r="GUL18" s="418"/>
      <c r="GUM18" s="418"/>
      <c r="GUN18" s="418"/>
      <c r="GUO18" s="418"/>
      <c r="GUP18" s="418"/>
      <c r="GUQ18" s="418"/>
      <c r="GUR18" s="418"/>
      <c r="GUS18" s="418"/>
      <c r="GUT18" s="418"/>
      <c r="GUU18" s="418"/>
      <c r="GUV18" s="418"/>
      <c r="GUW18" s="418"/>
      <c r="GUX18" s="418"/>
      <c r="GUY18" s="418"/>
      <c r="GUZ18" s="418"/>
      <c r="GVA18" s="418"/>
      <c r="GVB18" s="418"/>
      <c r="GVC18" s="418"/>
      <c r="GVD18" s="418"/>
      <c r="GVE18" s="418"/>
      <c r="GVF18" s="418"/>
      <c r="GVG18" s="418"/>
      <c r="GVH18" s="418"/>
      <c r="GVI18" s="418"/>
      <c r="GVJ18" s="418"/>
      <c r="GVK18" s="418"/>
      <c r="GVL18" s="418"/>
      <c r="GVM18" s="418"/>
      <c r="GVN18" s="418"/>
      <c r="GVO18" s="418"/>
      <c r="GVP18" s="418"/>
      <c r="GVQ18" s="418"/>
      <c r="GVR18" s="418"/>
      <c r="GVS18" s="418"/>
      <c r="GVT18" s="418"/>
      <c r="GVU18" s="418"/>
      <c r="GVV18" s="418"/>
      <c r="GVW18" s="418"/>
      <c r="GVX18" s="418"/>
      <c r="GVY18" s="418"/>
      <c r="GVZ18" s="418"/>
      <c r="GWA18" s="418"/>
      <c r="GWB18" s="418"/>
      <c r="GWC18" s="418"/>
      <c r="GWD18" s="418"/>
      <c r="GWE18" s="418"/>
      <c r="GWF18" s="418"/>
      <c r="GWG18" s="418"/>
      <c r="GWH18" s="418"/>
      <c r="GWI18" s="418"/>
      <c r="GWJ18" s="418"/>
      <c r="GWK18" s="418"/>
      <c r="GWL18" s="418"/>
      <c r="GWM18" s="418"/>
      <c r="GWN18" s="418"/>
      <c r="GWO18" s="418"/>
      <c r="GWP18" s="418"/>
      <c r="GWQ18" s="418"/>
      <c r="GWR18" s="418"/>
      <c r="GWS18" s="418"/>
      <c r="GWT18" s="418"/>
      <c r="GWU18" s="418"/>
      <c r="GWV18" s="418"/>
      <c r="GWW18" s="418"/>
      <c r="GWX18" s="418"/>
      <c r="GWY18" s="418"/>
      <c r="GWZ18" s="418"/>
      <c r="GXA18" s="418"/>
      <c r="GXB18" s="418"/>
      <c r="GXC18" s="418"/>
      <c r="GXD18" s="418"/>
      <c r="GXE18" s="418"/>
      <c r="GXF18" s="418"/>
      <c r="GXG18" s="418"/>
      <c r="GXH18" s="418"/>
      <c r="GXI18" s="418"/>
      <c r="GXJ18" s="418"/>
      <c r="GXK18" s="418"/>
      <c r="GXL18" s="418"/>
      <c r="GXM18" s="418"/>
      <c r="GXN18" s="418"/>
      <c r="GXO18" s="418"/>
      <c r="GXP18" s="418"/>
      <c r="GXQ18" s="418"/>
      <c r="GXR18" s="418"/>
      <c r="GXS18" s="418"/>
      <c r="GXT18" s="418"/>
      <c r="GXU18" s="418"/>
      <c r="GXV18" s="418"/>
      <c r="GXW18" s="418"/>
      <c r="GXX18" s="418"/>
      <c r="GXY18" s="418"/>
      <c r="GXZ18" s="418"/>
      <c r="GYA18" s="418"/>
      <c r="GYB18" s="418"/>
      <c r="GYC18" s="418"/>
      <c r="GYD18" s="418"/>
      <c r="GYE18" s="418"/>
      <c r="GYF18" s="418"/>
      <c r="GYG18" s="418"/>
      <c r="GYH18" s="418"/>
      <c r="GYI18" s="418"/>
      <c r="GYJ18" s="418"/>
      <c r="GYK18" s="418"/>
      <c r="GYL18" s="418"/>
      <c r="GYM18" s="418"/>
      <c r="GYN18" s="418"/>
      <c r="GYO18" s="418"/>
      <c r="GYP18" s="418"/>
      <c r="GYQ18" s="418"/>
      <c r="GYR18" s="418"/>
      <c r="GYS18" s="418"/>
      <c r="GYT18" s="418"/>
      <c r="GYU18" s="418"/>
      <c r="GYV18" s="418"/>
      <c r="GYW18" s="418"/>
      <c r="GYX18" s="418"/>
      <c r="GYY18" s="418"/>
      <c r="GYZ18" s="418"/>
      <c r="GZA18" s="418"/>
      <c r="GZB18" s="418"/>
      <c r="GZC18" s="418"/>
      <c r="GZD18" s="418"/>
      <c r="GZE18" s="418"/>
      <c r="GZF18" s="418"/>
      <c r="GZG18" s="418"/>
      <c r="GZH18" s="418"/>
      <c r="GZI18" s="418"/>
      <c r="GZJ18" s="418"/>
      <c r="GZK18" s="418"/>
      <c r="GZL18" s="418"/>
      <c r="GZM18" s="418"/>
      <c r="GZN18" s="418"/>
      <c r="GZO18" s="418"/>
      <c r="GZP18" s="418"/>
      <c r="GZQ18" s="418"/>
      <c r="GZR18" s="418"/>
      <c r="GZS18" s="418"/>
      <c r="GZT18" s="418"/>
      <c r="GZU18" s="418"/>
      <c r="GZV18" s="418"/>
      <c r="GZW18" s="418"/>
      <c r="GZX18" s="418"/>
      <c r="GZY18" s="418"/>
      <c r="GZZ18" s="418"/>
      <c r="HAA18" s="418"/>
      <c r="HAB18" s="418"/>
      <c r="HAC18" s="418"/>
      <c r="HAD18" s="418"/>
      <c r="HAE18" s="418"/>
      <c r="HAF18" s="418"/>
      <c r="HAG18" s="418"/>
      <c r="HAH18" s="418"/>
      <c r="HAI18" s="418"/>
      <c r="HAJ18" s="418"/>
      <c r="HAK18" s="418"/>
      <c r="HAL18" s="418"/>
      <c r="HAM18" s="418"/>
      <c r="HAN18" s="418"/>
      <c r="HAO18" s="418"/>
      <c r="HAP18" s="418"/>
      <c r="HAQ18" s="418"/>
      <c r="HAR18" s="418"/>
      <c r="HAS18" s="418"/>
      <c r="HAT18" s="418"/>
      <c r="HAU18" s="418"/>
      <c r="HAV18" s="418"/>
      <c r="HAW18" s="418"/>
      <c r="HAX18" s="418"/>
      <c r="HAY18" s="418"/>
      <c r="HAZ18" s="418"/>
      <c r="HBA18" s="418"/>
      <c r="HBB18" s="418"/>
      <c r="HBC18" s="418"/>
      <c r="HBD18" s="418"/>
      <c r="HBE18" s="418"/>
      <c r="HBF18" s="418"/>
      <c r="HBG18" s="418"/>
      <c r="HBH18" s="418"/>
      <c r="HBI18" s="418"/>
      <c r="HBJ18" s="418"/>
      <c r="HBK18" s="418"/>
      <c r="HBL18" s="418"/>
      <c r="HBM18" s="418"/>
      <c r="HBN18" s="418"/>
      <c r="HBO18" s="418"/>
      <c r="HBP18" s="418"/>
      <c r="HBQ18" s="418"/>
      <c r="HBR18" s="418"/>
      <c r="HBS18" s="418"/>
      <c r="HBT18" s="418"/>
      <c r="HBU18" s="418"/>
      <c r="HBV18" s="418"/>
      <c r="HBW18" s="418"/>
      <c r="HBX18" s="418"/>
      <c r="HBY18" s="418"/>
      <c r="HBZ18" s="418"/>
      <c r="HCA18" s="418"/>
      <c r="HCB18" s="418"/>
      <c r="HCC18" s="418"/>
      <c r="HCD18" s="418"/>
      <c r="HCE18" s="418"/>
      <c r="HCF18" s="418"/>
      <c r="HCG18" s="418"/>
      <c r="HCH18" s="418"/>
      <c r="HCI18" s="418"/>
      <c r="HCJ18" s="418"/>
      <c r="HCK18" s="418"/>
      <c r="HCL18" s="418"/>
      <c r="HCM18" s="418"/>
      <c r="HCN18" s="418"/>
      <c r="HCO18" s="418"/>
      <c r="HCP18" s="418"/>
      <c r="HCQ18" s="418"/>
      <c r="HCR18" s="418"/>
      <c r="HCS18" s="418"/>
      <c r="HCT18" s="418"/>
      <c r="HCU18" s="418"/>
      <c r="HCV18" s="418"/>
      <c r="HCW18" s="418"/>
      <c r="HCX18" s="418"/>
      <c r="HCY18" s="418"/>
      <c r="HCZ18" s="418"/>
      <c r="HDA18" s="418"/>
      <c r="HDB18" s="418"/>
      <c r="HDC18" s="418"/>
      <c r="HDD18" s="418"/>
      <c r="HDE18" s="418"/>
      <c r="HDF18" s="418"/>
      <c r="HDG18" s="418"/>
      <c r="HDH18" s="418"/>
      <c r="HDI18" s="418"/>
      <c r="HDJ18" s="418"/>
      <c r="HDK18" s="418"/>
      <c r="HDL18" s="418"/>
      <c r="HDM18" s="418"/>
      <c r="HDN18" s="418"/>
      <c r="HDO18" s="418"/>
      <c r="HDP18" s="418"/>
      <c r="HDQ18" s="418"/>
      <c r="HDR18" s="418"/>
      <c r="HDS18" s="418"/>
      <c r="HDT18" s="418"/>
      <c r="HDU18" s="418"/>
      <c r="HDV18" s="418"/>
      <c r="HDW18" s="418"/>
      <c r="HDX18" s="418"/>
      <c r="HDY18" s="418"/>
      <c r="HDZ18" s="418"/>
      <c r="HEA18" s="418"/>
      <c r="HEB18" s="418"/>
      <c r="HEC18" s="418"/>
      <c r="HED18" s="418"/>
      <c r="HEE18" s="418"/>
      <c r="HEF18" s="418"/>
      <c r="HEG18" s="418"/>
      <c r="HEH18" s="418"/>
      <c r="HEI18" s="418"/>
      <c r="HEJ18" s="418"/>
      <c r="HEK18" s="418"/>
      <c r="HEL18" s="418"/>
      <c r="HEM18" s="418"/>
      <c r="HEN18" s="418"/>
      <c r="HEO18" s="418"/>
      <c r="HEP18" s="418"/>
      <c r="HEQ18" s="418"/>
      <c r="HER18" s="418"/>
      <c r="HES18" s="418"/>
      <c r="HET18" s="418"/>
      <c r="HEU18" s="418"/>
      <c r="HEV18" s="418"/>
      <c r="HEW18" s="418"/>
      <c r="HEX18" s="418"/>
      <c r="HEY18" s="418"/>
      <c r="HEZ18" s="418"/>
      <c r="HFA18" s="418"/>
      <c r="HFB18" s="418"/>
      <c r="HFC18" s="418"/>
      <c r="HFD18" s="418"/>
      <c r="HFE18" s="418"/>
      <c r="HFF18" s="418"/>
      <c r="HFG18" s="418"/>
      <c r="HFH18" s="418"/>
      <c r="HFI18" s="418"/>
      <c r="HFJ18" s="418"/>
      <c r="HFK18" s="418"/>
      <c r="HFL18" s="418"/>
      <c r="HFM18" s="418"/>
      <c r="HFN18" s="418"/>
      <c r="HFO18" s="418"/>
      <c r="HFP18" s="418"/>
      <c r="HFQ18" s="418"/>
      <c r="HFR18" s="418"/>
      <c r="HFS18" s="418"/>
      <c r="HFT18" s="418"/>
      <c r="HFU18" s="418"/>
      <c r="HFV18" s="418"/>
      <c r="HFW18" s="418"/>
      <c r="HFX18" s="418"/>
      <c r="HFY18" s="418"/>
      <c r="HFZ18" s="418"/>
      <c r="HGA18" s="418"/>
      <c r="HGB18" s="418"/>
      <c r="HGC18" s="418"/>
      <c r="HGD18" s="418"/>
      <c r="HGE18" s="418"/>
      <c r="HGF18" s="418"/>
      <c r="HGG18" s="418"/>
      <c r="HGH18" s="418"/>
      <c r="HGI18" s="418"/>
      <c r="HGJ18" s="418"/>
      <c r="HGK18" s="418"/>
      <c r="HGL18" s="418"/>
      <c r="HGM18" s="418"/>
      <c r="HGN18" s="418"/>
      <c r="HGO18" s="418"/>
      <c r="HGP18" s="418"/>
      <c r="HGQ18" s="418"/>
      <c r="HGR18" s="418"/>
      <c r="HGS18" s="418"/>
      <c r="HGT18" s="418"/>
      <c r="HGU18" s="418"/>
      <c r="HGV18" s="418"/>
      <c r="HGW18" s="418"/>
      <c r="HGX18" s="418"/>
      <c r="HGY18" s="418"/>
      <c r="HGZ18" s="418"/>
      <c r="HHA18" s="418"/>
      <c r="HHB18" s="418"/>
      <c r="HHC18" s="418"/>
      <c r="HHD18" s="418"/>
      <c r="HHE18" s="418"/>
      <c r="HHF18" s="418"/>
      <c r="HHG18" s="418"/>
      <c r="HHH18" s="418"/>
      <c r="HHI18" s="418"/>
      <c r="HHJ18" s="418"/>
      <c r="HHK18" s="418"/>
      <c r="HHL18" s="418"/>
      <c r="HHM18" s="418"/>
      <c r="HHN18" s="418"/>
      <c r="HHO18" s="418"/>
      <c r="HHP18" s="418"/>
      <c r="HHQ18" s="418"/>
      <c r="HHR18" s="418"/>
      <c r="HHS18" s="418"/>
      <c r="HHT18" s="418"/>
      <c r="HHU18" s="418"/>
      <c r="HHV18" s="418"/>
      <c r="HHW18" s="418"/>
      <c r="HHX18" s="418"/>
      <c r="HHY18" s="418"/>
      <c r="HHZ18" s="418"/>
      <c r="HIA18" s="418"/>
      <c r="HIB18" s="418"/>
      <c r="HIC18" s="418"/>
      <c r="HID18" s="418"/>
      <c r="HIE18" s="418"/>
      <c r="HIF18" s="418"/>
      <c r="HIG18" s="418"/>
      <c r="HIH18" s="418"/>
      <c r="HII18" s="418"/>
      <c r="HIJ18" s="418"/>
      <c r="HIK18" s="418"/>
      <c r="HIL18" s="418"/>
      <c r="HIM18" s="418"/>
      <c r="HIN18" s="418"/>
      <c r="HIO18" s="418"/>
      <c r="HIP18" s="418"/>
      <c r="HIQ18" s="418"/>
      <c r="HIR18" s="418"/>
      <c r="HIS18" s="418"/>
      <c r="HIT18" s="418"/>
      <c r="HIU18" s="418"/>
      <c r="HIV18" s="418"/>
      <c r="HIW18" s="418"/>
      <c r="HIX18" s="418"/>
      <c r="HIY18" s="418"/>
      <c r="HIZ18" s="418"/>
      <c r="HJA18" s="418"/>
      <c r="HJB18" s="418"/>
      <c r="HJC18" s="418"/>
      <c r="HJD18" s="418"/>
      <c r="HJE18" s="418"/>
      <c r="HJF18" s="418"/>
      <c r="HJG18" s="418"/>
      <c r="HJH18" s="418"/>
      <c r="HJI18" s="418"/>
      <c r="HJJ18" s="418"/>
      <c r="HJK18" s="418"/>
      <c r="HJL18" s="418"/>
      <c r="HJM18" s="418"/>
      <c r="HJN18" s="418"/>
      <c r="HJO18" s="418"/>
      <c r="HJP18" s="418"/>
      <c r="HJQ18" s="418"/>
      <c r="HJR18" s="418"/>
      <c r="HJS18" s="418"/>
      <c r="HJT18" s="418"/>
      <c r="HJU18" s="418"/>
      <c r="HJV18" s="418"/>
      <c r="HJW18" s="418"/>
      <c r="HJX18" s="418"/>
      <c r="HJY18" s="418"/>
      <c r="HJZ18" s="418"/>
      <c r="HKA18" s="418"/>
      <c r="HKB18" s="418"/>
      <c r="HKC18" s="418"/>
      <c r="HKD18" s="418"/>
      <c r="HKE18" s="418"/>
      <c r="HKF18" s="418"/>
      <c r="HKG18" s="418"/>
      <c r="HKH18" s="418"/>
      <c r="HKI18" s="418"/>
      <c r="HKJ18" s="418"/>
      <c r="HKK18" s="418"/>
      <c r="HKL18" s="418"/>
      <c r="HKM18" s="418"/>
      <c r="HKN18" s="418"/>
      <c r="HKO18" s="418"/>
      <c r="HKP18" s="418"/>
      <c r="HKQ18" s="418"/>
      <c r="HKR18" s="418"/>
      <c r="HKS18" s="418"/>
      <c r="HKT18" s="418"/>
      <c r="HKU18" s="418"/>
      <c r="HKV18" s="418"/>
      <c r="HKW18" s="418"/>
      <c r="HKX18" s="418"/>
      <c r="HKY18" s="418"/>
      <c r="HKZ18" s="418"/>
      <c r="HLA18" s="418"/>
      <c r="HLB18" s="418"/>
      <c r="HLC18" s="418"/>
      <c r="HLD18" s="418"/>
      <c r="HLE18" s="418"/>
      <c r="HLF18" s="418"/>
      <c r="HLG18" s="418"/>
      <c r="HLH18" s="418"/>
      <c r="HLI18" s="418"/>
      <c r="HLJ18" s="418"/>
      <c r="HLK18" s="418"/>
      <c r="HLL18" s="418"/>
      <c r="HLM18" s="418"/>
      <c r="HLN18" s="418"/>
      <c r="HLO18" s="418"/>
      <c r="HLP18" s="418"/>
      <c r="HLQ18" s="418"/>
      <c r="HLR18" s="418"/>
      <c r="HLS18" s="418"/>
      <c r="HLT18" s="418"/>
      <c r="HLU18" s="418"/>
      <c r="HLV18" s="418"/>
      <c r="HLW18" s="418"/>
      <c r="HLX18" s="418"/>
      <c r="HLY18" s="418"/>
      <c r="HLZ18" s="418"/>
      <c r="HMA18" s="418"/>
      <c r="HMB18" s="418"/>
      <c r="HMC18" s="418"/>
      <c r="HMD18" s="418"/>
      <c r="HME18" s="418"/>
      <c r="HMF18" s="418"/>
      <c r="HMG18" s="418"/>
      <c r="HMH18" s="418"/>
      <c r="HMI18" s="418"/>
      <c r="HMJ18" s="418"/>
      <c r="HMK18" s="418"/>
      <c r="HML18" s="418"/>
      <c r="HMM18" s="418"/>
      <c r="HMN18" s="418"/>
      <c r="HMO18" s="418"/>
      <c r="HMP18" s="418"/>
      <c r="HMQ18" s="418"/>
      <c r="HMR18" s="418"/>
      <c r="HMS18" s="418"/>
      <c r="HMT18" s="418"/>
      <c r="HMU18" s="418"/>
      <c r="HMV18" s="418"/>
      <c r="HMW18" s="418"/>
      <c r="HMX18" s="418"/>
      <c r="HMY18" s="418"/>
      <c r="HMZ18" s="418"/>
      <c r="HNA18" s="418"/>
      <c r="HNB18" s="418"/>
      <c r="HNC18" s="418"/>
      <c r="HND18" s="418"/>
      <c r="HNE18" s="418"/>
      <c r="HNF18" s="418"/>
      <c r="HNG18" s="418"/>
      <c r="HNH18" s="418"/>
      <c r="HNI18" s="418"/>
      <c r="HNJ18" s="418"/>
      <c r="HNK18" s="418"/>
      <c r="HNL18" s="418"/>
      <c r="HNM18" s="418"/>
      <c r="HNN18" s="418"/>
      <c r="HNO18" s="418"/>
      <c r="HNP18" s="418"/>
      <c r="HNQ18" s="418"/>
      <c r="HNR18" s="418"/>
      <c r="HNS18" s="418"/>
      <c r="HNT18" s="418"/>
      <c r="HNU18" s="418"/>
      <c r="HNV18" s="418"/>
      <c r="HNW18" s="418"/>
      <c r="HNX18" s="418"/>
      <c r="HNY18" s="418"/>
      <c r="HNZ18" s="418"/>
      <c r="HOA18" s="418"/>
      <c r="HOB18" s="418"/>
      <c r="HOC18" s="418"/>
      <c r="HOD18" s="418"/>
      <c r="HOE18" s="418"/>
      <c r="HOF18" s="418"/>
      <c r="HOG18" s="418"/>
      <c r="HOH18" s="418"/>
      <c r="HOI18" s="418"/>
      <c r="HOJ18" s="418"/>
      <c r="HOK18" s="418"/>
      <c r="HOL18" s="418"/>
      <c r="HOM18" s="418"/>
      <c r="HON18" s="418"/>
      <c r="HOO18" s="418"/>
      <c r="HOP18" s="418"/>
      <c r="HOQ18" s="418"/>
      <c r="HOR18" s="418"/>
      <c r="HOS18" s="418"/>
      <c r="HOT18" s="418"/>
      <c r="HOU18" s="418"/>
      <c r="HOV18" s="418"/>
      <c r="HOW18" s="418"/>
      <c r="HOX18" s="418"/>
      <c r="HOY18" s="418"/>
      <c r="HOZ18" s="418"/>
      <c r="HPA18" s="418"/>
      <c r="HPB18" s="418"/>
      <c r="HPC18" s="418"/>
      <c r="HPD18" s="418"/>
      <c r="HPE18" s="418"/>
      <c r="HPF18" s="418"/>
      <c r="HPG18" s="418"/>
      <c r="HPH18" s="418"/>
      <c r="HPI18" s="418"/>
      <c r="HPJ18" s="418"/>
      <c r="HPK18" s="418"/>
      <c r="HPL18" s="418"/>
      <c r="HPM18" s="418"/>
      <c r="HPN18" s="418"/>
      <c r="HPO18" s="418"/>
      <c r="HPP18" s="418"/>
      <c r="HPQ18" s="418"/>
      <c r="HPR18" s="418"/>
      <c r="HPS18" s="418"/>
      <c r="HPT18" s="418"/>
      <c r="HPU18" s="418"/>
      <c r="HPV18" s="418"/>
      <c r="HPW18" s="418"/>
      <c r="HPX18" s="418"/>
      <c r="HPY18" s="418"/>
      <c r="HPZ18" s="418"/>
      <c r="HQA18" s="418"/>
      <c r="HQB18" s="418"/>
      <c r="HQC18" s="418"/>
      <c r="HQD18" s="418"/>
      <c r="HQE18" s="418"/>
      <c r="HQF18" s="418"/>
      <c r="HQG18" s="418"/>
      <c r="HQH18" s="418"/>
      <c r="HQI18" s="418"/>
      <c r="HQJ18" s="418"/>
      <c r="HQK18" s="418"/>
      <c r="HQL18" s="418"/>
      <c r="HQM18" s="418"/>
      <c r="HQN18" s="418"/>
      <c r="HQO18" s="418"/>
      <c r="HQP18" s="418"/>
      <c r="HQQ18" s="418"/>
      <c r="HQR18" s="418"/>
      <c r="HQS18" s="418"/>
      <c r="HQT18" s="418"/>
      <c r="HQU18" s="418"/>
      <c r="HQV18" s="418"/>
      <c r="HQW18" s="418"/>
      <c r="HQX18" s="418"/>
      <c r="HQY18" s="418"/>
      <c r="HQZ18" s="418"/>
      <c r="HRA18" s="418"/>
      <c r="HRB18" s="418"/>
      <c r="HRC18" s="418"/>
      <c r="HRD18" s="418"/>
      <c r="HRE18" s="418"/>
      <c r="HRF18" s="418"/>
      <c r="HRG18" s="418"/>
      <c r="HRH18" s="418"/>
      <c r="HRI18" s="418"/>
      <c r="HRJ18" s="418"/>
      <c r="HRK18" s="418"/>
      <c r="HRL18" s="418"/>
      <c r="HRM18" s="418"/>
      <c r="HRN18" s="418"/>
      <c r="HRO18" s="418"/>
      <c r="HRP18" s="418"/>
      <c r="HRQ18" s="418"/>
      <c r="HRR18" s="418"/>
      <c r="HRS18" s="418"/>
      <c r="HRT18" s="418"/>
      <c r="HRU18" s="418"/>
      <c r="HRV18" s="418"/>
      <c r="HRW18" s="418"/>
      <c r="HRX18" s="418"/>
      <c r="HRY18" s="418"/>
      <c r="HRZ18" s="418"/>
      <c r="HSA18" s="418"/>
      <c r="HSB18" s="418"/>
      <c r="HSC18" s="418"/>
      <c r="HSD18" s="418"/>
      <c r="HSE18" s="418"/>
      <c r="HSF18" s="418"/>
      <c r="HSG18" s="418"/>
      <c r="HSH18" s="418"/>
      <c r="HSI18" s="418"/>
      <c r="HSJ18" s="418"/>
      <c r="HSK18" s="418"/>
      <c r="HSL18" s="418"/>
      <c r="HSM18" s="418"/>
      <c r="HSN18" s="418"/>
      <c r="HSO18" s="418"/>
      <c r="HSP18" s="418"/>
      <c r="HSQ18" s="418"/>
      <c r="HSR18" s="418"/>
      <c r="HSS18" s="418"/>
      <c r="HST18" s="418"/>
      <c r="HSU18" s="418"/>
      <c r="HSV18" s="418"/>
      <c r="HSW18" s="418"/>
      <c r="HSX18" s="418"/>
      <c r="HSY18" s="418"/>
      <c r="HSZ18" s="418"/>
      <c r="HTA18" s="418"/>
      <c r="HTB18" s="418"/>
      <c r="HTC18" s="418"/>
      <c r="HTD18" s="418"/>
      <c r="HTE18" s="418"/>
      <c r="HTF18" s="418"/>
      <c r="HTG18" s="418"/>
      <c r="HTH18" s="418"/>
      <c r="HTI18" s="418"/>
      <c r="HTJ18" s="418"/>
      <c r="HTK18" s="418"/>
      <c r="HTL18" s="418"/>
      <c r="HTM18" s="418"/>
      <c r="HTN18" s="418"/>
      <c r="HTO18" s="418"/>
      <c r="HTP18" s="418"/>
      <c r="HTQ18" s="418"/>
      <c r="HTR18" s="418"/>
      <c r="HTS18" s="418"/>
      <c r="HTT18" s="418"/>
      <c r="HTU18" s="418"/>
      <c r="HTV18" s="418"/>
      <c r="HTW18" s="418"/>
      <c r="HTX18" s="418"/>
      <c r="HTY18" s="418"/>
      <c r="HTZ18" s="418"/>
      <c r="HUA18" s="418"/>
      <c r="HUB18" s="418"/>
      <c r="HUC18" s="418"/>
      <c r="HUD18" s="418"/>
      <c r="HUE18" s="418"/>
      <c r="HUF18" s="418"/>
      <c r="HUG18" s="418"/>
      <c r="HUH18" s="418"/>
      <c r="HUI18" s="418"/>
      <c r="HUJ18" s="418"/>
      <c r="HUK18" s="418"/>
      <c r="HUL18" s="418"/>
      <c r="HUM18" s="418"/>
      <c r="HUN18" s="418"/>
      <c r="HUO18" s="418"/>
      <c r="HUP18" s="418"/>
      <c r="HUQ18" s="418"/>
      <c r="HUR18" s="418"/>
      <c r="HUS18" s="418"/>
      <c r="HUT18" s="418"/>
      <c r="HUU18" s="418"/>
      <c r="HUV18" s="418"/>
      <c r="HUW18" s="418"/>
      <c r="HUX18" s="418"/>
      <c r="HUY18" s="418"/>
      <c r="HUZ18" s="418"/>
      <c r="HVA18" s="418"/>
      <c r="HVB18" s="418"/>
      <c r="HVC18" s="418"/>
      <c r="HVD18" s="418"/>
      <c r="HVE18" s="418"/>
      <c r="HVF18" s="418"/>
      <c r="HVG18" s="418"/>
      <c r="HVH18" s="418"/>
      <c r="HVI18" s="418"/>
      <c r="HVJ18" s="418"/>
      <c r="HVK18" s="418"/>
      <c r="HVL18" s="418"/>
      <c r="HVM18" s="418"/>
      <c r="HVN18" s="418"/>
      <c r="HVO18" s="418"/>
      <c r="HVP18" s="418"/>
      <c r="HVQ18" s="418"/>
      <c r="HVR18" s="418"/>
      <c r="HVS18" s="418"/>
      <c r="HVT18" s="418"/>
      <c r="HVU18" s="418"/>
      <c r="HVV18" s="418"/>
      <c r="HVW18" s="418"/>
      <c r="HVX18" s="418"/>
      <c r="HVY18" s="418"/>
      <c r="HVZ18" s="418"/>
      <c r="HWA18" s="418"/>
      <c r="HWB18" s="418"/>
      <c r="HWC18" s="418"/>
      <c r="HWD18" s="418"/>
      <c r="HWE18" s="418"/>
      <c r="HWF18" s="418"/>
      <c r="HWG18" s="418"/>
      <c r="HWH18" s="418"/>
      <c r="HWI18" s="418"/>
      <c r="HWJ18" s="418"/>
      <c r="HWK18" s="418"/>
      <c r="HWL18" s="418"/>
      <c r="HWM18" s="418"/>
      <c r="HWN18" s="418"/>
      <c r="HWO18" s="418"/>
      <c r="HWP18" s="418"/>
      <c r="HWQ18" s="418"/>
      <c r="HWR18" s="418"/>
      <c r="HWS18" s="418"/>
      <c r="HWT18" s="418"/>
      <c r="HWU18" s="418"/>
      <c r="HWV18" s="418"/>
      <c r="HWW18" s="418"/>
      <c r="HWX18" s="418"/>
      <c r="HWY18" s="418"/>
      <c r="HWZ18" s="418"/>
      <c r="HXA18" s="418"/>
      <c r="HXB18" s="418"/>
      <c r="HXC18" s="418"/>
      <c r="HXD18" s="418"/>
      <c r="HXE18" s="418"/>
      <c r="HXF18" s="418"/>
      <c r="HXG18" s="418"/>
      <c r="HXH18" s="418"/>
      <c r="HXI18" s="418"/>
      <c r="HXJ18" s="418"/>
      <c r="HXK18" s="418"/>
      <c r="HXL18" s="418"/>
      <c r="HXM18" s="418"/>
      <c r="HXN18" s="418"/>
      <c r="HXO18" s="418"/>
      <c r="HXP18" s="418"/>
      <c r="HXQ18" s="418"/>
      <c r="HXR18" s="418"/>
      <c r="HXS18" s="418"/>
      <c r="HXT18" s="418"/>
      <c r="HXU18" s="418"/>
      <c r="HXV18" s="418"/>
      <c r="HXW18" s="418"/>
      <c r="HXX18" s="418"/>
      <c r="HXY18" s="418"/>
      <c r="HXZ18" s="418"/>
      <c r="HYA18" s="418"/>
      <c r="HYB18" s="418"/>
      <c r="HYC18" s="418"/>
      <c r="HYD18" s="418"/>
      <c r="HYE18" s="418"/>
      <c r="HYF18" s="418"/>
      <c r="HYG18" s="418"/>
      <c r="HYH18" s="418"/>
      <c r="HYI18" s="418"/>
      <c r="HYJ18" s="418"/>
      <c r="HYK18" s="418"/>
      <c r="HYL18" s="418"/>
      <c r="HYM18" s="418"/>
      <c r="HYN18" s="418"/>
      <c r="HYO18" s="418"/>
      <c r="HYP18" s="418"/>
      <c r="HYQ18" s="418"/>
      <c r="HYR18" s="418"/>
      <c r="HYS18" s="418"/>
      <c r="HYT18" s="418"/>
      <c r="HYU18" s="418"/>
      <c r="HYV18" s="418"/>
      <c r="HYW18" s="418"/>
      <c r="HYX18" s="418"/>
      <c r="HYY18" s="418"/>
      <c r="HYZ18" s="418"/>
      <c r="HZA18" s="418"/>
      <c r="HZB18" s="418"/>
      <c r="HZC18" s="418"/>
      <c r="HZD18" s="418"/>
      <c r="HZE18" s="418"/>
      <c r="HZF18" s="418"/>
      <c r="HZG18" s="418"/>
      <c r="HZH18" s="418"/>
      <c r="HZI18" s="418"/>
      <c r="HZJ18" s="418"/>
      <c r="HZK18" s="418"/>
      <c r="HZL18" s="418"/>
      <c r="HZM18" s="418"/>
      <c r="HZN18" s="418"/>
      <c r="HZO18" s="418"/>
      <c r="HZP18" s="418"/>
      <c r="HZQ18" s="418"/>
      <c r="HZR18" s="418"/>
      <c r="HZS18" s="418"/>
      <c r="HZT18" s="418"/>
      <c r="HZU18" s="418"/>
      <c r="HZV18" s="418"/>
      <c r="HZW18" s="418"/>
      <c r="HZX18" s="418"/>
      <c r="HZY18" s="418"/>
      <c r="HZZ18" s="418"/>
      <c r="IAA18" s="418"/>
      <c r="IAB18" s="418"/>
      <c r="IAC18" s="418"/>
      <c r="IAD18" s="418"/>
      <c r="IAE18" s="418"/>
      <c r="IAF18" s="418"/>
      <c r="IAG18" s="418"/>
      <c r="IAH18" s="418"/>
      <c r="IAI18" s="418"/>
      <c r="IAJ18" s="418"/>
      <c r="IAK18" s="418"/>
      <c r="IAL18" s="418"/>
      <c r="IAM18" s="418"/>
      <c r="IAN18" s="418"/>
      <c r="IAO18" s="418"/>
      <c r="IAP18" s="418"/>
      <c r="IAQ18" s="418"/>
      <c r="IAR18" s="418"/>
      <c r="IAS18" s="418"/>
      <c r="IAT18" s="418"/>
      <c r="IAU18" s="418"/>
      <c r="IAV18" s="418"/>
      <c r="IAW18" s="418"/>
      <c r="IAX18" s="418"/>
      <c r="IAY18" s="418"/>
      <c r="IAZ18" s="418"/>
      <c r="IBA18" s="418"/>
      <c r="IBB18" s="418"/>
      <c r="IBC18" s="418"/>
      <c r="IBD18" s="418"/>
      <c r="IBE18" s="418"/>
      <c r="IBF18" s="418"/>
      <c r="IBG18" s="418"/>
      <c r="IBH18" s="418"/>
      <c r="IBI18" s="418"/>
      <c r="IBJ18" s="418"/>
      <c r="IBK18" s="418"/>
      <c r="IBL18" s="418"/>
      <c r="IBM18" s="418"/>
      <c r="IBN18" s="418"/>
      <c r="IBO18" s="418"/>
      <c r="IBP18" s="418"/>
      <c r="IBQ18" s="418"/>
      <c r="IBR18" s="418"/>
      <c r="IBS18" s="418"/>
      <c r="IBT18" s="418"/>
      <c r="IBU18" s="418"/>
      <c r="IBV18" s="418"/>
      <c r="IBW18" s="418"/>
      <c r="IBX18" s="418"/>
      <c r="IBY18" s="418"/>
      <c r="IBZ18" s="418"/>
      <c r="ICA18" s="418"/>
      <c r="ICB18" s="418"/>
      <c r="ICC18" s="418"/>
      <c r="ICD18" s="418"/>
      <c r="ICE18" s="418"/>
      <c r="ICF18" s="418"/>
      <c r="ICG18" s="418"/>
      <c r="ICH18" s="418"/>
      <c r="ICI18" s="418"/>
      <c r="ICJ18" s="418"/>
      <c r="ICK18" s="418"/>
      <c r="ICL18" s="418"/>
      <c r="ICM18" s="418"/>
      <c r="ICN18" s="418"/>
      <c r="ICO18" s="418"/>
      <c r="ICP18" s="418"/>
      <c r="ICQ18" s="418"/>
      <c r="ICR18" s="418"/>
      <c r="ICS18" s="418"/>
      <c r="ICT18" s="418"/>
      <c r="ICU18" s="418"/>
      <c r="ICV18" s="418"/>
      <c r="ICW18" s="418"/>
      <c r="ICX18" s="418"/>
      <c r="ICY18" s="418"/>
      <c r="ICZ18" s="418"/>
      <c r="IDA18" s="418"/>
      <c r="IDB18" s="418"/>
      <c r="IDC18" s="418"/>
      <c r="IDD18" s="418"/>
      <c r="IDE18" s="418"/>
      <c r="IDF18" s="418"/>
      <c r="IDG18" s="418"/>
      <c r="IDH18" s="418"/>
      <c r="IDI18" s="418"/>
      <c r="IDJ18" s="418"/>
      <c r="IDK18" s="418"/>
      <c r="IDL18" s="418"/>
      <c r="IDM18" s="418"/>
      <c r="IDN18" s="418"/>
      <c r="IDO18" s="418"/>
      <c r="IDP18" s="418"/>
      <c r="IDQ18" s="418"/>
      <c r="IDR18" s="418"/>
      <c r="IDS18" s="418"/>
      <c r="IDT18" s="418"/>
      <c r="IDU18" s="418"/>
      <c r="IDV18" s="418"/>
      <c r="IDW18" s="418"/>
      <c r="IDX18" s="418"/>
      <c r="IDY18" s="418"/>
      <c r="IDZ18" s="418"/>
      <c r="IEA18" s="418"/>
      <c r="IEB18" s="418"/>
      <c r="IEC18" s="418"/>
      <c r="IED18" s="418"/>
      <c r="IEE18" s="418"/>
      <c r="IEF18" s="418"/>
      <c r="IEG18" s="418"/>
      <c r="IEH18" s="418"/>
      <c r="IEI18" s="418"/>
      <c r="IEJ18" s="418"/>
      <c r="IEK18" s="418"/>
      <c r="IEL18" s="418"/>
      <c r="IEM18" s="418"/>
      <c r="IEN18" s="418"/>
      <c r="IEO18" s="418"/>
      <c r="IEP18" s="418"/>
      <c r="IEQ18" s="418"/>
      <c r="IER18" s="418"/>
      <c r="IES18" s="418"/>
      <c r="IET18" s="418"/>
      <c r="IEU18" s="418"/>
      <c r="IEV18" s="418"/>
      <c r="IEW18" s="418"/>
      <c r="IEX18" s="418"/>
      <c r="IEY18" s="418"/>
      <c r="IEZ18" s="418"/>
      <c r="IFA18" s="418"/>
      <c r="IFB18" s="418"/>
      <c r="IFC18" s="418"/>
      <c r="IFD18" s="418"/>
      <c r="IFE18" s="418"/>
      <c r="IFF18" s="418"/>
      <c r="IFG18" s="418"/>
      <c r="IFH18" s="418"/>
      <c r="IFI18" s="418"/>
      <c r="IFJ18" s="418"/>
      <c r="IFK18" s="418"/>
      <c r="IFL18" s="418"/>
      <c r="IFM18" s="418"/>
      <c r="IFN18" s="418"/>
      <c r="IFO18" s="418"/>
      <c r="IFP18" s="418"/>
      <c r="IFQ18" s="418"/>
      <c r="IFR18" s="418"/>
      <c r="IFS18" s="418"/>
      <c r="IFT18" s="418"/>
      <c r="IFU18" s="418"/>
      <c r="IFV18" s="418"/>
      <c r="IFW18" s="418"/>
      <c r="IFX18" s="418"/>
      <c r="IFY18" s="418"/>
      <c r="IFZ18" s="418"/>
      <c r="IGA18" s="418"/>
      <c r="IGB18" s="418"/>
      <c r="IGC18" s="418"/>
      <c r="IGD18" s="418"/>
      <c r="IGE18" s="418"/>
      <c r="IGF18" s="418"/>
      <c r="IGG18" s="418"/>
      <c r="IGH18" s="418"/>
      <c r="IGI18" s="418"/>
      <c r="IGJ18" s="418"/>
      <c r="IGK18" s="418"/>
      <c r="IGL18" s="418"/>
      <c r="IGM18" s="418"/>
      <c r="IGN18" s="418"/>
      <c r="IGO18" s="418"/>
      <c r="IGP18" s="418"/>
      <c r="IGQ18" s="418"/>
      <c r="IGR18" s="418"/>
      <c r="IGS18" s="418"/>
      <c r="IGT18" s="418"/>
      <c r="IGU18" s="418"/>
      <c r="IGV18" s="418"/>
      <c r="IGW18" s="418"/>
      <c r="IGX18" s="418"/>
      <c r="IGY18" s="418"/>
      <c r="IGZ18" s="418"/>
      <c r="IHA18" s="418"/>
      <c r="IHB18" s="418"/>
      <c r="IHC18" s="418"/>
      <c r="IHD18" s="418"/>
      <c r="IHE18" s="418"/>
      <c r="IHF18" s="418"/>
      <c r="IHG18" s="418"/>
      <c r="IHH18" s="418"/>
      <c r="IHI18" s="418"/>
      <c r="IHJ18" s="418"/>
      <c r="IHK18" s="418"/>
      <c r="IHL18" s="418"/>
      <c r="IHM18" s="418"/>
      <c r="IHN18" s="418"/>
      <c r="IHO18" s="418"/>
      <c r="IHP18" s="418"/>
      <c r="IHQ18" s="418"/>
      <c r="IHR18" s="418"/>
      <c r="IHS18" s="418"/>
      <c r="IHT18" s="418"/>
      <c r="IHU18" s="418"/>
      <c r="IHV18" s="418"/>
      <c r="IHW18" s="418"/>
      <c r="IHX18" s="418"/>
      <c r="IHY18" s="418"/>
      <c r="IHZ18" s="418"/>
      <c r="IIA18" s="418"/>
      <c r="IIB18" s="418"/>
      <c r="IIC18" s="418"/>
      <c r="IID18" s="418"/>
      <c r="IIE18" s="418"/>
      <c r="IIF18" s="418"/>
      <c r="IIG18" s="418"/>
      <c r="IIH18" s="418"/>
      <c r="III18" s="418"/>
      <c r="IIJ18" s="418"/>
      <c r="IIK18" s="418"/>
      <c r="IIL18" s="418"/>
      <c r="IIM18" s="418"/>
      <c r="IIN18" s="418"/>
      <c r="IIO18" s="418"/>
      <c r="IIP18" s="418"/>
      <c r="IIQ18" s="418"/>
      <c r="IIR18" s="418"/>
      <c r="IIS18" s="418"/>
      <c r="IIT18" s="418"/>
      <c r="IIU18" s="418"/>
      <c r="IIV18" s="418"/>
      <c r="IIW18" s="418"/>
      <c r="IIX18" s="418"/>
      <c r="IIY18" s="418"/>
      <c r="IIZ18" s="418"/>
      <c r="IJA18" s="418"/>
      <c r="IJB18" s="418"/>
      <c r="IJC18" s="418"/>
      <c r="IJD18" s="418"/>
      <c r="IJE18" s="418"/>
      <c r="IJF18" s="418"/>
      <c r="IJG18" s="418"/>
      <c r="IJH18" s="418"/>
      <c r="IJI18" s="418"/>
      <c r="IJJ18" s="418"/>
      <c r="IJK18" s="418"/>
      <c r="IJL18" s="418"/>
      <c r="IJM18" s="418"/>
      <c r="IJN18" s="418"/>
      <c r="IJO18" s="418"/>
      <c r="IJP18" s="418"/>
      <c r="IJQ18" s="418"/>
      <c r="IJR18" s="418"/>
      <c r="IJS18" s="418"/>
      <c r="IJT18" s="418"/>
      <c r="IJU18" s="418"/>
      <c r="IJV18" s="418"/>
      <c r="IJW18" s="418"/>
      <c r="IJX18" s="418"/>
      <c r="IJY18" s="418"/>
      <c r="IJZ18" s="418"/>
      <c r="IKA18" s="418"/>
      <c r="IKB18" s="418"/>
      <c r="IKC18" s="418"/>
      <c r="IKD18" s="418"/>
      <c r="IKE18" s="418"/>
      <c r="IKF18" s="418"/>
      <c r="IKG18" s="418"/>
      <c r="IKH18" s="418"/>
      <c r="IKI18" s="418"/>
      <c r="IKJ18" s="418"/>
      <c r="IKK18" s="418"/>
      <c r="IKL18" s="418"/>
      <c r="IKM18" s="418"/>
      <c r="IKN18" s="418"/>
      <c r="IKO18" s="418"/>
      <c r="IKP18" s="418"/>
      <c r="IKQ18" s="418"/>
      <c r="IKR18" s="418"/>
      <c r="IKS18" s="418"/>
      <c r="IKT18" s="418"/>
      <c r="IKU18" s="418"/>
      <c r="IKV18" s="418"/>
      <c r="IKW18" s="418"/>
      <c r="IKX18" s="418"/>
      <c r="IKY18" s="418"/>
      <c r="IKZ18" s="418"/>
      <c r="ILA18" s="418"/>
      <c r="ILB18" s="418"/>
      <c r="ILC18" s="418"/>
      <c r="ILD18" s="418"/>
      <c r="ILE18" s="418"/>
      <c r="ILF18" s="418"/>
      <c r="ILG18" s="418"/>
      <c r="ILH18" s="418"/>
      <c r="ILI18" s="418"/>
      <c r="ILJ18" s="418"/>
      <c r="ILK18" s="418"/>
      <c r="ILL18" s="418"/>
      <c r="ILM18" s="418"/>
      <c r="ILN18" s="418"/>
      <c r="ILO18" s="418"/>
      <c r="ILP18" s="418"/>
      <c r="ILQ18" s="418"/>
      <c r="ILR18" s="418"/>
      <c r="ILS18" s="418"/>
      <c r="ILT18" s="418"/>
      <c r="ILU18" s="418"/>
      <c r="ILV18" s="418"/>
      <c r="ILW18" s="418"/>
      <c r="ILX18" s="418"/>
      <c r="ILY18" s="418"/>
      <c r="ILZ18" s="418"/>
      <c r="IMA18" s="418"/>
      <c r="IMB18" s="418"/>
      <c r="IMC18" s="418"/>
      <c r="IMD18" s="418"/>
      <c r="IME18" s="418"/>
      <c r="IMF18" s="418"/>
      <c r="IMG18" s="418"/>
      <c r="IMH18" s="418"/>
      <c r="IMI18" s="418"/>
      <c r="IMJ18" s="418"/>
      <c r="IMK18" s="418"/>
      <c r="IML18" s="418"/>
      <c r="IMM18" s="418"/>
      <c r="IMN18" s="418"/>
      <c r="IMO18" s="418"/>
      <c r="IMP18" s="418"/>
      <c r="IMQ18" s="418"/>
      <c r="IMR18" s="418"/>
      <c r="IMS18" s="418"/>
      <c r="IMT18" s="418"/>
      <c r="IMU18" s="418"/>
      <c r="IMV18" s="418"/>
      <c r="IMW18" s="418"/>
      <c r="IMX18" s="418"/>
      <c r="IMY18" s="418"/>
      <c r="IMZ18" s="418"/>
      <c r="INA18" s="418"/>
      <c r="INB18" s="418"/>
      <c r="INC18" s="418"/>
      <c r="IND18" s="418"/>
      <c r="INE18" s="418"/>
      <c r="INF18" s="418"/>
      <c r="ING18" s="418"/>
      <c r="INH18" s="418"/>
      <c r="INI18" s="418"/>
      <c r="INJ18" s="418"/>
      <c r="INK18" s="418"/>
      <c r="INL18" s="418"/>
      <c r="INM18" s="418"/>
      <c r="INN18" s="418"/>
      <c r="INO18" s="418"/>
      <c r="INP18" s="418"/>
      <c r="INQ18" s="418"/>
      <c r="INR18" s="418"/>
      <c r="INS18" s="418"/>
      <c r="INT18" s="418"/>
      <c r="INU18" s="418"/>
      <c r="INV18" s="418"/>
      <c r="INW18" s="418"/>
      <c r="INX18" s="418"/>
      <c r="INY18" s="418"/>
      <c r="INZ18" s="418"/>
      <c r="IOA18" s="418"/>
      <c r="IOB18" s="418"/>
      <c r="IOC18" s="418"/>
      <c r="IOD18" s="418"/>
      <c r="IOE18" s="418"/>
      <c r="IOF18" s="418"/>
      <c r="IOG18" s="418"/>
      <c r="IOH18" s="418"/>
      <c r="IOI18" s="418"/>
      <c r="IOJ18" s="418"/>
      <c r="IOK18" s="418"/>
      <c r="IOL18" s="418"/>
      <c r="IOM18" s="418"/>
      <c r="ION18" s="418"/>
      <c r="IOO18" s="418"/>
      <c r="IOP18" s="418"/>
      <c r="IOQ18" s="418"/>
      <c r="IOR18" s="418"/>
      <c r="IOS18" s="418"/>
      <c r="IOT18" s="418"/>
      <c r="IOU18" s="418"/>
      <c r="IOV18" s="418"/>
      <c r="IOW18" s="418"/>
      <c r="IOX18" s="418"/>
      <c r="IOY18" s="418"/>
      <c r="IOZ18" s="418"/>
      <c r="IPA18" s="418"/>
      <c r="IPB18" s="418"/>
      <c r="IPC18" s="418"/>
      <c r="IPD18" s="418"/>
      <c r="IPE18" s="418"/>
      <c r="IPF18" s="418"/>
      <c r="IPG18" s="418"/>
      <c r="IPH18" s="418"/>
      <c r="IPI18" s="418"/>
      <c r="IPJ18" s="418"/>
      <c r="IPK18" s="418"/>
      <c r="IPL18" s="418"/>
      <c r="IPM18" s="418"/>
      <c r="IPN18" s="418"/>
      <c r="IPO18" s="418"/>
      <c r="IPP18" s="418"/>
      <c r="IPQ18" s="418"/>
      <c r="IPR18" s="418"/>
      <c r="IPS18" s="418"/>
      <c r="IPT18" s="418"/>
      <c r="IPU18" s="418"/>
      <c r="IPV18" s="418"/>
      <c r="IPW18" s="418"/>
      <c r="IPX18" s="418"/>
      <c r="IPY18" s="418"/>
      <c r="IPZ18" s="418"/>
      <c r="IQA18" s="418"/>
      <c r="IQB18" s="418"/>
      <c r="IQC18" s="418"/>
      <c r="IQD18" s="418"/>
      <c r="IQE18" s="418"/>
      <c r="IQF18" s="418"/>
      <c r="IQG18" s="418"/>
      <c r="IQH18" s="418"/>
      <c r="IQI18" s="418"/>
      <c r="IQJ18" s="418"/>
      <c r="IQK18" s="418"/>
      <c r="IQL18" s="418"/>
      <c r="IQM18" s="418"/>
      <c r="IQN18" s="418"/>
      <c r="IQO18" s="418"/>
      <c r="IQP18" s="418"/>
      <c r="IQQ18" s="418"/>
      <c r="IQR18" s="418"/>
      <c r="IQS18" s="418"/>
      <c r="IQT18" s="418"/>
      <c r="IQU18" s="418"/>
      <c r="IQV18" s="418"/>
      <c r="IQW18" s="418"/>
      <c r="IQX18" s="418"/>
      <c r="IQY18" s="418"/>
      <c r="IQZ18" s="418"/>
      <c r="IRA18" s="418"/>
      <c r="IRB18" s="418"/>
      <c r="IRC18" s="418"/>
      <c r="IRD18" s="418"/>
      <c r="IRE18" s="418"/>
      <c r="IRF18" s="418"/>
      <c r="IRG18" s="418"/>
      <c r="IRH18" s="418"/>
      <c r="IRI18" s="418"/>
      <c r="IRJ18" s="418"/>
      <c r="IRK18" s="418"/>
      <c r="IRL18" s="418"/>
      <c r="IRM18" s="418"/>
      <c r="IRN18" s="418"/>
      <c r="IRO18" s="418"/>
      <c r="IRP18" s="418"/>
      <c r="IRQ18" s="418"/>
      <c r="IRR18" s="418"/>
      <c r="IRS18" s="418"/>
      <c r="IRT18" s="418"/>
      <c r="IRU18" s="418"/>
      <c r="IRV18" s="418"/>
      <c r="IRW18" s="418"/>
      <c r="IRX18" s="418"/>
      <c r="IRY18" s="418"/>
      <c r="IRZ18" s="418"/>
      <c r="ISA18" s="418"/>
      <c r="ISB18" s="418"/>
      <c r="ISC18" s="418"/>
      <c r="ISD18" s="418"/>
      <c r="ISE18" s="418"/>
      <c r="ISF18" s="418"/>
      <c r="ISG18" s="418"/>
      <c r="ISH18" s="418"/>
      <c r="ISI18" s="418"/>
      <c r="ISJ18" s="418"/>
      <c r="ISK18" s="418"/>
      <c r="ISL18" s="418"/>
      <c r="ISM18" s="418"/>
      <c r="ISN18" s="418"/>
      <c r="ISO18" s="418"/>
      <c r="ISP18" s="418"/>
      <c r="ISQ18" s="418"/>
      <c r="ISR18" s="418"/>
      <c r="ISS18" s="418"/>
      <c r="IST18" s="418"/>
      <c r="ISU18" s="418"/>
      <c r="ISV18" s="418"/>
      <c r="ISW18" s="418"/>
      <c r="ISX18" s="418"/>
      <c r="ISY18" s="418"/>
      <c r="ISZ18" s="418"/>
      <c r="ITA18" s="418"/>
      <c r="ITB18" s="418"/>
      <c r="ITC18" s="418"/>
      <c r="ITD18" s="418"/>
      <c r="ITE18" s="418"/>
      <c r="ITF18" s="418"/>
      <c r="ITG18" s="418"/>
      <c r="ITH18" s="418"/>
      <c r="ITI18" s="418"/>
      <c r="ITJ18" s="418"/>
      <c r="ITK18" s="418"/>
      <c r="ITL18" s="418"/>
      <c r="ITM18" s="418"/>
      <c r="ITN18" s="418"/>
      <c r="ITO18" s="418"/>
      <c r="ITP18" s="418"/>
      <c r="ITQ18" s="418"/>
      <c r="ITR18" s="418"/>
      <c r="ITS18" s="418"/>
      <c r="ITT18" s="418"/>
      <c r="ITU18" s="418"/>
      <c r="ITV18" s="418"/>
      <c r="ITW18" s="418"/>
      <c r="ITX18" s="418"/>
      <c r="ITY18" s="418"/>
      <c r="ITZ18" s="418"/>
      <c r="IUA18" s="418"/>
      <c r="IUB18" s="418"/>
      <c r="IUC18" s="418"/>
      <c r="IUD18" s="418"/>
      <c r="IUE18" s="418"/>
      <c r="IUF18" s="418"/>
      <c r="IUG18" s="418"/>
      <c r="IUH18" s="418"/>
      <c r="IUI18" s="418"/>
      <c r="IUJ18" s="418"/>
      <c r="IUK18" s="418"/>
      <c r="IUL18" s="418"/>
      <c r="IUM18" s="418"/>
      <c r="IUN18" s="418"/>
      <c r="IUO18" s="418"/>
      <c r="IUP18" s="418"/>
      <c r="IUQ18" s="418"/>
      <c r="IUR18" s="418"/>
      <c r="IUS18" s="418"/>
      <c r="IUT18" s="418"/>
      <c r="IUU18" s="418"/>
      <c r="IUV18" s="418"/>
      <c r="IUW18" s="418"/>
      <c r="IUX18" s="418"/>
      <c r="IUY18" s="418"/>
      <c r="IUZ18" s="418"/>
      <c r="IVA18" s="418"/>
      <c r="IVB18" s="418"/>
      <c r="IVC18" s="418"/>
      <c r="IVD18" s="418"/>
      <c r="IVE18" s="418"/>
      <c r="IVF18" s="418"/>
      <c r="IVG18" s="418"/>
      <c r="IVH18" s="418"/>
      <c r="IVI18" s="418"/>
      <c r="IVJ18" s="418"/>
      <c r="IVK18" s="418"/>
      <c r="IVL18" s="418"/>
      <c r="IVM18" s="418"/>
      <c r="IVN18" s="418"/>
      <c r="IVO18" s="418"/>
      <c r="IVP18" s="418"/>
      <c r="IVQ18" s="418"/>
      <c r="IVR18" s="418"/>
      <c r="IVS18" s="418"/>
      <c r="IVT18" s="418"/>
      <c r="IVU18" s="418"/>
      <c r="IVV18" s="418"/>
      <c r="IVW18" s="418"/>
      <c r="IVX18" s="418"/>
      <c r="IVY18" s="418"/>
      <c r="IVZ18" s="418"/>
      <c r="IWA18" s="418"/>
      <c r="IWB18" s="418"/>
      <c r="IWC18" s="418"/>
      <c r="IWD18" s="418"/>
      <c r="IWE18" s="418"/>
      <c r="IWF18" s="418"/>
      <c r="IWG18" s="418"/>
      <c r="IWH18" s="418"/>
      <c r="IWI18" s="418"/>
      <c r="IWJ18" s="418"/>
      <c r="IWK18" s="418"/>
      <c r="IWL18" s="418"/>
      <c r="IWM18" s="418"/>
      <c r="IWN18" s="418"/>
      <c r="IWO18" s="418"/>
      <c r="IWP18" s="418"/>
      <c r="IWQ18" s="418"/>
      <c r="IWR18" s="418"/>
      <c r="IWS18" s="418"/>
      <c r="IWT18" s="418"/>
      <c r="IWU18" s="418"/>
      <c r="IWV18" s="418"/>
      <c r="IWW18" s="418"/>
      <c r="IWX18" s="418"/>
      <c r="IWY18" s="418"/>
      <c r="IWZ18" s="418"/>
      <c r="IXA18" s="418"/>
      <c r="IXB18" s="418"/>
      <c r="IXC18" s="418"/>
      <c r="IXD18" s="418"/>
      <c r="IXE18" s="418"/>
      <c r="IXF18" s="418"/>
      <c r="IXG18" s="418"/>
      <c r="IXH18" s="418"/>
      <c r="IXI18" s="418"/>
      <c r="IXJ18" s="418"/>
      <c r="IXK18" s="418"/>
      <c r="IXL18" s="418"/>
      <c r="IXM18" s="418"/>
      <c r="IXN18" s="418"/>
      <c r="IXO18" s="418"/>
      <c r="IXP18" s="418"/>
      <c r="IXQ18" s="418"/>
      <c r="IXR18" s="418"/>
      <c r="IXS18" s="418"/>
      <c r="IXT18" s="418"/>
      <c r="IXU18" s="418"/>
      <c r="IXV18" s="418"/>
      <c r="IXW18" s="418"/>
      <c r="IXX18" s="418"/>
      <c r="IXY18" s="418"/>
      <c r="IXZ18" s="418"/>
      <c r="IYA18" s="418"/>
      <c r="IYB18" s="418"/>
      <c r="IYC18" s="418"/>
      <c r="IYD18" s="418"/>
      <c r="IYE18" s="418"/>
      <c r="IYF18" s="418"/>
      <c r="IYG18" s="418"/>
      <c r="IYH18" s="418"/>
      <c r="IYI18" s="418"/>
      <c r="IYJ18" s="418"/>
      <c r="IYK18" s="418"/>
      <c r="IYL18" s="418"/>
      <c r="IYM18" s="418"/>
      <c r="IYN18" s="418"/>
      <c r="IYO18" s="418"/>
      <c r="IYP18" s="418"/>
      <c r="IYQ18" s="418"/>
      <c r="IYR18" s="418"/>
      <c r="IYS18" s="418"/>
      <c r="IYT18" s="418"/>
      <c r="IYU18" s="418"/>
      <c r="IYV18" s="418"/>
      <c r="IYW18" s="418"/>
      <c r="IYX18" s="418"/>
      <c r="IYY18" s="418"/>
      <c r="IYZ18" s="418"/>
      <c r="IZA18" s="418"/>
      <c r="IZB18" s="418"/>
      <c r="IZC18" s="418"/>
      <c r="IZD18" s="418"/>
      <c r="IZE18" s="418"/>
      <c r="IZF18" s="418"/>
      <c r="IZG18" s="418"/>
      <c r="IZH18" s="418"/>
      <c r="IZI18" s="418"/>
      <c r="IZJ18" s="418"/>
      <c r="IZK18" s="418"/>
      <c r="IZL18" s="418"/>
      <c r="IZM18" s="418"/>
      <c r="IZN18" s="418"/>
      <c r="IZO18" s="418"/>
      <c r="IZP18" s="418"/>
      <c r="IZQ18" s="418"/>
      <c r="IZR18" s="418"/>
      <c r="IZS18" s="418"/>
      <c r="IZT18" s="418"/>
      <c r="IZU18" s="418"/>
      <c r="IZV18" s="418"/>
      <c r="IZW18" s="418"/>
      <c r="IZX18" s="418"/>
      <c r="IZY18" s="418"/>
      <c r="IZZ18" s="418"/>
      <c r="JAA18" s="418"/>
      <c r="JAB18" s="418"/>
      <c r="JAC18" s="418"/>
      <c r="JAD18" s="418"/>
      <c r="JAE18" s="418"/>
      <c r="JAF18" s="418"/>
      <c r="JAG18" s="418"/>
      <c r="JAH18" s="418"/>
      <c r="JAI18" s="418"/>
      <c r="JAJ18" s="418"/>
      <c r="JAK18" s="418"/>
      <c r="JAL18" s="418"/>
      <c r="JAM18" s="418"/>
      <c r="JAN18" s="418"/>
      <c r="JAO18" s="418"/>
      <c r="JAP18" s="418"/>
      <c r="JAQ18" s="418"/>
      <c r="JAR18" s="418"/>
      <c r="JAS18" s="418"/>
      <c r="JAT18" s="418"/>
      <c r="JAU18" s="418"/>
      <c r="JAV18" s="418"/>
      <c r="JAW18" s="418"/>
      <c r="JAX18" s="418"/>
      <c r="JAY18" s="418"/>
      <c r="JAZ18" s="418"/>
      <c r="JBA18" s="418"/>
      <c r="JBB18" s="418"/>
      <c r="JBC18" s="418"/>
      <c r="JBD18" s="418"/>
      <c r="JBE18" s="418"/>
      <c r="JBF18" s="418"/>
      <c r="JBG18" s="418"/>
      <c r="JBH18" s="418"/>
      <c r="JBI18" s="418"/>
      <c r="JBJ18" s="418"/>
      <c r="JBK18" s="418"/>
      <c r="JBL18" s="418"/>
      <c r="JBM18" s="418"/>
      <c r="JBN18" s="418"/>
      <c r="JBO18" s="418"/>
      <c r="JBP18" s="418"/>
      <c r="JBQ18" s="418"/>
      <c r="JBR18" s="418"/>
      <c r="JBS18" s="418"/>
      <c r="JBT18" s="418"/>
      <c r="JBU18" s="418"/>
      <c r="JBV18" s="418"/>
      <c r="JBW18" s="418"/>
      <c r="JBX18" s="418"/>
      <c r="JBY18" s="418"/>
      <c r="JBZ18" s="418"/>
      <c r="JCA18" s="418"/>
      <c r="JCB18" s="418"/>
      <c r="JCC18" s="418"/>
      <c r="JCD18" s="418"/>
      <c r="JCE18" s="418"/>
      <c r="JCF18" s="418"/>
      <c r="JCG18" s="418"/>
      <c r="JCH18" s="418"/>
      <c r="JCI18" s="418"/>
      <c r="JCJ18" s="418"/>
      <c r="JCK18" s="418"/>
      <c r="JCL18" s="418"/>
      <c r="JCM18" s="418"/>
      <c r="JCN18" s="418"/>
      <c r="JCO18" s="418"/>
      <c r="JCP18" s="418"/>
      <c r="JCQ18" s="418"/>
      <c r="JCR18" s="418"/>
      <c r="JCS18" s="418"/>
      <c r="JCT18" s="418"/>
      <c r="JCU18" s="418"/>
      <c r="JCV18" s="418"/>
      <c r="JCW18" s="418"/>
      <c r="JCX18" s="418"/>
      <c r="JCY18" s="418"/>
      <c r="JCZ18" s="418"/>
      <c r="JDA18" s="418"/>
      <c r="JDB18" s="418"/>
      <c r="JDC18" s="418"/>
      <c r="JDD18" s="418"/>
      <c r="JDE18" s="418"/>
      <c r="JDF18" s="418"/>
      <c r="JDG18" s="418"/>
      <c r="JDH18" s="418"/>
      <c r="JDI18" s="418"/>
      <c r="JDJ18" s="418"/>
      <c r="JDK18" s="418"/>
      <c r="JDL18" s="418"/>
      <c r="JDM18" s="418"/>
      <c r="JDN18" s="418"/>
      <c r="JDO18" s="418"/>
      <c r="JDP18" s="418"/>
      <c r="JDQ18" s="418"/>
      <c r="JDR18" s="418"/>
      <c r="JDS18" s="418"/>
      <c r="JDT18" s="418"/>
      <c r="JDU18" s="418"/>
      <c r="JDV18" s="418"/>
      <c r="JDW18" s="418"/>
      <c r="JDX18" s="418"/>
      <c r="JDY18" s="418"/>
      <c r="JDZ18" s="418"/>
      <c r="JEA18" s="418"/>
      <c r="JEB18" s="418"/>
      <c r="JEC18" s="418"/>
      <c r="JED18" s="418"/>
      <c r="JEE18" s="418"/>
      <c r="JEF18" s="418"/>
      <c r="JEG18" s="418"/>
      <c r="JEH18" s="418"/>
      <c r="JEI18" s="418"/>
      <c r="JEJ18" s="418"/>
      <c r="JEK18" s="418"/>
      <c r="JEL18" s="418"/>
      <c r="JEM18" s="418"/>
      <c r="JEN18" s="418"/>
      <c r="JEO18" s="418"/>
      <c r="JEP18" s="418"/>
      <c r="JEQ18" s="418"/>
      <c r="JER18" s="418"/>
      <c r="JES18" s="418"/>
      <c r="JET18" s="418"/>
      <c r="JEU18" s="418"/>
      <c r="JEV18" s="418"/>
      <c r="JEW18" s="418"/>
      <c r="JEX18" s="418"/>
      <c r="JEY18" s="418"/>
      <c r="JEZ18" s="418"/>
      <c r="JFA18" s="418"/>
      <c r="JFB18" s="418"/>
      <c r="JFC18" s="418"/>
      <c r="JFD18" s="418"/>
      <c r="JFE18" s="418"/>
      <c r="JFF18" s="418"/>
      <c r="JFG18" s="418"/>
      <c r="JFH18" s="418"/>
      <c r="JFI18" s="418"/>
      <c r="JFJ18" s="418"/>
      <c r="JFK18" s="418"/>
      <c r="JFL18" s="418"/>
      <c r="JFM18" s="418"/>
      <c r="JFN18" s="418"/>
      <c r="JFO18" s="418"/>
      <c r="JFP18" s="418"/>
      <c r="JFQ18" s="418"/>
      <c r="JFR18" s="418"/>
      <c r="JFS18" s="418"/>
      <c r="JFT18" s="418"/>
      <c r="JFU18" s="418"/>
      <c r="JFV18" s="418"/>
      <c r="JFW18" s="418"/>
      <c r="JFX18" s="418"/>
      <c r="JFY18" s="418"/>
      <c r="JFZ18" s="418"/>
      <c r="JGA18" s="418"/>
      <c r="JGB18" s="418"/>
      <c r="JGC18" s="418"/>
      <c r="JGD18" s="418"/>
      <c r="JGE18" s="418"/>
      <c r="JGF18" s="418"/>
      <c r="JGG18" s="418"/>
      <c r="JGH18" s="418"/>
      <c r="JGI18" s="418"/>
      <c r="JGJ18" s="418"/>
      <c r="JGK18" s="418"/>
      <c r="JGL18" s="418"/>
      <c r="JGM18" s="418"/>
      <c r="JGN18" s="418"/>
      <c r="JGO18" s="418"/>
      <c r="JGP18" s="418"/>
      <c r="JGQ18" s="418"/>
      <c r="JGR18" s="418"/>
      <c r="JGS18" s="418"/>
      <c r="JGT18" s="418"/>
      <c r="JGU18" s="418"/>
      <c r="JGV18" s="418"/>
      <c r="JGW18" s="418"/>
      <c r="JGX18" s="418"/>
      <c r="JGY18" s="418"/>
      <c r="JGZ18" s="418"/>
      <c r="JHA18" s="418"/>
      <c r="JHB18" s="418"/>
      <c r="JHC18" s="418"/>
      <c r="JHD18" s="418"/>
      <c r="JHE18" s="418"/>
      <c r="JHF18" s="418"/>
      <c r="JHG18" s="418"/>
      <c r="JHH18" s="418"/>
      <c r="JHI18" s="418"/>
      <c r="JHJ18" s="418"/>
      <c r="JHK18" s="418"/>
      <c r="JHL18" s="418"/>
      <c r="JHM18" s="418"/>
      <c r="JHN18" s="418"/>
      <c r="JHO18" s="418"/>
      <c r="JHP18" s="418"/>
      <c r="JHQ18" s="418"/>
      <c r="JHR18" s="418"/>
      <c r="JHS18" s="418"/>
      <c r="JHT18" s="418"/>
      <c r="JHU18" s="418"/>
      <c r="JHV18" s="418"/>
      <c r="JHW18" s="418"/>
      <c r="JHX18" s="418"/>
      <c r="JHY18" s="418"/>
      <c r="JHZ18" s="418"/>
      <c r="JIA18" s="418"/>
      <c r="JIB18" s="418"/>
      <c r="JIC18" s="418"/>
      <c r="JID18" s="418"/>
      <c r="JIE18" s="418"/>
      <c r="JIF18" s="418"/>
      <c r="JIG18" s="418"/>
      <c r="JIH18" s="418"/>
      <c r="JII18" s="418"/>
      <c r="JIJ18" s="418"/>
      <c r="JIK18" s="418"/>
      <c r="JIL18" s="418"/>
      <c r="JIM18" s="418"/>
      <c r="JIN18" s="418"/>
      <c r="JIO18" s="418"/>
      <c r="JIP18" s="418"/>
      <c r="JIQ18" s="418"/>
      <c r="JIR18" s="418"/>
      <c r="JIS18" s="418"/>
      <c r="JIT18" s="418"/>
      <c r="JIU18" s="418"/>
      <c r="JIV18" s="418"/>
      <c r="JIW18" s="418"/>
      <c r="JIX18" s="418"/>
      <c r="JIY18" s="418"/>
      <c r="JIZ18" s="418"/>
      <c r="JJA18" s="418"/>
      <c r="JJB18" s="418"/>
      <c r="JJC18" s="418"/>
      <c r="JJD18" s="418"/>
      <c r="JJE18" s="418"/>
      <c r="JJF18" s="418"/>
      <c r="JJG18" s="418"/>
      <c r="JJH18" s="418"/>
      <c r="JJI18" s="418"/>
      <c r="JJJ18" s="418"/>
      <c r="JJK18" s="418"/>
      <c r="JJL18" s="418"/>
      <c r="JJM18" s="418"/>
      <c r="JJN18" s="418"/>
      <c r="JJO18" s="418"/>
      <c r="JJP18" s="418"/>
      <c r="JJQ18" s="418"/>
      <c r="JJR18" s="418"/>
      <c r="JJS18" s="418"/>
      <c r="JJT18" s="418"/>
      <c r="JJU18" s="418"/>
      <c r="JJV18" s="418"/>
      <c r="JJW18" s="418"/>
      <c r="JJX18" s="418"/>
      <c r="JJY18" s="418"/>
      <c r="JJZ18" s="418"/>
      <c r="JKA18" s="418"/>
      <c r="JKB18" s="418"/>
      <c r="JKC18" s="418"/>
      <c r="JKD18" s="418"/>
      <c r="JKE18" s="418"/>
      <c r="JKF18" s="418"/>
      <c r="JKG18" s="418"/>
      <c r="JKH18" s="418"/>
      <c r="JKI18" s="418"/>
      <c r="JKJ18" s="418"/>
      <c r="JKK18" s="418"/>
      <c r="JKL18" s="418"/>
      <c r="JKM18" s="418"/>
      <c r="JKN18" s="418"/>
      <c r="JKO18" s="418"/>
      <c r="JKP18" s="418"/>
      <c r="JKQ18" s="418"/>
      <c r="JKR18" s="418"/>
      <c r="JKS18" s="418"/>
      <c r="JKT18" s="418"/>
      <c r="JKU18" s="418"/>
      <c r="JKV18" s="418"/>
      <c r="JKW18" s="418"/>
      <c r="JKX18" s="418"/>
      <c r="JKY18" s="418"/>
      <c r="JKZ18" s="418"/>
      <c r="JLA18" s="418"/>
      <c r="JLB18" s="418"/>
      <c r="JLC18" s="418"/>
      <c r="JLD18" s="418"/>
      <c r="JLE18" s="418"/>
      <c r="JLF18" s="418"/>
      <c r="JLG18" s="418"/>
      <c r="JLH18" s="418"/>
      <c r="JLI18" s="418"/>
      <c r="JLJ18" s="418"/>
      <c r="JLK18" s="418"/>
      <c r="JLL18" s="418"/>
      <c r="JLM18" s="418"/>
      <c r="JLN18" s="418"/>
      <c r="JLO18" s="418"/>
      <c r="JLP18" s="418"/>
      <c r="JLQ18" s="418"/>
      <c r="JLR18" s="418"/>
      <c r="JLS18" s="418"/>
      <c r="JLT18" s="418"/>
      <c r="JLU18" s="418"/>
      <c r="JLV18" s="418"/>
      <c r="JLW18" s="418"/>
      <c r="JLX18" s="418"/>
      <c r="JLY18" s="418"/>
      <c r="JLZ18" s="418"/>
      <c r="JMA18" s="418"/>
      <c r="JMB18" s="418"/>
      <c r="JMC18" s="418"/>
      <c r="JMD18" s="418"/>
      <c r="JME18" s="418"/>
      <c r="JMF18" s="418"/>
      <c r="JMG18" s="418"/>
      <c r="JMH18" s="418"/>
      <c r="JMI18" s="418"/>
      <c r="JMJ18" s="418"/>
      <c r="JMK18" s="418"/>
      <c r="JML18" s="418"/>
      <c r="JMM18" s="418"/>
      <c r="JMN18" s="418"/>
      <c r="JMO18" s="418"/>
      <c r="JMP18" s="418"/>
      <c r="JMQ18" s="418"/>
      <c r="JMR18" s="418"/>
      <c r="JMS18" s="418"/>
      <c r="JMT18" s="418"/>
      <c r="JMU18" s="418"/>
      <c r="JMV18" s="418"/>
      <c r="JMW18" s="418"/>
      <c r="JMX18" s="418"/>
      <c r="JMY18" s="418"/>
      <c r="JMZ18" s="418"/>
      <c r="JNA18" s="418"/>
      <c r="JNB18" s="418"/>
      <c r="JNC18" s="418"/>
      <c r="JND18" s="418"/>
      <c r="JNE18" s="418"/>
      <c r="JNF18" s="418"/>
      <c r="JNG18" s="418"/>
      <c r="JNH18" s="418"/>
      <c r="JNI18" s="418"/>
      <c r="JNJ18" s="418"/>
      <c r="JNK18" s="418"/>
      <c r="JNL18" s="418"/>
      <c r="JNM18" s="418"/>
      <c r="JNN18" s="418"/>
      <c r="JNO18" s="418"/>
      <c r="JNP18" s="418"/>
      <c r="JNQ18" s="418"/>
      <c r="JNR18" s="418"/>
      <c r="JNS18" s="418"/>
      <c r="JNT18" s="418"/>
      <c r="JNU18" s="418"/>
      <c r="JNV18" s="418"/>
      <c r="JNW18" s="418"/>
      <c r="JNX18" s="418"/>
      <c r="JNY18" s="418"/>
      <c r="JNZ18" s="418"/>
      <c r="JOA18" s="418"/>
      <c r="JOB18" s="418"/>
      <c r="JOC18" s="418"/>
      <c r="JOD18" s="418"/>
      <c r="JOE18" s="418"/>
      <c r="JOF18" s="418"/>
      <c r="JOG18" s="418"/>
      <c r="JOH18" s="418"/>
      <c r="JOI18" s="418"/>
      <c r="JOJ18" s="418"/>
      <c r="JOK18" s="418"/>
      <c r="JOL18" s="418"/>
      <c r="JOM18" s="418"/>
      <c r="JON18" s="418"/>
      <c r="JOO18" s="418"/>
      <c r="JOP18" s="418"/>
      <c r="JOQ18" s="418"/>
      <c r="JOR18" s="418"/>
      <c r="JOS18" s="418"/>
      <c r="JOT18" s="418"/>
      <c r="JOU18" s="418"/>
      <c r="JOV18" s="418"/>
      <c r="JOW18" s="418"/>
      <c r="JOX18" s="418"/>
      <c r="JOY18" s="418"/>
      <c r="JOZ18" s="418"/>
      <c r="JPA18" s="418"/>
      <c r="JPB18" s="418"/>
      <c r="JPC18" s="418"/>
      <c r="JPD18" s="418"/>
      <c r="JPE18" s="418"/>
      <c r="JPF18" s="418"/>
      <c r="JPG18" s="418"/>
      <c r="JPH18" s="418"/>
      <c r="JPI18" s="418"/>
      <c r="JPJ18" s="418"/>
      <c r="JPK18" s="418"/>
      <c r="JPL18" s="418"/>
      <c r="JPM18" s="418"/>
      <c r="JPN18" s="418"/>
      <c r="JPO18" s="418"/>
      <c r="JPP18" s="418"/>
      <c r="JPQ18" s="418"/>
      <c r="JPR18" s="418"/>
      <c r="JPS18" s="418"/>
      <c r="JPT18" s="418"/>
      <c r="JPU18" s="418"/>
      <c r="JPV18" s="418"/>
      <c r="JPW18" s="418"/>
      <c r="JPX18" s="418"/>
      <c r="JPY18" s="418"/>
      <c r="JPZ18" s="418"/>
      <c r="JQA18" s="418"/>
      <c r="JQB18" s="418"/>
      <c r="JQC18" s="418"/>
      <c r="JQD18" s="418"/>
      <c r="JQE18" s="418"/>
      <c r="JQF18" s="418"/>
      <c r="JQG18" s="418"/>
      <c r="JQH18" s="418"/>
      <c r="JQI18" s="418"/>
      <c r="JQJ18" s="418"/>
      <c r="JQK18" s="418"/>
      <c r="JQL18" s="418"/>
      <c r="JQM18" s="418"/>
      <c r="JQN18" s="418"/>
      <c r="JQO18" s="418"/>
      <c r="JQP18" s="418"/>
      <c r="JQQ18" s="418"/>
      <c r="JQR18" s="418"/>
      <c r="JQS18" s="418"/>
      <c r="JQT18" s="418"/>
      <c r="JQU18" s="418"/>
      <c r="JQV18" s="418"/>
      <c r="JQW18" s="418"/>
      <c r="JQX18" s="418"/>
      <c r="JQY18" s="418"/>
      <c r="JQZ18" s="418"/>
      <c r="JRA18" s="418"/>
      <c r="JRB18" s="418"/>
      <c r="JRC18" s="418"/>
      <c r="JRD18" s="418"/>
      <c r="JRE18" s="418"/>
      <c r="JRF18" s="418"/>
      <c r="JRG18" s="418"/>
      <c r="JRH18" s="418"/>
      <c r="JRI18" s="418"/>
      <c r="JRJ18" s="418"/>
      <c r="JRK18" s="418"/>
      <c r="JRL18" s="418"/>
      <c r="JRM18" s="418"/>
      <c r="JRN18" s="418"/>
      <c r="JRO18" s="418"/>
      <c r="JRP18" s="418"/>
      <c r="JRQ18" s="418"/>
      <c r="JRR18" s="418"/>
      <c r="JRS18" s="418"/>
      <c r="JRT18" s="418"/>
      <c r="JRU18" s="418"/>
      <c r="JRV18" s="418"/>
      <c r="JRW18" s="418"/>
      <c r="JRX18" s="418"/>
      <c r="JRY18" s="418"/>
      <c r="JRZ18" s="418"/>
      <c r="JSA18" s="418"/>
      <c r="JSB18" s="418"/>
      <c r="JSC18" s="418"/>
      <c r="JSD18" s="418"/>
      <c r="JSE18" s="418"/>
      <c r="JSF18" s="418"/>
      <c r="JSG18" s="418"/>
      <c r="JSH18" s="418"/>
      <c r="JSI18" s="418"/>
      <c r="JSJ18" s="418"/>
      <c r="JSK18" s="418"/>
      <c r="JSL18" s="418"/>
      <c r="JSM18" s="418"/>
      <c r="JSN18" s="418"/>
      <c r="JSO18" s="418"/>
      <c r="JSP18" s="418"/>
      <c r="JSQ18" s="418"/>
      <c r="JSR18" s="418"/>
      <c r="JSS18" s="418"/>
      <c r="JST18" s="418"/>
      <c r="JSU18" s="418"/>
      <c r="JSV18" s="418"/>
      <c r="JSW18" s="418"/>
      <c r="JSX18" s="418"/>
      <c r="JSY18" s="418"/>
      <c r="JSZ18" s="418"/>
      <c r="JTA18" s="418"/>
      <c r="JTB18" s="418"/>
      <c r="JTC18" s="418"/>
      <c r="JTD18" s="418"/>
      <c r="JTE18" s="418"/>
      <c r="JTF18" s="418"/>
      <c r="JTG18" s="418"/>
      <c r="JTH18" s="418"/>
      <c r="JTI18" s="418"/>
      <c r="JTJ18" s="418"/>
      <c r="JTK18" s="418"/>
      <c r="JTL18" s="418"/>
      <c r="JTM18" s="418"/>
      <c r="JTN18" s="418"/>
      <c r="JTO18" s="418"/>
      <c r="JTP18" s="418"/>
      <c r="JTQ18" s="418"/>
      <c r="JTR18" s="418"/>
      <c r="JTS18" s="418"/>
      <c r="JTT18" s="418"/>
      <c r="JTU18" s="418"/>
      <c r="JTV18" s="418"/>
      <c r="JTW18" s="418"/>
      <c r="JTX18" s="418"/>
      <c r="JTY18" s="418"/>
      <c r="JTZ18" s="418"/>
      <c r="JUA18" s="418"/>
      <c r="JUB18" s="418"/>
      <c r="JUC18" s="418"/>
      <c r="JUD18" s="418"/>
      <c r="JUE18" s="418"/>
      <c r="JUF18" s="418"/>
      <c r="JUG18" s="418"/>
      <c r="JUH18" s="418"/>
      <c r="JUI18" s="418"/>
      <c r="JUJ18" s="418"/>
      <c r="JUK18" s="418"/>
      <c r="JUL18" s="418"/>
      <c r="JUM18" s="418"/>
      <c r="JUN18" s="418"/>
      <c r="JUO18" s="418"/>
      <c r="JUP18" s="418"/>
      <c r="JUQ18" s="418"/>
      <c r="JUR18" s="418"/>
      <c r="JUS18" s="418"/>
      <c r="JUT18" s="418"/>
      <c r="JUU18" s="418"/>
      <c r="JUV18" s="418"/>
      <c r="JUW18" s="418"/>
      <c r="JUX18" s="418"/>
      <c r="JUY18" s="418"/>
      <c r="JUZ18" s="418"/>
      <c r="JVA18" s="418"/>
      <c r="JVB18" s="418"/>
      <c r="JVC18" s="418"/>
      <c r="JVD18" s="418"/>
      <c r="JVE18" s="418"/>
      <c r="JVF18" s="418"/>
      <c r="JVG18" s="418"/>
      <c r="JVH18" s="418"/>
      <c r="JVI18" s="418"/>
      <c r="JVJ18" s="418"/>
      <c r="JVK18" s="418"/>
      <c r="JVL18" s="418"/>
      <c r="JVM18" s="418"/>
      <c r="JVN18" s="418"/>
      <c r="JVO18" s="418"/>
      <c r="JVP18" s="418"/>
      <c r="JVQ18" s="418"/>
      <c r="JVR18" s="418"/>
      <c r="JVS18" s="418"/>
      <c r="JVT18" s="418"/>
      <c r="JVU18" s="418"/>
      <c r="JVV18" s="418"/>
      <c r="JVW18" s="418"/>
      <c r="JVX18" s="418"/>
      <c r="JVY18" s="418"/>
      <c r="JVZ18" s="418"/>
      <c r="JWA18" s="418"/>
      <c r="JWB18" s="418"/>
      <c r="JWC18" s="418"/>
      <c r="JWD18" s="418"/>
      <c r="JWE18" s="418"/>
      <c r="JWF18" s="418"/>
      <c r="JWG18" s="418"/>
      <c r="JWH18" s="418"/>
      <c r="JWI18" s="418"/>
      <c r="JWJ18" s="418"/>
      <c r="JWK18" s="418"/>
      <c r="JWL18" s="418"/>
      <c r="JWM18" s="418"/>
      <c r="JWN18" s="418"/>
      <c r="JWO18" s="418"/>
      <c r="JWP18" s="418"/>
      <c r="JWQ18" s="418"/>
      <c r="JWR18" s="418"/>
      <c r="JWS18" s="418"/>
      <c r="JWT18" s="418"/>
      <c r="JWU18" s="418"/>
      <c r="JWV18" s="418"/>
      <c r="JWW18" s="418"/>
      <c r="JWX18" s="418"/>
      <c r="JWY18" s="418"/>
      <c r="JWZ18" s="418"/>
      <c r="JXA18" s="418"/>
      <c r="JXB18" s="418"/>
      <c r="JXC18" s="418"/>
      <c r="JXD18" s="418"/>
      <c r="JXE18" s="418"/>
      <c r="JXF18" s="418"/>
      <c r="JXG18" s="418"/>
      <c r="JXH18" s="418"/>
      <c r="JXI18" s="418"/>
      <c r="JXJ18" s="418"/>
      <c r="JXK18" s="418"/>
      <c r="JXL18" s="418"/>
      <c r="JXM18" s="418"/>
      <c r="JXN18" s="418"/>
      <c r="JXO18" s="418"/>
      <c r="JXP18" s="418"/>
      <c r="JXQ18" s="418"/>
      <c r="JXR18" s="418"/>
      <c r="JXS18" s="418"/>
      <c r="JXT18" s="418"/>
      <c r="JXU18" s="418"/>
      <c r="JXV18" s="418"/>
      <c r="JXW18" s="418"/>
      <c r="JXX18" s="418"/>
      <c r="JXY18" s="418"/>
      <c r="JXZ18" s="418"/>
      <c r="JYA18" s="418"/>
      <c r="JYB18" s="418"/>
      <c r="JYC18" s="418"/>
      <c r="JYD18" s="418"/>
      <c r="JYE18" s="418"/>
      <c r="JYF18" s="418"/>
      <c r="JYG18" s="418"/>
      <c r="JYH18" s="418"/>
      <c r="JYI18" s="418"/>
      <c r="JYJ18" s="418"/>
      <c r="JYK18" s="418"/>
      <c r="JYL18" s="418"/>
      <c r="JYM18" s="418"/>
      <c r="JYN18" s="418"/>
      <c r="JYO18" s="418"/>
      <c r="JYP18" s="418"/>
      <c r="JYQ18" s="418"/>
      <c r="JYR18" s="418"/>
      <c r="JYS18" s="418"/>
      <c r="JYT18" s="418"/>
      <c r="JYU18" s="418"/>
      <c r="JYV18" s="418"/>
      <c r="JYW18" s="418"/>
      <c r="JYX18" s="418"/>
      <c r="JYY18" s="418"/>
      <c r="JYZ18" s="418"/>
      <c r="JZA18" s="418"/>
      <c r="JZB18" s="418"/>
      <c r="JZC18" s="418"/>
      <c r="JZD18" s="418"/>
      <c r="JZE18" s="418"/>
      <c r="JZF18" s="418"/>
      <c r="JZG18" s="418"/>
      <c r="JZH18" s="418"/>
      <c r="JZI18" s="418"/>
      <c r="JZJ18" s="418"/>
      <c r="JZK18" s="418"/>
      <c r="JZL18" s="418"/>
      <c r="JZM18" s="418"/>
      <c r="JZN18" s="418"/>
      <c r="JZO18" s="418"/>
      <c r="JZP18" s="418"/>
      <c r="JZQ18" s="418"/>
      <c r="JZR18" s="418"/>
      <c r="JZS18" s="418"/>
      <c r="JZT18" s="418"/>
      <c r="JZU18" s="418"/>
      <c r="JZV18" s="418"/>
      <c r="JZW18" s="418"/>
      <c r="JZX18" s="418"/>
      <c r="JZY18" s="418"/>
      <c r="JZZ18" s="418"/>
      <c r="KAA18" s="418"/>
      <c r="KAB18" s="418"/>
      <c r="KAC18" s="418"/>
      <c r="KAD18" s="418"/>
      <c r="KAE18" s="418"/>
      <c r="KAF18" s="418"/>
      <c r="KAG18" s="418"/>
      <c r="KAH18" s="418"/>
      <c r="KAI18" s="418"/>
      <c r="KAJ18" s="418"/>
      <c r="KAK18" s="418"/>
      <c r="KAL18" s="418"/>
      <c r="KAM18" s="418"/>
      <c r="KAN18" s="418"/>
      <c r="KAO18" s="418"/>
      <c r="KAP18" s="418"/>
      <c r="KAQ18" s="418"/>
      <c r="KAR18" s="418"/>
      <c r="KAS18" s="418"/>
      <c r="KAT18" s="418"/>
      <c r="KAU18" s="418"/>
      <c r="KAV18" s="418"/>
      <c r="KAW18" s="418"/>
      <c r="KAX18" s="418"/>
      <c r="KAY18" s="418"/>
      <c r="KAZ18" s="418"/>
      <c r="KBA18" s="418"/>
      <c r="KBB18" s="418"/>
      <c r="KBC18" s="418"/>
      <c r="KBD18" s="418"/>
      <c r="KBE18" s="418"/>
      <c r="KBF18" s="418"/>
      <c r="KBG18" s="418"/>
      <c r="KBH18" s="418"/>
      <c r="KBI18" s="418"/>
      <c r="KBJ18" s="418"/>
      <c r="KBK18" s="418"/>
      <c r="KBL18" s="418"/>
      <c r="KBM18" s="418"/>
      <c r="KBN18" s="418"/>
      <c r="KBO18" s="418"/>
      <c r="KBP18" s="418"/>
      <c r="KBQ18" s="418"/>
      <c r="KBR18" s="418"/>
      <c r="KBS18" s="418"/>
      <c r="KBT18" s="418"/>
      <c r="KBU18" s="418"/>
      <c r="KBV18" s="418"/>
      <c r="KBW18" s="418"/>
      <c r="KBX18" s="418"/>
      <c r="KBY18" s="418"/>
      <c r="KBZ18" s="418"/>
      <c r="KCA18" s="418"/>
      <c r="KCB18" s="418"/>
      <c r="KCC18" s="418"/>
      <c r="KCD18" s="418"/>
      <c r="KCE18" s="418"/>
      <c r="KCF18" s="418"/>
      <c r="KCG18" s="418"/>
      <c r="KCH18" s="418"/>
      <c r="KCI18" s="418"/>
      <c r="KCJ18" s="418"/>
      <c r="KCK18" s="418"/>
      <c r="KCL18" s="418"/>
      <c r="KCM18" s="418"/>
      <c r="KCN18" s="418"/>
      <c r="KCO18" s="418"/>
      <c r="KCP18" s="418"/>
      <c r="KCQ18" s="418"/>
      <c r="KCR18" s="418"/>
      <c r="KCS18" s="418"/>
      <c r="KCT18" s="418"/>
      <c r="KCU18" s="418"/>
      <c r="KCV18" s="418"/>
      <c r="KCW18" s="418"/>
      <c r="KCX18" s="418"/>
      <c r="KCY18" s="418"/>
      <c r="KCZ18" s="418"/>
      <c r="KDA18" s="418"/>
      <c r="KDB18" s="418"/>
      <c r="KDC18" s="418"/>
      <c r="KDD18" s="418"/>
      <c r="KDE18" s="418"/>
      <c r="KDF18" s="418"/>
      <c r="KDG18" s="418"/>
      <c r="KDH18" s="418"/>
      <c r="KDI18" s="418"/>
      <c r="KDJ18" s="418"/>
      <c r="KDK18" s="418"/>
      <c r="KDL18" s="418"/>
      <c r="KDM18" s="418"/>
      <c r="KDN18" s="418"/>
      <c r="KDO18" s="418"/>
      <c r="KDP18" s="418"/>
      <c r="KDQ18" s="418"/>
      <c r="KDR18" s="418"/>
      <c r="KDS18" s="418"/>
      <c r="KDT18" s="418"/>
      <c r="KDU18" s="418"/>
      <c r="KDV18" s="418"/>
      <c r="KDW18" s="418"/>
      <c r="KDX18" s="418"/>
      <c r="KDY18" s="418"/>
      <c r="KDZ18" s="418"/>
      <c r="KEA18" s="418"/>
      <c r="KEB18" s="418"/>
      <c r="KEC18" s="418"/>
      <c r="KED18" s="418"/>
      <c r="KEE18" s="418"/>
      <c r="KEF18" s="418"/>
      <c r="KEG18" s="418"/>
      <c r="KEH18" s="418"/>
      <c r="KEI18" s="418"/>
      <c r="KEJ18" s="418"/>
      <c r="KEK18" s="418"/>
      <c r="KEL18" s="418"/>
      <c r="KEM18" s="418"/>
      <c r="KEN18" s="418"/>
      <c r="KEO18" s="418"/>
      <c r="KEP18" s="418"/>
      <c r="KEQ18" s="418"/>
      <c r="KER18" s="418"/>
      <c r="KES18" s="418"/>
      <c r="KET18" s="418"/>
      <c r="KEU18" s="418"/>
      <c r="KEV18" s="418"/>
      <c r="KEW18" s="418"/>
      <c r="KEX18" s="418"/>
      <c r="KEY18" s="418"/>
      <c r="KEZ18" s="418"/>
      <c r="KFA18" s="418"/>
      <c r="KFB18" s="418"/>
      <c r="KFC18" s="418"/>
      <c r="KFD18" s="418"/>
      <c r="KFE18" s="418"/>
      <c r="KFF18" s="418"/>
      <c r="KFG18" s="418"/>
      <c r="KFH18" s="418"/>
      <c r="KFI18" s="418"/>
      <c r="KFJ18" s="418"/>
      <c r="KFK18" s="418"/>
      <c r="KFL18" s="418"/>
      <c r="KFM18" s="418"/>
      <c r="KFN18" s="418"/>
      <c r="KFO18" s="418"/>
      <c r="KFP18" s="418"/>
      <c r="KFQ18" s="418"/>
      <c r="KFR18" s="418"/>
      <c r="KFS18" s="418"/>
      <c r="KFT18" s="418"/>
      <c r="KFU18" s="418"/>
      <c r="KFV18" s="418"/>
      <c r="KFW18" s="418"/>
      <c r="KFX18" s="418"/>
      <c r="KFY18" s="418"/>
      <c r="KFZ18" s="418"/>
      <c r="KGA18" s="418"/>
      <c r="KGB18" s="418"/>
      <c r="KGC18" s="418"/>
      <c r="KGD18" s="418"/>
      <c r="KGE18" s="418"/>
      <c r="KGF18" s="418"/>
      <c r="KGG18" s="418"/>
      <c r="KGH18" s="418"/>
      <c r="KGI18" s="418"/>
      <c r="KGJ18" s="418"/>
      <c r="KGK18" s="418"/>
      <c r="KGL18" s="418"/>
      <c r="KGM18" s="418"/>
      <c r="KGN18" s="418"/>
      <c r="KGO18" s="418"/>
      <c r="KGP18" s="418"/>
      <c r="KGQ18" s="418"/>
      <c r="KGR18" s="418"/>
      <c r="KGS18" s="418"/>
      <c r="KGT18" s="418"/>
      <c r="KGU18" s="418"/>
      <c r="KGV18" s="418"/>
      <c r="KGW18" s="418"/>
      <c r="KGX18" s="418"/>
      <c r="KGY18" s="418"/>
      <c r="KGZ18" s="418"/>
      <c r="KHA18" s="418"/>
      <c r="KHB18" s="418"/>
      <c r="KHC18" s="418"/>
      <c r="KHD18" s="418"/>
      <c r="KHE18" s="418"/>
      <c r="KHF18" s="418"/>
      <c r="KHG18" s="418"/>
      <c r="KHH18" s="418"/>
      <c r="KHI18" s="418"/>
      <c r="KHJ18" s="418"/>
      <c r="KHK18" s="418"/>
      <c r="KHL18" s="418"/>
      <c r="KHM18" s="418"/>
      <c r="KHN18" s="418"/>
      <c r="KHO18" s="418"/>
      <c r="KHP18" s="418"/>
      <c r="KHQ18" s="418"/>
      <c r="KHR18" s="418"/>
      <c r="KHS18" s="418"/>
      <c r="KHT18" s="418"/>
      <c r="KHU18" s="418"/>
      <c r="KHV18" s="418"/>
      <c r="KHW18" s="418"/>
      <c r="KHX18" s="418"/>
      <c r="KHY18" s="418"/>
      <c r="KHZ18" s="418"/>
      <c r="KIA18" s="418"/>
      <c r="KIB18" s="418"/>
      <c r="KIC18" s="418"/>
      <c r="KID18" s="418"/>
      <c r="KIE18" s="418"/>
      <c r="KIF18" s="418"/>
      <c r="KIG18" s="418"/>
      <c r="KIH18" s="418"/>
      <c r="KII18" s="418"/>
      <c r="KIJ18" s="418"/>
      <c r="KIK18" s="418"/>
      <c r="KIL18" s="418"/>
      <c r="KIM18" s="418"/>
      <c r="KIN18" s="418"/>
      <c r="KIO18" s="418"/>
      <c r="KIP18" s="418"/>
      <c r="KIQ18" s="418"/>
      <c r="KIR18" s="418"/>
      <c r="KIS18" s="418"/>
      <c r="KIT18" s="418"/>
      <c r="KIU18" s="418"/>
      <c r="KIV18" s="418"/>
      <c r="KIW18" s="418"/>
      <c r="KIX18" s="418"/>
      <c r="KIY18" s="418"/>
      <c r="KIZ18" s="418"/>
      <c r="KJA18" s="418"/>
      <c r="KJB18" s="418"/>
      <c r="KJC18" s="418"/>
      <c r="KJD18" s="418"/>
      <c r="KJE18" s="418"/>
      <c r="KJF18" s="418"/>
      <c r="KJG18" s="418"/>
      <c r="KJH18" s="418"/>
      <c r="KJI18" s="418"/>
      <c r="KJJ18" s="418"/>
      <c r="KJK18" s="418"/>
      <c r="KJL18" s="418"/>
      <c r="KJM18" s="418"/>
      <c r="KJN18" s="418"/>
      <c r="KJO18" s="418"/>
      <c r="KJP18" s="418"/>
      <c r="KJQ18" s="418"/>
      <c r="KJR18" s="418"/>
      <c r="KJS18" s="418"/>
      <c r="KJT18" s="418"/>
      <c r="KJU18" s="418"/>
      <c r="KJV18" s="418"/>
      <c r="KJW18" s="418"/>
      <c r="KJX18" s="418"/>
      <c r="KJY18" s="418"/>
      <c r="KJZ18" s="418"/>
      <c r="KKA18" s="418"/>
      <c r="KKB18" s="418"/>
      <c r="KKC18" s="418"/>
      <c r="KKD18" s="418"/>
      <c r="KKE18" s="418"/>
      <c r="KKF18" s="418"/>
      <c r="KKG18" s="418"/>
      <c r="KKH18" s="418"/>
      <c r="KKI18" s="418"/>
      <c r="KKJ18" s="418"/>
      <c r="KKK18" s="418"/>
      <c r="KKL18" s="418"/>
      <c r="KKM18" s="418"/>
      <c r="KKN18" s="418"/>
      <c r="KKO18" s="418"/>
      <c r="KKP18" s="418"/>
      <c r="KKQ18" s="418"/>
      <c r="KKR18" s="418"/>
      <c r="KKS18" s="418"/>
      <c r="KKT18" s="418"/>
      <c r="KKU18" s="418"/>
      <c r="KKV18" s="418"/>
      <c r="KKW18" s="418"/>
      <c r="KKX18" s="418"/>
      <c r="KKY18" s="418"/>
      <c r="KKZ18" s="418"/>
      <c r="KLA18" s="418"/>
      <c r="KLB18" s="418"/>
      <c r="KLC18" s="418"/>
      <c r="KLD18" s="418"/>
      <c r="KLE18" s="418"/>
      <c r="KLF18" s="418"/>
      <c r="KLG18" s="418"/>
      <c r="KLH18" s="418"/>
      <c r="KLI18" s="418"/>
      <c r="KLJ18" s="418"/>
      <c r="KLK18" s="418"/>
      <c r="KLL18" s="418"/>
      <c r="KLM18" s="418"/>
      <c r="KLN18" s="418"/>
      <c r="KLO18" s="418"/>
      <c r="KLP18" s="418"/>
      <c r="KLQ18" s="418"/>
      <c r="KLR18" s="418"/>
      <c r="KLS18" s="418"/>
      <c r="KLT18" s="418"/>
      <c r="KLU18" s="418"/>
      <c r="KLV18" s="418"/>
      <c r="KLW18" s="418"/>
      <c r="KLX18" s="418"/>
      <c r="KLY18" s="418"/>
      <c r="KLZ18" s="418"/>
      <c r="KMA18" s="418"/>
      <c r="KMB18" s="418"/>
      <c r="KMC18" s="418"/>
      <c r="KMD18" s="418"/>
      <c r="KME18" s="418"/>
      <c r="KMF18" s="418"/>
      <c r="KMG18" s="418"/>
      <c r="KMH18" s="418"/>
      <c r="KMI18" s="418"/>
      <c r="KMJ18" s="418"/>
      <c r="KMK18" s="418"/>
      <c r="KML18" s="418"/>
      <c r="KMM18" s="418"/>
      <c r="KMN18" s="418"/>
      <c r="KMO18" s="418"/>
      <c r="KMP18" s="418"/>
      <c r="KMQ18" s="418"/>
      <c r="KMR18" s="418"/>
      <c r="KMS18" s="418"/>
      <c r="KMT18" s="418"/>
      <c r="KMU18" s="418"/>
      <c r="KMV18" s="418"/>
      <c r="KMW18" s="418"/>
      <c r="KMX18" s="418"/>
      <c r="KMY18" s="418"/>
      <c r="KMZ18" s="418"/>
      <c r="KNA18" s="418"/>
      <c r="KNB18" s="418"/>
      <c r="KNC18" s="418"/>
      <c r="KND18" s="418"/>
      <c r="KNE18" s="418"/>
      <c r="KNF18" s="418"/>
      <c r="KNG18" s="418"/>
      <c r="KNH18" s="418"/>
      <c r="KNI18" s="418"/>
      <c r="KNJ18" s="418"/>
      <c r="KNK18" s="418"/>
      <c r="KNL18" s="418"/>
      <c r="KNM18" s="418"/>
      <c r="KNN18" s="418"/>
      <c r="KNO18" s="418"/>
      <c r="KNP18" s="418"/>
      <c r="KNQ18" s="418"/>
      <c r="KNR18" s="418"/>
      <c r="KNS18" s="418"/>
      <c r="KNT18" s="418"/>
      <c r="KNU18" s="418"/>
      <c r="KNV18" s="418"/>
      <c r="KNW18" s="418"/>
      <c r="KNX18" s="418"/>
      <c r="KNY18" s="418"/>
      <c r="KNZ18" s="418"/>
      <c r="KOA18" s="418"/>
      <c r="KOB18" s="418"/>
      <c r="KOC18" s="418"/>
      <c r="KOD18" s="418"/>
      <c r="KOE18" s="418"/>
      <c r="KOF18" s="418"/>
      <c r="KOG18" s="418"/>
      <c r="KOH18" s="418"/>
      <c r="KOI18" s="418"/>
      <c r="KOJ18" s="418"/>
      <c r="KOK18" s="418"/>
      <c r="KOL18" s="418"/>
      <c r="KOM18" s="418"/>
      <c r="KON18" s="418"/>
      <c r="KOO18" s="418"/>
      <c r="KOP18" s="418"/>
      <c r="KOQ18" s="418"/>
      <c r="KOR18" s="418"/>
      <c r="KOS18" s="418"/>
      <c r="KOT18" s="418"/>
      <c r="KOU18" s="418"/>
      <c r="KOV18" s="418"/>
      <c r="KOW18" s="418"/>
      <c r="KOX18" s="418"/>
      <c r="KOY18" s="418"/>
      <c r="KOZ18" s="418"/>
      <c r="KPA18" s="418"/>
      <c r="KPB18" s="418"/>
      <c r="KPC18" s="418"/>
      <c r="KPD18" s="418"/>
      <c r="KPE18" s="418"/>
      <c r="KPF18" s="418"/>
      <c r="KPG18" s="418"/>
      <c r="KPH18" s="418"/>
      <c r="KPI18" s="418"/>
      <c r="KPJ18" s="418"/>
      <c r="KPK18" s="418"/>
      <c r="KPL18" s="418"/>
      <c r="KPM18" s="418"/>
      <c r="KPN18" s="418"/>
      <c r="KPO18" s="418"/>
      <c r="KPP18" s="418"/>
      <c r="KPQ18" s="418"/>
      <c r="KPR18" s="418"/>
      <c r="KPS18" s="418"/>
      <c r="KPT18" s="418"/>
      <c r="KPU18" s="418"/>
      <c r="KPV18" s="418"/>
      <c r="KPW18" s="418"/>
      <c r="KPX18" s="418"/>
      <c r="KPY18" s="418"/>
      <c r="KPZ18" s="418"/>
      <c r="KQA18" s="418"/>
      <c r="KQB18" s="418"/>
      <c r="KQC18" s="418"/>
      <c r="KQD18" s="418"/>
      <c r="KQE18" s="418"/>
      <c r="KQF18" s="418"/>
      <c r="KQG18" s="418"/>
      <c r="KQH18" s="418"/>
      <c r="KQI18" s="418"/>
      <c r="KQJ18" s="418"/>
      <c r="KQK18" s="418"/>
      <c r="KQL18" s="418"/>
      <c r="KQM18" s="418"/>
      <c r="KQN18" s="418"/>
      <c r="KQO18" s="418"/>
      <c r="KQP18" s="418"/>
      <c r="KQQ18" s="418"/>
      <c r="KQR18" s="418"/>
      <c r="KQS18" s="418"/>
      <c r="KQT18" s="418"/>
      <c r="KQU18" s="418"/>
      <c r="KQV18" s="418"/>
      <c r="KQW18" s="418"/>
      <c r="KQX18" s="418"/>
      <c r="KQY18" s="418"/>
      <c r="KQZ18" s="418"/>
      <c r="KRA18" s="418"/>
      <c r="KRB18" s="418"/>
      <c r="KRC18" s="418"/>
      <c r="KRD18" s="418"/>
      <c r="KRE18" s="418"/>
      <c r="KRF18" s="418"/>
      <c r="KRG18" s="418"/>
      <c r="KRH18" s="418"/>
      <c r="KRI18" s="418"/>
      <c r="KRJ18" s="418"/>
      <c r="KRK18" s="418"/>
      <c r="KRL18" s="418"/>
      <c r="KRM18" s="418"/>
      <c r="KRN18" s="418"/>
      <c r="KRO18" s="418"/>
      <c r="KRP18" s="418"/>
      <c r="KRQ18" s="418"/>
      <c r="KRR18" s="418"/>
      <c r="KRS18" s="418"/>
      <c r="KRT18" s="418"/>
      <c r="KRU18" s="418"/>
      <c r="KRV18" s="418"/>
      <c r="KRW18" s="418"/>
      <c r="KRX18" s="418"/>
      <c r="KRY18" s="418"/>
      <c r="KRZ18" s="418"/>
      <c r="KSA18" s="418"/>
      <c r="KSB18" s="418"/>
      <c r="KSC18" s="418"/>
      <c r="KSD18" s="418"/>
      <c r="KSE18" s="418"/>
      <c r="KSF18" s="418"/>
      <c r="KSG18" s="418"/>
      <c r="KSH18" s="418"/>
      <c r="KSI18" s="418"/>
      <c r="KSJ18" s="418"/>
      <c r="KSK18" s="418"/>
      <c r="KSL18" s="418"/>
      <c r="KSM18" s="418"/>
      <c r="KSN18" s="418"/>
      <c r="KSO18" s="418"/>
      <c r="KSP18" s="418"/>
      <c r="KSQ18" s="418"/>
      <c r="KSR18" s="418"/>
      <c r="KSS18" s="418"/>
      <c r="KST18" s="418"/>
      <c r="KSU18" s="418"/>
      <c r="KSV18" s="418"/>
      <c r="KSW18" s="418"/>
      <c r="KSX18" s="418"/>
      <c r="KSY18" s="418"/>
      <c r="KSZ18" s="418"/>
      <c r="KTA18" s="418"/>
      <c r="KTB18" s="418"/>
      <c r="KTC18" s="418"/>
      <c r="KTD18" s="418"/>
      <c r="KTE18" s="418"/>
      <c r="KTF18" s="418"/>
      <c r="KTG18" s="418"/>
      <c r="KTH18" s="418"/>
      <c r="KTI18" s="418"/>
      <c r="KTJ18" s="418"/>
      <c r="KTK18" s="418"/>
      <c r="KTL18" s="418"/>
      <c r="KTM18" s="418"/>
      <c r="KTN18" s="418"/>
      <c r="KTO18" s="418"/>
      <c r="KTP18" s="418"/>
      <c r="KTQ18" s="418"/>
      <c r="KTR18" s="418"/>
      <c r="KTS18" s="418"/>
      <c r="KTT18" s="418"/>
      <c r="KTU18" s="418"/>
      <c r="KTV18" s="418"/>
      <c r="KTW18" s="418"/>
      <c r="KTX18" s="418"/>
      <c r="KTY18" s="418"/>
      <c r="KTZ18" s="418"/>
      <c r="KUA18" s="418"/>
      <c r="KUB18" s="418"/>
      <c r="KUC18" s="418"/>
      <c r="KUD18" s="418"/>
      <c r="KUE18" s="418"/>
      <c r="KUF18" s="418"/>
      <c r="KUG18" s="418"/>
      <c r="KUH18" s="418"/>
      <c r="KUI18" s="418"/>
      <c r="KUJ18" s="418"/>
      <c r="KUK18" s="418"/>
      <c r="KUL18" s="418"/>
      <c r="KUM18" s="418"/>
      <c r="KUN18" s="418"/>
      <c r="KUO18" s="418"/>
      <c r="KUP18" s="418"/>
      <c r="KUQ18" s="418"/>
      <c r="KUR18" s="418"/>
      <c r="KUS18" s="418"/>
      <c r="KUT18" s="418"/>
      <c r="KUU18" s="418"/>
      <c r="KUV18" s="418"/>
      <c r="KUW18" s="418"/>
      <c r="KUX18" s="418"/>
      <c r="KUY18" s="418"/>
      <c r="KUZ18" s="418"/>
      <c r="KVA18" s="418"/>
      <c r="KVB18" s="418"/>
      <c r="KVC18" s="418"/>
      <c r="KVD18" s="418"/>
      <c r="KVE18" s="418"/>
      <c r="KVF18" s="418"/>
      <c r="KVG18" s="418"/>
      <c r="KVH18" s="418"/>
      <c r="KVI18" s="418"/>
      <c r="KVJ18" s="418"/>
      <c r="KVK18" s="418"/>
      <c r="KVL18" s="418"/>
      <c r="KVM18" s="418"/>
      <c r="KVN18" s="418"/>
      <c r="KVO18" s="418"/>
      <c r="KVP18" s="418"/>
      <c r="KVQ18" s="418"/>
      <c r="KVR18" s="418"/>
      <c r="KVS18" s="418"/>
      <c r="KVT18" s="418"/>
      <c r="KVU18" s="418"/>
      <c r="KVV18" s="418"/>
      <c r="KVW18" s="418"/>
      <c r="KVX18" s="418"/>
      <c r="KVY18" s="418"/>
      <c r="KVZ18" s="418"/>
      <c r="KWA18" s="418"/>
      <c r="KWB18" s="418"/>
      <c r="KWC18" s="418"/>
      <c r="KWD18" s="418"/>
      <c r="KWE18" s="418"/>
      <c r="KWF18" s="418"/>
      <c r="KWG18" s="418"/>
      <c r="KWH18" s="418"/>
      <c r="KWI18" s="418"/>
      <c r="KWJ18" s="418"/>
      <c r="KWK18" s="418"/>
      <c r="KWL18" s="418"/>
      <c r="KWM18" s="418"/>
      <c r="KWN18" s="418"/>
      <c r="KWO18" s="418"/>
      <c r="KWP18" s="418"/>
      <c r="KWQ18" s="418"/>
      <c r="KWR18" s="418"/>
      <c r="KWS18" s="418"/>
      <c r="KWT18" s="418"/>
      <c r="KWU18" s="418"/>
      <c r="KWV18" s="418"/>
      <c r="KWW18" s="418"/>
      <c r="KWX18" s="418"/>
      <c r="KWY18" s="418"/>
      <c r="KWZ18" s="418"/>
      <c r="KXA18" s="418"/>
      <c r="KXB18" s="418"/>
      <c r="KXC18" s="418"/>
      <c r="KXD18" s="418"/>
      <c r="KXE18" s="418"/>
      <c r="KXF18" s="418"/>
      <c r="KXG18" s="418"/>
      <c r="KXH18" s="418"/>
      <c r="KXI18" s="418"/>
      <c r="KXJ18" s="418"/>
      <c r="KXK18" s="418"/>
      <c r="KXL18" s="418"/>
      <c r="KXM18" s="418"/>
      <c r="KXN18" s="418"/>
      <c r="KXO18" s="418"/>
      <c r="KXP18" s="418"/>
      <c r="KXQ18" s="418"/>
      <c r="KXR18" s="418"/>
      <c r="KXS18" s="418"/>
      <c r="KXT18" s="418"/>
      <c r="KXU18" s="418"/>
      <c r="KXV18" s="418"/>
      <c r="KXW18" s="418"/>
      <c r="KXX18" s="418"/>
      <c r="KXY18" s="418"/>
      <c r="KXZ18" s="418"/>
      <c r="KYA18" s="418"/>
      <c r="KYB18" s="418"/>
      <c r="KYC18" s="418"/>
      <c r="KYD18" s="418"/>
      <c r="KYE18" s="418"/>
      <c r="KYF18" s="418"/>
      <c r="KYG18" s="418"/>
      <c r="KYH18" s="418"/>
      <c r="KYI18" s="418"/>
      <c r="KYJ18" s="418"/>
      <c r="KYK18" s="418"/>
      <c r="KYL18" s="418"/>
      <c r="KYM18" s="418"/>
      <c r="KYN18" s="418"/>
      <c r="KYO18" s="418"/>
      <c r="KYP18" s="418"/>
      <c r="KYQ18" s="418"/>
      <c r="KYR18" s="418"/>
      <c r="KYS18" s="418"/>
      <c r="KYT18" s="418"/>
      <c r="KYU18" s="418"/>
      <c r="KYV18" s="418"/>
      <c r="KYW18" s="418"/>
      <c r="KYX18" s="418"/>
      <c r="KYY18" s="418"/>
      <c r="KYZ18" s="418"/>
      <c r="KZA18" s="418"/>
      <c r="KZB18" s="418"/>
      <c r="KZC18" s="418"/>
      <c r="KZD18" s="418"/>
      <c r="KZE18" s="418"/>
      <c r="KZF18" s="418"/>
      <c r="KZG18" s="418"/>
      <c r="KZH18" s="418"/>
      <c r="KZI18" s="418"/>
      <c r="KZJ18" s="418"/>
      <c r="KZK18" s="418"/>
      <c r="KZL18" s="418"/>
      <c r="KZM18" s="418"/>
      <c r="KZN18" s="418"/>
      <c r="KZO18" s="418"/>
      <c r="KZP18" s="418"/>
      <c r="KZQ18" s="418"/>
      <c r="KZR18" s="418"/>
      <c r="KZS18" s="418"/>
      <c r="KZT18" s="418"/>
      <c r="KZU18" s="418"/>
      <c r="KZV18" s="418"/>
      <c r="KZW18" s="418"/>
      <c r="KZX18" s="418"/>
      <c r="KZY18" s="418"/>
      <c r="KZZ18" s="418"/>
      <c r="LAA18" s="418"/>
      <c r="LAB18" s="418"/>
      <c r="LAC18" s="418"/>
      <c r="LAD18" s="418"/>
      <c r="LAE18" s="418"/>
      <c r="LAF18" s="418"/>
      <c r="LAG18" s="418"/>
      <c r="LAH18" s="418"/>
      <c r="LAI18" s="418"/>
      <c r="LAJ18" s="418"/>
      <c r="LAK18" s="418"/>
      <c r="LAL18" s="418"/>
      <c r="LAM18" s="418"/>
      <c r="LAN18" s="418"/>
      <c r="LAO18" s="418"/>
      <c r="LAP18" s="418"/>
      <c r="LAQ18" s="418"/>
      <c r="LAR18" s="418"/>
      <c r="LAS18" s="418"/>
      <c r="LAT18" s="418"/>
      <c r="LAU18" s="418"/>
      <c r="LAV18" s="418"/>
      <c r="LAW18" s="418"/>
      <c r="LAX18" s="418"/>
      <c r="LAY18" s="418"/>
      <c r="LAZ18" s="418"/>
      <c r="LBA18" s="418"/>
      <c r="LBB18" s="418"/>
      <c r="LBC18" s="418"/>
      <c r="LBD18" s="418"/>
      <c r="LBE18" s="418"/>
      <c r="LBF18" s="418"/>
      <c r="LBG18" s="418"/>
      <c r="LBH18" s="418"/>
      <c r="LBI18" s="418"/>
      <c r="LBJ18" s="418"/>
      <c r="LBK18" s="418"/>
      <c r="LBL18" s="418"/>
      <c r="LBM18" s="418"/>
      <c r="LBN18" s="418"/>
      <c r="LBO18" s="418"/>
      <c r="LBP18" s="418"/>
      <c r="LBQ18" s="418"/>
      <c r="LBR18" s="418"/>
      <c r="LBS18" s="418"/>
      <c r="LBT18" s="418"/>
      <c r="LBU18" s="418"/>
      <c r="LBV18" s="418"/>
      <c r="LBW18" s="418"/>
      <c r="LBX18" s="418"/>
      <c r="LBY18" s="418"/>
      <c r="LBZ18" s="418"/>
      <c r="LCA18" s="418"/>
      <c r="LCB18" s="418"/>
      <c r="LCC18" s="418"/>
      <c r="LCD18" s="418"/>
      <c r="LCE18" s="418"/>
      <c r="LCF18" s="418"/>
      <c r="LCG18" s="418"/>
      <c r="LCH18" s="418"/>
      <c r="LCI18" s="418"/>
      <c r="LCJ18" s="418"/>
      <c r="LCK18" s="418"/>
      <c r="LCL18" s="418"/>
      <c r="LCM18" s="418"/>
      <c r="LCN18" s="418"/>
      <c r="LCO18" s="418"/>
      <c r="LCP18" s="418"/>
      <c r="LCQ18" s="418"/>
      <c r="LCR18" s="418"/>
      <c r="LCS18" s="418"/>
      <c r="LCT18" s="418"/>
      <c r="LCU18" s="418"/>
      <c r="LCV18" s="418"/>
      <c r="LCW18" s="418"/>
      <c r="LCX18" s="418"/>
      <c r="LCY18" s="418"/>
      <c r="LCZ18" s="418"/>
      <c r="LDA18" s="418"/>
      <c r="LDB18" s="418"/>
      <c r="LDC18" s="418"/>
      <c r="LDD18" s="418"/>
      <c r="LDE18" s="418"/>
      <c r="LDF18" s="418"/>
      <c r="LDG18" s="418"/>
      <c r="LDH18" s="418"/>
      <c r="LDI18" s="418"/>
      <c r="LDJ18" s="418"/>
      <c r="LDK18" s="418"/>
      <c r="LDL18" s="418"/>
      <c r="LDM18" s="418"/>
      <c r="LDN18" s="418"/>
      <c r="LDO18" s="418"/>
      <c r="LDP18" s="418"/>
      <c r="LDQ18" s="418"/>
      <c r="LDR18" s="418"/>
      <c r="LDS18" s="418"/>
      <c r="LDT18" s="418"/>
      <c r="LDU18" s="418"/>
      <c r="LDV18" s="418"/>
      <c r="LDW18" s="418"/>
      <c r="LDX18" s="418"/>
      <c r="LDY18" s="418"/>
      <c r="LDZ18" s="418"/>
      <c r="LEA18" s="418"/>
      <c r="LEB18" s="418"/>
      <c r="LEC18" s="418"/>
      <c r="LED18" s="418"/>
      <c r="LEE18" s="418"/>
      <c r="LEF18" s="418"/>
      <c r="LEG18" s="418"/>
      <c r="LEH18" s="418"/>
      <c r="LEI18" s="418"/>
      <c r="LEJ18" s="418"/>
      <c r="LEK18" s="418"/>
      <c r="LEL18" s="418"/>
      <c r="LEM18" s="418"/>
      <c r="LEN18" s="418"/>
      <c r="LEO18" s="418"/>
      <c r="LEP18" s="418"/>
      <c r="LEQ18" s="418"/>
      <c r="LER18" s="418"/>
      <c r="LES18" s="418"/>
      <c r="LET18" s="418"/>
      <c r="LEU18" s="418"/>
      <c r="LEV18" s="418"/>
      <c r="LEW18" s="418"/>
      <c r="LEX18" s="418"/>
      <c r="LEY18" s="418"/>
      <c r="LEZ18" s="418"/>
      <c r="LFA18" s="418"/>
      <c r="LFB18" s="418"/>
      <c r="LFC18" s="418"/>
      <c r="LFD18" s="418"/>
      <c r="LFE18" s="418"/>
      <c r="LFF18" s="418"/>
      <c r="LFG18" s="418"/>
      <c r="LFH18" s="418"/>
      <c r="LFI18" s="418"/>
      <c r="LFJ18" s="418"/>
      <c r="LFK18" s="418"/>
      <c r="LFL18" s="418"/>
      <c r="LFM18" s="418"/>
      <c r="LFN18" s="418"/>
      <c r="LFO18" s="418"/>
      <c r="LFP18" s="418"/>
      <c r="LFQ18" s="418"/>
      <c r="LFR18" s="418"/>
      <c r="LFS18" s="418"/>
      <c r="LFT18" s="418"/>
      <c r="LFU18" s="418"/>
      <c r="LFV18" s="418"/>
      <c r="LFW18" s="418"/>
      <c r="LFX18" s="418"/>
      <c r="LFY18" s="418"/>
      <c r="LFZ18" s="418"/>
      <c r="LGA18" s="418"/>
      <c r="LGB18" s="418"/>
      <c r="LGC18" s="418"/>
      <c r="LGD18" s="418"/>
      <c r="LGE18" s="418"/>
      <c r="LGF18" s="418"/>
      <c r="LGG18" s="418"/>
      <c r="LGH18" s="418"/>
      <c r="LGI18" s="418"/>
      <c r="LGJ18" s="418"/>
      <c r="LGK18" s="418"/>
      <c r="LGL18" s="418"/>
      <c r="LGM18" s="418"/>
      <c r="LGN18" s="418"/>
      <c r="LGO18" s="418"/>
      <c r="LGP18" s="418"/>
      <c r="LGQ18" s="418"/>
      <c r="LGR18" s="418"/>
      <c r="LGS18" s="418"/>
      <c r="LGT18" s="418"/>
      <c r="LGU18" s="418"/>
      <c r="LGV18" s="418"/>
      <c r="LGW18" s="418"/>
      <c r="LGX18" s="418"/>
      <c r="LGY18" s="418"/>
      <c r="LGZ18" s="418"/>
      <c r="LHA18" s="418"/>
      <c r="LHB18" s="418"/>
      <c r="LHC18" s="418"/>
      <c r="LHD18" s="418"/>
      <c r="LHE18" s="418"/>
      <c r="LHF18" s="418"/>
      <c r="LHG18" s="418"/>
      <c r="LHH18" s="418"/>
      <c r="LHI18" s="418"/>
      <c r="LHJ18" s="418"/>
      <c r="LHK18" s="418"/>
      <c r="LHL18" s="418"/>
      <c r="LHM18" s="418"/>
      <c r="LHN18" s="418"/>
      <c r="LHO18" s="418"/>
      <c r="LHP18" s="418"/>
      <c r="LHQ18" s="418"/>
      <c r="LHR18" s="418"/>
      <c r="LHS18" s="418"/>
      <c r="LHT18" s="418"/>
      <c r="LHU18" s="418"/>
      <c r="LHV18" s="418"/>
      <c r="LHW18" s="418"/>
      <c r="LHX18" s="418"/>
      <c r="LHY18" s="418"/>
      <c r="LHZ18" s="418"/>
      <c r="LIA18" s="418"/>
      <c r="LIB18" s="418"/>
      <c r="LIC18" s="418"/>
      <c r="LID18" s="418"/>
      <c r="LIE18" s="418"/>
      <c r="LIF18" s="418"/>
      <c r="LIG18" s="418"/>
      <c r="LIH18" s="418"/>
      <c r="LII18" s="418"/>
      <c r="LIJ18" s="418"/>
      <c r="LIK18" s="418"/>
      <c r="LIL18" s="418"/>
      <c r="LIM18" s="418"/>
      <c r="LIN18" s="418"/>
      <c r="LIO18" s="418"/>
      <c r="LIP18" s="418"/>
      <c r="LIQ18" s="418"/>
      <c r="LIR18" s="418"/>
      <c r="LIS18" s="418"/>
      <c r="LIT18" s="418"/>
      <c r="LIU18" s="418"/>
      <c r="LIV18" s="418"/>
      <c r="LIW18" s="418"/>
      <c r="LIX18" s="418"/>
      <c r="LIY18" s="418"/>
      <c r="LIZ18" s="418"/>
      <c r="LJA18" s="418"/>
      <c r="LJB18" s="418"/>
      <c r="LJC18" s="418"/>
      <c r="LJD18" s="418"/>
      <c r="LJE18" s="418"/>
      <c r="LJF18" s="418"/>
      <c r="LJG18" s="418"/>
      <c r="LJH18" s="418"/>
      <c r="LJI18" s="418"/>
      <c r="LJJ18" s="418"/>
      <c r="LJK18" s="418"/>
      <c r="LJL18" s="418"/>
      <c r="LJM18" s="418"/>
      <c r="LJN18" s="418"/>
      <c r="LJO18" s="418"/>
      <c r="LJP18" s="418"/>
      <c r="LJQ18" s="418"/>
      <c r="LJR18" s="418"/>
      <c r="LJS18" s="418"/>
      <c r="LJT18" s="418"/>
      <c r="LJU18" s="418"/>
      <c r="LJV18" s="418"/>
      <c r="LJW18" s="418"/>
      <c r="LJX18" s="418"/>
      <c r="LJY18" s="418"/>
      <c r="LJZ18" s="418"/>
      <c r="LKA18" s="418"/>
      <c r="LKB18" s="418"/>
      <c r="LKC18" s="418"/>
      <c r="LKD18" s="418"/>
      <c r="LKE18" s="418"/>
      <c r="LKF18" s="418"/>
      <c r="LKG18" s="418"/>
      <c r="LKH18" s="418"/>
      <c r="LKI18" s="418"/>
      <c r="LKJ18" s="418"/>
      <c r="LKK18" s="418"/>
      <c r="LKL18" s="418"/>
      <c r="LKM18" s="418"/>
      <c r="LKN18" s="418"/>
      <c r="LKO18" s="418"/>
      <c r="LKP18" s="418"/>
      <c r="LKQ18" s="418"/>
      <c r="LKR18" s="418"/>
      <c r="LKS18" s="418"/>
      <c r="LKT18" s="418"/>
      <c r="LKU18" s="418"/>
      <c r="LKV18" s="418"/>
      <c r="LKW18" s="418"/>
      <c r="LKX18" s="418"/>
      <c r="LKY18" s="418"/>
      <c r="LKZ18" s="418"/>
      <c r="LLA18" s="418"/>
      <c r="LLB18" s="418"/>
      <c r="LLC18" s="418"/>
      <c r="LLD18" s="418"/>
      <c r="LLE18" s="418"/>
      <c r="LLF18" s="418"/>
      <c r="LLG18" s="418"/>
      <c r="LLH18" s="418"/>
      <c r="LLI18" s="418"/>
      <c r="LLJ18" s="418"/>
      <c r="LLK18" s="418"/>
      <c r="LLL18" s="418"/>
      <c r="LLM18" s="418"/>
      <c r="LLN18" s="418"/>
      <c r="LLO18" s="418"/>
      <c r="LLP18" s="418"/>
      <c r="LLQ18" s="418"/>
      <c r="LLR18" s="418"/>
      <c r="LLS18" s="418"/>
      <c r="LLT18" s="418"/>
      <c r="LLU18" s="418"/>
      <c r="LLV18" s="418"/>
      <c r="LLW18" s="418"/>
      <c r="LLX18" s="418"/>
      <c r="LLY18" s="418"/>
      <c r="LLZ18" s="418"/>
      <c r="LMA18" s="418"/>
      <c r="LMB18" s="418"/>
      <c r="LMC18" s="418"/>
      <c r="LMD18" s="418"/>
      <c r="LME18" s="418"/>
      <c r="LMF18" s="418"/>
      <c r="LMG18" s="418"/>
      <c r="LMH18" s="418"/>
      <c r="LMI18" s="418"/>
      <c r="LMJ18" s="418"/>
      <c r="LMK18" s="418"/>
      <c r="LML18" s="418"/>
      <c r="LMM18" s="418"/>
      <c r="LMN18" s="418"/>
      <c r="LMO18" s="418"/>
      <c r="LMP18" s="418"/>
      <c r="LMQ18" s="418"/>
      <c r="LMR18" s="418"/>
      <c r="LMS18" s="418"/>
      <c r="LMT18" s="418"/>
      <c r="LMU18" s="418"/>
      <c r="LMV18" s="418"/>
      <c r="LMW18" s="418"/>
      <c r="LMX18" s="418"/>
      <c r="LMY18" s="418"/>
      <c r="LMZ18" s="418"/>
      <c r="LNA18" s="418"/>
      <c r="LNB18" s="418"/>
      <c r="LNC18" s="418"/>
      <c r="LND18" s="418"/>
      <c r="LNE18" s="418"/>
      <c r="LNF18" s="418"/>
      <c r="LNG18" s="418"/>
      <c r="LNH18" s="418"/>
      <c r="LNI18" s="418"/>
      <c r="LNJ18" s="418"/>
      <c r="LNK18" s="418"/>
      <c r="LNL18" s="418"/>
      <c r="LNM18" s="418"/>
      <c r="LNN18" s="418"/>
      <c r="LNO18" s="418"/>
      <c r="LNP18" s="418"/>
      <c r="LNQ18" s="418"/>
      <c r="LNR18" s="418"/>
      <c r="LNS18" s="418"/>
      <c r="LNT18" s="418"/>
      <c r="LNU18" s="418"/>
      <c r="LNV18" s="418"/>
      <c r="LNW18" s="418"/>
      <c r="LNX18" s="418"/>
      <c r="LNY18" s="418"/>
      <c r="LNZ18" s="418"/>
      <c r="LOA18" s="418"/>
      <c r="LOB18" s="418"/>
      <c r="LOC18" s="418"/>
      <c r="LOD18" s="418"/>
      <c r="LOE18" s="418"/>
      <c r="LOF18" s="418"/>
      <c r="LOG18" s="418"/>
      <c r="LOH18" s="418"/>
      <c r="LOI18" s="418"/>
      <c r="LOJ18" s="418"/>
      <c r="LOK18" s="418"/>
      <c r="LOL18" s="418"/>
      <c r="LOM18" s="418"/>
      <c r="LON18" s="418"/>
      <c r="LOO18" s="418"/>
      <c r="LOP18" s="418"/>
      <c r="LOQ18" s="418"/>
      <c r="LOR18" s="418"/>
      <c r="LOS18" s="418"/>
      <c r="LOT18" s="418"/>
      <c r="LOU18" s="418"/>
      <c r="LOV18" s="418"/>
      <c r="LOW18" s="418"/>
      <c r="LOX18" s="418"/>
      <c r="LOY18" s="418"/>
      <c r="LOZ18" s="418"/>
      <c r="LPA18" s="418"/>
      <c r="LPB18" s="418"/>
      <c r="LPC18" s="418"/>
      <c r="LPD18" s="418"/>
      <c r="LPE18" s="418"/>
      <c r="LPF18" s="418"/>
      <c r="LPG18" s="418"/>
      <c r="LPH18" s="418"/>
      <c r="LPI18" s="418"/>
      <c r="LPJ18" s="418"/>
      <c r="LPK18" s="418"/>
      <c r="LPL18" s="418"/>
      <c r="LPM18" s="418"/>
      <c r="LPN18" s="418"/>
      <c r="LPO18" s="418"/>
      <c r="LPP18" s="418"/>
      <c r="LPQ18" s="418"/>
      <c r="LPR18" s="418"/>
      <c r="LPS18" s="418"/>
      <c r="LPT18" s="418"/>
      <c r="LPU18" s="418"/>
      <c r="LPV18" s="418"/>
      <c r="LPW18" s="418"/>
      <c r="LPX18" s="418"/>
      <c r="LPY18" s="418"/>
      <c r="LPZ18" s="418"/>
      <c r="LQA18" s="418"/>
      <c r="LQB18" s="418"/>
      <c r="LQC18" s="418"/>
      <c r="LQD18" s="418"/>
      <c r="LQE18" s="418"/>
      <c r="LQF18" s="418"/>
      <c r="LQG18" s="418"/>
      <c r="LQH18" s="418"/>
      <c r="LQI18" s="418"/>
      <c r="LQJ18" s="418"/>
      <c r="LQK18" s="418"/>
      <c r="LQL18" s="418"/>
      <c r="LQM18" s="418"/>
      <c r="LQN18" s="418"/>
      <c r="LQO18" s="418"/>
      <c r="LQP18" s="418"/>
      <c r="LQQ18" s="418"/>
      <c r="LQR18" s="418"/>
      <c r="LQS18" s="418"/>
      <c r="LQT18" s="418"/>
      <c r="LQU18" s="418"/>
      <c r="LQV18" s="418"/>
      <c r="LQW18" s="418"/>
      <c r="LQX18" s="418"/>
      <c r="LQY18" s="418"/>
      <c r="LQZ18" s="418"/>
      <c r="LRA18" s="418"/>
      <c r="LRB18" s="418"/>
      <c r="LRC18" s="418"/>
      <c r="LRD18" s="418"/>
      <c r="LRE18" s="418"/>
      <c r="LRF18" s="418"/>
      <c r="LRG18" s="418"/>
      <c r="LRH18" s="418"/>
      <c r="LRI18" s="418"/>
      <c r="LRJ18" s="418"/>
      <c r="LRK18" s="418"/>
      <c r="LRL18" s="418"/>
      <c r="LRM18" s="418"/>
      <c r="LRN18" s="418"/>
      <c r="LRO18" s="418"/>
      <c r="LRP18" s="418"/>
      <c r="LRQ18" s="418"/>
      <c r="LRR18" s="418"/>
      <c r="LRS18" s="418"/>
      <c r="LRT18" s="418"/>
      <c r="LRU18" s="418"/>
      <c r="LRV18" s="418"/>
      <c r="LRW18" s="418"/>
      <c r="LRX18" s="418"/>
      <c r="LRY18" s="418"/>
      <c r="LRZ18" s="418"/>
      <c r="LSA18" s="418"/>
      <c r="LSB18" s="418"/>
      <c r="LSC18" s="418"/>
      <c r="LSD18" s="418"/>
      <c r="LSE18" s="418"/>
      <c r="LSF18" s="418"/>
      <c r="LSG18" s="418"/>
      <c r="LSH18" s="418"/>
      <c r="LSI18" s="418"/>
      <c r="LSJ18" s="418"/>
      <c r="LSK18" s="418"/>
      <c r="LSL18" s="418"/>
      <c r="LSM18" s="418"/>
      <c r="LSN18" s="418"/>
      <c r="LSO18" s="418"/>
      <c r="LSP18" s="418"/>
      <c r="LSQ18" s="418"/>
      <c r="LSR18" s="418"/>
      <c r="LSS18" s="418"/>
      <c r="LST18" s="418"/>
      <c r="LSU18" s="418"/>
      <c r="LSV18" s="418"/>
      <c r="LSW18" s="418"/>
      <c r="LSX18" s="418"/>
      <c r="LSY18" s="418"/>
      <c r="LSZ18" s="418"/>
      <c r="LTA18" s="418"/>
      <c r="LTB18" s="418"/>
      <c r="LTC18" s="418"/>
      <c r="LTD18" s="418"/>
      <c r="LTE18" s="418"/>
      <c r="LTF18" s="418"/>
      <c r="LTG18" s="418"/>
      <c r="LTH18" s="418"/>
      <c r="LTI18" s="418"/>
      <c r="LTJ18" s="418"/>
      <c r="LTK18" s="418"/>
      <c r="LTL18" s="418"/>
      <c r="LTM18" s="418"/>
      <c r="LTN18" s="418"/>
      <c r="LTO18" s="418"/>
      <c r="LTP18" s="418"/>
      <c r="LTQ18" s="418"/>
      <c r="LTR18" s="418"/>
      <c r="LTS18" s="418"/>
      <c r="LTT18" s="418"/>
      <c r="LTU18" s="418"/>
      <c r="LTV18" s="418"/>
      <c r="LTW18" s="418"/>
      <c r="LTX18" s="418"/>
      <c r="LTY18" s="418"/>
      <c r="LTZ18" s="418"/>
      <c r="LUA18" s="418"/>
      <c r="LUB18" s="418"/>
      <c r="LUC18" s="418"/>
      <c r="LUD18" s="418"/>
      <c r="LUE18" s="418"/>
      <c r="LUF18" s="418"/>
      <c r="LUG18" s="418"/>
      <c r="LUH18" s="418"/>
      <c r="LUI18" s="418"/>
      <c r="LUJ18" s="418"/>
      <c r="LUK18" s="418"/>
      <c r="LUL18" s="418"/>
      <c r="LUM18" s="418"/>
      <c r="LUN18" s="418"/>
      <c r="LUO18" s="418"/>
      <c r="LUP18" s="418"/>
      <c r="LUQ18" s="418"/>
      <c r="LUR18" s="418"/>
      <c r="LUS18" s="418"/>
      <c r="LUT18" s="418"/>
      <c r="LUU18" s="418"/>
      <c r="LUV18" s="418"/>
      <c r="LUW18" s="418"/>
      <c r="LUX18" s="418"/>
      <c r="LUY18" s="418"/>
      <c r="LUZ18" s="418"/>
      <c r="LVA18" s="418"/>
      <c r="LVB18" s="418"/>
      <c r="LVC18" s="418"/>
      <c r="LVD18" s="418"/>
      <c r="LVE18" s="418"/>
      <c r="LVF18" s="418"/>
      <c r="LVG18" s="418"/>
      <c r="LVH18" s="418"/>
      <c r="LVI18" s="418"/>
      <c r="LVJ18" s="418"/>
      <c r="LVK18" s="418"/>
      <c r="LVL18" s="418"/>
      <c r="LVM18" s="418"/>
      <c r="LVN18" s="418"/>
      <c r="LVO18" s="418"/>
      <c r="LVP18" s="418"/>
      <c r="LVQ18" s="418"/>
      <c r="LVR18" s="418"/>
      <c r="LVS18" s="418"/>
      <c r="LVT18" s="418"/>
      <c r="LVU18" s="418"/>
      <c r="LVV18" s="418"/>
      <c r="LVW18" s="418"/>
      <c r="LVX18" s="418"/>
      <c r="LVY18" s="418"/>
      <c r="LVZ18" s="418"/>
      <c r="LWA18" s="418"/>
      <c r="LWB18" s="418"/>
      <c r="LWC18" s="418"/>
      <c r="LWD18" s="418"/>
      <c r="LWE18" s="418"/>
      <c r="LWF18" s="418"/>
      <c r="LWG18" s="418"/>
      <c r="LWH18" s="418"/>
      <c r="LWI18" s="418"/>
      <c r="LWJ18" s="418"/>
      <c r="LWK18" s="418"/>
      <c r="LWL18" s="418"/>
      <c r="LWM18" s="418"/>
      <c r="LWN18" s="418"/>
      <c r="LWO18" s="418"/>
      <c r="LWP18" s="418"/>
      <c r="LWQ18" s="418"/>
      <c r="LWR18" s="418"/>
      <c r="LWS18" s="418"/>
      <c r="LWT18" s="418"/>
      <c r="LWU18" s="418"/>
      <c r="LWV18" s="418"/>
      <c r="LWW18" s="418"/>
      <c r="LWX18" s="418"/>
      <c r="LWY18" s="418"/>
      <c r="LWZ18" s="418"/>
      <c r="LXA18" s="418"/>
      <c r="LXB18" s="418"/>
      <c r="LXC18" s="418"/>
      <c r="LXD18" s="418"/>
      <c r="LXE18" s="418"/>
      <c r="LXF18" s="418"/>
      <c r="LXG18" s="418"/>
      <c r="LXH18" s="418"/>
      <c r="LXI18" s="418"/>
      <c r="LXJ18" s="418"/>
      <c r="LXK18" s="418"/>
      <c r="LXL18" s="418"/>
      <c r="LXM18" s="418"/>
      <c r="LXN18" s="418"/>
      <c r="LXO18" s="418"/>
      <c r="LXP18" s="418"/>
      <c r="LXQ18" s="418"/>
      <c r="LXR18" s="418"/>
      <c r="LXS18" s="418"/>
      <c r="LXT18" s="418"/>
      <c r="LXU18" s="418"/>
      <c r="LXV18" s="418"/>
      <c r="LXW18" s="418"/>
      <c r="LXX18" s="418"/>
      <c r="LXY18" s="418"/>
      <c r="LXZ18" s="418"/>
      <c r="LYA18" s="418"/>
      <c r="LYB18" s="418"/>
      <c r="LYC18" s="418"/>
      <c r="LYD18" s="418"/>
      <c r="LYE18" s="418"/>
      <c r="LYF18" s="418"/>
      <c r="LYG18" s="418"/>
      <c r="LYH18" s="418"/>
      <c r="LYI18" s="418"/>
      <c r="LYJ18" s="418"/>
      <c r="LYK18" s="418"/>
      <c r="LYL18" s="418"/>
      <c r="LYM18" s="418"/>
      <c r="LYN18" s="418"/>
      <c r="LYO18" s="418"/>
      <c r="LYP18" s="418"/>
      <c r="LYQ18" s="418"/>
      <c r="LYR18" s="418"/>
      <c r="LYS18" s="418"/>
      <c r="LYT18" s="418"/>
      <c r="LYU18" s="418"/>
      <c r="LYV18" s="418"/>
      <c r="LYW18" s="418"/>
      <c r="LYX18" s="418"/>
      <c r="LYY18" s="418"/>
      <c r="LYZ18" s="418"/>
      <c r="LZA18" s="418"/>
      <c r="LZB18" s="418"/>
      <c r="LZC18" s="418"/>
      <c r="LZD18" s="418"/>
      <c r="LZE18" s="418"/>
      <c r="LZF18" s="418"/>
      <c r="LZG18" s="418"/>
      <c r="LZH18" s="418"/>
      <c r="LZI18" s="418"/>
      <c r="LZJ18" s="418"/>
      <c r="LZK18" s="418"/>
      <c r="LZL18" s="418"/>
      <c r="LZM18" s="418"/>
      <c r="LZN18" s="418"/>
      <c r="LZO18" s="418"/>
      <c r="LZP18" s="418"/>
      <c r="LZQ18" s="418"/>
      <c r="LZR18" s="418"/>
      <c r="LZS18" s="418"/>
      <c r="LZT18" s="418"/>
      <c r="LZU18" s="418"/>
      <c r="LZV18" s="418"/>
      <c r="LZW18" s="418"/>
      <c r="LZX18" s="418"/>
      <c r="LZY18" s="418"/>
      <c r="LZZ18" s="418"/>
      <c r="MAA18" s="418"/>
      <c r="MAB18" s="418"/>
      <c r="MAC18" s="418"/>
      <c r="MAD18" s="418"/>
      <c r="MAE18" s="418"/>
      <c r="MAF18" s="418"/>
      <c r="MAG18" s="418"/>
      <c r="MAH18" s="418"/>
      <c r="MAI18" s="418"/>
      <c r="MAJ18" s="418"/>
      <c r="MAK18" s="418"/>
      <c r="MAL18" s="418"/>
      <c r="MAM18" s="418"/>
      <c r="MAN18" s="418"/>
      <c r="MAO18" s="418"/>
      <c r="MAP18" s="418"/>
      <c r="MAQ18" s="418"/>
      <c r="MAR18" s="418"/>
      <c r="MAS18" s="418"/>
      <c r="MAT18" s="418"/>
      <c r="MAU18" s="418"/>
      <c r="MAV18" s="418"/>
      <c r="MAW18" s="418"/>
      <c r="MAX18" s="418"/>
      <c r="MAY18" s="418"/>
      <c r="MAZ18" s="418"/>
      <c r="MBA18" s="418"/>
      <c r="MBB18" s="418"/>
      <c r="MBC18" s="418"/>
      <c r="MBD18" s="418"/>
      <c r="MBE18" s="418"/>
      <c r="MBF18" s="418"/>
      <c r="MBG18" s="418"/>
      <c r="MBH18" s="418"/>
      <c r="MBI18" s="418"/>
      <c r="MBJ18" s="418"/>
      <c r="MBK18" s="418"/>
      <c r="MBL18" s="418"/>
      <c r="MBM18" s="418"/>
      <c r="MBN18" s="418"/>
      <c r="MBO18" s="418"/>
      <c r="MBP18" s="418"/>
      <c r="MBQ18" s="418"/>
      <c r="MBR18" s="418"/>
      <c r="MBS18" s="418"/>
      <c r="MBT18" s="418"/>
      <c r="MBU18" s="418"/>
      <c r="MBV18" s="418"/>
      <c r="MBW18" s="418"/>
      <c r="MBX18" s="418"/>
      <c r="MBY18" s="418"/>
      <c r="MBZ18" s="418"/>
      <c r="MCA18" s="418"/>
      <c r="MCB18" s="418"/>
      <c r="MCC18" s="418"/>
      <c r="MCD18" s="418"/>
      <c r="MCE18" s="418"/>
      <c r="MCF18" s="418"/>
      <c r="MCG18" s="418"/>
      <c r="MCH18" s="418"/>
      <c r="MCI18" s="418"/>
      <c r="MCJ18" s="418"/>
      <c r="MCK18" s="418"/>
      <c r="MCL18" s="418"/>
      <c r="MCM18" s="418"/>
      <c r="MCN18" s="418"/>
      <c r="MCO18" s="418"/>
      <c r="MCP18" s="418"/>
      <c r="MCQ18" s="418"/>
      <c r="MCR18" s="418"/>
      <c r="MCS18" s="418"/>
      <c r="MCT18" s="418"/>
      <c r="MCU18" s="418"/>
      <c r="MCV18" s="418"/>
      <c r="MCW18" s="418"/>
      <c r="MCX18" s="418"/>
      <c r="MCY18" s="418"/>
      <c r="MCZ18" s="418"/>
      <c r="MDA18" s="418"/>
      <c r="MDB18" s="418"/>
      <c r="MDC18" s="418"/>
      <c r="MDD18" s="418"/>
      <c r="MDE18" s="418"/>
      <c r="MDF18" s="418"/>
      <c r="MDG18" s="418"/>
      <c r="MDH18" s="418"/>
      <c r="MDI18" s="418"/>
      <c r="MDJ18" s="418"/>
      <c r="MDK18" s="418"/>
      <c r="MDL18" s="418"/>
      <c r="MDM18" s="418"/>
      <c r="MDN18" s="418"/>
      <c r="MDO18" s="418"/>
      <c r="MDP18" s="418"/>
      <c r="MDQ18" s="418"/>
      <c r="MDR18" s="418"/>
      <c r="MDS18" s="418"/>
      <c r="MDT18" s="418"/>
      <c r="MDU18" s="418"/>
      <c r="MDV18" s="418"/>
      <c r="MDW18" s="418"/>
      <c r="MDX18" s="418"/>
      <c r="MDY18" s="418"/>
      <c r="MDZ18" s="418"/>
      <c r="MEA18" s="418"/>
      <c r="MEB18" s="418"/>
      <c r="MEC18" s="418"/>
      <c r="MED18" s="418"/>
      <c r="MEE18" s="418"/>
      <c r="MEF18" s="418"/>
      <c r="MEG18" s="418"/>
      <c r="MEH18" s="418"/>
      <c r="MEI18" s="418"/>
      <c r="MEJ18" s="418"/>
      <c r="MEK18" s="418"/>
      <c r="MEL18" s="418"/>
      <c r="MEM18" s="418"/>
      <c r="MEN18" s="418"/>
      <c r="MEO18" s="418"/>
      <c r="MEP18" s="418"/>
      <c r="MEQ18" s="418"/>
      <c r="MER18" s="418"/>
      <c r="MES18" s="418"/>
      <c r="MET18" s="418"/>
      <c r="MEU18" s="418"/>
      <c r="MEV18" s="418"/>
      <c r="MEW18" s="418"/>
      <c r="MEX18" s="418"/>
      <c r="MEY18" s="418"/>
      <c r="MEZ18" s="418"/>
      <c r="MFA18" s="418"/>
      <c r="MFB18" s="418"/>
      <c r="MFC18" s="418"/>
      <c r="MFD18" s="418"/>
      <c r="MFE18" s="418"/>
      <c r="MFF18" s="418"/>
      <c r="MFG18" s="418"/>
      <c r="MFH18" s="418"/>
      <c r="MFI18" s="418"/>
      <c r="MFJ18" s="418"/>
      <c r="MFK18" s="418"/>
      <c r="MFL18" s="418"/>
      <c r="MFM18" s="418"/>
      <c r="MFN18" s="418"/>
      <c r="MFO18" s="418"/>
      <c r="MFP18" s="418"/>
      <c r="MFQ18" s="418"/>
      <c r="MFR18" s="418"/>
      <c r="MFS18" s="418"/>
      <c r="MFT18" s="418"/>
      <c r="MFU18" s="418"/>
      <c r="MFV18" s="418"/>
      <c r="MFW18" s="418"/>
      <c r="MFX18" s="418"/>
      <c r="MFY18" s="418"/>
      <c r="MFZ18" s="418"/>
      <c r="MGA18" s="418"/>
      <c r="MGB18" s="418"/>
      <c r="MGC18" s="418"/>
      <c r="MGD18" s="418"/>
      <c r="MGE18" s="418"/>
      <c r="MGF18" s="418"/>
      <c r="MGG18" s="418"/>
      <c r="MGH18" s="418"/>
      <c r="MGI18" s="418"/>
      <c r="MGJ18" s="418"/>
      <c r="MGK18" s="418"/>
      <c r="MGL18" s="418"/>
      <c r="MGM18" s="418"/>
      <c r="MGN18" s="418"/>
      <c r="MGO18" s="418"/>
      <c r="MGP18" s="418"/>
      <c r="MGQ18" s="418"/>
      <c r="MGR18" s="418"/>
      <c r="MGS18" s="418"/>
      <c r="MGT18" s="418"/>
      <c r="MGU18" s="418"/>
      <c r="MGV18" s="418"/>
      <c r="MGW18" s="418"/>
      <c r="MGX18" s="418"/>
      <c r="MGY18" s="418"/>
      <c r="MGZ18" s="418"/>
      <c r="MHA18" s="418"/>
      <c r="MHB18" s="418"/>
      <c r="MHC18" s="418"/>
      <c r="MHD18" s="418"/>
      <c r="MHE18" s="418"/>
      <c r="MHF18" s="418"/>
      <c r="MHG18" s="418"/>
      <c r="MHH18" s="418"/>
      <c r="MHI18" s="418"/>
      <c r="MHJ18" s="418"/>
      <c r="MHK18" s="418"/>
      <c r="MHL18" s="418"/>
      <c r="MHM18" s="418"/>
      <c r="MHN18" s="418"/>
      <c r="MHO18" s="418"/>
      <c r="MHP18" s="418"/>
      <c r="MHQ18" s="418"/>
      <c r="MHR18" s="418"/>
      <c r="MHS18" s="418"/>
      <c r="MHT18" s="418"/>
      <c r="MHU18" s="418"/>
      <c r="MHV18" s="418"/>
      <c r="MHW18" s="418"/>
      <c r="MHX18" s="418"/>
      <c r="MHY18" s="418"/>
      <c r="MHZ18" s="418"/>
      <c r="MIA18" s="418"/>
      <c r="MIB18" s="418"/>
      <c r="MIC18" s="418"/>
      <c r="MID18" s="418"/>
      <c r="MIE18" s="418"/>
      <c r="MIF18" s="418"/>
      <c r="MIG18" s="418"/>
      <c r="MIH18" s="418"/>
      <c r="MII18" s="418"/>
      <c r="MIJ18" s="418"/>
      <c r="MIK18" s="418"/>
      <c r="MIL18" s="418"/>
      <c r="MIM18" s="418"/>
      <c r="MIN18" s="418"/>
      <c r="MIO18" s="418"/>
      <c r="MIP18" s="418"/>
      <c r="MIQ18" s="418"/>
      <c r="MIR18" s="418"/>
      <c r="MIS18" s="418"/>
      <c r="MIT18" s="418"/>
      <c r="MIU18" s="418"/>
      <c r="MIV18" s="418"/>
      <c r="MIW18" s="418"/>
      <c r="MIX18" s="418"/>
      <c r="MIY18" s="418"/>
      <c r="MIZ18" s="418"/>
      <c r="MJA18" s="418"/>
      <c r="MJB18" s="418"/>
      <c r="MJC18" s="418"/>
      <c r="MJD18" s="418"/>
      <c r="MJE18" s="418"/>
      <c r="MJF18" s="418"/>
      <c r="MJG18" s="418"/>
      <c r="MJH18" s="418"/>
      <c r="MJI18" s="418"/>
      <c r="MJJ18" s="418"/>
      <c r="MJK18" s="418"/>
      <c r="MJL18" s="418"/>
      <c r="MJM18" s="418"/>
      <c r="MJN18" s="418"/>
      <c r="MJO18" s="418"/>
      <c r="MJP18" s="418"/>
      <c r="MJQ18" s="418"/>
      <c r="MJR18" s="418"/>
      <c r="MJS18" s="418"/>
      <c r="MJT18" s="418"/>
      <c r="MJU18" s="418"/>
      <c r="MJV18" s="418"/>
      <c r="MJW18" s="418"/>
      <c r="MJX18" s="418"/>
      <c r="MJY18" s="418"/>
      <c r="MJZ18" s="418"/>
      <c r="MKA18" s="418"/>
      <c r="MKB18" s="418"/>
      <c r="MKC18" s="418"/>
      <c r="MKD18" s="418"/>
      <c r="MKE18" s="418"/>
      <c r="MKF18" s="418"/>
      <c r="MKG18" s="418"/>
      <c r="MKH18" s="418"/>
      <c r="MKI18" s="418"/>
      <c r="MKJ18" s="418"/>
      <c r="MKK18" s="418"/>
      <c r="MKL18" s="418"/>
      <c r="MKM18" s="418"/>
      <c r="MKN18" s="418"/>
      <c r="MKO18" s="418"/>
      <c r="MKP18" s="418"/>
      <c r="MKQ18" s="418"/>
      <c r="MKR18" s="418"/>
      <c r="MKS18" s="418"/>
      <c r="MKT18" s="418"/>
      <c r="MKU18" s="418"/>
      <c r="MKV18" s="418"/>
      <c r="MKW18" s="418"/>
      <c r="MKX18" s="418"/>
      <c r="MKY18" s="418"/>
      <c r="MKZ18" s="418"/>
      <c r="MLA18" s="418"/>
      <c r="MLB18" s="418"/>
      <c r="MLC18" s="418"/>
      <c r="MLD18" s="418"/>
      <c r="MLE18" s="418"/>
      <c r="MLF18" s="418"/>
      <c r="MLG18" s="418"/>
      <c r="MLH18" s="418"/>
      <c r="MLI18" s="418"/>
      <c r="MLJ18" s="418"/>
      <c r="MLK18" s="418"/>
      <c r="MLL18" s="418"/>
      <c r="MLM18" s="418"/>
      <c r="MLN18" s="418"/>
      <c r="MLO18" s="418"/>
      <c r="MLP18" s="418"/>
      <c r="MLQ18" s="418"/>
      <c r="MLR18" s="418"/>
      <c r="MLS18" s="418"/>
      <c r="MLT18" s="418"/>
      <c r="MLU18" s="418"/>
      <c r="MLV18" s="418"/>
      <c r="MLW18" s="418"/>
      <c r="MLX18" s="418"/>
      <c r="MLY18" s="418"/>
      <c r="MLZ18" s="418"/>
      <c r="MMA18" s="418"/>
      <c r="MMB18" s="418"/>
      <c r="MMC18" s="418"/>
      <c r="MMD18" s="418"/>
      <c r="MME18" s="418"/>
      <c r="MMF18" s="418"/>
      <c r="MMG18" s="418"/>
      <c r="MMH18" s="418"/>
      <c r="MMI18" s="418"/>
      <c r="MMJ18" s="418"/>
      <c r="MMK18" s="418"/>
      <c r="MML18" s="418"/>
      <c r="MMM18" s="418"/>
      <c r="MMN18" s="418"/>
      <c r="MMO18" s="418"/>
      <c r="MMP18" s="418"/>
      <c r="MMQ18" s="418"/>
      <c r="MMR18" s="418"/>
      <c r="MMS18" s="418"/>
      <c r="MMT18" s="418"/>
      <c r="MMU18" s="418"/>
      <c r="MMV18" s="418"/>
      <c r="MMW18" s="418"/>
      <c r="MMX18" s="418"/>
      <c r="MMY18" s="418"/>
      <c r="MMZ18" s="418"/>
      <c r="MNA18" s="418"/>
      <c r="MNB18" s="418"/>
      <c r="MNC18" s="418"/>
      <c r="MND18" s="418"/>
      <c r="MNE18" s="418"/>
      <c r="MNF18" s="418"/>
      <c r="MNG18" s="418"/>
      <c r="MNH18" s="418"/>
      <c r="MNI18" s="418"/>
      <c r="MNJ18" s="418"/>
      <c r="MNK18" s="418"/>
      <c r="MNL18" s="418"/>
      <c r="MNM18" s="418"/>
      <c r="MNN18" s="418"/>
      <c r="MNO18" s="418"/>
      <c r="MNP18" s="418"/>
      <c r="MNQ18" s="418"/>
      <c r="MNR18" s="418"/>
      <c r="MNS18" s="418"/>
      <c r="MNT18" s="418"/>
      <c r="MNU18" s="418"/>
      <c r="MNV18" s="418"/>
      <c r="MNW18" s="418"/>
      <c r="MNX18" s="418"/>
      <c r="MNY18" s="418"/>
      <c r="MNZ18" s="418"/>
      <c r="MOA18" s="418"/>
      <c r="MOB18" s="418"/>
      <c r="MOC18" s="418"/>
      <c r="MOD18" s="418"/>
      <c r="MOE18" s="418"/>
      <c r="MOF18" s="418"/>
      <c r="MOG18" s="418"/>
      <c r="MOH18" s="418"/>
      <c r="MOI18" s="418"/>
      <c r="MOJ18" s="418"/>
      <c r="MOK18" s="418"/>
      <c r="MOL18" s="418"/>
      <c r="MOM18" s="418"/>
      <c r="MON18" s="418"/>
      <c r="MOO18" s="418"/>
      <c r="MOP18" s="418"/>
      <c r="MOQ18" s="418"/>
      <c r="MOR18" s="418"/>
      <c r="MOS18" s="418"/>
      <c r="MOT18" s="418"/>
      <c r="MOU18" s="418"/>
      <c r="MOV18" s="418"/>
      <c r="MOW18" s="418"/>
      <c r="MOX18" s="418"/>
      <c r="MOY18" s="418"/>
      <c r="MOZ18" s="418"/>
      <c r="MPA18" s="418"/>
      <c r="MPB18" s="418"/>
      <c r="MPC18" s="418"/>
      <c r="MPD18" s="418"/>
      <c r="MPE18" s="418"/>
      <c r="MPF18" s="418"/>
      <c r="MPG18" s="418"/>
      <c r="MPH18" s="418"/>
      <c r="MPI18" s="418"/>
      <c r="MPJ18" s="418"/>
      <c r="MPK18" s="418"/>
      <c r="MPL18" s="418"/>
      <c r="MPM18" s="418"/>
      <c r="MPN18" s="418"/>
      <c r="MPO18" s="418"/>
      <c r="MPP18" s="418"/>
      <c r="MPQ18" s="418"/>
      <c r="MPR18" s="418"/>
      <c r="MPS18" s="418"/>
      <c r="MPT18" s="418"/>
      <c r="MPU18" s="418"/>
      <c r="MPV18" s="418"/>
      <c r="MPW18" s="418"/>
      <c r="MPX18" s="418"/>
      <c r="MPY18" s="418"/>
      <c r="MPZ18" s="418"/>
      <c r="MQA18" s="418"/>
      <c r="MQB18" s="418"/>
      <c r="MQC18" s="418"/>
      <c r="MQD18" s="418"/>
      <c r="MQE18" s="418"/>
      <c r="MQF18" s="418"/>
      <c r="MQG18" s="418"/>
      <c r="MQH18" s="418"/>
      <c r="MQI18" s="418"/>
      <c r="MQJ18" s="418"/>
      <c r="MQK18" s="418"/>
      <c r="MQL18" s="418"/>
      <c r="MQM18" s="418"/>
      <c r="MQN18" s="418"/>
      <c r="MQO18" s="418"/>
      <c r="MQP18" s="418"/>
      <c r="MQQ18" s="418"/>
      <c r="MQR18" s="418"/>
      <c r="MQS18" s="418"/>
      <c r="MQT18" s="418"/>
      <c r="MQU18" s="418"/>
      <c r="MQV18" s="418"/>
      <c r="MQW18" s="418"/>
      <c r="MQX18" s="418"/>
      <c r="MQY18" s="418"/>
      <c r="MQZ18" s="418"/>
      <c r="MRA18" s="418"/>
      <c r="MRB18" s="418"/>
      <c r="MRC18" s="418"/>
      <c r="MRD18" s="418"/>
      <c r="MRE18" s="418"/>
      <c r="MRF18" s="418"/>
      <c r="MRG18" s="418"/>
      <c r="MRH18" s="418"/>
      <c r="MRI18" s="418"/>
      <c r="MRJ18" s="418"/>
      <c r="MRK18" s="418"/>
      <c r="MRL18" s="418"/>
      <c r="MRM18" s="418"/>
      <c r="MRN18" s="418"/>
      <c r="MRO18" s="418"/>
      <c r="MRP18" s="418"/>
      <c r="MRQ18" s="418"/>
      <c r="MRR18" s="418"/>
      <c r="MRS18" s="418"/>
      <c r="MRT18" s="418"/>
      <c r="MRU18" s="418"/>
      <c r="MRV18" s="418"/>
      <c r="MRW18" s="418"/>
      <c r="MRX18" s="418"/>
      <c r="MRY18" s="418"/>
      <c r="MRZ18" s="418"/>
      <c r="MSA18" s="418"/>
      <c r="MSB18" s="418"/>
      <c r="MSC18" s="418"/>
      <c r="MSD18" s="418"/>
      <c r="MSE18" s="418"/>
      <c r="MSF18" s="418"/>
      <c r="MSG18" s="418"/>
      <c r="MSH18" s="418"/>
      <c r="MSI18" s="418"/>
      <c r="MSJ18" s="418"/>
      <c r="MSK18" s="418"/>
      <c r="MSL18" s="418"/>
      <c r="MSM18" s="418"/>
      <c r="MSN18" s="418"/>
      <c r="MSO18" s="418"/>
      <c r="MSP18" s="418"/>
      <c r="MSQ18" s="418"/>
      <c r="MSR18" s="418"/>
      <c r="MSS18" s="418"/>
      <c r="MST18" s="418"/>
      <c r="MSU18" s="418"/>
      <c r="MSV18" s="418"/>
      <c r="MSW18" s="418"/>
      <c r="MSX18" s="418"/>
      <c r="MSY18" s="418"/>
      <c r="MSZ18" s="418"/>
      <c r="MTA18" s="418"/>
      <c r="MTB18" s="418"/>
      <c r="MTC18" s="418"/>
      <c r="MTD18" s="418"/>
      <c r="MTE18" s="418"/>
      <c r="MTF18" s="418"/>
      <c r="MTG18" s="418"/>
      <c r="MTH18" s="418"/>
      <c r="MTI18" s="418"/>
      <c r="MTJ18" s="418"/>
      <c r="MTK18" s="418"/>
      <c r="MTL18" s="418"/>
      <c r="MTM18" s="418"/>
      <c r="MTN18" s="418"/>
      <c r="MTO18" s="418"/>
      <c r="MTP18" s="418"/>
      <c r="MTQ18" s="418"/>
      <c r="MTR18" s="418"/>
      <c r="MTS18" s="418"/>
      <c r="MTT18" s="418"/>
      <c r="MTU18" s="418"/>
      <c r="MTV18" s="418"/>
      <c r="MTW18" s="418"/>
      <c r="MTX18" s="418"/>
      <c r="MTY18" s="418"/>
      <c r="MTZ18" s="418"/>
      <c r="MUA18" s="418"/>
      <c r="MUB18" s="418"/>
      <c r="MUC18" s="418"/>
      <c r="MUD18" s="418"/>
      <c r="MUE18" s="418"/>
      <c r="MUF18" s="418"/>
      <c r="MUG18" s="418"/>
      <c r="MUH18" s="418"/>
      <c r="MUI18" s="418"/>
      <c r="MUJ18" s="418"/>
      <c r="MUK18" s="418"/>
      <c r="MUL18" s="418"/>
      <c r="MUM18" s="418"/>
      <c r="MUN18" s="418"/>
      <c r="MUO18" s="418"/>
      <c r="MUP18" s="418"/>
      <c r="MUQ18" s="418"/>
      <c r="MUR18" s="418"/>
      <c r="MUS18" s="418"/>
      <c r="MUT18" s="418"/>
      <c r="MUU18" s="418"/>
      <c r="MUV18" s="418"/>
      <c r="MUW18" s="418"/>
      <c r="MUX18" s="418"/>
      <c r="MUY18" s="418"/>
      <c r="MUZ18" s="418"/>
      <c r="MVA18" s="418"/>
      <c r="MVB18" s="418"/>
      <c r="MVC18" s="418"/>
      <c r="MVD18" s="418"/>
      <c r="MVE18" s="418"/>
      <c r="MVF18" s="418"/>
      <c r="MVG18" s="418"/>
      <c r="MVH18" s="418"/>
      <c r="MVI18" s="418"/>
      <c r="MVJ18" s="418"/>
      <c r="MVK18" s="418"/>
      <c r="MVL18" s="418"/>
      <c r="MVM18" s="418"/>
      <c r="MVN18" s="418"/>
      <c r="MVO18" s="418"/>
      <c r="MVP18" s="418"/>
      <c r="MVQ18" s="418"/>
      <c r="MVR18" s="418"/>
      <c r="MVS18" s="418"/>
      <c r="MVT18" s="418"/>
      <c r="MVU18" s="418"/>
      <c r="MVV18" s="418"/>
      <c r="MVW18" s="418"/>
      <c r="MVX18" s="418"/>
      <c r="MVY18" s="418"/>
      <c r="MVZ18" s="418"/>
      <c r="MWA18" s="418"/>
      <c r="MWB18" s="418"/>
      <c r="MWC18" s="418"/>
      <c r="MWD18" s="418"/>
      <c r="MWE18" s="418"/>
      <c r="MWF18" s="418"/>
      <c r="MWG18" s="418"/>
      <c r="MWH18" s="418"/>
      <c r="MWI18" s="418"/>
      <c r="MWJ18" s="418"/>
      <c r="MWK18" s="418"/>
      <c r="MWL18" s="418"/>
      <c r="MWM18" s="418"/>
      <c r="MWN18" s="418"/>
      <c r="MWO18" s="418"/>
      <c r="MWP18" s="418"/>
      <c r="MWQ18" s="418"/>
      <c r="MWR18" s="418"/>
      <c r="MWS18" s="418"/>
      <c r="MWT18" s="418"/>
      <c r="MWU18" s="418"/>
      <c r="MWV18" s="418"/>
      <c r="MWW18" s="418"/>
      <c r="MWX18" s="418"/>
      <c r="MWY18" s="418"/>
      <c r="MWZ18" s="418"/>
      <c r="MXA18" s="418"/>
      <c r="MXB18" s="418"/>
      <c r="MXC18" s="418"/>
      <c r="MXD18" s="418"/>
      <c r="MXE18" s="418"/>
      <c r="MXF18" s="418"/>
      <c r="MXG18" s="418"/>
      <c r="MXH18" s="418"/>
      <c r="MXI18" s="418"/>
      <c r="MXJ18" s="418"/>
      <c r="MXK18" s="418"/>
      <c r="MXL18" s="418"/>
      <c r="MXM18" s="418"/>
      <c r="MXN18" s="418"/>
      <c r="MXO18" s="418"/>
      <c r="MXP18" s="418"/>
      <c r="MXQ18" s="418"/>
      <c r="MXR18" s="418"/>
      <c r="MXS18" s="418"/>
      <c r="MXT18" s="418"/>
      <c r="MXU18" s="418"/>
      <c r="MXV18" s="418"/>
      <c r="MXW18" s="418"/>
      <c r="MXX18" s="418"/>
      <c r="MXY18" s="418"/>
      <c r="MXZ18" s="418"/>
      <c r="MYA18" s="418"/>
      <c r="MYB18" s="418"/>
      <c r="MYC18" s="418"/>
      <c r="MYD18" s="418"/>
      <c r="MYE18" s="418"/>
      <c r="MYF18" s="418"/>
      <c r="MYG18" s="418"/>
      <c r="MYH18" s="418"/>
      <c r="MYI18" s="418"/>
      <c r="MYJ18" s="418"/>
      <c r="MYK18" s="418"/>
      <c r="MYL18" s="418"/>
      <c r="MYM18" s="418"/>
      <c r="MYN18" s="418"/>
      <c r="MYO18" s="418"/>
      <c r="MYP18" s="418"/>
      <c r="MYQ18" s="418"/>
      <c r="MYR18" s="418"/>
      <c r="MYS18" s="418"/>
      <c r="MYT18" s="418"/>
      <c r="MYU18" s="418"/>
      <c r="MYV18" s="418"/>
      <c r="MYW18" s="418"/>
      <c r="MYX18" s="418"/>
      <c r="MYY18" s="418"/>
      <c r="MYZ18" s="418"/>
      <c r="MZA18" s="418"/>
      <c r="MZB18" s="418"/>
      <c r="MZC18" s="418"/>
      <c r="MZD18" s="418"/>
      <c r="MZE18" s="418"/>
      <c r="MZF18" s="418"/>
      <c r="MZG18" s="418"/>
      <c r="MZH18" s="418"/>
      <c r="MZI18" s="418"/>
      <c r="MZJ18" s="418"/>
      <c r="MZK18" s="418"/>
      <c r="MZL18" s="418"/>
      <c r="MZM18" s="418"/>
      <c r="MZN18" s="418"/>
      <c r="MZO18" s="418"/>
      <c r="MZP18" s="418"/>
      <c r="MZQ18" s="418"/>
      <c r="MZR18" s="418"/>
      <c r="MZS18" s="418"/>
      <c r="MZT18" s="418"/>
      <c r="MZU18" s="418"/>
      <c r="MZV18" s="418"/>
      <c r="MZW18" s="418"/>
      <c r="MZX18" s="418"/>
      <c r="MZY18" s="418"/>
      <c r="MZZ18" s="418"/>
      <c r="NAA18" s="418"/>
      <c r="NAB18" s="418"/>
      <c r="NAC18" s="418"/>
      <c r="NAD18" s="418"/>
      <c r="NAE18" s="418"/>
      <c r="NAF18" s="418"/>
      <c r="NAG18" s="418"/>
      <c r="NAH18" s="418"/>
      <c r="NAI18" s="418"/>
      <c r="NAJ18" s="418"/>
      <c r="NAK18" s="418"/>
      <c r="NAL18" s="418"/>
      <c r="NAM18" s="418"/>
      <c r="NAN18" s="418"/>
      <c r="NAO18" s="418"/>
      <c r="NAP18" s="418"/>
      <c r="NAQ18" s="418"/>
      <c r="NAR18" s="418"/>
      <c r="NAS18" s="418"/>
      <c r="NAT18" s="418"/>
      <c r="NAU18" s="418"/>
      <c r="NAV18" s="418"/>
      <c r="NAW18" s="418"/>
      <c r="NAX18" s="418"/>
      <c r="NAY18" s="418"/>
      <c r="NAZ18" s="418"/>
      <c r="NBA18" s="418"/>
      <c r="NBB18" s="418"/>
      <c r="NBC18" s="418"/>
      <c r="NBD18" s="418"/>
      <c r="NBE18" s="418"/>
      <c r="NBF18" s="418"/>
      <c r="NBG18" s="418"/>
      <c r="NBH18" s="418"/>
      <c r="NBI18" s="418"/>
      <c r="NBJ18" s="418"/>
      <c r="NBK18" s="418"/>
      <c r="NBL18" s="418"/>
      <c r="NBM18" s="418"/>
      <c r="NBN18" s="418"/>
      <c r="NBO18" s="418"/>
      <c r="NBP18" s="418"/>
      <c r="NBQ18" s="418"/>
      <c r="NBR18" s="418"/>
      <c r="NBS18" s="418"/>
      <c r="NBT18" s="418"/>
      <c r="NBU18" s="418"/>
      <c r="NBV18" s="418"/>
      <c r="NBW18" s="418"/>
      <c r="NBX18" s="418"/>
      <c r="NBY18" s="418"/>
      <c r="NBZ18" s="418"/>
      <c r="NCA18" s="418"/>
      <c r="NCB18" s="418"/>
      <c r="NCC18" s="418"/>
      <c r="NCD18" s="418"/>
      <c r="NCE18" s="418"/>
      <c r="NCF18" s="418"/>
      <c r="NCG18" s="418"/>
      <c r="NCH18" s="418"/>
      <c r="NCI18" s="418"/>
      <c r="NCJ18" s="418"/>
      <c r="NCK18" s="418"/>
      <c r="NCL18" s="418"/>
      <c r="NCM18" s="418"/>
      <c r="NCN18" s="418"/>
      <c r="NCO18" s="418"/>
      <c r="NCP18" s="418"/>
      <c r="NCQ18" s="418"/>
      <c r="NCR18" s="418"/>
      <c r="NCS18" s="418"/>
      <c r="NCT18" s="418"/>
      <c r="NCU18" s="418"/>
      <c r="NCV18" s="418"/>
      <c r="NCW18" s="418"/>
      <c r="NCX18" s="418"/>
      <c r="NCY18" s="418"/>
      <c r="NCZ18" s="418"/>
      <c r="NDA18" s="418"/>
      <c r="NDB18" s="418"/>
      <c r="NDC18" s="418"/>
      <c r="NDD18" s="418"/>
      <c r="NDE18" s="418"/>
      <c r="NDF18" s="418"/>
      <c r="NDG18" s="418"/>
      <c r="NDH18" s="418"/>
      <c r="NDI18" s="418"/>
      <c r="NDJ18" s="418"/>
      <c r="NDK18" s="418"/>
      <c r="NDL18" s="418"/>
      <c r="NDM18" s="418"/>
      <c r="NDN18" s="418"/>
      <c r="NDO18" s="418"/>
      <c r="NDP18" s="418"/>
      <c r="NDQ18" s="418"/>
      <c r="NDR18" s="418"/>
      <c r="NDS18" s="418"/>
      <c r="NDT18" s="418"/>
      <c r="NDU18" s="418"/>
      <c r="NDV18" s="418"/>
      <c r="NDW18" s="418"/>
      <c r="NDX18" s="418"/>
      <c r="NDY18" s="418"/>
      <c r="NDZ18" s="418"/>
      <c r="NEA18" s="418"/>
      <c r="NEB18" s="418"/>
      <c r="NEC18" s="418"/>
      <c r="NED18" s="418"/>
      <c r="NEE18" s="418"/>
      <c r="NEF18" s="418"/>
      <c r="NEG18" s="418"/>
      <c r="NEH18" s="418"/>
      <c r="NEI18" s="418"/>
      <c r="NEJ18" s="418"/>
      <c r="NEK18" s="418"/>
      <c r="NEL18" s="418"/>
      <c r="NEM18" s="418"/>
      <c r="NEN18" s="418"/>
      <c r="NEO18" s="418"/>
      <c r="NEP18" s="418"/>
      <c r="NEQ18" s="418"/>
      <c r="NER18" s="418"/>
      <c r="NES18" s="418"/>
      <c r="NET18" s="418"/>
      <c r="NEU18" s="418"/>
      <c r="NEV18" s="418"/>
      <c r="NEW18" s="418"/>
      <c r="NEX18" s="418"/>
      <c r="NEY18" s="418"/>
      <c r="NEZ18" s="418"/>
      <c r="NFA18" s="418"/>
      <c r="NFB18" s="418"/>
      <c r="NFC18" s="418"/>
      <c r="NFD18" s="418"/>
      <c r="NFE18" s="418"/>
      <c r="NFF18" s="418"/>
      <c r="NFG18" s="418"/>
      <c r="NFH18" s="418"/>
      <c r="NFI18" s="418"/>
      <c r="NFJ18" s="418"/>
      <c r="NFK18" s="418"/>
      <c r="NFL18" s="418"/>
      <c r="NFM18" s="418"/>
      <c r="NFN18" s="418"/>
      <c r="NFO18" s="418"/>
      <c r="NFP18" s="418"/>
      <c r="NFQ18" s="418"/>
      <c r="NFR18" s="418"/>
      <c r="NFS18" s="418"/>
      <c r="NFT18" s="418"/>
      <c r="NFU18" s="418"/>
      <c r="NFV18" s="418"/>
      <c r="NFW18" s="418"/>
      <c r="NFX18" s="418"/>
      <c r="NFY18" s="418"/>
      <c r="NFZ18" s="418"/>
      <c r="NGA18" s="418"/>
      <c r="NGB18" s="418"/>
      <c r="NGC18" s="418"/>
      <c r="NGD18" s="418"/>
      <c r="NGE18" s="418"/>
      <c r="NGF18" s="418"/>
      <c r="NGG18" s="418"/>
      <c r="NGH18" s="418"/>
      <c r="NGI18" s="418"/>
      <c r="NGJ18" s="418"/>
      <c r="NGK18" s="418"/>
      <c r="NGL18" s="418"/>
      <c r="NGM18" s="418"/>
      <c r="NGN18" s="418"/>
      <c r="NGO18" s="418"/>
      <c r="NGP18" s="418"/>
      <c r="NGQ18" s="418"/>
      <c r="NGR18" s="418"/>
      <c r="NGS18" s="418"/>
      <c r="NGT18" s="418"/>
      <c r="NGU18" s="418"/>
      <c r="NGV18" s="418"/>
      <c r="NGW18" s="418"/>
      <c r="NGX18" s="418"/>
      <c r="NGY18" s="418"/>
      <c r="NGZ18" s="418"/>
      <c r="NHA18" s="418"/>
      <c r="NHB18" s="418"/>
      <c r="NHC18" s="418"/>
      <c r="NHD18" s="418"/>
      <c r="NHE18" s="418"/>
      <c r="NHF18" s="418"/>
      <c r="NHG18" s="418"/>
      <c r="NHH18" s="418"/>
      <c r="NHI18" s="418"/>
      <c r="NHJ18" s="418"/>
      <c r="NHK18" s="418"/>
      <c r="NHL18" s="418"/>
      <c r="NHM18" s="418"/>
      <c r="NHN18" s="418"/>
      <c r="NHO18" s="418"/>
      <c r="NHP18" s="418"/>
      <c r="NHQ18" s="418"/>
      <c r="NHR18" s="418"/>
      <c r="NHS18" s="418"/>
      <c r="NHT18" s="418"/>
      <c r="NHU18" s="418"/>
      <c r="NHV18" s="418"/>
      <c r="NHW18" s="418"/>
      <c r="NHX18" s="418"/>
      <c r="NHY18" s="418"/>
      <c r="NHZ18" s="418"/>
      <c r="NIA18" s="418"/>
      <c r="NIB18" s="418"/>
      <c r="NIC18" s="418"/>
      <c r="NID18" s="418"/>
      <c r="NIE18" s="418"/>
      <c r="NIF18" s="418"/>
      <c r="NIG18" s="418"/>
      <c r="NIH18" s="418"/>
      <c r="NII18" s="418"/>
      <c r="NIJ18" s="418"/>
      <c r="NIK18" s="418"/>
      <c r="NIL18" s="418"/>
      <c r="NIM18" s="418"/>
      <c r="NIN18" s="418"/>
      <c r="NIO18" s="418"/>
      <c r="NIP18" s="418"/>
      <c r="NIQ18" s="418"/>
      <c r="NIR18" s="418"/>
      <c r="NIS18" s="418"/>
      <c r="NIT18" s="418"/>
      <c r="NIU18" s="418"/>
      <c r="NIV18" s="418"/>
      <c r="NIW18" s="418"/>
      <c r="NIX18" s="418"/>
      <c r="NIY18" s="418"/>
      <c r="NIZ18" s="418"/>
      <c r="NJA18" s="418"/>
      <c r="NJB18" s="418"/>
      <c r="NJC18" s="418"/>
      <c r="NJD18" s="418"/>
      <c r="NJE18" s="418"/>
      <c r="NJF18" s="418"/>
      <c r="NJG18" s="418"/>
      <c r="NJH18" s="418"/>
      <c r="NJI18" s="418"/>
      <c r="NJJ18" s="418"/>
      <c r="NJK18" s="418"/>
      <c r="NJL18" s="418"/>
      <c r="NJM18" s="418"/>
      <c r="NJN18" s="418"/>
      <c r="NJO18" s="418"/>
      <c r="NJP18" s="418"/>
      <c r="NJQ18" s="418"/>
      <c r="NJR18" s="418"/>
      <c r="NJS18" s="418"/>
      <c r="NJT18" s="418"/>
      <c r="NJU18" s="418"/>
      <c r="NJV18" s="418"/>
      <c r="NJW18" s="418"/>
      <c r="NJX18" s="418"/>
      <c r="NJY18" s="418"/>
      <c r="NJZ18" s="418"/>
      <c r="NKA18" s="418"/>
      <c r="NKB18" s="418"/>
      <c r="NKC18" s="418"/>
      <c r="NKD18" s="418"/>
      <c r="NKE18" s="418"/>
      <c r="NKF18" s="418"/>
      <c r="NKG18" s="418"/>
      <c r="NKH18" s="418"/>
      <c r="NKI18" s="418"/>
      <c r="NKJ18" s="418"/>
      <c r="NKK18" s="418"/>
      <c r="NKL18" s="418"/>
      <c r="NKM18" s="418"/>
      <c r="NKN18" s="418"/>
      <c r="NKO18" s="418"/>
      <c r="NKP18" s="418"/>
      <c r="NKQ18" s="418"/>
      <c r="NKR18" s="418"/>
      <c r="NKS18" s="418"/>
      <c r="NKT18" s="418"/>
      <c r="NKU18" s="418"/>
      <c r="NKV18" s="418"/>
      <c r="NKW18" s="418"/>
      <c r="NKX18" s="418"/>
      <c r="NKY18" s="418"/>
      <c r="NKZ18" s="418"/>
      <c r="NLA18" s="418"/>
      <c r="NLB18" s="418"/>
      <c r="NLC18" s="418"/>
      <c r="NLD18" s="418"/>
      <c r="NLE18" s="418"/>
      <c r="NLF18" s="418"/>
      <c r="NLG18" s="418"/>
      <c r="NLH18" s="418"/>
      <c r="NLI18" s="418"/>
      <c r="NLJ18" s="418"/>
      <c r="NLK18" s="418"/>
      <c r="NLL18" s="418"/>
      <c r="NLM18" s="418"/>
      <c r="NLN18" s="418"/>
      <c r="NLO18" s="418"/>
      <c r="NLP18" s="418"/>
      <c r="NLQ18" s="418"/>
      <c r="NLR18" s="418"/>
      <c r="NLS18" s="418"/>
      <c r="NLT18" s="418"/>
      <c r="NLU18" s="418"/>
      <c r="NLV18" s="418"/>
      <c r="NLW18" s="418"/>
      <c r="NLX18" s="418"/>
      <c r="NLY18" s="418"/>
      <c r="NLZ18" s="418"/>
      <c r="NMA18" s="418"/>
      <c r="NMB18" s="418"/>
      <c r="NMC18" s="418"/>
      <c r="NMD18" s="418"/>
      <c r="NME18" s="418"/>
      <c r="NMF18" s="418"/>
      <c r="NMG18" s="418"/>
      <c r="NMH18" s="418"/>
      <c r="NMI18" s="418"/>
      <c r="NMJ18" s="418"/>
      <c r="NMK18" s="418"/>
      <c r="NML18" s="418"/>
      <c r="NMM18" s="418"/>
      <c r="NMN18" s="418"/>
      <c r="NMO18" s="418"/>
      <c r="NMP18" s="418"/>
      <c r="NMQ18" s="418"/>
      <c r="NMR18" s="418"/>
      <c r="NMS18" s="418"/>
      <c r="NMT18" s="418"/>
      <c r="NMU18" s="418"/>
      <c r="NMV18" s="418"/>
      <c r="NMW18" s="418"/>
      <c r="NMX18" s="418"/>
      <c r="NMY18" s="418"/>
      <c r="NMZ18" s="418"/>
      <c r="NNA18" s="418"/>
      <c r="NNB18" s="418"/>
      <c r="NNC18" s="418"/>
      <c r="NND18" s="418"/>
      <c r="NNE18" s="418"/>
      <c r="NNF18" s="418"/>
      <c r="NNG18" s="418"/>
      <c r="NNH18" s="418"/>
      <c r="NNI18" s="418"/>
      <c r="NNJ18" s="418"/>
      <c r="NNK18" s="418"/>
      <c r="NNL18" s="418"/>
      <c r="NNM18" s="418"/>
      <c r="NNN18" s="418"/>
      <c r="NNO18" s="418"/>
      <c r="NNP18" s="418"/>
      <c r="NNQ18" s="418"/>
      <c r="NNR18" s="418"/>
      <c r="NNS18" s="418"/>
      <c r="NNT18" s="418"/>
      <c r="NNU18" s="418"/>
      <c r="NNV18" s="418"/>
      <c r="NNW18" s="418"/>
      <c r="NNX18" s="418"/>
      <c r="NNY18" s="418"/>
      <c r="NNZ18" s="418"/>
      <c r="NOA18" s="418"/>
      <c r="NOB18" s="418"/>
      <c r="NOC18" s="418"/>
      <c r="NOD18" s="418"/>
      <c r="NOE18" s="418"/>
      <c r="NOF18" s="418"/>
      <c r="NOG18" s="418"/>
      <c r="NOH18" s="418"/>
      <c r="NOI18" s="418"/>
      <c r="NOJ18" s="418"/>
      <c r="NOK18" s="418"/>
      <c r="NOL18" s="418"/>
      <c r="NOM18" s="418"/>
      <c r="NON18" s="418"/>
      <c r="NOO18" s="418"/>
      <c r="NOP18" s="418"/>
      <c r="NOQ18" s="418"/>
      <c r="NOR18" s="418"/>
      <c r="NOS18" s="418"/>
      <c r="NOT18" s="418"/>
      <c r="NOU18" s="418"/>
      <c r="NOV18" s="418"/>
      <c r="NOW18" s="418"/>
      <c r="NOX18" s="418"/>
      <c r="NOY18" s="418"/>
      <c r="NOZ18" s="418"/>
      <c r="NPA18" s="418"/>
      <c r="NPB18" s="418"/>
      <c r="NPC18" s="418"/>
      <c r="NPD18" s="418"/>
      <c r="NPE18" s="418"/>
      <c r="NPF18" s="418"/>
      <c r="NPG18" s="418"/>
      <c r="NPH18" s="418"/>
      <c r="NPI18" s="418"/>
      <c r="NPJ18" s="418"/>
      <c r="NPK18" s="418"/>
      <c r="NPL18" s="418"/>
      <c r="NPM18" s="418"/>
      <c r="NPN18" s="418"/>
      <c r="NPO18" s="418"/>
      <c r="NPP18" s="418"/>
      <c r="NPQ18" s="418"/>
      <c r="NPR18" s="418"/>
      <c r="NPS18" s="418"/>
      <c r="NPT18" s="418"/>
      <c r="NPU18" s="418"/>
      <c r="NPV18" s="418"/>
      <c r="NPW18" s="418"/>
      <c r="NPX18" s="418"/>
      <c r="NPY18" s="418"/>
      <c r="NPZ18" s="418"/>
      <c r="NQA18" s="418"/>
      <c r="NQB18" s="418"/>
      <c r="NQC18" s="418"/>
      <c r="NQD18" s="418"/>
      <c r="NQE18" s="418"/>
      <c r="NQF18" s="418"/>
      <c r="NQG18" s="418"/>
      <c r="NQH18" s="418"/>
      <c r="NQI18" s="418"/>
      <c r="NQJ18" s="418"/>
      <c r="NQK18" s="418"/>
      <c r="NQL18" s="418"/>
      <c r="NQM18" s="418"/>
      <c r="NQN18" s="418"/>
      <c r="NQO18" s="418"/>
      <c r="NQP18" s="418"/>
      <c r="NQQ18" s="418"/>
      <c r="NQR18" s="418"/>
      <c r="NQS18" s="418"/>
      <c r="NQT18" s="418"/>
      <c r="NQU18" s="418"/>
      <c r="NQV18" s="418"/>
      <c r="NQW18" s="418"/>
      <c r="NQX18" s="418"/>
      <c r="NQY18" s="418"/>
      <c r="NQZ18" s="418"/>
      <c r="NRA18" s="418"/>
      <c r="NRB18" s="418"/>
      <c r="NRC18" s="418"/>
      <c r="NRD18" s="418"/>
      <c r="NRE18" s="418"/>
      <c r="NRF18" s="418"/>
      <c r="NRG18" s="418"/>
      <c r="NRH18" s="418"/>
      <c r="NRI18" s="418"/>
      <c r="NRJ18" s="418"/>
      <c r="NRK18" s="418"/>
      <c r="NRL18" s="418"/>
      <c r="NRM18" s="418"/>
      <c r="NRN18" s="418"/>
      <c r="NRO18" s="418"/>
      <c r="NRP18" s="418"/>
      <c r="NRQ18" s="418"/>
      <c r="NRR18" s="418"/>
      <c r="NRS18" s="418"/>
      <c r="NRT18" s="418"/>
      <c r="NRU18" s="418"/>
      <c r="NRV18" s="418"/>
      <c r="NRW18" s="418"/>
      <c r="NRX18" s="418"/>
      <c r="NRY18" s="418"/>
      <c r="NRZ18" s="418"/>
      <c r="NSA18" s="418"/>
      <c r="NSB18" s="418"/>
      <c r="NSC18" s="418"/>
      <c r="NSD18" s="418"/>
      <c r="NSE18" s="418"/>
      <c r="NSF18" s="418"/>
      <c r="NSG18" s="418"/>
      <c r="NSH18" s="418"/>
      <c r="NSI18" s="418"/>
      <c r="NSJ18" s="418"/>
      <c r="NSK18" s="418"/>
      <c r="NSL18" s="418"/>
      <c r="NSM18" s="418"/>
      <c r="NSN18" s="418"/>
      <c r="NSO18" s="418"/>
      <c r="NSP18" s="418"/>
      <c r="NSQ18" s="418"/>
      <c r="NSR18" s="418"/>
      <c r="NSS18" s="418"/>
      <c r="NST18" s="418"/>
      <c r="NSU18" s="418"/>
      <c r="NSV18" s="418"/>
      <c r="NSW18" s="418"/>
      <c r="NSX18" s="418"/>
      <c r="NSY18" s="418"/>
      <c r="NSZ18" s="418"/>
      <c r="NTA18" s="418"/>
      <c r="NTB18" s="418"/>
      <c r="NTC18" s="418"/>
      <c r="NTD18" s="418"/>
      <c r="NTE18" s="418"/>
      <c r="NTF18" s="418"/>
      <c r="NTG18" s="418"/>
      <c r="NTH18" s="418"/>
      <c r="NTI18" s="418"/>
      <c r="NTJ18" s="418"/>
      <c r="NTK18" s="418"/>
      <c r="NTL18" s="418"/>
      <c r="NTM18" s="418"/>
      <c r="NTN18" s="418"/>
      <c r="NTO18" s="418"/>
      <c r="NTP18" s="418"/>
      <c r="NTQ18" s="418"/>
      <c r="NTR18" s="418"/>
      <c r="NTS18" s="418"/>
      <c r="NTT18" s="418"/>
      <c r="NTU18" s="418"/>
      <c r="NTV18" s="418"/>
      <c r="NTW18" s="418"/>
      <c r="NTX18" s="418"/>
      <c r="NTY18" s="418"/>
      <c r="NTZ18" s="418"/>
      <c r="NUA18" s="418"/>
      <c r="NUB18" s="418"/>
      <c r="NUC18" s="418"/>
      <c r="NUD18" s="418"/>
      <c r="NUE18" s="418"/>
      <c r="NUF18" s="418"/>
      <c r="NUG18" s="418"/>
      <c r="NUH18" s="418"/>
      <c r="NUI18" s="418"/>
      <c r="NUJ18" s="418"/>
      <c r="NUK18" s="418"/>
      <c r="NUL18" s="418"/>
      <c r="NUM18" s="418"/>
      <c r="NUN18" s="418"/>
      <c r="NUO18" s="418"/>
      <c r="NUP18" s="418"/>
      <c r="NUQ18" s="418"/>
      <c r="NUR18" s="418"/>
      <c r="NUS18" s="418"/>
      <c r="NUT18" s="418"/>
      <c r="NUU18" s="418"/>
      <c r="NUV18" s="418"/>
      <c r="NUW18" s="418"/>
      <c r="NUX18" s="418"/>
      <c r="NUY18" s="418"/>
      <c r="NUZ18" s="418"/>
      <c r="NVA18" s="418"/>
      <c r="NVB18" s="418"/>
      <c r="NVC18" s="418"/>
      <c r="NVD18" s="418"/>
      <c r="NVE18" s="418"/>
      <c r="NVF18" s="418"/>
      <c r="NVG18" s="418"/>
      <c r="NVH18" s="418"/>
      <c r="NVI18" s="418"/>
      <c r="NVJ18" s="418"/>
      <c r="NVK18" s="418"/>
      <c r="NVL18" s="418"/>
      <c r="NVM18" s="418"/>
      <c r="NVN18" s="418"/>
      <c r="NVO18" s="418"/>
      <c r="NVP18" s="418"/>
      <c r="NVQ18" s="418"/>
      <c r="NVR18" s="418"/>
      <c r="NVS18" s="418"/>
      <c r="NVT18" s="418"/>
      <c r="NVU18" s="418"/>
      <c r="NVV18" s="418"/>
      <c r="NVW18" s="418"/>
      <c r="NVX18" s="418"/>
      <c r="NVY18" s="418"/>
      <c r="NVZ18" s="418"/>
      <c r="NWA18" s="418"/>
      <c r="NWB18" s="418"/>
      <c r="NWC18" s="418"/>
      <c r="NWD18" s="418"/>
      <c r="NWE18" s="418"/>
      <c r="NWF18" s="418"/>
      <c r="NWG18" s="418"/>
      <c r="NWH18" s="418"/>
      <c r="NWI18" s="418"/>
      <c r="NWJ18" s="418"/>
      <c r="NWK18" s="418"/>
      <c r="NWL18" s="418"/>
      <c r="NWM18" s="418"/>
      <c r="NWN18" s="418"/>
      <c r="NWO18" s="418"/>
      <c r="NWP18" s="418"/>
      <c r="NWQ18" s="418"/>
      <c r="NWR18" s="418"/>
      <c r="NWS18" s="418"/>
      <c r="NWT18" s="418"/>
      <c r="NWU18" s="418"/>
      <c r="NWV18" s="418"/>
      <c r="NWW18" s="418"/>
      <c r="NWX18" s="418"/>
      <c r="NWY18" s="418"/>
      <c r="NWZ18" s="418"/>
      <c r="NXA18" s="418"/>
      <c r="NXB18" s="418"/>
      <c r="NXC18" s="418"/>
      <c r="NXD18" s="418"/>
      <c r="NXE18" s="418"/>
      <c r="NXF18" s="418"/>
      <c r="NXG18" s="418"/>
      <c r="NXH18" s="418"/>
      <c r="NXI18" s="418"/>
      <c r="NXJ18" s="418"/>
      <c r="NXK18" s="418"/>
      <c r="NXL18" s="418"/>
      <c r="NXM18" s="418"/>
      <c r="NXN18" s="418"/>
      <c r="NXO18" s="418"/>
      <c r="NXP18" s="418"/>
      <c r="NXQ18" s="418"/>
      <c r="NXR18" s="418"/>
      <c r="NXS18" s="418"/>
      <c r="NXT18" s="418"/>
      <c r="NXU18" s="418"/>
      <c r="NXV18" s="418"/>
      <c r="NXW18" s="418"/>
      <c r="NXX18" s="418"/>
      <c r="NXY18" s="418"/>
      <c r="NXZ18" s="418"/>
      <c r="NYA18" s="418"/>
      <c r="NYB18" s="418"/>
      <c r="NYC18" s="418"/>
      <c r="NYD18" s="418"/>
      <c r="NYE18" s="418"/>
      <c r="NYF18" s="418"/>
      <c r="NYG18" s="418"/>
      <c r="NYH18" s="418"/>
      <c r="NYI18" s="418"/>
      <c r="NYJ18" s="418"/>
      <c r="NYK18" s="418"/>
      <c r="NYL18" s="418"/>
      <c r="NYM18" s="418"/>
      <c r="NYN18" s="418"/>
      <c r="NYO18" s="418"/>
      <c r="NYP18" s="418"/>
      <c r="NYQ18" s="418"/>
      <c r="NYR18" s="418"/>
      <c r="NYS18" s="418"/>
      <c r="NYT18" s="418"/>
      <c r="NYU18" s="418"/>
      <c r="NYV18" s="418"/>
      <c r="NYW18" s="418"/>
      <c r="NYX18" s="418"/>
      <c r="NYY18" s="418"/>
      <c r="NYZ18" s="418"/>
      <c r="NZA18" s="418"/>
      <c r="NZB18" s="418"/>
      <c r="NZC18" s="418"/>
      <c r="NZD18" s="418"/>
      <c r="NZE18" s="418"/>
      <c r="NZF18" s="418"/>
      <c r="NZG18" s="418"/>
      <c r="NZH18" s="418"/>
      <c r="NZI18" s="418"/>
      <c r="NZJ18" s="418"/>
      <c r="NZK18" s="418"/>
      <c r="NZL18" s="418"/>
      <c r="NZM18" s="418"/>
      <c r="NZN18" s="418"/>
      <c r="NZO18" s="418"/>
      <c r="NZP18" s="418"/>
      <c r="NZQ18" s="418"/>
      <c r="NZR18" s="418"/>
      <c r="NZS18" s="418"/>
      <c r="NZT18" s="418"/>
      <c r="NZU18" s="418"/>
      <c r="NZV18" s="418"/>
      <c r="NZW18" s="418"/>
      <c r="NZX18" s="418"/>
      <c r="NZY18" s="418"/>
      <c r="NZZ18" s="418"/>
      <c r="OAA18" s="418"/>
      <c r="OAB18" s="418"/>
      <c r="OAC18" s="418"/>
      <c r="OAD18" s="418"/>
      <c r="OAE18" s="418"/>
      <c r="OAF18" s="418"/>
      <c r="OAG18" s="418"/>
      <c r="OAH18" s="418"/>
      <c r="OAI18" s="418"/>
      <c r="OAJ18" s="418"/>
      <c r="OAK18" s="418"/>
      <c r="OAL18" s="418"/>
      <c r="OAM18" s="418"/>
      <c r="OAN18" s="418"/>
      <c r="OAO18" s="418"/>
      <c r="OAP18" s="418"/>
      <c r="OAQ18" s="418"/>
      <c r="OAR18" s="418"/>
      <c r="OAS18" s="418"/>
      <c r="OAT18" s="418"/>
      <c r="OAU18" s="418"/>
      <c r="OAV18" s="418"/>
      <c r="OAW18" s="418"/>
      <c r="OAX18" s="418"/>
      <c r="OAY18" s="418"/>
      <c r="OAZ18" s="418"/>
      <c r="OBA18" s="418"/>
      <c r="OBB18" s="418"/>
      <c r="OBC18" s="418"/>
      <c r="OBD18" s="418"/>
      <c r="OBE18" s="418"/>
      <c r="OBF18" s="418"/>
      <c r="OBG18" s="418"/>
      <c r="OBH18" s="418"/>
      <c r="OBI18" s="418"/>
      <c r="OBJ18" s="418"/>
      <c r="OBK18" s="418"/>
      <c r="OBL18" s="418"/>
      <c r="OBM18" s="418"/>
      <c r="OBN18" s="418"/>
      <c r="OBO18" s="418"/>
      <c r="OBP18" s="418"/>
      <c r="OBQ18" s="418"/>
      <c r="OBR18" s="418"/>
      <c r="OBS18" s="418"/>
      <c r="OBT18" s="418"/>
      <c r="OBU18" s="418"/>
      <c r="OBV18" s="418"/>
      <c r="OBW18" s="418"/>
      <c r="OBX18" s="418"/>
      <c r="OBY18" s="418"/>
      <c r="OBZ18" s="418"/>
      <c r="OCA18" s="418"/>
      <c r="OCB18" s="418"/>
      <c r="OCC18" s="418"/>
      <c r="OCD18" s="418"/>
      <c r="OCE18" s="418"/>
      <c r="OCF18" s="418"/>
      <c r="OCG18" s="418"/>
      <c r="OCH18" s="418"/>
      <c r="OCI18" s="418"/>
      <c r="OCJ18" s="418"/>
      <c r="OCK18" s="418"/>
      <c r="OCL18" s="418"/>
      <c r="OCM18" s="418"/>
      <c r="OCN18" s="418"/>
      <c r="OCO18" s="418"/>
      <c r="OCP18" s="418"/>
      <c r="OCQ18" s="418"/>
      <c r="OCR18" s="418"/>
      <c r="OCS18" s="418"/>
      <c r="OCT18" s="418"/>
      <c r="OCU18" s="418"/>
      <c r="OCV18" s="418"/>
      <c r="OCW18" s="418"/>
      <c r="OCX18" s="418"/>
      <c r="OCY18" s="418"/>
      <c r="OCZ18" s="418"/>
      <c r="ODA18" s="418"/>
      <c r="ODB18" s="418"/>
      <c r="ODC18" s="418"/>
      <c r="ODD18" s="418"/>
      <c r="ODE18" s="418"/>
      <c r="ODF18" s="418"/>
      <c r="ODG18" s="418"/>
      <c r="ODH18" s="418"/>
      <c r="ODI18" s="418"/>
      <c r="ODJ18" s="418"/>
      <c r="ODK18" s="418"/>
      <c r="ODL18" s="418"/>
      <c r="ODM18" s="418"/>
      <c r="ODN18" s="418"/>
      <c r="ODO18" s="418"/>
      <c r="ODP18" s="418"/>
      <c r="ODQ18" s="418"/>
      <c r="ODR18" s="418"/>
      <c r="ODS18" s="418"/>
      <c r="ODT18" s="418"/>
      <c r="ODU18" s="418"/>
      <c r="ODV18" s="418"/>
      <c r="ODW18" s="418"/>
      <c r="ODX18" s="418"/>
      <c r="ODY18" s="418"/>
      <c r="ODZ18" s="418"/>
      <c r="OEA18" s="418"/>
      <c r="OEB18" s="418"/>
      <c r="OEC18" s="418"/>
      <c r="OED18" s="418"/>
      <c r="OEE18" s="418"/>
      <c r="OEF18" s="418"/>
      <c r="OEG18" s="418"/>
      <c r="OEH18" s="418"/>
      <c r="OEI18" s="418"/>
      <c r="OEJ18" s="418"/>
      <c r="OEK18" s="418"/>
      <c r="OEL18" s="418"/>
      <c r="OEM18" s="418"/>
      <c r="OEN18" s="418"/>
      <c r="OEO18" s="418"/>
      <c r="OEP18" s="418"/>
      <c r="OEQ18" s="418"/>
      <c r="OER18" s="418"/>
      <c r="OES18" s="418"/>
      <c r="OET18" s="418"/>
      <c r="OEU18" s="418"/>
      <c r="OEV18" s="418"/>
      <c r="OEW18" s="418"/>
      <c r="OEX18" s="418"/>
      <c r="OEY18" s="418"/>
      <c r="OEZ18" s="418"/>
      <c r="OFA18" s="418"/>
      <c r="OFB18" s="418"/>
      <c r="OFC18" s="418"/>
      <c r="OFD18" s="418"/>
      <c r="OFE18" s="418"/>
      <c r="OFF18" s="418"/>
      <c r="OFG18" s="418"/>
      <c r="OFH18" s="418"/>
      <c r="OFI18" s="418"/>
      <c r="OFJ18" s="418"/>
      <c r="OFK18" s="418"/>
      <c r="OFL18" s="418"/>
      <c r="OFM18" s="418"/>
      <c r="OFN18" s="418"/>
      <c r="OFO18" s="418"/>
      <c r="OFP18" s="418"/>
      <c r="OFQ18" s="418"/>
      <c r="OFR18" s="418"/>
      <c r="OFS18" s="418"/>
      <c r="OFT18" s="418"/>
      <c r="OFU18" s="418"/>
      <c r="OFV18" s="418"/>
      <c r="OFW18" s="418"/>
      <c r="OFX18" s="418"/>
      <c r="OFY18" s="418"/>
      <c r="OFZ18" s="418"/>
      <c r="OGA18" s="418"/>
      <c r="OGB18" s="418"/>
      <c r="OGC18" s="418"/>
      <c r="OGD18" s="418"/>
      <c r="OGE18" s="418"/>
      <c r="OGF18" s="418"/>
      <c r="OGG18" s="418"/>
      <c r="OGH18" s="418"/>
      <c r="OGI18" s="418"/>
      <c r="OGJ18" s="418"/>
      <c r="OGK18" s="418"/>
      <c r="OGL18" s="418"/>
      <c r="OGM18" s="418"/>
      <c r="OGN18" s="418"/>
      <c r="OGO18" s="418"/>
      <c r="OGP18" s="418"/>
      <c r="OGQ18" s="418"/>
      <c r="OGR18" s="418"/>
      <c r="OGS18" s="418"/>
      <c r="OGT18" s="418"/>
      <c r="OGU18" s="418"/>
      <c r="OGV18" s="418"/>
      <c r="OGW18" s="418"/>
      <c r="OGX18" s="418"/>
      <c r="OGY18" s="418"/>
      <c r="OGZ18" s="418"/>
      <c r="OHA18" s="418"/>
      <c r="OHB18" s="418"/>
      <c r="OHC18" s="418"/>
      <c r="OHD18" s="418"/>
      <c r="OHE18" s="418"/>
      <c r="OHF18" s="418"/>
      <c r="OHG18" s="418"/>
      <c r="OHH18" s="418"/>
      <c r="OHI18" s="418"/>
      <c r="OHJ18" s="418"/>
      <c r="OHK18" s="418"/>
      <c r="OHL18" s="418"/>
      <c r="OHM18" s="418"/>
      <c r="OHN18" s="418"/>
      <c r="OHO18" s="418"/>
      <c r="OHP18" s="418"/>
      <c r="OHQ18" s="418"/>
      <c r="OHR18" s="418"/>
      <c r="OHS18" s="418"/>
      <c r="OHT18" s="418"/>
      <c r="OHU18" s="418"/>
      <c r="OHV18" s="418"/>
      <c r="OHW18" s="418"/>
      <c r="OHX18" s="418"/>
      <c r="OHY18" s="418"/>
      <c r="OHZ18" s="418"/>
      <c r="OIA18" s="418"/>
      <c r="OIB18" s="418"/>
      <c r="OIC18" s="418"/>
      <c r="OID18" s="418"/>
      <c r="OIE18" s="418"/>
      <c r="OIF18" s="418"/>
      <c r="OIG18" s="418"/>
      <c r="OIH18" s="418"/>
      <c r="OII18" s="418"/>
      <c r="OIJ18" s="418"/>
      <c r="OIK18" s="418"/>
      <c r="OIL18" s="418"/>
      <c r="OIM18" s="418"/>
      <c r="OIN18" s="418"/>
      <c r="OIO18" s="418"/>
      <c r="OIP18" s="418"/>
      <c r="OIQ18" s="418"/>
      <c r="OIR18" s="418"/>
      <c r="OIS18" s="418"/>
      <c r="OIT18" s="418"/>
      <c r="OIU18" s="418"/>
      <c r="OIV18" s="418"/>
      <c r="OIW18" s="418"/>
      <c r="OIX18" s="418"/>
      <c r="OIY18" s="418"/>
      <c r="OIZ18" s="418"/>
      <c r="OJA18" s="418"/>
      <c r="OJB18" s="418"/>
      <c r="OJC18" s="418"/>
      <c r="OJD18" s="418"/>
      <c r="OJE18" s="418"/>
      <c r="OJF18" s="418"/>
      <c r="OJG18" s="418"/>
      <c r="OJH18" s="418"/>
      <c r="OJI18" s="418"/>
      <c r="OJJ18" s="418"/>
      <c r="OJK18" s="418"/>
      <c r="OJL18" s="418"/>
      <c r="OJM18" s="418"/>
      <c r="OJN18" s="418"/>
      <c r="OJO18" s="418"/>
      <c r="OJP18" s="418"/>
      <c r="OJQ18" s="418"/>
      <c r="OJR18" s="418"/>
      <c r="OJS18" s="418"/>
      <c r="OJT18" s="418"/>
      <c r="OJU18" s="418"/>
      <c r="OJV18" s="418"/>
      <c r="OJW18" s="418"/>
      <c r="OJX18" s="418"/>
      <c r="OJY18" s="418"/>
      <c r="OJZ18" s="418"/>
      <c r="OKA18" s="418"/>
      <c r="OKB18" s="418"/>
      <c r="OKC18" s="418"/>
      <c r="OKD18" s="418"/>
      <c r="OKE18" s="418"/>
      <c r="OKF18" s="418"/>
      <c r="OKG18" s="418"/>
      <c r="OKH18" s="418"/>
      <c r="OKI18" s="418"/>
      <c r="OKJ18" s="418"/>
      <c r="OKK18" s="418"/>
      <c r="OKL18" s="418"/>
      <c r="OKM18" s="418"/>
      <c r="OKN18" s="418"/>
      <c r="OKO18" s="418"/>
      <c r="OKP18" s="418"/>
      <c r="OKQ18" s="418"/>
      <c r="OKR18" s="418"/>
      <c r="OKS18" s="418"/>
      <c r="OKT18" s="418"/>
      <c r="OKU18" s="418"/>
      <c r="OKV18" s="418"/>
      <c r="OKW18" s="418"/>
      <c r="OKX18" s="418"/>
      <c r="OKY18" s="418"/>
      <c r="OKZ18" s="418"/>
      <c r="OLA18" s="418"/>
      <c r="OLB18" s="418"/>
      <c r="OLC18" s="418"/>
      <c r="OLD18" s="418"/>
      <c r="OLE18" s="418"/>
      <c r="OLF18" s="418"/>
      <c r="OLG18" s="418"/>
      <c r="OLH18" s="418"/>
      <c r="OLI18" s="418"/>
      <c r="OLJ18" s="418"/>
      <c r="OLK18" s="418"/>
      <c r="OLL18" s="418"/>
      <c r="OLM18" s="418"/>
      <c r="OLN18" s="418"/>
      <c r="OLO18" s="418"/>
      <c r="OLP18" s="418"/>
      <c r="OLQ18" s="418"/>
      <c r="OLR18" s="418"/>
      <c r="OLS18" s="418"/>
      <c r="OLT18" s="418"/>
      <c r="OLU18" s="418"/>
      <c r="OLV18" s="418"/>
      <c r="OLW18" s="418"/>
      <c r="OLX18" s="418"/>
      <c r="OLY18" s="418"/>
      <c r="OLZ18" s="418"/>
      <c r="OMA18" s="418"/>
      <c r="OMB18" s="418"/>
      <c r="OMC18" s="418"/>
      <c r="OMD18" s="418"/>
      <c r="OME18" s="418"/>
      <c r="OMF18" s="418"/>
      <c r="OMG18" s="418"/>
      <c r="OMH18" s="418"/>
      <c r="OMI18" s="418"/>
      <c r="OMJ18" s="418"/>
      <c r="OMK18" s="418"/>
      <c r="OML18" s="418"/>
      <c r="OMM18" s="418"/>
      <c r="OMN18" s="418"/>
      <c r="OMO18" s="418"/>
      <c r="OMP18" s="418"/>
      <c r="OMQ18" s="418"/>
      <c r="OMR18" s="418"/>
      <c r="OMS18" s="418"/>
      <c r="OMT18" s="418"/>
      <c r="OMU18" s="418"/>
      <c r="OMV18" s="418"/>
      <c r="OMW18" s="418"/>
      <c r="OMX18" s="418"/>
      <c r="OMY18" s="418"/>
      <c r="OMZ18" s="418"/>
      <c r="ONA18" s="418"/>
      <c r="ONB18" s="418"/>
      <c r="ONC18" s="418"/>
      <c r="OND18" s="418"/>
      <c r="ONE18" s="418"/>
      <c r="ONF18" s="418"/>
      <c r="ONG18" s="418"/>
      <c r="ONH18" s="418"/>
      <c r="ONI18" s="418"/>
      <c r="ONJ18" s="418"/>
      <c r="ONK18" s="418"/>
      <c r="ONL18" s="418"/>
      <c r="ONM18" s="418"/>
      <c r="ONN18" s="418"/>
      <c r="ONO18" s="418"/>
      <c r="ONP18" s="418"/>
      <c r="ONQ18" s="418"/>
      <c r="ONR18" s="418"/>
      <c r="ONS18" s="418"/>
      <c r="ONT18" s="418"/>
      <c r="ONU18" s="418"/>
      <c r="ONV18" s="418"/>
      <c r="ONW18" s="418"/>
      <c r="ONX18" s="418"/>
      <c r="ONY18" s="418"/>
      <c r="ONZ18" s="418"/>
      <c r="OOA18" s="418"/>
      <c r="OOB18" s="418"/>
      <c r="OOC18" s="418"/>
      <c r="OOD18" s="418"/>
      <c r="OOE18" s="418"/>
      <c r="OOF18" s="418"/>
      <c r="OOG18" s="418"/>
      <c r="OOH18" s="418"/>
      <c r="OOI18" s="418"/>
      <c r="OOJ18" s="418"/>
      <c r="OOK18" s="418"/>
      <c r="OOL18" s="418"/>
      <c r="OOM18" s="418"/>
      <c r="OON18" s="418"/>
      <c r="OOO18" s="418"/>
      <c r="OOP18" s="418"/>
      <c r="OOQ18" s="418"/>
      <c r="OOR18" s="418"/>
      <c r="OOS18" s="418"/>
      <c r="OOT18" s="418"/>
      <c r="OOU18" s="418"/>
      <c r="OOV18" s="418"/>
      <c r="OOW18" s="418"/>
      <c r="OOX18" s="418"/>
      <c r="OOY18" s="418"/>
      <c r="OOZ18" s="418"/>
      <c r="OPA18" s="418"/>
      <c r="OPB18" s="418"/>
      <c r="OPC18" s="418"/>
      <c r="OPD18" s="418"/>
      <c r="OPE18" s="418"/>
      <c r="OPF18" s="418"/>
      <c r="OPG18" s="418"/>
      <c r="OPH18" s="418"/>
      <c r="OPI18" s="418"/>
      <c r="OPJ18" s="418"/>
      <c r="OPK18" s="418"/>
      <c r="OPL18" s="418"/>
      <c r="OPM18" s="418"/>
      <c r="OPN18" s="418"/>
      <c r="OPO18" s="418"/>
      <c r="OPP18" s="418"/>
      <c r="OPQ18" s="418"/>
      <c r="OPR18" s="418"/>
      <c r="OPS18" s="418"/>
      <c r="OPT18" s="418"/>
      <c r="OPU18" s="418"/>
      <c r="OPV18" s="418"/>
      <c r="OPW18" s="418"/>
      <c r="OPX18" s="418"/>
      <c r="OPY18" s="418"/>
      <c r="OPZ18" s="418"/>
      <c r="OQA18" s="418"/>
      <c r="OQB18" s="418"/>
      <c r="OQC18" s="418"/>
      <c r="OQD18" s="418"/>
      <c r="OQE18" s="418"/>
      <c r="OQF18" s="418"/>
      <c r="OQG18" s="418"/>
      <c r="OQH18" s="418"/>
      <c r="OQI18" s="418"/>
      <c r="OQJ18" s="418"/>
      <c r="OQK18" s="418"/>
      <c r="OQL18" s="418"/>
      <c r="OQM18" s="418"/>
      <c r="OQN18" s="418"/>
      <c r="OQO18" s="418"/>
      <c r="OQP18" s="418"/>
      <c r="OQQ18" s="418"/>
      <c r="OQR18" s="418"/>
      <c r="OQS18" s="418"/>
      <c r="OQT18" s="418"/>
      <c r="OQU18" s="418"/>
      <c r="OQV18" s="418"/>
      <c r="OQW18" s="418"/>
      <c r="OQX18" s="418"/>
      <c r="OQY18" s="418"/>
      <c r="OQZ18" s="418"/>
      <c r="ORA18" s="418"/>
      <c r="ORB18" s="418"/>
      <c r="ORC18" s="418"/>
      <c r="ORD18" s="418"/>
      <c r="ORE18" s="418"/>
      <c r="ORF18" s="418"/>
      <c r="ORG18" s="418"/>
      <c r="ORH18" s="418"/>
      <c r="ORI18" s="418"/>
      <c r="ORJ18" s="418"/>
      <c r="ORK18" s="418"/>
      <c r="ORL18" s="418"/>
      <c r="ORM18" s="418"/>
      <c r="ORN18" s="418"/>
      <c r="ORO18" s="418"/>
      <c r="ORP18" s="418"/>
      <c r="ORQ18" s="418"/>
      <c r="ORR18" s="418"/>
      <c r="ORS18" s="418"/>
      <c r="ORT18" s="418"/>
      <c r="ORU18" s="418"/>
      <c r="ORV18" s="418"/>
      <c r="ORW18" s="418"/>
      <c r="ORX18" s="418"/>
      <c r="ORY18" s="418"/>
      <c r="ORZ18" s="418"/>
      <c r="OSA18" s="418"/>
      <c r="OSB18" s="418"/>
      <c r="OSC18" s="418"/>
      <c r="OSD18" s="418"/>
      <c r="OSE18" s="418"/>
      <c r="OSF18" s="418"/>
      <c r="OSG18" s="418"/>
      <c r="OSH18" s="418"/>
      <c r="OSI18" s="418"/>
      <c r="OSJ18" s="418"/>
      <c r="OSK18" s="418"/>
      <c r="OSL18" s="418"/>
      <c r="OSM18" s="418"/>
      <c r="OSN18" s="418"/>
      <c r="OSO18" s="418"/>
      <c r="OSP18" s="418"/>
      <c r="OSQ18" s="418"/>
      <c r="OSR18" s="418"/>
      <c r="OSS18" s="418"/>
      <c r="OST18" s="418"/>
      <c r="OSU18" s="418"/>
      <c r="OSV18" s="418"/>
      <c r="OSW18" s="418"/>
      <c r="OSX18" s="418"/>
      <c r="OSY18" s="418"/>
      <c r="OSZ18" s="418"/>
      <c r="OTA18" s="418"/>
      <c r="OTB18" s="418"/>
      <c r="OTC18" s="418"/>
      <c r="OTD18" s="418"/>
      <c r="OTE18" s="418"/>
      <c r="OTF18" s="418"/>
      <c r="OTG18" s="418"/>
      <c r="OTH18" s="418"/>
      <c r="OTI18" s="418"/>
      <c r="OTJ18" s="418"/>
      <c r="OTK18" s="418"/>
      <c r="OTL18" s="418"/>
      <c r="OTM18" s="418"/>
      <c r="OTN18" s="418"/>
      <c r="OTO18" s="418"/>
      <c r="OTP18" s="418"/>
      <c r="OTQ18" s="418"/>
      <c r="OTR18" s="418"/>
      <c r="OTS18" s="418"/>
      <c r="OTT18" s="418"/>
      <c r="OTU18" s="418"/>
      <c r="OTV18" s="418"/>
      <c r="OTW18" s="418"/>
      <c r="OTX18" s="418"/>
      <c r="OTY18" s="418"/>
      <c r="OTZ18" s="418"/>
      <c r="OUA18" s="418"/>
      <c r="OUB18" s="418"/>
      <c r="OUC18" s="418"/>
      <c r="OUD18" s="418"/>
      <c r="OUE18" s="418"/>
      <c r="OUF18" s="418"/>
      <c r="OUG18" s="418"/>
      <c r="OUH18" s="418"/>
      <c r="OUI18" s="418"/>
      <c r="OUJ18" s="418"/>
      <c r="OUK18" s="418"/>
      <c r="OUL18" s="418"/>
      <c r="OUM18" s="418"/>
      <c r="OUN18" s="418"/>
      <c r="OUO18" s="418"/>
      <c r="OUP18" s="418"/>
      <c r="OUQ18" s="418"/>
      <c r="OUR18" s="418"/>
      <c r="OUS18" s="418"/>
      <c r="OUT18" s="418"/>
      <c r="OUU18" s="418"/>
      <c r="OUV18" s="418"/>
      <c r="OUW18" s="418"/>
      <c r="OUX18" s="418"/>
      <c r="OUY18" s="418"/>
      <c r="OUZ18" s="418"/>
      <c r="OVA18" s="418"/>
      <c r="OVB18" s="418"/>
      <c r="OVC18" s="418"/>
      <c r="OVD18" s="418"/>
      <c r="OVE18" s="418"/>
      <c r="OVF18" s="418"/>
      <c r="OVG18" s="418"/>
      <c r="OVH18" s="418"/>
      <c r="OVI18" s="418"/>
      <c r="OVJ18" s="418"/>
      <c r="OVK18" s="418"/>
      <c r="OVL18" s="418"/>
      <c r="OVM18" s="418"/>
      <c r="OVN18" s="418"/>
      <c r="OVO18" s="418"/>
      <c r="OVP18" s="418"/>
      <c r="OVQ18" s="418"/>
      <c r="OVR18" s="418"/>
      <c r="OVS18" s="418"/>
      <c r="OVT18" s="418"/>
      <c r="OVU18" s="418"/>
      <c r="OVV18" s="418"/>
      <c r="OVW18" s="418"/>
      <c r="OVX18" s="418"/>
      <c r="OVY18" s="418"/>
      <c r="OVZ18" s="418"/>
      <c r="OWA18" s="418"/>
      <c r="OWB18" s="418"/>
      <c r="OWC18" s="418"/>
      <c r="OWD18" s="418"/>
      <c r="OWE18" s="418"/>
      <c r="OWF18" s="418"/>
      <c r="OWG18" s="418"/>
      <c r="OWH18" s="418"/>
      <c r="OWI18" s="418"/>
      <c r="OWJ18" s="418"/>
      <c r="OWK18" s="418"/>
      <c r="OWL18" s="418"/>
      <c r="OWM18" s="418"/>
      <c r="OWN18" s="418"/>
      <c r="OWO18" s="418"/>
      <c r="OWP18" s="418"/>
      <c r="OWQ18" s="418"/>
      <c r="OWR18" s="418"/>
      <c r="OWS18" s="418"/>
      <c r="OWT18" s="418"/>
      <c r="OWU18" s="418"/>
      <c r="OWV18" s="418"/>
      <c r="OWW18" s="418"/>
      <c r="OWX18" s="418"/>
      <c r="OWY18" s="418"/>
      <c r="OWZ18" s="418"/>
      <c r="OXA18" s="418"/>
      <c r="OXB18" s="418"/>
      <c r="OXC18" s="418"/>
      <c r="OXD18" s="418"/>
      <c r="OXE18" s="418"/>
      <c r="OXF18" s="418"/>
      <c r="OXG18" s="418"/>
      <c r="OXH18" s="418"/>
      <c r="OXI18" s="418"/>
      <c r="OXJ18" s="418"/>
      <c r="OXK18" s="418"/>
      <c r="OXL18" s="418"/>
      <c r="OXM18" s="418"/>
      <c r="OXN18" s="418"/>
      <c r="OXO18" s="418"/>
      <c r="OXP18" s="418"/>
      <c r="OXQ18" s="418"/>
      <c r="OXR18" s="418"/>
      <c r="OXS18" s="418"/>
      <c r="OXT18" s="418"/>
      <c r="OXU18" s="418"/>
      <c r="OXV18" s="418"/>
      <c r="OXW18" s="418"/>
      <c r="OXX18" s="418"/>
      <c r="OXY18" s="418"/>
      <c r="OXZ18" s="418"/>
      <c r="OYA18" s="418"/>
      <c r="OYB18" s="418"/>
      <c r="OYC18" s="418"/>
      <c r="OYD18" s="418"/>
      <c r="OYE18" s="418"/>
      <c r="OYF18" s="418"/>
      <c r="OYG18" s="418"/>
      <c r="OYH18" s="418"/>
      <c r="OYI18" s="418"/>
      <c r="OYJ18" s="418"/>
      <c r="OYK18" s="418"/>
      <c r="OYL18" s="418"/>
      <c r="OYM18" s="418"/>
      <c r="OYN18" s="418"/>
      <c r="OYO18" s="418"/>
      <c r="OYP18" s="418"/>
      <c r="OYQ18" s="418"/>
      <c r="OYR18" s="418"/>
      <c r="OYS18" s="418"/>
      <c r="OYT18" s="418"/>
      <c r="OYU18" s="418"/>
      <c r="OYV18" s="418"/>
      <c r="OYW18" s="418"/>
      <c r="OYX18" s="418"/>
      <c r="OYY18" s="418"/>
      <c r="OYZ18" s="418"/>
      <c r="OZA18" s="418"/>
      <c r="OZB18" s="418"/>
      <c r="OZC18" s="418"/>
      <c r="OZD18" s="418"/>
      <c r="OZE18" s="418"/>
      <c r="OZF18" s="418"/>
      <c r="OZG18" s="418"/>
      <c r="OZH18" s="418"/>
      <c r="OZI18" s="418"/>
      <c r="OZJ18" s="418"/>
      <c r="OZK18" s="418"/>
      <c r="OZL18" s="418"/>
      <c r="OZM18" s="418"/>
      <c r="OZN18" s="418"/>
      <c r="OZO18" s="418"/>
      <c r="OZP18" s="418"/>
      <c r="OZQ18" s="418"/>
      <c r="OZR18" s="418"/>
      <c r="OZS18" s="418"/>
      <c r="OZT18" s="418"/>
      <c r="OZU18" s="418"/>
      <c r="OZV18" s="418"/>
      <c r="OZW18" s="418"/>
      <c r="OZX18" s="418"/>
      <c r="OZY18" s="418"/>
      <c r="OZZ18" s="418"/>
      <c r="PAA18" s="418"/>
      <c r="PAB18" s="418"/>
      <c r="PAC18" s="418"/>
      <c r="PAD18" s="418"/>
      <c r="PAE18" s="418"/>
      <c r="PAF18" s="418"/>
      <c r="PAG18" s="418"/>
      <c r="PAH18" s="418"/>
      <c r="PAI18" s="418"/>
      <c r="PAJ18" s="418"/>
      <c r="PAK18" s="418"/>
      <c r="PAL18" s="418"/>
      <c r="PAM18" s="418"/>
      <c r="PAN18" s="418"/>
      <c r="PAO18" s="418"/>
      <c r="PAP18" s="418"/>
      <c r="PAQ18" s="418"/>
      <c r="PAR18" s="418"/>
      <c r="PAS18" s="418"/>
      <c r="PAT18" s="418"/>
      <c r="PAU18" s="418"/>
      <c r="PAV18" s="418"/>
      <c r="PAW18" s="418"/>
      <c r="PAX18" s="418"/>
      <c r="PAY18" s="418"/>
      <c r="PAZ18" s="418"/>
      <c r="PBA18" s="418"/>
      <c r="PBB18" s="418"/>
      <c r="PBC18" s="418"/>
      <c r="PBD18" s="418"/>
      <c r="PBE18" s="418"/>
      <c r="PBF18" s="418"/>
      <c r="PBG18" s="418"/>
      <c r="PBH18" s="418"/>
      <c r="PBI18" s="418"/>
      <c r="PBJ18" s="418"/>
      <c r="PBK18" s="418"/>
      <c r="PBL18" s="418"/>
      <c r="PBM18" s="418"/>
      <c r="PBN18" s="418"/>
      <c r="PBO18" s="418"/>
      <c r="PBP18" s="418"/>
      <c r="PBQ18" s="418"/>
      <c r="PBR18" s="418"/>
      <c r="PBS18" s="418"/>
      <c r="PBT18" s="418"/>
      <c r="PBU18" s="418"/>
      <c r="PBV18" s="418"/>
      <c r="PBW18" s="418"/>
      <c r="PBX18" s="418"/>
      <c r="PBY18" s="418"/>
      <c r="PBZ18" s="418"/>
      <c r="PCA18" s="418"/>
      <c r="PCB18" s="418"/>
      <c r="PCC18" s="418"/>
      <c r="PCD18" s="418"/>
      <c r="PCE18" s="418"/>
      <c r="PCF18" s="418"/>
      <c r="PCG18" s="418"/>
      <c r="PCH18" s="418"/>
      <c r="PCI18" s="418"/>
      <c r="PCJ18" s="418"/>
      <c r="PCK18" s="418"/>
      <c r="PCL18" s="418"/>
      <c r="PCM18" s="418"/>
      <c r="PCN18" s="418"/>
      <c r="PCO18" s="418"/>
      <c r="PCP18" s="418"/>
      <c r="PCQ18" s="418"/>
      <c r="PCR18" s="418"/>
      <c r="PCS18" s="418"/>
      <c r="PCT18" s="418"/>
      <c r="PCU18" s="418"/>
      <c r="PCV18" s="418"/>
      <c r="PCW18" s="418"/>
      <c r="PCX18" s="418"/>
      <c r="PCY18" s="418"/>
      <c r="PCZ18" s="418"/>
      <c r="PDA18" s="418"/>
      <c r="PDB18" s="418"/>
      <c r="PDC18" s="418"/>
      <c r="PDD18" s="418"/>
      <c r="PDE18" s="418"/>
      <c r="PDF18" s="418"/>
      <c r="PDG18" s="418"/>
      <c r="PDH18" s="418"/>
      <c r="PDI18" s="418"/>
      <c r="PDJ18" s="418"/>
      <c r="PDK18" s="418"/>
      <c r="PDL18" s="418"/>
      <c r="PDM18" s="418"/>
      <c r="PDN18" s="418"/>
      <c r="PDO18" s="418"/>
      <c r="PDP18" s="418"/>
      <c r="PDQ18" s="418"/>
      <c r="PDR18" s="418"/>
      <c r="PDS18" s="418"/>
      <c r="PDT18" s="418"/>
      <c r="PDU18" s="418"/>
      <c r="PDV18" s="418"/>
      <c r="PDW18" s="418"/>
      <c r="PDX18" s="418"/>
      <c r="PDY18" s="418"/>
      <c r="PDZ18" s="418"/>
      <c r="PEA18" s="418"/>
      <c r="PEB18" s="418"/>
      <c r="PEC18" s="418"/>
      <c r="PED18" s="418"/>
      <c r="PEE18" s="418"/>
      <c r="PEF18" s="418"/>
      <c r="PEG18" s="418"/>
      <c r="PEH18" s="418"/>
      <c r="PEI18" s="418"/>
      <c r="PEJ18" s="418"/>
      <c r="PEK18" s="418"/>
      <c r="PEL18" s="418"/>
      <c r="PEM18" s="418"/>
      <c r="PEN18" s="418"/>
      <c r="PEO18" s="418"/>
      <c r="PEP18" s="418"/>
      <c r="PEQ18" s="418"/>
      <c r="PER18" s="418"/>
      <c r="PES18" s="418"/>
      <c r="PET18" s="418"/>
      <c r="PEU18" s="418"/>
      <c r="PEV18" s="418"/>
      <c r="PEW18" s="418"/>
      <c r="PEX18" s="418"/>
      <c r="PEY18" s="418"/>
      <c r="PEZ18" s="418"/>
      <c r="PFA18" s="418"/>
      <c r="PFB18" s="418"/>
      <c r="PFC18" s="418"/>
      <c r="PFD18" s="418"/>
      <c r="PFE18" s="418"/>
      <c r="PFF18" s="418"/>
      <c r="PFG18" s="418"/>
      <c r="PFH18" s="418"/>
      <c r="PFI18" s="418"/>
      <c r="PFJ18" s="418"/>
      <c r="PFK18" s="418"/>
      <c r="PFL18" s="418"/>
      <c r="PFM18" s="418"/>
      <c r="PFN18" s="418"/>
      <c r="PFO18" s="418"/>
      <c r="PFP18" s="418"/>
      <c r="PFQ18" s="418"/>
      <c r="PFR18" s="418"/>
      <c r="PFS18" s="418"/>
      <c r="PFT18" s="418"/>
      <c r="PFU18" s="418"/>
      <c r="PFV18" s="418"/>
      <c r="PFW18" s="418"/>
      <c r="PFX18" s="418"/>
      <c r="PFY18" s="418"/>
      <c r="PFZ18" s="418"/>
      <c r="PGA18" s="418"/>
      <c r="PGB18" s="418"/>
      <c r="PGC18" s="418"/>
      <c r="PGD18" s="418"/>
      <c r="PGE18" s="418"/>
      <c r="PGF18" s="418"/>
      <c r="PGG18" s="418"/>
      <c r="PGH18" s="418"/>
      <c r="PGI18" s="418"/>
      <c r="PGJ18" s="418"/>
      <c r="PGK18" s="418"/>
      <c r="PGL18" s="418"/>
      <c r="PGM18" s="418"/>
      <c r="PGN18" s="418"/>
      <c r="PGO18" s="418"/>
      <c r="PGP18" s="418"/>
      <c r="PGQ18" s="418"/>
      <c r="PGR18" s="418"/>
      <c r="PGS18" s="418"/>
      <c r="PGT18" s="418"/>
      <c r="PGU18" s="418"/>
      <c r="PGV18" s="418"/>
      <c r="PGW18" s="418"/>
      <c r="PGX18" s="418"/>
      <c r="PGY18" s="418"/>
      <c r="PGZ18" s="418"/>
      <c r="PHA18" s="418"/>
      <c r="PHB18" s="418"/>
      <c r="PHC18" s="418"/>
      <c r="PHD18" s="418"/>
      <c r="PHE18" s="418"/>
      <c r="PHF18" s="418"/>
      <c r="PHG18" s="418"/>
      <c r="PHH18" s="418"/>
      <c r="PHI18" s="418"/>
      <c r="PHJ18" s="418"/>
      <c r="PHK18" s="418"/>
      <c r="PHL18" s="418"/>
      <c r="PHM18" s="418"/>
      <c r="PHN18" s="418"/>
      <c r="PHO18" s="418"/>
      <c r="PHP18" s="418"/>
      <c r="PHQ18" s="418"/>
      <c r="PHR18" s="418"/>
      <c r="PHS18" s="418"/>
      <c r="PHT18" s="418"/>
      <c r="PHU18" s="418"/>
      <c r="PHV18" s="418"/>
      <c r="PHW18" s="418"/>
      <c r="PHX18" s="418"/>
      <c r="PHY18" s="418"/>
      <c r="PHZ18" s="418"/>
      <c r="PIA18" s="418"/>
      <c r="PIB18" s="418"/>
      <c r="PIC18" s="418"/>
      <c r="PID18" s="418"/>
      <c r="PIE18" s="418"/>
      <c r="PIF18" s="418"/>
      <c r="PIG18" s="418"/>
      <c r="PIH18" s="418"/>
      <c r="PII18" s="418"/>
      <c r="PIJ18" s="418"/>
      <c r="PIK18" s="418"/>
      <c r="PIL18" s="418"/>
      <c r="PIM18" s="418"/>
      <c r="PIN18" s="418"/>
      <c r="PIO18" s="418"/>
      <c r="PIP18" s="418"/>
      <c r="PIQ18" s="418"/>
      <c r="PIR18" s="418"/>
      <c r="PIS18" s="418"/>
      <c r="PIT18" s="418"/>
      <c r="PIU18" s="418"/>
      <c r="PIV18" s="418"/>
      <c r="PIW18" s="418"/>
      <c r="PIX18" s="418"/>
      <c r="PIY18" s="418"/>
      <c r="PIZ18" s="418"/>
      <c r="PJA18" s="418"/>
      <c r="PJB18" s="418"/>
      <c r="PJC18" s="418"/>
      <c r="PJD18" s="418"/>
      <c r="PJE18" s="418"/>
      <c r="PJF18" s="418"/>
      <c r="PJG18" s="418"/>
      <c r="PJH18" s="418"/>
      <c r="PJI18" s="418"/>
      <c r="PJJ18" s="418"/>
      <c r="PJK18" s="418"/>
      <c r="PJL18" s="418"/>
      <c r="PJM18" s="418"/>
      <c r="PJN18" s="418"/>
      <c r="PJO18" s="418"/>
      <c r="PJP18" s="418"/>
      <c r="PJQ18" s="418"/>
      <c r="PJR18" s="418"/>
      <c r="PJS18" s="418"/>
      <c r="PJT18" s="418"/>
      <c r="PJU18" s="418"/>
      <c r="PJV18" s="418"/>
      <c r="PJW18" s="418"/>
      <c r="PJX18" s="418"/>
      <c r="PJY18" s="418"/>
      <c r="PJZ18" s="418"/>
      <c r="PKA18" s="418"/>
      <c r="PKB18" s="418"/>
      <c r="PKC18" s="418"/>
      <c r="PKD18" s="418"/>
      <c r="PKE18" s="418"/>
      <c r="PKF18" s="418"/>
      <c r="PKG18" s="418"/>
      <c r="PKH18" s="418"/>
      <c r="PKI18" s="418"/>
      <c r="PKJ18" s="418"/>
      <c r="PKK18" s="418"/>
      <c r="PKL18" s="418"/>
      <c r="PKM18" s="418"/>
      <c r="PKN18" s="418"/>
      <c r="PKO18" s="418"/>
      <c r="PKP18" s="418"/>
      <c r="PKQ18" s="418"/>
      <c r="PKR18" s="418"/>
      <c r="PKS18" s="418"/>
      <c r="PKT18" s="418"/>
      <c r="PKU18" s="418"/>
      <c r="PKV18" s="418"/>
      <c r="PKW18" s="418"/>
      <c r="PKX18" s="418"/>
      <c r="PKY18" s="418"/>
      <c r="PKZ18" s="418"/>
      <c r="PLA18" s="418"/>
      <c r="PLB18" s="418"/>
      <c r="PLC18" s="418"/>
      <c r="PLD18" s="418"/>
      <c r="PLE18" s="418"/>
      <c r="PLF18" s="418"/>
      <c r="PLG18" s="418"/>
      <c r="PLH18" s="418"/>
      <c r="PLI18" s="418"/>
      <c r="PLJ18" s="418"/>
      <c r="PLK18" s="418"/>
      <c r="PLL18" s="418"/>
      <c r="PLM18" s="418"/>
      <c r="PLN18" s="418"/>
      <c r="PLO18" s="418"/>
      <c r="PLP18" s="418"/>
      <c r="PLQ18" s="418"/>
      <c r="PLR18" s="418"/>
      <c r="PLS18" s="418"/>
      <c r="PLT18" s="418"/>
      <c r="PLU18" s="418"/>
      <c r="PLV18" s="418"/>
      <c r="PLW18" s="418"/>
      <c r="PLX18" s="418"/>
      <c r="PLY18" s="418"/>
      <c r="PLZ18" s="418"/>
      <c r="PMA18" s="418"/>
      <c r="PMB18" s="418"/>
      <c r="PMC18" s="418"/>
      <c r="PMD18" s="418"/>
      <c r="PME18" s="418"/>
      <c r="PMF18" s="418"/>
      <c r="PMG18" s="418"/>
      <c r="PMH18" s="418"/>
      <c r="PMI18" s="418"/>
      <c r="PMJ18" s="418"/>
      <c r="PMK18" s="418"/>
      <c r="PML18" s="418"/>
      <c r="PMM18" s="418"/>
      <c r="PMN18" s="418"/>
      <c r="PMO18" s="418"/>
      <c r="PMP18" s="418"/>
      <c r="PMQ18" s="418"/>
      <c r="PMR18" s="418"/>
      <c r="PMS18" s="418"/>
      <c r="PMT18" s="418"/>
      <c r="PMU18" s="418"/>
      <c r="PMV18" s="418"/>
      <c r="PMW18" s="418"/>
      <c r="PMX18" s="418"/>
      <c r="PMY18" s="418"/>
      <c r="PMZ18" s="418"/>
      <c r="PNA18" s="418"/>
      <c r="PNB18" s="418"/>
      <c r="PNC18" s="418"/>
      <c r="PND18" s="418"/>
      <c r="PNE18" s="418"/>
      <c r="PNF18" s="418"/>
      <c r="PNG18" s="418"/>
      <c r="PNH18" s="418"/>
      <c r="PNI18" s="418"/>
      <c r="PNJ18" s="418"/>
      <c r="PNK18" s="418"/>
      <c r="PNL18" s="418"/>
      <c r="PNM18" s="418"/>
      <c r="PNN18" s="418"/>
      <c r="PNO18" s="418"/>
      <c r="PNP18" s="418"/>
      <c r="PNQ18" s="418"/>
      <c r="PNR18" s="418"/>
      <c r="PNS18" s="418"/>
      <c r="PNT18" s="418"/>
      <c r="PNU18" s="418"/>
      <c r="PNV18" s="418"/>
      <c r="PNW18" s="418"/>
      <c r="PNX18" s="418"/>
      <c r="PNY18" s="418"/>
      <c r="PNZ18" s="418"/>
      <c r="POA18" s="418"/>
      <c r="POB18" s="418"/>
      <c r="POC18" s="418"/>
      <c r="POD18" s="418"/>
      <c r="POE18" s="418"/>
      <c r="POF18" s="418"/>
      <c r="POG18" s="418"/>
      <c r="POH18" s="418"/>
      <c r="POI18" s="418"/>
      <c r="POJ18" s="418"/>
      <c r="POK18" s="418"/>
      <c r="POL18" s="418"/>
      <c r="POM18" s="418"/>
      <c r="PON18" s="418"/>
      <c r="POO18" s="418"/>
      <c r="POP18" s="418"/>
      <c r="POQ18" s="418"/>
      <c r="POR18" s="418"/>
      <c r="POS18" s="418"/>
      <c r="POT18" s="418"/>
      <c r="POU18" s="418"/>
      <c r="POV18" s="418"/>
      <c r="POW18" s="418"/>
      <c r="POX18" s="418"/>
      <c r="POY18" s="418"/>
      <c r="POZ18" s="418"/>
      <c r="PPA18" s="418"/>
      <c r="PPB18" s="418"/>
      <c r="PPC18" s="418"/>
      <c r="PPD18" s="418"/>
      <c r="PPE18" s="418"/>
      <c r="PPF18" s="418"/>
      <c r="PPG18" s="418"/>
      <c r="PPH18" s="418"/>
      <c r="PPI18" s="418"/>
      <c r="PPJ18" s="418"/>
      <c r="PPK18" s="418"/>
      <c r="PPL18" s="418"/>
      <c r="PPM18" s="418"/>
      <c r="PPN18" s="418"/>
      <c r="PPO18" s="418"/>
      <c r="PPP18" s="418"/>
      <c r="PPQ18" s="418"/>
      <c r="PPR18" s="418"/>
      <c r="PPS18" s="418"/>
      <c r="PPT18" s="418"/>
      <c r="PPU18" s="418"/>
      <c r="PPV18" s="418"/>
      <c r="PPW18" s="418"/>
      <c r="PPX18" s="418"/>
      <c r="PPY18" s="418"/>
      <c r="PPZ18" s="418"/>
      <c r="PQA18" s="418"/>
      <c r="PQB18" s="418"/>
      <c r="PQC18" s="418"/>
      <c r="PQD18" s="418"/>
      <c r="PQE18" s="418"/>
      <c r="PQF18" s="418"/>
      <c r="PQG18" s="418"/>
      <c r="PQH18" s="418"/>
      <c r="PQI18" s="418"/>
      <c r="PQJ18" s="418"/>
      <c r="PQK18" s="418"/>
      <c r="PQL18" s="418"/>
      <c r="PQM18" s="418"/>
      <c r="PQN18" s="418"/>
      <c r="PQO18" s="418"/>
      <c r="PQP18" s="418"/>
      <c r="PQQ18" s="418"/>
      <c r="PQR18" s="418"/>
      <c r="PQS18" s="418"/>
      <c r="PQT18" s="418"/>
      <c r="PQU18" s="418"/>
      <c r="PQV18" s="418"/>
      <c r="PQW18" s="418"/>
      <c r="PQX18" s="418"/>
      <c r="PQY18" s="418"/>
      <c r="PQZ18" s="418"/>
      <c r="PRA18" s="418"/>
      <c r="PRB18" s="418"/>
      <c r="PRC18" s="418"/>
      <c r="PRD18" s="418"/>
      <c r="PRE18" s="418"/>
      <c r="PRF18" s="418"/>
      <c r="PRG18" s="418"/>
      <c r="PRH18" s="418"/>
      <c r="PRI18" s="418"/>
      <c r="PRJ18" s="418"/>
      <c r="PRK18" s="418"/>
      <c r="PRL18" s="418"/>
      <c r="PRM18" s="418"/>
      <c r="PRN18" s="418"/>
      <c r="PRO18" s="418"/>
      <c r="PRP18" s="418"/>
      <c r="PRQ18" s="418"/>
      <c r="PRR18" s="418"/>
      <c r="PRS18" s="418"/>
      <c r="PRT18" s="418"/>
      <c r="PRU18" s="418"/>
      <c r="PRV18" s="418"/>
      <c r="PRW18" s="418"/>
      <c r="PRX18" s="418"/>
      <c r="PRY18" s="418"/>
      <c r="PRZ18" s="418"/>
      <c r="PSA18" s="418"/>
      <c r="PSB18" s="418"/>
      <c r="PSC18" s="418"/>
      <c r="PSD18" s="418"/>
      <c r="PSE18" s="418"/>
      <c r="PSF18" s="418"/>
      <c r="PSG18" s="418"/>
      <c r="PSH18" s="418"/>
      <c r="PSI18" s="418"/>
      <c r="PSJ18" s="418"/>
      <c r="PSK18" s="418"/>
      <c r="PSL18" s="418"/>
      <c r="PSM18" s="418"/>
      <c r="PSN18" s="418"/>
      <c r="PSO18" s="418"/>
      <c r="PSP18" s="418"/>
      <c r="PSQ18" s="418"/>
      <c r="PSR18" s="418"/>
      <c r="PSS18" s="418"/>
      <c r="PST18" s="418"/>
      <c r="PSU18" s="418"/>
      <c r="PSV18" s="418"/>
      <c r="PSW18" s="418"/>
      <c r="PSX18" s="418"/>
      <c r="PSY18" s="418"/>
      <c r="PSZ18" s="418"/>
      <c r="PTA18" s="418"/>
      <c r="PTB18" s="418"/>
      <c r="PTC18" s="418"/>
      <c r="PTD18" s="418"/>
      <c r="PTE18" s="418"/>
      <c r="PTF18" s="418"/>
      <c r="PTG18" s="418"/>
      <c r="PTH18" s="418"/>
      <c r="PTI18" s="418"/>
      <c r="PTJ18" s="418"/>
      <c r="PTK18" s="418"/>
      <c r="PTL18" s="418"/>
      <c r="PTM18" s="418"/>
      <c r="PTN18" s="418"/>
      <c r="PTO18" s="418"/>
      <c r="PTP18" s="418"/>
      <c r="PTQ18" s="418"/>
      <c r="PTR18" s="418"/>
      <c r="PTS18" s="418"/>
      <c r="PTT18" s="418"/>
      <c r="PTU18" s="418"/>
      <c r="PTV18" s="418"/>
      <c r="PTW18" s="418"/>
      <c r="PTX18" s="418"/>
      <c r="PTY18" s="418"/>
      <c r="PTZ18" s="418"/>
      <c r="PUA18" s="418"/>
      <c r="PUB18" s="418"/>
      <c r="PUC18" s="418"/>
      <c r="PUD18" s="418"/>
      <c r="PUE18" s="418"/>
      <c r="PUF18" s="418"/>
      <c r="PUG18" s="418"/>
      <c r="PUH18" s="418"/>
      <c r="PUI18" s="418"/>
      <c r="PUJ18" s="418"/>
      <c r="PUK18" s="418"/>
      <c r="PUL18" s="418"/>
      <c r="PUM18" s="418"/>
      <c r="PUN18" s="418"/>
      <c r="PUO18" s="418"/>
      <c r="PUP18" s="418"/>
      <c r="PUQ18" s="418"/>
      <c r="PUR18" s="418"/>
      <c r="PUS18" s="418"/>
      <c r="PUT18" s="418"/>
      <c r="PUU18" s="418"/>
      <c r="PUV18" s="418"/>
      <c r="PUW18" s="418"/>
      <c r="PUX18" s="418"/>
      <c r="PUY18" s="418"/>
      <c r="PUZ18" s="418"/>
      <c r="PVA18" s="418"/>
      <c r="PVB18" s="418"/>
      <c r="PVC18" s="418"/>
      <c r="PVD18" s="418"/>
      <c r="PVE18" s="418"/>
      <c r="PVF18" s="418"/>
      <c r="PVG18" s="418"/>
      <c r="PVH18" s="418"/>
      <c r="PVI18" s="418"/>
      <c r="PVJ18" s="418"/>
      <c r="PVK18" s="418"/>
      <c r="PVL18" s="418"/>
      <c r="PVM18" s="418"/>
      <c r="PVN18" s="418"/>
      <c r="PVO18" s="418"/>
      <c r="PVP18" s="418"/>
      <c r="PVQ18" s="418"/>
      <c r="PVR18" s="418"/>
      <c r="PVS18" s="418"/>
      <c r="PVT18" s="418"/>
      <c r="PVU18" s="418"/>
      <c r="PVV18" s="418"/>
      <c r="PVW18" s="418"/>
      <c r="PVX18" s="418"/>
      <c r="PVY18" s="418"/>
      <c r="PVZ18" s="418"/>
      <c r="PWA18" s="418"/>
      <c r="PWB18" s="418"/>
      <c r="PWC18" s="418"/>
      <c r="PWD18" s="418"/>
      <c r="PWE18" s="418"/>
      <c r="PWF18" s="418"/>
      <c r="PWG18" s="418"/>
      <c r="PWH18" s="418"/>
      <c r="PWI18" s="418"/>
      <c r="PWJ18" s="418"/>
      <c r="PWK18" s="418"/>
      <c r="PWL18" s="418"/>
      <c r="PWM18" s="418"/>
      <c r="PWN18" s="418"/>
      <c r="PWO18" s="418"/>
      <c r="PWP18" s="418"/>
      <c r="PWQ18" s="418"/>
      <c r="PWR18" s="418"/>
      <c r="PWS18" s="418"/>
      <c r="PWT18" s="418"/>
      <c r="PWU18" s="418"/>
      <c r="PWV18" s="418"/>
      <c r="PWW18" s="418"/>
      <c r="PWX18" s="418"/>
      <c r="PWY18" s="418"/>
      <c r="PWZ18" s="418"/>
      <c r="PXA18" s="418"/>
      <c r="PXB18" s="418"/>
      <c r="PXC18" s="418"/>
      <c r="PXD18" s="418"/>
      <c r="PXE18" s="418"/>
      <c r="PXF18" s="418"/>
      <c r="PXG18" s="418"/>
      <c r="PXH18" s="418"/>
      <c r="PXI18" s="418"/>
      <c r="PXJ18" s="418"/>
      <c r="PXK18" s="418"/>
      <c r="PXL18" s="418"/>
      <c r="PXM18" s="418"/>
      <c r="PXN18" s="418"/>
      <c r="PXO18" s="418"/>
      <c r="PXP18" s="418"/>
      <c r="PXQ18" s="418"/>
      <c r="PXR18" s="418"/>
      <c r="PXS18" s="418"/>
      <c r="PXT18" s="418"/>
      <c r="PXU18" s="418"/>
      <c r="PXV18" s="418"/>
      <c r="PXW18" s="418"/>
      <c r="PXX18" s="418"/>
      <c r="PXY18" s="418"/>
      <c r="PXZ18" s="418"/>
      <c r="PYA18" s="418"/>
      <c r="PYB18" s="418"/>
      <c r="PYC18" s="418"/>
      <c r="PYD18" s="418"/>
      <c r="PYE18" s="418"/>
      <c r="PYF18" s="418"/>
      <c r="PYG18" s="418"/>
      <c r="PYH18" s="418"/>
      <c r="PYI18" s="418"/>
      <c r="PYJ18" s="418"/>
      <c r="PYK18" s="418"/>
      <c r="PYL18" s="418"/>
      <c r="PYM18" s="418"/>
      <c r="PYN18" s="418"/>
      <c r="PYO18" s="418"/>
      <c r="PYP18" s="418"/>
      <c r="PYQ18" s="418"/>
      <c r="PYR18" s="418"/>
      <c r="PYS18" s="418"/>
      <c r="PYT18" s="418"/>
      <c r="PYU18" s="418"/>
      <c r="PYV18" s="418"/>
      <c r="PYW18" s="418"/>
      <c r="PYX18" s="418"/>
      <c r="PYY18" s="418"/>
      <c r="PYZ18" s="418"/>
      <c r="PZA18" s="418"/>
      <c r="PZB18" s="418"/>
      <c r="PZC18" s="418"/>
      <c r="PZD18" s="418"/>
      <c r="PZE18" s="418"/>
      <c r="PZF18" s="418"/>
      <c r="PZG18" s="418"/>
      <c r="PZH18" s="418"/>
      <c r="PZI18" s="418"/>
      <c r="PZJ18" s="418"/>
      <c r="PZK18" s="418"/>
      <c r="PZL18" s="418"/>
      <c r="PZM18" s="418"/>
      <c r="PZN18" s="418"/>
      <c r="PZO18" s="418"/>
      <c r="PZP18" s="418"/>
      <c r="PZQ18" s="418"/>
      <c r="PZR18" s="418"/>
      <c r="PZS18" s="418"/>
      <c r="PZT18" s="418"/>
      <c r="PZU18" s="418"/>
      <c r="PZV18" s="418"/>
      <c r="PZW18" s="418"/>
      <c r="PZX18" s="418"/>
      <c r="PZY18" s="418"/>
      <c r="PZZ18" s="418"/>
      <c r="QAA18" s="418"/>
      <c r="QAB18" s="418"/>
      <c r="QAC18" s="418"/>
      <c r="QAD18" s="418"/>
      <c r="QAE18" s="418"/>
      <c r="QAF18" s="418"/>
      <c r="QAG18" s="418"/>
      <c r="QAH18" s="418"/>
      <c r="QAI18" s="418"/>
      <c r="QAJ18" s="418"/>
      <c r="QAK18" s="418"/>
      <c r="QAL18" s="418"/>
      <c r="QAM18" s="418"/>
      <c r="QAN18" s="418"/>
      <c r="QAO18" s="418"/>
      <c r="QAP18" s="418"/>
      <c r="QAQ18" s="418"/>
      <c r="QAR18" s="418"/>
      <c r="QAS18" s="418"/>
      <c r="QAT18" s="418"/>
      <c r="QAU18" s="418"/>
      <c r="QAV18" s="418"/>
      <c r="QAW18" s="418"/>
      <c r="QAX18" s="418"/>
      <c r="QAY18" s="418"/>
      <c r="QAZ18" s="418"/>
      <c r="QBA18" s="418"/>
      <c r="QBB18" s="418"/>
      <c r="QBC18" s="418"/>
      <c r="QBD18" s="418"/>
      <c r="QBE18" s="418"/>
      <c r="QBF18" s="418"/>
      <c r="QBG18" s="418"/>
      <c r="QBH18" s="418"/>
      <c r="QBI18" s="418"/>
      <c r="QBJ18" s="418"/>
      <c r="QBK18" s="418"/>
      <c r="QBL18" s="418"/>
      <c r="QBM18" s="418"/>
      <c r="QBN18" s="418"/>
      <c r="QBO18" s="418"/>
      <c r="QBP18" s="418"/>
      <c r="QBQ18" s="418"/>
      <c r="QBR18" s="418"/>
      <c r="QBS18" s="418"/>
      <c r="QBT18" s="418"/>
      <c r="QBU18" s="418"/>
      <c r="QBV18" s="418"/>
      <c r="QBW18" s="418"/>
      <c r="QBX18" s="418"/>
      <c r="QBY18" s="418"/>
      <c r="QBZ18" s="418"/>
      <c r="QCA18" s="418"/>
      <c r="QCB18" s="418"/>
      <c r="QCC18" s="418"/>
      <c r="QCD18" s="418"/>
      <c r="QCE18" s="418"/>
      <c r="QCF18" s="418"/>
      <c r="QCG18" s="418"/>
      <c r="QCH18" s="418"/>
      <c r="QCI18" s="418"/>
      <c r="QCJ18" s="418"/>
      <c r="QCK18" s="418"/>
      <c r="QCL18" s="418"/>
      <c r="QCM18" s="418"/>
      <c r="QCN18" s="418"/>
      <c r="QCO18" s="418"/>
      <c r="QCP18" s="418"/>
      <c r="QCQ18" s="418"/>
      <c r="QCR18" s="418"/>
      <c r="QCS18" s="418"/>
      <c r="QCT18" s="418"/>
      <c r="QCU18" s="418"/>
      <c r="QCV18" s="418"/>
      <c r="QCW18" s="418"/>
      <c r="QCX18" s="418"/>
      <c r="QCY18" s="418"/>
      <c r="QCZ18" s="418"/>
      <c r="QDA18" s="418"/>
      <c r="QDB18" s="418"/>
      <c r="QDC18" s="418"/>
      <c r="QDD18" s="418"/>
      <c r="QDE18" s="418"/>
      <c r="QDF18" s="418"/>
      <c r="QDG18" s="418"/>
      <c r="QDH18" s="418"/>
      <c r="QDI18" s="418"/>
      <c r="QDJ18" s="418"/>
      <c r="QDK18" s="418"/>
      <c r="QDL18" s="418"/>
      <c r="QDM18" s="418"/>
      <c r="QDN18" s="418"/>
      <c r="QDO18" s="418"/>
      <c r="QDP18" s="418"/>
      <c r="QDQ18" s="418"/>
      <c r="QDR18" s="418"/>
      <c r="QDS18" s="418"/>
      <c r="QDT18" s="418"/>
      <c r="QDU18" s="418"/>
      <c r="QDV18" s="418"/>
      <c r="QDW18" s="418"/>
      <c r="QDX18" s="418"/>
      <c r="QDY18" s="418"/>
      <c r="QDZ18" s="418"/>
      <c r="QEA18" s="418"/>
      <c r="QEB18" s="418"/>
      <c r="QEC18" s="418"/>
      <c r="QED18" s="418"/>
      <c r="QEE18" s="418"/>
      <c r="QEF18" s="418"/>
      <c r="QEG18" s="418"/>
      <c r="QEH18" s="418"/>
      <c r="QEI18" s="418"/>
      <c r="QEJ18" s="418"/>
      <c r="QEK18" s="418"/>
      <c r="QEL18" s="418"/>
      <c r="QEM18" s="418"/>
      <c r="QEN18" s="418"/>
      <c r="QEO18" s="418"/>
      <c r="QEP18" s="418"/>
      <c r="QEQ18" s="418"/>
      <c r="QER18" s="418"/>
      <c r="QES18" s="418"/>
      <c r="QET18" s="418"/>
      <c r="QEU18" s="418"/>
      <c r="QEV18" s="418"/>
      <c r="QEW18" s="418"/>
      <c r="QEX18" s="418"/>
      <c r="QEY18" s="418"/>
      <c r="QEZ18" s="418"/>
      <c r="QFA18" s="418"/>
      <c r="QFB18" s="418"/>
      <c r="QFC18" s="418"/>
      <c r="QFD18" s="418"/>
      <c r="QFE18" s="418"/>
      <c r="QFF18" s="418"/>
      <c r="QFG18" s="418"/>
      <c r="QFH18" s="418"/>
      <c r="QFI18" s="418"/>
      <c r="QFJ18" s="418"/>
      <c r="QFK18" s="418"/>
      <c r="QFL18" s="418"/>
      <c r="QFM18" s="418"/>
      <c r="QFN18" s="418"/>
      <c r="QFO18" s="418"/>
      <c r="QFP18" s="418"/>
      <c r="QFQ18" s="418"/>
      <c r="QFR18" s="418"/>
      <c r="QFS18" s="418"/>
      <c r="QFT18" s="418"/>
      <c r="QFU18" s="418"/>
      <c r="QFV18" s="418"/>
      <c r="QFW18" s="418"/>
      <c r="QFX18" s="418"/>
      <c r="QFY18" s="418"/>
      <c r="QFZ18" s="418"/>
      <c r="QGA18" s="418"/>
      <c r="QGB18" s="418"/>
      <c r="QGC18" s="418"/>
      <c r="QGD18" s="418"/>
      <c r="QGE18" s="418"/>
      <c r="QGF18" s="418"/>
      <c r="QGG18" s="418"/>
      <c r="QGH18" s="418"/>
      <c r="QGI18" s="418"/>
      <c r="QGJ18" s="418"/>
      <c r="QGK18" s="418"/>
      <c r="QGL18" s="418"/>
      <c r="QGM18" s="418"/>
      <c r="QGN18" s="418"/>
      <c r="QGO18" s="418"/>
      <c r="QGP18" s="418"/>
      <c r="QGQ18" s="418"/>
      <c r="QGR18" s="418"/>
      <c r="QGS18" s="418"/>
      <c r="QGT18" s="418"/>
      <c r="QGU18" s="418"/>
      <c r="QGV18" s="418"/>
      <c r="QGW18" s="418"/>
      <c r="QGX18" s="418"/>
      <c r="QGY18" s="418"/>
      <c r="QGZ18" s="418"/>
      <c r="QHA18" s="418"/>
      <c r="QHB18" s="418"/>
      <c r="QHC18" s="418"/>
      <c r="QHD18" s="418"/>
      <c r="QHE18" s="418"/>
      <c r="QHF18" s="418"/>
      <c r="QHG18" s="418"/>
      <c r="QHH18" s="418"/>
      <c r="QHI18" s="418"/>
      <c r="QHJ18" s="418"/>
      <c r="QHK18" s="418"/>
      <c r="QHL18" s="418"/>
      <c r="QHM18" s="418"/>
      <c r="QHN18" s="418"/>
      <c r="QHO18" s="418"/>
      <c r="QHP18" s="418"/>
      <c r="QHQ18" s="418"/>
      <c r="QHR18" s="418"/>
      <c r="QHS18" s="418"/>
      <c r="QHT18" s="418"/>
      <c r="QHU18" s="418"/>
      <c r="QHV18" s="418"/>
      <c r="QHW18" s="418"/>
      <c r="QHX18" s="418"/>
      <c r="QHY18" s="418"/>
      <c r="QHZ18" s="418"/>
      <c r="QIA18" s="418"/>
      <c r="QIB18" s="418"/>
      <c r="QIC18" s="418"/>
      <c r="QID18" s="418"/>
      <c r="QIE18" s="418"/>
      <c r="QIF18" s="418"/>
      <c r="QIG18" s="418"/>
      <c r="QIH18" s="418"/>
      <c r="QII18" s="418"/>
      <c r="QIJ18" s="418"/>
      <c r="QIK18" s="418"/>
      <c r="QIL18" s="418"/>
      <c r="QIM18" s="418"/>
      <c r="QIN18" s="418"/>
      <c r="QIO18" s="418"/>
      <c r="QIP18" s="418"/>
      <c r="QIQ18" s="418"/>
      <c r="QIR18" s="418"/>
      <c r="QIS18" s="418"/>
      <c r="QIT18" s="418"/>
      <c r="QIU18" s="418"/>
      <c r="QIV18" s="418"/>
      <c r="QIW18" s="418"/>
      <c r="QIX18" s="418"/>
      <c r="QIY18" s="418"/>
      <c r="QIZ18" s="418"/>
      <c r="QJA18" s="418"/>
      <c r="QJB18" s="418"/>
      <c r="QJC18" s="418"/>
      <c r="QJD18" s="418"/>
      <c r="QJE18" s="418"/>
      <c r="QJF18" s="418"/>
      <c r="QJG18" s="418"/>
      <c r="QJH18" s="418"/>
      <c r="QJI18" s="418"/>
      <c r="QJJ18" s="418"/>
      <c r="QJK18" s="418"/>
      <c r="QJL18" s="418"/>
      <c r="QJM18" s="418"/>
      <c r="QJN18" s="418"/>
      <c r="QJO18" s="418"/>
      <c r="QJP18" s="418"/>
      <c r="QJQ18" s="418"/>
      <c r="QJR18" s="418"/>
      <c r="QJS18" s="418"/>
      <c r="QJT18" s="418"/>
      <c r="QJU18" s="418"/>
      <c r="QJV18" s="418"/>
      <c r="QJW18" s="418"/>
      <c r="QJX18" s="418"/>
      <c r="QJY18" s="418"/>
      <c r="QJZ18" s="418"/>
      <c r="QKA18" s="418"/>
      <c r="QKB18" s="418"/>
      <c r="QKC18" s="418"/>
      <c r="QKD18" s="418"/>
      <c r="QKE18" s="418"/>
      <c r="QKF18" s="418"/>
      <c r="QKG18" s="418"/>
      <c r="QKH18" s="418"/>
      <c r="QKI18" s="418"/>
      <c r="QKJ18" s="418"/>
      <c r="QKK18" s="418"/>
      <c r="QKL18" s="418"/>
      <c r="QKM18" s="418"/>
      <c r="QKN18" s="418"/>
      <c r="QKO18" s="418"/>
      <c r="QKP18" s="418"/>
      <c r="QKQ18" s="418"/>
      <c r="QKR18" s="418"/>
      <c r="QKS18" s="418"/>
      <c r="QKT18" s="418"/>
      <c r="QKU18" s="418"/>
      <c r="QKV18" s="418"/>
      <c r="QKW18" s="418"/>
      <c r="QKX18" s="418"/>
      <c r="QKY18" s="418"/>
      <c r="QKZ18" s="418"/>
      <c r="QLA18" s="418"/>
      <c r="QLB18" s="418"/>
      <c r="QLC18" s="418"/>
      <c r="QLD18" s="418"/>
      <c r="QLE18" s="418"/>
      <c r="QLF18" s="418"/>
      <c r="QLG18" s="418"/>
      <c r="QLH18" s="418"/>
      <c r="QLI18" s="418"/>
      <c r="QLJ18" s="418"/>
      <c r="QLK18" s="418"/>
      <c r="QLL18" s="418"/>
      <c r="QLM18" s="418"/>
      <c r="QLN18" s="418"/>
      <c r="QLO18" s="418"/>
      <c r="QLP18" s="418"/>
      <c r="QLQ18" s="418"/>
      <c r="QLR18" s="418"/>
      <c r="QLS18" s="418"/>
      <c r="QLT18" s="418"/>
      <c r="QLU18" s="418"/>
      <c r="QLV18" s="418"/>
      <c r="QLW18" s="418"/>
      <c r="QLX18" s="418"/>
      <c r="QLY18" s="418"/>
      <c r="QLZ18" s="418"/>
      <c r="QMA18" s="418"/>
      <c r="QMB18" s="418"/>
      <c r="QMC18" s="418"/>
      <c r="QMD18" s="418"/>
      <c r="QME18" s="418"/>
      <c r="QMF18" s="418"/>
      <c r="QMG18" s="418"/>
      <c r="QMH18" s="418"/>
      <c r="QMI18" s="418"/>
      <c r="QMJ18" s="418"/>
      <c r="QMK18" s="418"/>
      <c r="QML18" s="418"/>
      <c r="QMM18" s="418"/>
      <c r="QMN18" s="418"/>
      <c r="QMO18" s="418"/>
      <c r="QMP18" s="418"/>
      <c r="QMQ18" s="418"/>
      <c r="QMR18" s="418"/>
      <c r="QMS18" s="418"/>
      <c r="QMT18" s="418"/>
      <c r="QMU18" s="418"/>
      <c r="QMV18" s="418"/>
      <c r="QMW18" s="418"/>
      <c r="QMX18" s="418"/>
      <c r="QMY18" s="418"/>
      <c r="QMZ18" s="418"/>
      <c r="QNA18" s="418"/>
      <c r="QNB18" s="418"/>
      <c r="QNC18" s="418"/>
      <c r="QND18" s="418"/>
      <c r="QNE18" s="418"/>
      <c r="QNF18" s="418"/>
      <c r="QNG18" s="418"/>
      <c r="QNH18" s="418"/>
      <c r="QNI18" s="418"/>
      <c r="QNJ18" s="418"/>
      <c r="QNK18" s="418"/>
      <c r="QNL18" s="418"/>
      <c r="QNM18" s="418"/>
      <c r="QNN18" s="418"/>
      <c r="QNO18" s="418"/>
      <c r="QNP18" s="418"/>
      <c r="QNQ18" s="418"/>
      <c r="QNR18" s="418"/>
      <c r="QNS18" s="418"/>
      <c r="QNT18" s="418"/>
      <c r="QNU18" s="418"/>
      <c r="QNV18" s="418"/>
      <c r="QNW18" s="418"/>
      <c r="QNX18" s="418"/>
      <c r="QNY18" s="418"/>
      <c r="QNZ18" s="418"/>
      <c r="QOA18" s="418"/>
      <c r="QOB18" s="418"/>
      <c r="QOC18" s="418"/>
      <c r="QOD18" s="418"/>
      <c r="QOE18" s="418"/>
      <c r="QOF18" s="418"/>
      <c r="QOG18" s="418"/>
      <c r="QOH18" s="418"/>
      <c r="QOI18" s="418"/>
      <c r="QOJ18" s="418"/>
      <c r="QOK18" s="418"/>
      <c r="QOL18" s="418"/>
      <c r="QOM18" s="418"/>
      <c r="QON18" s="418"/>
      <c r="QOO18" s="418"/>
      <c r="QOP18" s="418"/>
      <c r="QOQ18" s="418"/>
      <c r="QOR18" s="418"/>
      <c r="QOS18" s="418"/>
      <c r="QOT18" s="418"/>
      <c r="QOU18" s="418"/>
      <c r="QOV18" s="418"/>
      <c r="QOW18" s="418"/>
      <c r="QOX18" s="418"/>
      <c r="QOY18" s="418"/>
      <c r="QOZ18" s="418"/>
      <c r="QPA18" s="418"/>
      <c r="QPB18" s="418"/>
      <c r="QPC18" s="418"/>
      <c r="QPD18" s="418"/>
      <c r="QPE18" s="418"/>
      <c r="QPF18" s="418"/>
      <c r="QPG18" s="418"/>
      <c r="QPH18" s="418"/>
      <c r="QPI18" s="418"/>
      <c r="QPJ18" s="418"/>
      <c r="QPK18" s="418"/>
      <c r="QPL18" s="418"/>
      <c r="QPM18" s="418"/>
      <c r="QPN18" s="418"/>
      <c r="QPO18" s="418"/>
      <c r="QPP18" s="418"/>
      <c r="QPQ18" s="418"/>
      <c r="QPR18" s="418"/>
      <c r="QPS18" s="418"/>
      <c r="QPT18" s="418"/>
      <c r="QPU18" s="418"/>
      <c r="QPV18" s="418"/>
      <c r="QPW18" s="418"/>
      <c r="QPX18" s="418"/>
      <c r="QPY18" s="418"/>
      <c r="QPZ18" s="418"/>
      <c r="QQA18" s="418"/>
      <c r="QQB18" s="418"/>
      <c r="QQC18" s="418"/>
      <c r="QQD18" s="418"/>
      <c r="QQE18" s="418"/>
      <c r="QQF18" s="418"/>
      <c r="QQG18" s="418"/>
      <c r="QQH18" s="418"/>
      <c r="QQI18" s="418"/>
      <c r="QQJ18" s="418"/>
      <c r="QQK18" s="418"/>
      <c r="QQL18" s="418"/>
      <c r="QQM18" s="418"/>
      <c r="QQN18" s="418"/>
      <c r="QQO18" s="418"/>
      <c r="QQP18" s="418"/>
      <c r="QQQ18" s="418"/>
      <c r="QQR18" s="418"/>
      <c r="QQS18" s="418"/>
      <c r="QQT18" s="418"/>
      <c r="QQU18" s="418"/>
      <c r="QQV18" s="418"/>
      <c r="QQW18" s="418"/>
      <c r="QQX18" s="418"/>
      <c r="QQY18" s="418"/>
      <c r="QQZ18" s="418"/>
      <c r="QRA18" s="418"/>
      <c r="QRB18" s="418"/>
      <c r="QRC18" s="418"/>
      <c r="QRD18" s="418"/>
      <c r="QRE18" s="418"/>
      <c r="QRF18" s="418"/>
      <c r="QRG18" s="418"/>
      <c r="QRH18" s="418"/>
      <c r="QRI18" s="418"/>
      <c r="QRJ18" s="418"/>
      <c r="QRK18" s="418"/>
      <c r="QRL18" s="418"/>
      <c r="QRM18" s="418"/>
      <c r="QRN18" s="418"/>
      <c r="QRO18" s="418"/>
      <c r="QRP18" s="418"/>
      <c r="QRQ18" s="418"/>
      <c r="QRR18" s="418"/>
      <c r="QRS18" s="418"/>
      <c r="QRT18" s="418"/>
      <c r="QRU18" s="418"/>
      <c r="QRV18" s="418"/>
      <c r="QRW18" s="418"/>
      <c r="QRX18" s="418"/>
      <c r="QRY18" s="418"/>
      <c r="QRZ18" s="418"/>
      <c r="QSA18" s="418"/>
      <c r="QSB18" s="418"/>
      <c r="QSC18" s="418"/>
      <c r="QSD18" s="418"/>
      <c r="QSE18" s="418"/>
      <c r="QSF18" s="418"/>
      <c r="QSG18" s="418"/>
      <c r="QSH18" s="418"/>
      <c r="QSI18" s="418"/>
      <c r="QSJ18" s="418"/>
      <c r="QSK18" s="418"/>
      <c r="QSL18" s="418"/>
      <c r="QSM18" s="418"/>
      <c r="QSN18" s="418"/>
      <c r="QSO18" s="418"/>
      <c r="QSP18" s="418"/>
      <c r="QSQ18" s="418"/>
      <c r="QSR18" s="418"/>
      <c r="QSS18" s="418"/>
      <c r="QST18" s="418"/>
      <c r="QSU18" s="418"/>
      <c r="QSV18" s="418"/>
      <c r="QSW18" s="418"/>
      <c r="QSX18" s="418"/>
      <c r="QSY18" s="418"/>
      <c r="QSZ18" s="418"/>
      <c r="QTA18" s="418"/>
      <c r="QTB18" s="418"/>
      <c r="QTC18" s="418"/>
      <c r="QTD18" s="418"/>
      <c r="QTE18" s="418"/>
      <c r="QTF18" s="418"/>
      <c r="QTG18" s="418"/>
      <c r="QTH18" s="418"/>
      <c r="QTI18" s="418"/>
      <c r="QTJ18" s="418"/>
      <c r="QTK18" s="418"/>
      <c r="QTL18" s="418"/>
      <c r="QTM18" s="418"/>
      <c r="QTN18" s="418"/>
      <c r="QTO18" s="418"/>
      <c r="QTP18" s="418"/>
      <c r="QTQ18" s="418"/>
      <c r="QTR18" s="418"/>
      <c r="QTS18" s="418"/>
      <c r="QTT18" s="418"/>
      <c r="QTU18" s="418"/>
      <c r="QTV18" s="418"/>
      <c r="QTW18" s="418"/>
      <c r="QTX18" s="418"/>
      <c r="QTY18" s="418"/>
      <c r="QTZ18" s="418"/>
      <c r="QUA18" s="418"/>
      <c r="QUB18" s="418"/>
      <c r="QUC18" s="418"/>
      <c r="QUD18" s="418"/>
      <c r="QUE18" s="418"/>
      <c r="QUF18" s="418"/>
      <c r="QUG18" s="418"/>
      <c r="QUH18" s="418"/>
      <c r="QUI18" s="418"/>
      <c r="QUJ18" s="418"/>
      <c r="QUK18" s="418"/>
      <c r="QUL18" s="418"/>
      <c r="QUM18" s="418"/>
      <c r="QUN18" s="418"/>
      <c r="QUO18" s="418"/>
      <c r="QUP18" s="418"/>
      <c r="QUQ18" s="418"/>
      <c r="QUR18" s="418"/>
      <c r="QUS18" s="418"/>
      <c r="QUT18" s="418"/>
      <c r="QUU18" s="418"/>
      <c r="QUV18" s="418"/>
      <c r="QUW18" s="418"/>
      <c r="QUX18" s="418"/>
      <c r="QUY18" s="418"/>
      <c r="QUZ18" s="418"/>
      <c r="QVA18" s="418"/>
      <c r="QVB18" s="418"/>
      <c r="QVC18" s="418"/>
      <c r="QVD18" s="418"/>
      <c r="QVE18" s="418"/>
      <c r="QVF18" s="418"/>
      <c r="QVG18" s="418"/>
      <c r="QVH18" s="418"/>
      <c r="QVI18" s="418"/>
      <c r="QVJ18" s="418"/>
      <c r="QVK18" s="418"/>
      <c r="QVL18" s="418"/>
      <c r="QVM18" s="418"/>
      <c r="QVN18" s="418"/>
      <c r="QVO18" s="418"/>
      <c r="QVP18" s="418"/>
      <c r="QVQ18" s="418"/>
      <c r="QVR18" s="418"/>
      <c r="QVS18" s="418"/>
      <c r="QVT18" s="418"/>
      <c r="QVU18" s="418"/>
      <c r="QVV18" s="418"/>
      <c r="QVW18" s="418"/>
      <c r="QVX18" s="418"/>
      <c r="QVY18" s="418"/>
      <c r="QVZ18" s="418"/>
      <c r="QWA18" s="418"/>
      <c r="QWB18" s="418"/>
      <c r="QWC18" s="418"/>
      <c r="QWD18" s="418"/>
      <c r="QWE18" s="418"/>
      <c r="QWF18" s="418"/>
      <c r="QWG18" s="418"/>
      <c r="QWH18" s="418"/>
      <c r="QWI18" s="418"/>
      <c r="QWJ18" s="418"/>
      <c r="QWK18" s="418"/>
      <c r="QWL18" s="418"/>
      <c r="QWM18" s="418"/>
      <c r="QWN18" s="418"/>
      <c r="QWO18" s="418"/>
      <c r="QWP18" s="418"/>
      <c r="QWQ18" s="418"/>
      <c r="QWR18" s="418"/>
      <c r="QWS18" s="418"/>
      <c r="QWT18" s="418"/>
      <c r="QWU18" s="418"/>
      <c r="QWV18" s="418"/>
      <c r="QWW18" s="418"/>
      <c r="QWX18" s="418"/>
      <c r="QWY18" s="418"/>
      <c r="QWZ18" s="418"/>
      <c r="QXA18" s="418"/>
      <c r="QXB18" s="418"/>
      <c r="QXC18" s="418"/>
      <c r="QXD18" s="418"/>
      <c r="QXE18" s="418"/>
      <c r="QXF18" s="418"/>
      <c r="QXG18" s="418"/>
      <c r="QXH18" s="418"/>
      <c r="QXI18" s="418"/>
      <c r="QXJ18" s="418"/>
      <c r="QXK18" s="418"/>
      <c r="QXL18" s="418"/>
      <c r="QXM18" s="418"/>
      <c r="QXN18" s="418"/>
      <c r="QXO18" s="418"/>
      <c r="QXP18" s="418"/>
      <c r="QXQ18" s="418"/>
      <c r="QXR18" s="418"/>
      <c r="QXS18" s="418"/>
      <c r="QXT18" s="418"/>
      <c r="QXU18" s="418"/>
      <c r="QXV18" s="418"/>
      <c r="QXW18" s="418"/>
      <c r="QXX18" s="418"/>
      <c r="QXY18" s="418"/>
      <c r="QXZ18" s="418"/>
      <c r="QYA18" s="418"/>
      <c r="QYB18" s="418"/>
      <c r="QYC18" s="418"/>
      <c r="QYD18" s="418"/>
      <c r="QYE18" s="418"/>
      <c r="QYF18" s="418"/>
      <c r="QYG18" s="418"/>
      <c r="QYH18" s="418"/>
      <c r="QYI18" s="418"/>
      <c r="QYJ18" s="418"/>
      <c r="QYK18" s="418"/>
      <c r="QYL18" s="418"/>
      <c r="QYM18" s="418"/>
      <c r="QYN18" s="418"/>
      <c r="QYO18" s="418"/>
      <c r="QYP18" s="418"/>
      <c r="QYQ18" s="418"/>
      <c r="QYR18" s="418"/>
      <c r="QYS18" s="418"/>
      <c r="QYT18" s="418"/>
      <c r="QYU18" s="418"/>
      <c r="QYV18" s="418"/>
      <c r="QYW18" s="418"/>
      <c r="QYX18" s="418"/>
      <c r="QYY18" s="418"/>
      <c r="QYZ18" s="418"/>
      <c r="QZA18" s="418"/>
      <c r="QZB18" s="418"/>
      <c r="QZC18" s="418"/>
      <c r="QZD18" s="418"/>
      <c r="QZE18" s="418"/>
      <c r="QZF18" s="418"/>
      <c r="QZG18" s="418"/>
      <c r="QZH18" s="418"/>
      <c r="QZI18" s="418"/>
      <c r="QZJ18" s="418"/>
      <c r="QZK18" s="418"/>
      <c r="QZL18" s="418"/>
      <c r="QZM18" s="418"/>
      <c r="QZN18" s="418"/>
      <c r="QZO18" s="418"/>
      <c r="QZP18" s="418"/>
      <c r="QZQ18" s="418"/>
      <c r="QZR18" s="418"/>
      <c r="QZS18" s="418"/>
      <c r="QZT18" s="418"/>
      <c r="QZU18" s="418"/>
      <c r="QZV18" s="418"/>
      <c r="QZW18" s="418"/>
      <c r="QZX18" s="418"/>
      <c r="QZY18" s="418"/>
      <c r="QZZ18" s="418"/>
      <c r="RAA18" s="418"/>
      <c r="RAB18" s="418"/>
      <c r="RAC18" s="418"/>
      <c r="RAD18" s="418"/>
      <c r="RAE18" s="418"/>
      <c r="RAF18" s="418"/>
      <c r="RAG18" s="418"/>
      <c r="RAH18" s="418"/>
      <c r="RAI18" s="418"/>
      <c r="RAJ18" s="418"/>
      <c r="RAK18" s="418"/>
      <c r="RAL18" s="418"/>
      <c r="RAM18" s="418"/>
      <c r="RAN18" s="418"/>
      <c r="RAO18" s="418"/>
      <c r="RAP18" s="418"/>
      <c r="RAQ18" s="418"/>
      <c r="RAR18" s="418"/>
      <c r="RAS18" s="418"/>
      <c r="RAT18" s="418"/>
      <c r="RAU18" s="418"/>
      <c r="RAV18" s="418"/>
      <c r="RAW18" s="418"/>
      <c r="RAX18" s="418"/>
      <c r="RAY18" s="418"/>
      <c r="RAZ18" s="418"/>
      <c r="RBA18" s="418"/>
      <c r="RBB18" s="418"/>
      <c r="RBC18" s="418"/>
      <c r="RBD18" s="418"/>
      <c r="RBE18" s="418"/>
      <c r="RBF18" s="418"/>
      <c r="RBG18" s="418"/>
      <c r="RBH18" s="418"/>
      <c r="RBI18" s="418"/>
      <c r="RBJ18" s="418"/>
      <c r="RBK18" s="418"/>
      <c r="RBL18" s="418"/>
      <c r="RBM18" s="418"/>
      <c r="RBN18" s="418"/>
      <c r="RBO18" s="418"/>
      <c r="RBP18" s="418"/>
      <c r="RBQ18" s="418"/>
      <c r="RBR18" s="418"/>
      <c r="RBS18" s="418"/>
      <c r="RBT18" s="418"/>
      <c r="RBU18" s="418"/>
      <c r="RBV18" s="418"/>
      <c r="RBW18" s="418"/>
      <c r="RBX18" s="418"/>
      <c r="RBY18" s="418"/>
      <c r="RBZ18" s="418"/>
      <c r="RCA18" s="418"/>
      <c r="RCB18" s="418"/>
      <c r="RCC18" s="418"/>
      <c r="RCD18" s="418"/>
      <c r="RCE18" s="418"/>
      <c r="RCF18" s="418"/>
      <c r="RCG18" s="418"/>
      <c r="RCH18" s="418"/>
      <c r="RCI18" s="418"/>
      <c r="RCJ18" s="418"/>
      <c r="RCK18" s="418"/>
      <c r="RCL18" s="418"/>
      <c r="RCM18" s="418"/>
      <c r="RCN18" s="418"/>
      <c r="RCO18" s="418"/>
      <c r="RCP18" s="418"/>
      <c r="RCQ18" s="418"/>
      <c r="RCR18" s="418"/>
      <c r="RCS18" s="418"/>
      <c r="RCT18" s="418"/>
      <c r="RCU18" s="418"/>
      <c r="RCV18" s="418"/>
      <c r="RCW18" s="418"/>
      <c r="RCX18" s="418"/>
      <c r="RCY18" s="418"/>
      <c r="RCZ18" s="418"/>
      <c r="RDA18" s="418"/>
      <c r="RDB18" s="418"/>
      <c r="RDC18" s="418"/>
      <c r="RDD18" s="418"/>
      <c r="RDE18" s="418"/>
      <c r="RDF18" s="418"/>
      <c r="RDG18" s="418"/>
      <c r="RDH18" s="418"/>
      <c r="RDI18" s="418"/>
      <c r="RDJ18" s="418"/>
      <c r="RDK18" s="418"/>
      <c r="RDL18" s="418"/>
      <c r="RDM18" s="418"/>
      <c r="RDN18" s="418"/>
      <c r="RDO18" s="418"/>
      <c r="RDP18" s="418"/>
      <c r="RDQ18" s="418"/>
      <c r="RDR18" s="418"/>
      <c r="RDS18" s="418"/>
      <c r="RDT18" s="418"/>
      <c r="RDU18" s="418"/>
      <c r="RDV18" s="418"/>
      <c r="RDW18" s="418"/>
      <c r="RDX18" s="418"/>
      <c r="RDY18" s="418"/>
      <c r="RDZ18" s="418"/>
      <c r="REA18" s="418"/>
      <c r="REB18" s="418"/>
      <c r="REC18" s="418"/>
      <c r="RED18" s="418"/>
      <c r="REE18" s="418"/>
      <c r="REF18" s="418"/>
      <c r="REG18" s="418"/>
      <c r="REH18" s="418"/>
      <c r="REI18" s="418"/>
      <c r="REJ18" s="418"/>
      <c r="REK18" s="418"/>
      <c r="REL18" s="418"/>
      <c r="REM18" s="418"/>
      <c r="REN18" s="418"/>
      <c r="REO18" s="418"/>
      <c r="REP18" s="418"/>
      <c r="REQ18" s="418"/>
      <c r="RER18" s="418"/>
      <c r="RES18" s="418"/>
      <c r="RET18" s="418"/>
      <c r="REU18" s="418"/>
      <c r="REV18" s="418"/>
      <c r="REW18" s="418"/>
      <c r="REX18" s="418"/>
      <c r="REY18" s="418"/>
      <c r="REZ18" s="418"/>
      <c r="RFA18" s="418"/>
      <c r="RFB18" s="418"/>
      <c r="RFC18" s="418"/>
      <c r="RFD18" s="418"/>
      <c r="RFE18" s="418"/>
      <c r="RFF18" s="418"/>
      <c r="RFG18" s="418"/>
      <c r="RFH18" s="418"/>
      <c r="RFI18" s="418"/>
      <c r="RFJ18" s="418"/>
      <c r="RFK18" s="418"/>
      <c r="RFL18" s="418"/>
      <c r="RFM18" s="418"/>
      <c r="RFN18" s="418"/>
      <c r="RFO18" s="418"/>
      <c r="RFP18" s="418"/>
      <c r="RFQ18" s="418"/>
      <c r="RFR18" s="418"/>
      <c r="RFS18" s="418"/>
      <c r="RFT18" s="418"/>
      <c r="RFU18" s="418"/>
      <c r="RFV18" s="418"/>
      <c r="RFW18" s="418"/>
      <c r="RFX18" s="418"/>
      <c r="RFY18" s="418"/>
      <c r="RFZ18" s="418"/>
      <c r="RGA18" s="418"/>
      <c r="RGB18" s="418"/>
      <c r="RGC18" s="418"/>
      <c r="RGD18" s="418"/>
      <c r="RGE18" s="418"/>
      <c r="RGF18" s="418"/>
      <c r="RGG18" s="418"/>
      <c r="RGH18" s="418"/>
      <c r="RGI18" s="418"/>
      <c r="RGJ18" s="418"/>
      <c r="RGK18" s="418"/>
      <c r="RGL18" s="418"/>
      <c r="RGM18" s="418"/>
      <c r="RGN18" s="418"/>
      <c r="RGO18" s="418"/>
      <c r="RGP18" s="418"/>
      <c r="RGQ18" s="418"/>
      <c r="RGR18" s="418"/>
      <c r="RGS18" s="418"/>
      <c r="RGT18" s="418"/>
      <c r="RGU18" s="418"/>
      <c r="RGV18" s="418"/>
      <c r="RGW18" s="418"/>
      <c r="RGX18" s="418"/>
      <c r="RGY18" s="418"/>
      <c r="RGZ18" s="418"/>
      <c r="RHA18" s="418"/>
      <c r="RHB18" s="418"/>
      <c r="RHC18" s="418"/>
      <c r="RHD18" s="418"/>
      <c r="RHE18" s="418"/>
      <c r="RHF18" s="418"/>
      <c r="RHG18" s="418"/>
      <c r="RHH18" s="418"/>
      <c r="RHI18" s="418"/>
      <c r="RHJ18" s="418"/>
      <c r="RHK18" s="418"/>
      <c r="RHL18" s="418"/>
      <c r="RHM18" s="418"/>
      <c r="RHN18" s="418"/>
      <c r="RHO18" s="418"/>
      <c r="RHP18" s="418"/>
      <c r="RHQ18" s="418"/>
      <c r="RHR18" s="418"/>
      <c r="RHS18" s="418"/>
      <c r="RHT18" s="418"/>
      <c r="RHU18" s="418"/>
      <c r="RHV18" s="418"/>
      <c r="RHW18" s="418"/>
      <c r="RHX18" s="418"/>
      <c r="RHY18" s="418"/>
      <c r="RHZ18" s="418"/>
      <c r="RIA18" s="418"/>
      <c r="RIB18" s="418"/>
      <c r="RIC18" s="418"/>
      <c r="RID18" s="418"/>
      <c r="RIE18" s="418"/>
      <c r="RIF18" s="418"/>
      <c r="RIG18" s="418"/>
      <c r="RIH18" s="418"/>
      <c r="RII18" s="418"/>
      <c r="RIJ18" s="418"/>
      <c r="RIK18" s="418"/>
      <c r="RIL18" s="418"/>
      <c r="RIM18" s="418"/>
      <c r="RIN18" s="418"/>
      <c r="RIO18" s="418"/>
      <c r="RIP18" s="418"/>
      <c r="RIQ18" s="418"/>
      <c r="RIR18" s="418"/>
      <c r="RIS18" s="418"/>
      <c r="RIT18" s="418"/>
      <c r="RIU18" s="418"/>
      <c r="RIV18" s="418"/>
      <c r="RIW18" s="418"/>
      <c r="RIX18" s="418"/>
      <c r="RIY18" s="418"/>
      <c r="RIZ18" s="418"/>
      <c r="RJA18" s="418"/>
      <c r="RJB18" s="418"/>
      <c r="RJC18" s="418"/>
      <c r="RJD18" s="418"/>
      <c r="RJE18" s="418"/>
      <c r="RJF18" s="418"/>
      <c r="RJG18" s="418"/>
      <c r="RJH18" s="418"/>
      <c r="RJI18" s="418"/>
      <c r="RJJ18" s="418"/>
      <c r="RJK18" s="418"/>
      <c r="RJL18" s="418"/>
      <c r="RJM18" s="418"/>
      <c r="RJN18" s="418"/>
      <c r="RJO18" s="418"/>
      <c r="RJP18" s="418"/>
      <c r="RJQ18" s="418"/>
      <c r="RJR18" s="418"/>
      <c r="RJS18" s="418"/>
      <c r="RJT18" s="418"/>
      <c r="RJU18" s="418"/>
      <c r="RJV18" s="418"/>
      <c r="RJW18" s="418"/>
      <c r="RJX18" s="418"/>
      <c r="RJY18" s="418"/>
      <c r="RJZ18" s="418"/>
      <c r="RKA18" s="418"/>
      <c r="RKB18" s="418"/>
      <c r="RKC18" s="418"/>
      <c r="RKD18" s="418"/>
      <c r="RKE18" s="418"/>
      <c r="RKF18" s="418"/>
      <c r="RKG18" s="418"/>
      <c r="RKH18" s="418"/>
      <c r="RKI18" s="418"/>
      <c r="RKJ18" s="418"/>
      <c r="RKK18" s="418"/>
      <c r="RKL18" s="418"/>
      <c r="RKM18" s="418"/>
      <c r="RKN18" s="418"/>
      <c r="RKO18" s="418"/>
      <c r="RKP18" s="418"/>
      <c r="RKQ18" s="418"/>
      <c r="RKR18" s="418"/>
      <c r="RKS18" s="418"/>
      <c r="RKT18" s="418"/>
      <c r="RKU18" s="418"/>
      <c r="RKV18" s="418"/>
      <c r="RKW18" s="418"/>
      <c r="RKX18" s="418"/>
      <c r="RKY18" s="418"/>
      <c r="RKZ18" s="418"/>
      <c r="RLA18" s="418"/>
      <c r="RLB18" s="418"/>
      <c r="RLC18" s="418"/>
      <c r="RLD18" s="418"/>
      <c r="RLE18" s="418"/>
      <c r="RLF18" s="418"/>
      <c r="RLG18" s="418"/>
      <c r="RLH18" s="418"/>
      <c r="RLI18" s="418"/>
      <c r="RLJ18" s="418"/>
      <c r="RLK18" s="418"/>
      <c r="RLL18" s="418"/>
      <c r="RLM18" s="418"/>
      <c r="RLN18" s="418"/>
      <c r="RLO18" s="418"/>
      <c r="RLP18" s="418"/>
      <c r="RLQ18" s="418"/>
      <c r="RLR18" s="418"/>
      <c r="RLS18" s="418"/>
      <c r="RLT18" s="418"/>
      <c r="RLU18" s="418"/>
      <c r="RLV18" s="418"/>
      <c r="RLW18" s="418"/>
      <c r="RLX18" s="418"/>
      <c r="RLY18" s="418"/>
      <c r="RLZ18" s="418"/>
      <c r="RMA18" s="418"/>
      <c r="RMB18" s="418"/>
      <c r="RMC18" s="418"/>
      <c r="RMD18" s="418"/>
      <c r="RME18" s="418"/>
      <c r="RMF18" s="418"/>
      <c r="RMG18" s="418"/>
      <c r="RMH18" s="418"/>
      <c r="RMI18" s="418"/>
      <c r="RMJ18" s="418"/>
      <c r="RMK18" s="418"/>
      <c r="RML18" s="418"/>
      <c r="RMM18" s="418"/>
      <c r="RMN18" s="418"/>
      <c r="RMO18" s="418"/>
      <c r="RMP18" s="418"/>
      <c r="RMQ18" s="418"/>
      <c r="RMR18" s="418"/>
      <c r="RMS18" s="418"/>
      <c r="RMT18" s="418"/>
      <c r="RMU18" s="418"/>
      <c r="RMV18" s="418"/>
      <c r="RMW18" s="418"/>
      <c r="RMX18" s="418"/>
      <c r="RMY18" s="418"/>
      <c r="RMZ18" s="418"/>
      <c r="RNA18" s="418"/>
      <c r="RNB18" s="418"/>
      <c r="RNC18" s="418"/>
      <c r="RND18" s="418"/>
      <c r="RNE18" s="418"/>
      <c r="RNF18" s="418"/>
      <c r="RNG18" s="418"/>
      <c r="RNH18" s="418"/>
      <c r="RNI18" s="418"/>
      <c r="RNJ18" s="418"/>
      <c r="RNK18" s="418"/>
      <c r="RNL18" s="418"/>
      <c r="RNM18" s="418"/>
      <c r="RNN18" s="418"/>
      <c r="RNO18" s="418"/>
      <c r="RNP18" s="418"/>
      <c r="RNQ18" s="418"/>
      <c r="RNR18" s="418"/>
      <c r="RNS18" s="418"/>
      <c r="RNT18" s="418"/>
      <c r="RNU18" s="418"/>
      <c r="RNV18" s="418"/>
      <c r="RNW18" s="418"/>
      <c r="RNX18" s="418"/>
      <c r="RNY18" s="418"/>
      <c r="RNZ18" s="418"/>
      <c r="ROA18" s="418"/>
      <c r="ROB18" s="418"/>
      <c r="ROC18" s="418"/>
      <c r="ROD18" s="418"/>
      <c r="ROE18" s="418"/>
      <c r="ROF18" s="418"/>
      <c r="ROG18" s="418"/>
      <c r="ROH18" s="418"/>
      <c r="ROI18" s="418"/>
      <c r="ROJ18" s="418"/>
      <c r="ROK18" s="418"/>
      <c r="ROL18" s="418"/>
      <c r="ROM18" s="418"/>
      <c r="RON18" s="418"/>
      <c r="ROO18" s="418"/>
      <c r="ROP18" s="418"/>
      <c r="ROQ18" s="418"/>
      <c r="ROR18" s="418"/>
      <c r="ROS18" s="418"/>
      <c r="ROT18" s="418"/>
      <c r="ROU18" s="418"/>
      <c r="ROV18" s="418"/>
      <c r="ROW18" s="418"/>
      <c r="ROX18" s="418"/>
      <c r="ROY18" s="418"/>
      <c r="ROZ18" s="418"/>
      <c r="RPA18" s="418"/>
      <c r="RPB18" s="418"/>
      <c r="RPC18" s="418"/>
      <c r="RPD18" s="418"/>
      <c r="RPE18" s="418"/>
      <c r="RPF18" s="418"/>
      <c r="RPG18" s="418"/>
      <c r="RPH18" s="418"/>
      <c r="RPI18" s="418"/>
      <c r="RPJ18" s="418"/>
      <c r="RPK18" s="418"/>
      <c r="RPL18" s="418"/>
      <c r="RPM18" s="418"/>
      <c r="RPN18" s="418"/>
      <c r="RPO18" s="418"/>
      <c r="RPP18" s="418"/>
      <c r="RPQ18" s="418"/>
      <c r="RPR18" s="418"/>
      <c r="RPS18" s="418"/>
      <c r="RPT18" s="418"/>
      <c r="RPU18" s="418"/>
      <c r="RPV18" s="418"/>
      <c r="RPW18" s="418"/>
      <c r="RPX18" s="418"/>
      <c r="RPY18" s="418"/>
      <c r="RPZ18" s="418"/>
      <c r="RQA18" s="418"/>
      <c r="RQB18" s="418"/>
      <c r="RQC18" s="418"/>
      <c r="RQD18" s="418"/>
      <c r="RQE18" s="418"/>
      <c r="RQF18" s="418"/>
      <c r="RQG18" s="418"/>
      <c r="RQH18" s="418"/>
      <c r="RQI18" s="418"/>
      <c r="RQJ18" s="418"/>
      <c r="RQK18" s="418"/>
      <c r="RQL18" s="418"/>
      <c r="RQM18" s="418"/>
      <c r="RQN18" s="418"/>
      <c r="RQO18" s="418"/>
      <c r="RQP18" s="418"/>
      <c r="RQQ18" s="418"/>
      <c r="RQR18" s="418"/>
      <c r="RQS18" s="418"/>
      <c r="RQT18" s="418"/>
      <c r="RQU18" s="418"/>
      <c r="RQV18" s="418"/>
      <c r="RQW18" s="418"/>
      <c r="RQX18" s="418"/>
      <c r="RQY18" s="418"/>
      <c r="RQZ18" s="418"/>
      <c r="RRA18" s="418"/>
      <c r="RRB18" s="418"/>
      <c r="RRC18" s="418"/>
      <c r="RRD18" s="418"/>
      <c r="RRE18" s="418"/>
      <c r="RRF18" s="418"/>
      <c r="RRG18" s="418"/>
      <c r="RRH18" s="418"/>
      <c r="RRI18" s="418"/>
      <c r="RRJ18" s="418"/>
      <c r="RRK18" s="418"/>
      <c r="RRL18" s="418"/>
      <c r="RRM18" s="418"/>
      <c r="RRN18" s="418"/>
      <c r="RRO18" s="418"/>
      <c r="RRP18" s="418"/>
      <c r="RRQ18" s="418"/>
      <c r="RRR18" s="418"/>
      <c r="RRS18" s="418"/>
      <c r="RRT18" s="418"/>
      <c r="RRU18" s="418"/>
      <c r="RRV18" s="418"/>
      <c r="RRW18" s="418"/>
      <c r="RRX18" s="418"/>
      <c r="RRY18" s="418"/>
      <c r="RRZ18" s="418"/>
      <c r="RSA18" s="418"/>
      <c r="RSB18" s="418"/>
      <c r="RSC18" s="418"/>
      <c r="RSD18" s="418"/>
      <c r="RSE18" s="418"/>
      <c r="RSF18" s="418"/>
      <c r="RSG18" s="418"/>
      <c r="RSH18" s="418"/>
      <c r="RSI18" s="418"/>
      <c r="RSJ18" s="418"/>
      <c r="RSK18" s="418"/>
      <c r="RSL18" s="418"/>
      <c r="RSM18" s="418"/>
      <c r="RSN18" s="418"/>
      <c r="RSO18" s="418"/>
      <c r="RSP18" s="418"/>
      <c r="RSQ18" s="418"/>
      <c r="RSR18" s="418"/>
      <c r="RSS18" s="418"/>
      <c r="RST18" s="418"/>
      <c r="RSU18" s="418"/>
      <c r="RSV18" s="418"/>
      <c r="RSW18" s="418"/>
      <c r="RSX18" s="418"/>
      <c r="RSY18" s="418"/>
      <c r="RSZ18" s="418"/>
      <c r="RTA18" s="418"/>
      <c r="RTB18" s="418"/>
      <c r="RTC18" s="418"/>
      <c r="RTD18" s="418"/>
      <c r="RTE18" s="418"/>
      <c r="RTF18" s="418"/>
      <c r="RTG18" s="418"/>
      <c r="RTH18" s="418"/>
      <c r="RTI18" s="418"/>
      <c r="RTJ18" s="418"/>
      <c r="RTK18" s="418"/>
      <c r="RTL18" s="418"/>
      <c r="RTM18" s="418"/>
      <c r="RTN18" s="418"/>
      <c r="RTO18" s="418"/>
      <c r="RTP18" s="418"/>
      <c r="RTQ18" s="418"/>
      <c r="RTR18" s="418"/>
      <c r="RTS18" s="418"/>
      <c r="RTT18" s="418"/>
      <c r="RTU18" s="418"/>
      <c r="RTV18" s="418"/>
      <c r="RTW18" s="418"/>
      <c r="RTX18" s="418"/>
      <c r="RTY18" s="418"/>
      <c r="RTZ18" s="418"/>
      <c r="RUA18" s="418"/>
      <c r="RUB18" s="418"/>
      <c r="RUC18" s="418"/>
      <c r="RUD18" s="418"/>
      <c r="RUE18" s="418"/>
      <c r="RUF18" s="418"/>
      <c r="RUG18" s="418"/>
      <c r="RUH18" s="418"/>
      <c r="RUI18" s="418"/>
      <c r="RUJ18" s="418"/>
      <c r="RUK18" s="418"/>
      <c r="RUL18" s="418"/>
      <c r="RUM18" s="418"/>
      <c r="RUN18" s="418"/>
      <c r="RUO18" s="418"/>
      <c r="RUP18" s="418"/>
      <c r="RUQ18" s="418"/>
      <c r="RUR18" s="418"/>
      <c r="RUS18" s="418"/>
      <c r="RUT18" s="418"/>
      <c r="RUU18" s="418"/>
      <c r="RUV18" s="418"/>
      <c r="RUW18" s="418"/>
      <c r="RUX18" s="418"/>
      <c r="RUY18" s="418"/>
      <c r="RUZ18" s="418"/>
      <c r="RVA18" s="418"/>
      <c r="RVB18" s="418"/>
      <c r="RVC18" s="418"/>
      <c r="RVD18" s="418"/>
      <c r="RVE18" s="418"/>
      <c r="RVF18" s="418"/>
      <c r="RVG18" s="418"/>
      <c r="RVH18" s="418"/>
      <c r="RVI18" s="418"/>
      <c r="RVJ18" s="418"/>
      <c r="RVK18" s="418"/>
      <c r="RVL18" s="418"/>
      <c r="RVM18" s="418"/>
      <c r="RVN18" s="418"/>
      <c r="RVO18" s="418"/>
      <c r="RVP18" s="418"/>
      <c r="RVQ18" s="418"/>
      <c r="RVR18" s="418"/>
      <c r="RVS18" s="418"/>
      <c r="RVT18" s="418"/>
      <c r="RVU18" s="418"/>
      <c r="RVV18" s="418"/>
      <c r="RVW18" s="418"/>
      <c r="RVX18" s="418"/>
      <c r="RVY18" s="418"/>
      <c r="RVZ18" s="418"/>
      <c r="RWA18" s="418"/>
      <c r="RWB18" s="418"/>
      <c r="RWC18" s="418"/>
      <c r="RWD18" s="418"/>
      <c r="RWE18" s="418"/>
      <c r="RWF18" s="418"/>
      <c r="RWG18" s="418"/>
      <c r="RWH18" s="418"/>
      <c r="RWI18" s="418"/>
      <c r="RWJ18" s="418"/>
      <c r="RWK18" s="418"/>
      <c r="RWL18" s="418"/>
      <c r="RWM18" s="418"/>
      <c r="RWN18" s="418"/>
      <c r="RWO18" s="418"/>
      <c r="RWP18" s="418"/>
      <c r="RWQ18" s="418"/>
      <c r="RWR18" s="418"/>
      <c r="RWS18" s="418"/>
      <c r="RWT18" s="418"/>
      <c r="RWU18" s="418"/>
      <c r="RWV18" s="418"/>
      <c r="RWW18" s="418"/>
      <c r="RWX18" s="418"/>
      <c r="RWY18" s="418"/>
      <c r="RWZ18" s="418"/>
      <c r="RXA18" s="418"/>
      <c r="RXB18" s="418"/>
      <c r="RXC18" s="418"/>
      <c r="RXD18" s="418"/>
      <c r="RXE18" s="418"/>
      <c r="RXF18" s="418"/>
      <c r="RXG18" s="418"/>
      <c r="RXH18" s="418"/>
      <c r="RXI18" s="418"/>
      <c r="RXJ18" s="418"/>
      <c r="RXK18" s="418"/>
      <c r="RXL18" s="418"/>
      <c r="RXM18" s="418"/>
      <c r="RXN18" s="418"/>
      <c r="RXO18" s="418"/>
      <c r="RXP18" s="418"/>
      <c r="RXQ18" s="418"/>
      <c r="RXR18" s="418"/>
      <c r="RXS18" s="418"/>
      <c r="RXT18" s="418"/>
      <c r="RXU18" s="418"/>
      <c r="RXV18" s="418"/>
      <c r="RXW18" s="418"/>
      <c r="RXX18" s="418"/>
      <c r="RXY18" s="418"/>
      <c r="RXZ18" s="418"/>
      <c r="RYA18" s="418"/>
      <c r="RYB18" s="418"/>
      <c r="RYC18" s="418"/>
      <c r="RYD18" s="418"/>
      <c r="RYE18" s="418"/>
      <c r="RYF18" s="418"/>
      <c r="RYG18" s="418"/>
      <c r="RYH18" s="418"/>
      <c r="RYI18" s="418"/>
      <c r="RYJ18" s="418"/>
      <c r="RYK18" s="418"/>
      <c r="RYL18" s="418"/>
      <c r="RYM18" s="418"/>
      <c r="RYN18" s="418"/>
      <c r="RYO18" s="418"/>
      <c r="RYP18" s="418"/>
      <c r="RYQ18" s="418"/>
      <c r="RYR18" s="418"/>
      <c r="RYS18" s="418"/>
      <c r="RYT18" s="418"/>
      <c r="RYU18" s="418"/>
      <c r="RYV18" s="418"/>
      <c r="RYW18" s="418"/>
      <c r="RYX18" s="418"/>
      <c r="RYY18" s="418"/>
      <c r="RYZ18" s="418"/>
      <c r="RZA18" s="418"/>
      <c r="RZB18" s="418"/>
      <c r="RZC18" s="418"/>
      <c r="RZD18" s="418"/>
      <c r="RZE18" s="418"/>
      <c r="RZF18" s="418"/>
      <c r="RZG18" s="418"/>
      <c r="RZH18" s="418"/>
      <c r="RZI18" s="418"/>
      <c r="RZJ18" s="418"/>
      <c r="RZK18" s="418"/>
      <c r="RZL18" s="418"/>
      <c r="RZM18" s="418"/>
      <c r="RZN18" s="418"/>
      <c r="RZO18" s="418"/>
      <c r="RZP18" s="418"/>
      <c r="RZQ18" s="418"/>
      <c r="RZR18" s="418"/>
      <c r="RZS18" s="418"/>
      <c r="RZT18" s="418"/>
      <c r="RZU18" s="418"/>
      <c r="RZV18" s="418"/>
      <c r="RZW18" s="418"/>
      <c r="RZX18" s="418"/>
      <c r="RZY18" s="418"/>
      <c r="RZZ18" s="418"/>
      <c r="SAA18" s="418"/>
      <c r="SAB18" s="418"/>
      <c r="SAC18" s="418"/>
      <c r="SAD18" s="418"/>
      <c r="SAE18" s="418"/>
      <c r="SAF18" s="418"/>
      <c r="SAG18" s="418"/>
      <c r="SAH18" s="418"/>
      <c r="SAI18" s="418"/>
      <c r="SAJ18" s="418"/>
      <c r="SAK18" s="418"/>
      <c r="SAL18" s="418"/>
      <c r="SAM18" s="418"/>
      <c r="SAN18" s="418"/>
      <c r="SAO18" s="418"/>
      <c r="SAP18" s="418"/>
      <c r="SAQ18" s="418"/>
      <c r="SAR18" s="418"/>
      <c r="SAS18" s="418"/>
      <c r="SAT18" s="418"/>
      <c r="SAU18" s="418"/>
      <c r="SAV18" s="418"/>
      <c r="SAW18" s="418"/>
      <c r="SAX18" s="418"/>
      <c r="SAY18" s="418"/>
      <c r="SAZ18" s="418"/>
      <c r="SBA18" s="418"/>
      <c r="SBB18" s="418"/>
      <c r="SBC18" s="418"/>
      <c r="SBD18" s="418"/>
      <c r="SBE18" s="418"/>
      <c r="SBF18" s="418"/>
      <c r="SBG18" s="418"/>
      <c r="SBH18" s="418"/>
      <c r="SBI18" s="418"/>
      <c r="SBJ18" s="418"/>
      <c r="SBK18" s="418"/>
      <c r="SBL18" s="418"/>
      <c r="SBM18" s="418"/>
      <c r="SBN18" s="418"/>
      <c r="SBO18" s="418"/>
      <c r="SBP18" s="418"/>
      <c r="SBQ18" s="418"/>
      <c r="SBR18" s="418"/>
      <c r="SBS18" s="418"/>
      <c r="SBT18" s="418"/>
      <c r="SBU18" s="418"/>
      <c r="SBV18" s="418"/>
      <c r="SBW18" s="418"/>
      <c r="SBX18" s="418"/>
      <c r="SBY18" s="418"/>
      <c r="SBZ18" s="418"/>
      <c r="SCA18" s="418"/>
      <c r="SCB18" s="418"/>
      <c r="SCC18" s="418"/>
      <c r="SCD18" s="418"/>
      <c r="SCE18" s="418"/>
      <c r="SCF18" s="418"/>
      <c r="SCG18" s="418"/>
      <c r="SCH18" s="418"/>
      <c r="SCI18" s="418"/>
      <c r="SCJ18" s="418"/>
      <c r="SCK18" s="418"/>
      <c r="SCL18" s="418"/>
      <c r="SCM18" s="418"/>
      <c r="SCN18" s="418"/>
      <c r="SCO18" s="418"/>
      <c r="SCP18" s="418"/>
      <c r="SCQ18" s="418"/>
      <c r="SCR18" s="418"/>
      <c r="SCS18" s="418"/>
      <c r="SCT18" s="418"/>
      <c r="SCU18" s="418"/>
      <c r="SCV18" s="418"/>
      <c r="SCW18" s="418"/>
      <c r="SCX18" s="418"/>
      <c r="SCY18" s="418"/>
      <c r="SCZ18" s="418"/>
      <c r="SDA18" s="418"/>
      <c r="SDB18" s="418"/>
      <c r="SDC18" s="418"/>
      <c r="SDD18" s="418"/>
      <c r="SDE18" s="418"/>
      <c r="SDF18" s="418"/>
      <c r="SDG18" s="418"/>
      <c r="SDH18" s="418"/>
      <c r="SDI18" s="418"/>
      <c r="SDJ18" s="418"/>
      <c r="SDK18" s="418"/>
      <c r="SDL18" s="418"/>
      <c r="SDM18" s="418"/>
      <c r="SDN18" s="418"/>
      <c r="SDO18" s="418"/>
      <c r="SDP18" s="418"/>
      <c r="SDQ18" s="418"/>
      <c r="SDR18" s="418"/>
      <c r="SDS18" s="418"/>
      <c r="SDT18" s="418"/>
      <c r="SDU18" s="418"/>
      <c r="SDV18" s="418"/>
      <c r="SDW18" s="418"/>
      <c r="SDX18" s="418"/>
      <c r="SDY18" s="418"/>
      <c r="SDZ18" s="418"/>
      <c r="SEA18" s="418"/>
      <c r="SEB18" s="418"/>
      <c r="SEC18" s="418"/>
      <c r="SED18" s="418"/>
      <c r="SEE18" s="418"/>
      <c r="SEF18" s="418"/>
      <c r="SEG18" s="418"/>
      <c r="SEH18" s="418"/>
      <c r="SEI18" s="418"/>
      <c r="SEJ18" s="418"/>
      <c r="SEK18" s="418"/>
      <c r="SEL18" s="418"/>
      <c r="SEM18" s="418"/>
      <c r="SEN18" s="418"/>
      <c r="SEO18" s="418"/>
      <c r="SEP18" s="418"/>
      <c r="SEQ18" s="418"/>
      <c r="SER18" s="418"/>
      <c r="SES18" s="418"/>
      <c r="SET18" s="418"/>
      <c r="SEU18" s="418"/>
      <c r="SEV18" s="418"/>
      <c r="SEW18" s="418"/>
      <c r="SEX18" s="418"/>
      <c r="SEY18" s="418"/>
      <c r="SEZ18" s="418"/>
      <c r="SFA18" s="418"/>
      <c r="SFB18" s="418"/>
      <c r="SFC18" s="418"/>
      <c r="SFD18" s="418"/>
      <c r="SFE18" s="418"/>
      <c r="SFF18" s="418"/>
      <c r="SFG18" s="418"/>
      <c r="SFH18" s="418"/>
      <c r="SFI18" s="418"/>
      <c r="SFJ18" s="418"/>
      <c r="SFK18" s="418"/>
      <c r="SFL18" s="418"/>
      <c r="SFM18" s="418"/>
      <c r="SFN18" s="418"/>
      <c r="SFO18" s="418"/>
      <c r="SFP18" s="418"/>
      <c r="SFQ18" s="418"/>
      <c r="SFR18" s="418"/>
      <c r="SFS18" s="418"/>
      <c r="SFT18" s="418"/>
      <c r="SFU18" s="418"/>
      <c r="SFV18" s="418"/>
      <c r="SFW18" s="418"/>
      <c r="SFX18" s="418"/>
      <c r="SFY18" s="418"/>
      <c r="SFZ18" s="418"/>
      <c r="SGA18" s="418"/>
      <c r="SGB18" s="418"/>
      <c r="SGC18" s="418"/>
      <c r="SGD18" s="418"/>
      <c r="SGE18" s="418"/>
      <c r="SGF18" s="418"/>
      <c r="SGG18" s="418"/>
      <c r="SGH18" s="418"/>
      <c r="SGI18" s="418"/>
      <c r="SGJ18" s="418"/>
      <c r="SGK18" s="418"/>
      <c r="SGL18" s="418"/>
      <c r="SGM18" s="418"/>
      <c r="SGN18" s="418"/>
      <c r="SGO18" s="418"/>
      <c r="SGP18" s="418"/>
      <c r="SGQ18" s="418"/>
      <c r="SGR18" s="418"/>
      <c r="SGS18" s="418"/>
      <c r="SGT18" s="418"/>
      <c r="SGU18" s="418"/>
      <c r="SGV18" s="418"/>
      <c r="SGW18" s="418"/>
      <c r="SGX18" s="418"/>
      <c r="SGY18" s="418"/>
      <c r="SGZ18" s="418"/>
      <c r="SHA18" s="418"/>
      <c r="SHB18" s="418"/>
      <c r="SHC18" s="418"/>
      <c r="SHD18" s="418"/>
      <c r="SHE18" s="418"/>
      <c r="SHF18" s="418"/>
      <c r="SHG18" s="418"/>
      <c r="SHH18" s="418"/>
      <c r="SHI18" s="418"/>
      <c r="SHJ18" s="418"/>
      <c r="SHK18" s="418"/>
      <c r="SHL18" s="418"/>
      <c r="SHM18" s="418"/>
      <c r="SHN18" s="418"/>
      <c r="SHO18" s="418"/>
      <c r="SHP18" s="418"/>
      <c r="SHQ18" s="418"/>
      <c r="SHR18" s="418"/>
      <c r="SHS18" s="418"/>
      <c r="SHT18" s="418"/>
      <c r="SHU18" s="418"/>
      <c r="SHV18" s="418"/>
      <c r="SHW18" s="418"/>
      <c r="SHX18" s="418"/>
      <c r="SHY18" s="418"/>
      <c r="SHZ18" s="418"/>
      <c r="SIA18" s="418"/>
      <c r="SIB18" s="418"/>
      <c r="SIC18" s="418"/>
      <c r="SID18" s="418"/>
      <c r="SIE18" s="418"/>
      <c r="SIF18" s="418"/>
      <c r="SIG18" s="418"/>
      <c r="SIH18" s="418"/>
      <c r="SII18" s="418"/>
      <c r="SIJ18" s="418"/>
      <c r="SIK18" s="418"/>
      <c r="SIL18" s="418"/>
      <c r="SIM18" s="418"/>
      <c r="SIN18" s="418"/>
      <c r="SIO18" s="418"/>
      <c r="SIP18" s="418"/>
      <c r="SIQ18" s="418"/>
      <c r="SIR18" s="418"/>
      <c r="SIS18" s="418"/>
      <c r="SIT18" s="418"/>
      <c r="SIU18" s="418"/>
      <c r="SIV18" s="418"/>
      <c r="SIW18" s="418"/>
      <c r="SIX18" s="418"/>
      <c r="SIY18" s="418"/>
      <c r="SIZ18" s="418"/>
      <c r="SJA18" s="418"/>
      <c r="SJB18" s="418"/>
      <c r="SJC18" s="418"/>
      <c r="SJD18" s="418"/>
      <c r="SJE18" s="418"/>
      <c r="SJF18" s="418"/>
      <c r="SJG18" s="418"/>
      <c r="SJH18" s="418"/>
      <c r="SJI18" s="418"/>
      <c r="SJJ18" s="418"/>
      <c r="SJK18" s="418"/>
      <c r="SJL18" s="418"/>
      <c r="SJM18" s="418"/>
      <c r="SJN18" s="418"/>
      <c r="SJO18" s="418"/>
      <c r="SJP18" s="418"/>
      <c r="SJQ18" s="418"/>
      <c r="SJR18" s="418"/>
      <c r="SJS18" s="418"/>
      <c r="SJT18" s="418"/>
      <c r="SJU18" s="418"/>
      <c r="SJV18" s="418"/>
      <c r="SJW18" s="418"/>
      <c r="SJX18" s="418"/>
      <c r="SJY18" s="418"/>
      <c r="SJZ18" s="418"/>
      <c r="SKA18" s="418"/>
      <c r="SKB18" s="418"/>
      <c r="SKC18" s="418"/>
      <c r="SKD18" s="418"/>
      <c r="SKE18" s="418"/>
      <c r="SKF18" s="418"/>
      <c r="SKG18" s="418"/>
      <c r="SKH18" s="418"/>
      <c r="SKI18" s="418"/>
      <c r="SKJ18" s="418"/>
      <c r="SKK18" s="418"/>
      <c r="SKL18" s="418"/>
      <c r="SKM18" s="418"/>
      <c r="SKN18" s="418"/>
      <c r="SKO18" s="418"/>
      <c r="SKP18" s="418"/>
      <c r="SKQ18" s="418"/>
      <c r="SKR18" s="418"/>
      <c r="SKS18" s="418"/>
      <c r="SKT18" s="418"/>
      <c r="SKU18" s="418"/>
      <c r="SKV18" s="418"/>
      <c r="SKW18" s="418"/>
      <c r="SKX18" s="418"/>
      <c r="SKY18" s="418"/>
      <c r="SKZ18" s="418"/>
      <c r="SLA18" s="418"/>
      <c r="SLB18" s="418"/>
      <c r="SLC18" s="418"/>
      <c r="SLD18" s="418"/>
      <c r="SLE18" s="418"/>
      <c r="SLF18" s="418"/>
      <c r="SLG18" s="418"/>
      <c r="SLH18" s="418"/>
      <c r="SLI18" s="418"/>
      <c r="SLJ18" s="418"/>
      <c r="SLK18" s="418"/>
      <c r="SLL18" s="418"/>
      <c r="SLM18" s="418"/>
      <c r="SLN18" s="418"/>
      <c r="SLO18" s="418"/>
      <c r="SLP18" s="418"/>
      <c r="SLQ18" s="418"/>
      <c r="SLR18" s="418"/>
      <c r="SLS18" s="418"/>
      <c r="SLT18" s="418"/>
      <c r="SLU18" s="418"/>
      <c r="SLV18" s="418"/>
      <c r="SLW18" s="418"/>
      <c r="SLX18" s="418"/>
      <c r="SLY18" s="418"/>
      <c r="SLZ18" s="418"/>
      <c r="SMA18" s="418"/>
      <c r="SMB18" s="418"/>
      <c r="SMC18" s="418"/>
      <c r="SMD18" s="418"/>
      <c r="SME18" s="418"/>
      <c r="SMF18" s="418"/>
      <c r="SMG18" s="418"/>
      <c r="SMH18" s="418"/>
      <c r="SMI18" s="418"/>
      <c r="SMJ18" s="418"/>
      <c r="SMK18" s="418"/>
      <c r="SML18" s="418"/>
      <c r="SMM18" s="418"/>
      <c r="SMN18" s="418"/>
      <c r="SMO18" s="418"/>
      <c r="SMP18" s="418"/>
      <c r="SMQ18" s="418"/>
      <c r="SMR18" s="418"/>
      <c r="SMS18" s="418"/>
      <c r="SMT18" s="418"/>
      <c r="SMU18" s="418"/>
      <c r="SMV18" s="418"/>
      <c r="SMW18" s="418"/>
      <c r="SMX18" s="418"/>
      <c r="SMY18" s="418"/>
      <c r="SMZ18" s="418"/>
      <c r="SNA18" s="418"/>
      <c r="SNB18" s="418"/>
      <c r="SNC18" s="418"/>
      <c r="SND18" s="418"/>
      <c r="SNE18" s="418"/>
      <c r="SNF18" s="418"/>
      <c r="SNG18" s="418"/>
      <c r="SNH18" s="418"/>
      <c r="SNI18" s="418"/>
      <c r="SNJ18" s="418"/>
      <c r="SNK18" s="418"/>
      <c r="SNL18" s="418"/>
      <c r="SNM18" s="418"/>
      <c r="SNN18" s="418"/>
      <c r="SNO18" s="418"/>
      <c r="SNP18" s="418"/>
      <c r="SNQ18" s="418"/>
      <c r="SNR18" s="418"/>
      <c r="SNS18" s="418"/>
      <c r="SNT18" s="418"/>
      <c r="SNU18" s="418"/>
      <c r="SNV18" s="418"/>
      <c r="SNW18" s="418"/>
      <c r="SNX18" s="418"/>
      <c r="SNY18" s="418"/>
      <c r="SNZ18" s="418"/>
      <c r="SOA18" s="418"/>
      <c r="SOB18" s="418"/>
      <c r="SOC18" s="418"/>
      <c r="SOD18" s="418"/>
      <c r="SOE18" s="418"/>
      <c r="SOF18" s="418"/>
      <c r="SOG18" s="418"/>
      <c r="SOH18" s="418"/>
      <c r="SOI18" s="418"/>
      <c r="SOJ18" s="418"/>
      <c r="SOK18" s="418"/>
      <c r="SOL18" s="418"/>
      <c r="SOM18" s="418"/>
      <c r="SON18" s="418"/>
      <c r="SOO18" s="418"/>
      <c r="SOP18" s="418"/>
      <c r="SOQ18" s="418"/>
      <c r="SOR18" s="418"/>
      <c r="SOS18" s="418"/>
      <c r="SOT18" s="418"/>
      <c r="SOU18" s="418"/>
      <c r="SOV18" s="418"/>
      <c r="SOW18" s="418"/>
      <c r="SOX18" s="418"/>
      <c r="SOY18" s="418"/>
      <c r="SOZ18" s="418"/>
      <c r="SPA18" s="418"/>
      <c r="SPB18" s="418"/>
      <c r="SPC18" s="418"/>
      <c r="SPD18" s="418"/>
      <c r="SPE18" s="418"/>
      <c r="SPF18" s="418"/>
      <c r="SPG18" s="418"/>
      <c r="SPH18" s="418"/>
      <c r="SPI18" s="418"/>
      <c r="SPJ18" s="418"/>
      <c r="SPK18" s="418"/>
      <c r="SPL18" s="418"/>
      <c r="SPM18" s="418"/>
      <c r="SPN18" s="418"/>
      <c r="SPO18" s="418"/>
      <c r="SPP18" s="418"/>
      <c r="SPQ18" s="418"/>
      <c r="SPR18" s="418"/>
      <c r="SPS18" s="418"/>
      <c r="SPT18" s="418"/>
      <c r="SPU18" s="418"/>
      <c r="SPV18" s="418"/>
      <c r="SPW18" s="418"/>
      <c r="SPX18" s="418"/>
      <c r="SPY18" s="418"/>
      <c r="SPZ18" s="418"/>
      <c r="SQA18" s="418"/>
      <c r="SQB18" s="418"/>
      <c r="SQC18" s="418"/>
      <c r="SQD18" s="418"/>
      <c r="SQE18" s="418"/>
      <c r="SQF18" s="418"/>
      <c r="SQG18" s="418"/>
      <c r="SQH18" s="418"/>
      <c r="SQI18" s="418"/>
      <c r="SQJ18" s="418"/>
      <c r="SQK18" s="418"/>
      <c r="SQL18" s="418"/>
      <c r="SQM18" s="418"/>
      <c r="SQN18" s="418"/>
      <c r="SQO18" s="418"/>
      <c r="SQP18" s="418"/>
      <c r="SQQ18" s="418"/>
      <c r="SQR18" s="418"/>
      <c r="SQS18" s="418"/>
      <c r="SQT18" s="418"/>
      <c r="SQU18" s="418"/>
      <c r="SQV18" s="418"/>
      <c r="SQW18" s="418"/>
      <c r="SQX18" s="418"/>
      <c r="SQY18" s="418"/>
      <c r="SQZ18" s="418"/>
      <c r="SRA18" s="418"/>
      <c r="SRB18" s="418"/>
      <c r="SRC18" s="418"/>
      <c r="SRD18" s="418"/>
      <c r="SRE18" s="418"/>
      <c r="SRF18" s="418"/>
      <c r="SRG18" s="418"/>
      <c r="SRH18" s="418"/>
      <c r="SRI18" s="418"/>
      <c r="SRJ18" s="418"/>
      <c r="SRK18" s="418"/>
      <c r="SRL18" s="418"/>
      <c r="SRM18" s="418"/>
      <c r="SRN18" s="418"/>
      <c r="SRO18" s="418"/>
      <c r="SRP18" s="418"/>
      <c r="SRQ18" s="418"/>
      <c r="SRR18" s="418"/>
      <c r="SRS18" s="418"/>
      <c r="SRT18" s="418"/>
      <c r="SRU18" s="418"/>
      <c r="SRV18" s="418"/>
      <c r="SRW18" s="418"/>
      <c r="SRX18" s="418"/>
      <c r="SRY18" s="418"/>
      <c r="SRZ18" s="418"/>
      <c r="SSA18" s="418"/>
      <c r="SSB18" s="418"/>
      <c r="SSC18" s="418"/>
      <c r="SSD18" s="418"/>
      <c r="SSE18" s="418"/>
      <c r="SSF18" s="418"/>
      <c r="SSG18" s="418"/>
      <c r="SSH18" s="418"/>
      <c r="SSI18" s="418"/>
      <c r="SSJ18" s="418"/>
      <c r="SSK18" s="418"/>
      <c r="SSL18" s="418"/>
      <c r="SSM18" s="418"/>
      <c r="SSN18" s="418"/>
      <c r="SSO18" s="418"/>
      <c r="SSP18" s="418"/>
      <c r="SSQ18" s="418"/>
      <c r="SSR18" s="418"/>
      <c r="SSS18" s="418"/>
      <c r="SST18" s="418"/>
      <c r="SSU18" s="418"/>
      <c r="SSV18" s="418"/>
      <c r="SSW18" s="418"/>
      <c r="SSX18" s="418"/>
      <c r="SSY18" s="418"/>
      <c r="SSZ18" s="418"/>
      <c r="STA18" s="418"/>
      <c r="STB18" s="418"/>
      <c r="STC18" s="418"/>
      <c r="STD18" s="418"/>
      <c r="STE18" s="418"/>
      <c r="STF18" s="418"/>
      <c r="STG18" s="418"/>
      <c r="STH18" s="418"/>
      <c r="STI18" s="418"/>
      <c r="STJ18" s="418"/>
      <c r="STK18" s="418"/>
      <c r="STL18" s="418"/>
      <c r="STM18" s="418"/>
      <c r="STN18" s="418"/>
      <c r="STO18" s="418"/>
      <c r="STP18" s="418"/>
      <c r="STQ18" s="418"/>
      <c r="STR18" s="418"/>
      <c r="STS18" s="418"/>
      <c r="STT18" s="418"/>
      <c r="STU18" s="418"/>
      <c r="STV18" s="418"/>
      <c r="STW18" s="418"/>
      <c r="STX18" s="418"/>
      <c r="STY18" s="418"/>
      <c r="STZ18" s="418"/>
      <c r="SUA18" s="418"/>
      <c r="SUB18" s="418"/>
      <c r="SUC18" s="418"/>
      <c r="SUD18" s="418"/>
      <c r="SUE18" s="418"/>
      <c r="SUF18" s="418"/>
      <c r="SUG18" s="418"/>
      <c r="SUH18" s="418"/>
      <c r="SUI18" s="418"/>
      <c r="SUJ18" s="418"/>
      <c r="SUK18" s="418"/>
      <c r="SUL18" s="418"/>
      <c r="SUM18" s="418"/>
      <c r="SUN18" s="418"/>
      <c r="SUO18" s="418"/>
      <c r="SUP18" s="418"/>
      <c r="SUQ18" s="418"/>
      <c r="SUR18" s="418"/>
      <c r="SUS18" s="418"/>
      <c r="SUT18" s="418"/>
      <c r="SUU18" s="418"/>
      <c r="SUV18" s="418"/>
      <c r="SUW18" s="418"/>
      <c r="SUX18" s="418"/>
      <c r="SUY18" s="418"/>
      <c r="SUZ18" s="418"/>
      <c r="SVA18" s="418"/>
      <c r="SVB18" s="418"/>
      <c r="SVC18" s="418"/>
      <c r="SVD18" s="418"/>
      <c r="SVE18" s="418"/>
      <c r="SVF18" s="418"/>
      <c r="SVG18" s="418"/>
      <c r="SVH18" s="418"/>
      <c r="SVI18" s="418"/>
      <c r="SVJ18" s="418"/>
      <c r="SVK18" s="418"/>
      <c r="SVL18" s="418"/>
      <c r="SVM18" s="418"/>
      <c r="SVN18" s="418"/>
      <c r="SVO18" s="418"/>
      <c r="SVP18" s="418"/>
      <c r="SVQ18" s="418"/>
      <c r="SVR18" s="418"/>
      <c r="SVS18" s="418"/>
      <c r="SVT18" s="418"/>
      <c r="SVU18" s="418"/>
      <c r="SVV18" s="418"/>
      <c r="SVW18" s="418"/>
      <c r="SVX18" s="418"/>
      <c r="SVY18" s="418"/>
      <c r="SVZ18" s="418"/>
      <c r="SWA18" s="418"/>
      <c r="SWB18" s="418"/>
      <c r="SWC18" s="418"/>
      <c r="SWD18" s="418"/>
      <c r="SWE18" s="418"/>
      <c r="SWF18" s="418"/>
      <c r="SWG18" s="418"/>
      <c r="SWH18" s="418"/>
      <c r="SWI18" s="418"/>
      <c r="SWJ18" s="418"/>
      <c r="SWK18" s="418"/>
      <c r="SWL18" s="418"/>
      <c r="SWM18" s="418"/>
      <c r="SWN18" s="418"/>
      <c r="SWO18" s="418"/>
      <c r="SWP18" s="418"/>
      <c r="SWQ18" s="418"/>
      <c r="SWR18" s="418"/>
      <c r="SWS18" s="418"/>
      <c r="SWT18" s="418"/>
      <c r="SWU18" s="418"/>
      <c r="SWV18" s="418"/>
      <c r="SWW18" s="418"/>
      <c r="SWX18" s="418"/>
      <c r="SWY18" s="418"/>
      <c r="SWZ18" s="418"/>
      <c r="SXA18" s="418"/>
      <c r="SXB18" s="418"/>
      <c r="SXC18" s="418"/>
      <c r="SXD18" s="418"/>
      <c r="SXE18" s="418"/>
      <c r="SXF18" s="418"/>
      <c r="SXG18" s="418"/>
      <c r="SXH18" s="418"/>
      <c r="SXI18" s="418"/>
      <c r="SXJ18" s="418"/>
      <c r="SXK18" s="418"/>
      <c r="SXL18" s="418"/>
      <c r="SXM18" s="418"/>
      <c r="SXN18" s="418"/>
      <c r="SXO18" s="418"/>
      <c r="SXP18" s="418"/>
      <c r="SXQ18" s="418"/>
      <c r="SXR18" s="418"/>
      <c r="SXS18" s="418"/>
      <c r="SXT18" s="418"/>
      <c r="SXU18" s="418"/>
      <c r="SXV18" s="418"/>
      <c r="SXW18" s="418"/>
      <c r="SXX18" s="418"/>
      <c r="SXY18" s="418"/>
      <c r="SXZ18" s="418"/>
      <c r="SYA18" s="418"/>
      <c r="SYB18" s="418"/>
      <c r="SYC18" s="418"/>
      <c r="SYD18" s="418"/>
      <c r="SYE18" s="418"/>
      <c r="SYF18" s="418"/>
      <c r="SYG18" s="418"/>
      <c r="SYH18" s="418"/>
      <c r="SYI18" s="418"/>
      <c r="SYJ18" s="418"/>
      <c r="SYK18" s="418"/>
      <c r="SYL18" s="418"/>
      <c r="SYM18" s="418"/>
      <c r="SYN18" s="418"/>
      <c r="SYO18" s="418"/>
      <c r="SYP18" s="418"/>
      <c r="SYQ18" s="418"/>
      <c r="SYR18" s="418"/>
      <c r="SYS18" s="418"/>
      <c r="SYT18" s="418"/>
      <c r="SYU18" s="418"/>
      <c r="SYV18" s="418"/>
      <c r="SYW18" s="418"/>
      <c r="SYX18" s="418"/>
      <c r="SYY18" s="418"/>
      <c r="SYZ18" s="418"/>
      <c r="SZA18" s="418"/>
      <c r="SZB18" s="418"/>
      <c r="SZC18" s="418"/>
      <c r="SZD18" s="418"/>
      <c r="SZE18" s="418"/>
      <c r="SZF18" s="418"/>
      <c r="SZG18" s="418"/>
      <c r="SZH18" s="418"/>
      <c r="SZI18" s="418"/>
      <c r="SZJ18" s="418"/>
      <c r="SZK18" s="418"/>
      <c r="SZL18" s="418"/>
      <c r="SZM18" s="418"/>
      <c r="SZN18" s="418"/>
      <c r="SZO18" s="418"/>
      <c r="SZP18" s="418"/>
      <c r="SZQ18" s="418"/>
      <c r="SZR18" s="418"/>
      <c r="SZS18" s="418"/>
      <c r="SZT18" s="418"/>
      <c r="SZU18" s="418"/>
      <c r="SZV18" s="418"/>
      <c r="SZW18" s="418"/>
      <c r="SZX18" s="418"/>
      <c r="SZY18" s="418"/>
      <c r="SZZ18" s="418"/>
      <c r="TAA18" s="418"/>
      <c r="TAB18" s="418"/>
      <c r="TAC18" s="418"/>
      <c r="TAD18" s="418"/>
      <c r="TAE18" s="418"/>
      <c r="TAF18" s="418"/>
      <c r="TAG18" s="418"/>
      <c r="TAH18" s="418"/>
      <c r="TAI18" s="418"/>
      <c r="TAJ18" s="418"/>
      <c r="TAK18" s="418"/>
      <c r="TAL18" s="418"/>
      <c r="TAM18" s="418"/>
      <c r="TAN18" s="418"/>
      <c r="TAO18" s="418"/>
      <c r="TAP18" s="418"/>
      <c r="TAQ18" s="418"/>
      <c r="TAR18" s="418"/>
      <c r="TAS18" s="418"/>
      <c r="TAT18" s="418"/>
      <c r="TAU18" s="418"/>
      <c r="TAV18" s="418"/>
      <c r="TAW18" s="418"/>
      <c r="TAX18" s="418"/>
      <c r="TAY18" s="418"/>
      <c r="TAZ18" s="418"/>
      <c r="TBA18" s="418"/>
      <c r="TBB18" s="418"/>
      <c r="TBC18" s="418"/>
      <c r="TBD18" s="418"/>
      <c r="TBE18" s="418"/>
      <c r="TBF18" s="418"/>
      <c r="TBG18" s="418"/>
      <c r="TBH18" s="418"/>
      <c r="TBI18" s="418"/>
      <c r="TBJ18" s="418"/>
      <c r="TBK18" s="418"/>
      <c r="TBL18" s="418"/>
      <c r="TBM18" s="418"/>
      <c r="TBN18" s="418"/>
      <c r="TBO18" s="418"/>
      <c r="TBP18" s="418"/>
      <c r="TBQ18" s="418"/>
      <c r="TBR18" s="418"/>
      <c r="TBS18" s="418"/>
      <c r="TBT18" s="418"/>
      <c r="TBU18" s="418"/>
      <c r="TBV18" s="418"/>
      <c r="TBW18" s="418"/>
      <c r="TBX18" s="418"/>
      <c r="TBY18" s="418"/>
      <c r="TBZ18" s="418"/>
      <c r="TCA18" s="418"/>
      <c r="TCB18" s="418"/>
      <c r="TCC18" s="418"/>
      <c r="TCD18" s="418"/>
      <c r="TCE18" s="418"/>
      <c r="TCF18" s="418"/>
      <c r="TCG18" s="418"/>
      <c r="TCH18" s="418"/>
      <c r="TCI18" s="418"/>
      <c r="TCJ18" s="418"/>
      <c r="TCK18" s="418"/>
      <c r="TCL18" s="418"/>
      <c r="TCM18" s="418"/>
      <c r="TCN18" s="418"/>
      <c r="TCO18" s="418"/>
      <c r="TCP18" s="418"/>
      <c r="TCQ18" s="418"/>
      <c r="TCR18" s="418"/>
      <c r="TCS18" s="418"/>
      <c r="TCT18" s="418"/>
      <c r="TCU18" s="418"/>
      <c r="TCV18" s="418"/>
      <c r="TCW18" s="418"/>
      <c r="TCX18" s="418"/>
      <c r="TCY18" s="418"/>
      <c r="TCZ18" s="418"/>
      <c r="TDA18" s="418"/>
      <c r="TDB18" s="418"/>
      <c r="TDC18" s="418"/>
      <c r="TDD18" s="418"/>
      <c r="TDE18" s="418"/>
      <c r="TDF18" s="418"/>
      <c r="TDG18" s="418"/>
      <c r="TDH18" s="418"/>
      <c r="TDI18" s="418"/>
      <c r="TDJ18" s="418"/>
      <c r="TDK18" s="418"/>
      <c r="TDL18" s="418"/>
      <c r="TDM18" s="418"/>
      <c r="TDN18" s="418"/>
      <c r="TDO18" s="418"/>
      <c r="TDP18" s="418"/>
      <c r="TDQ18" s="418"/>
      <c r="TDR18" s="418"/>
      <c r="TDS18" s="418"/>
      <c r="TDT18" s="418"/>
      <c r="TDU18" s="418"/>
      <c r="TDV18" s="418"/>
      <c r="TDW18" s="418"/>
      <c r="TDX18" s="418"/>
      <c r="TDY18" s="418"/>
      <c r="TDZ18" s="418"/>
      <c r="TEA18" s="418"/>
      <c r="TEB18" s="418"/>
      <c r="TEC18" s="418"/>
      <c r="TED18" s="418"/>
      <c r="TEE18" s="418"/>
      <c r="TEF18" s="418"/>
      <c r="TEG18" s="418"/>
      <c r="TEH18" s="418"/>
      <c r="TEI18" s="418"/>
      <c r="TEJ18" s="418"/>
      <c r="TEK18" s="418"/>
      <c r="TEL18" s="418"/>
      <c r="TEM18" s="418"/>
      <c r="TEN18" s="418"/>
      <c r="TEO18" s="418"/>
      <c r="TEP18" s="418"/>
      <c r="TEQ18" s="418"/>
      <c r="TER18" s="418"/>
      <c r="TES18" s="418"/>
      <c r="TET18" s="418"/>
      <c r="TEU18" s="418"/>
      <c r="TEV18" s="418"/>
      <c r="TEW18" s="418"/>
      <c r="TEX18" s="418"/>
      <c r="TEY18" s="418"/>
      <c r="TEZ18" s="418"/>
      <c r="TFA18" s="418"/>
      <c r="TFB18" s="418"/>
      <c r="TFC18" s="418"/>
      <c r="TFD18" s="418"/>
      <c r="TFE18" s="418"/>
      <c r="TFF18" s="418"/>
      <c r="TFG18" s="418"/>
      <c r="TFH18" s="418"/>
      <c r="TFI18" s="418"/>
      <c r="TFJ18" s="418"/>
      <c r="TFK18" s="418"/>
      <c r="TFL18" s="418"/>
      <c r="TFM18" s="418"/>
      <c r="TFN18" s="418"/>
      <c r="TFO18" s="418"/>
      <c r="TFP18" s="418"/>
      <c r="TFQ18" s="418"/>
      <c r="TFR18" s="418"/>
      <c r="TFS18" s="418"/>
      <c r="TFT18" s="418"/>
      <c r="TFU18" s="418"/>
      <c r="TFV18" s="418"/>
      <c r="TFW18" s="418"/>
      <c r="TFX18" s="418"/>
      <c r="TFY18" s="418"/>
      <c r="TFZ18" s="418"/>
      <c r="TGA18" s="418"/>
      <c r="TGB18" s="418"/>
      <c r="TGC18" s="418"/>
      <c r="TGD18" s="418"/>
      <c r="TGE18" s="418"/>
      <c r="TGF18" s="418"/>
      <c r="TGG18" s="418"/>
      <c r="TGH18" s="418"/>
      <c r="TGI18" s="418"/>
      <c r="TGJ18" s="418"/>
      <c r="TGK18" s="418"/>
      <c r="TGL18" s="418"/>
      <c r="TGM18" s="418"/>
      <c r="TGN18" s="418"/>
      <c r="TGO18" s="418"/>
      <c r="TGP18" s="418"/>
      <c r="TGQ18" s="418"/>
      <c r="TGR18" s="418"/>
      <c r="TGS18" s="418"/>
      <c r="TGT18" s="418"/>
      <c r="TGU18" s="418"/>
      <c r="TGV18" s="418"/>
      <c r="TGW18" s="418"/>
      <c r="TGX18" s="418"/>
      <c r="TGY18" s="418"/>
      <c r="TGZ18" s="418"/>
      <c r="THA18" s="418"/>
      <c r="THB18" s="418"/>
      <c r="THC18" s="418"/>
      <c r="THD18" s="418"/>
      <c r="THE18" s="418"/>
      <c r="THF18" s="418"/>
      <c r="THG18" s="418"/>
      <c r="THH18" s="418"/>
      <c r="THI18" s="418"/>
      <c r="THJ18" s="418"/>
      <c r="THK18" s="418"/>
      <c r="THL18" s="418"/>
      <c r="THM18" s="418"/>
      <c r="THN18" s="418"/>
      <c r="THO18" s="418"/>
      <c r="THP18" s="418"/>
      <c r="THQ18" s="418"/>
      <c r="THR18" s="418"/>
      <c r="THS18" s="418"/>
      <c r="THT18" s="418"/>
      <c r="THU18" s="418"/>
      <c r="THV18" s="418"/>
      <c r="THW18" s="418"/>
      <c r="THX18" s="418"/>
      <c r="THY18" s="418"/>
      <c r="THZ18" s="418"/>
      <c r="TIA18" s="418"/>
      <c r="TIB18" s="418"/>
      <c r="TIC18" s="418"/>
      <c r="TID18" s="418"/>
      <c r="TIE18" s="418"/>
      <c r="TIF18" s="418"/>
      <c r="TIG18" s="418"/>
      <c r="TIH18" s="418"/>
      <c r="TII18" s="418"/>
      <c r="TIJ18" s="418"/>
      <c r="TIK18" s="418"/>
      <c r="TIL18" s="418"/>
      <c r="TIM18" s="418"/>
      <c r="TIN18" s="418"/>
      <c r="TIO18" s="418"/>
      <c r="TIP18" s="418"/>
      <c r="TIQ18" s="418"/>
      <c r="TIR18" s="418"/>
      <c r="TIS18" s="418"/>
      <c r="TIT18" s="418"/>
      <c r="TIU18" s="418"/>
      <c r="TIV18" s="418"/>
      <c r="TIW18" s="418"/>
      <c r="TIX18" s="418"/>
      <c r="TIY18" s="418"/>
      <c r="TIZ18" s="418"/>
      <c r="TJA18" s="418"/>
      <c r="TJB18" s="418"/>
      <c r="TJC18" s="418"/>
      <c r="TJD18" s="418"/>
      <c r="TJE18" s="418"/>
      <c r="TJF18" s="418"/>
      <c r="TJG18" s="418"/>
      <c r="TJH18" s="418"/>
      <c r="TJI18" s="418"/>
      <c r="TJJ18" s="418"/>
      <c r="TJK18" s="418"/>
      <c r="TJL18" s="418"/>
      <c r="TJM18" s="418"/>
      <c r="TJN18" s="418"/>
      <c r="TJO18" s="418"/>
      <c r="TJP18" s="418"/>
      <c r="TJQ18" s="418"/>
      <c r="TJR18" s="418"/>
      <c r="TJS18" s="418"/>
      <c r="TJT18" s="418"/>
      <c r="TJU18" s="418"/>
      <c r="TJV18" s="418"/>
      <c r="TJW18" s="418"/>
      <c r="TJX18" s="418"/>
      <c r="TJY18" s="418"/>
      <c r="TJZ18" s="418"/>
      <c r="TKA18" s="418"/>
      <c r="TKB18" s="418"/>
      <c r="TKC18" s="418"/>
      <c r="TKD18" s="418"/>
      <c r="TKE18" s="418"/>
      <c r="TKF18" s="418"/>
      <c r="TKG18" s="418"/>
      <c r="TKH18" s="418"/>
      <c r="TKI18" s="418"/>
      <c r="TKJ18" s="418"/>
      <c r="TKK18" s="418"/>
      <c r="TKL18" s="418"/>
      <c r="TKM18" s="418"/>
      <c r="TKN18" s="418"/>
      <c r="TKO18" s="418"/>
      <c r="TKP18" s="418"/>
      <c r="TKQ18" s="418"/>
      <c r="TKR18" s="418"/>
      <c r="TKS18" s="418"/>
      <c r="TKT18" s="418"/>
      <c r="TKU18" s="418"/>
      <c r="TKV18" s="418"/>
      <c r="TKW18" s="418"/>
      <c r="TKX18" s="418"/>
      <c r="TKY18" s="418"/>
      <c r="TKZ18" s="418"/>
      <c r="TLA18" s="418"/>
      <c r="TLB18" s="418"/>
      <c r="TLC18" s="418"/>
      <c r="TLD18" s="418"/>
      <c r="TLE18" s="418"/>
      <c r="TLF18" s="418"/>
      <c r="TLG18" s="418"/>
      <c r="TLH18" s="418"/>
      <c r="TLI18" s="418"/>
      <c r="TLJ18" s="418"/>
      <c r="TLK18" s="418"/>
      <c r="TLL18" s="418"/>
      <c r="TLM18" s="418"/>
      <c r="TLN18" s="418"/>
      <c r="TLO18" s="418"/>
      <c r="TLP18" s="418"/>
      <c r="TLQ18" s="418"/>
      <c r="TLR18" s="418"/>
      <c r="TLS18" s="418"/>
      <c r="TLT18" s="418"/>
      <c r="TLU18" s="418"/>
      <c r="TLV18" s="418"/>
      <c r="TLW18" s="418"/>
      <c r="TLX18" s="418"/>
      <c r="TLY18" s="418"/>
      <c r="TLZ18" s="418"/>
      <c r="TMA18" s="418"/>
      <c r="TMB18" s="418"/>
      <c r="TMC18" s="418"/>
      <c r="TMD18" s="418"/>
      <c r="TME18" s="418"/>
      <c r="TMF18" s="418"/>
      <c r="TMG18" s="418"/>
      <c r="TMH18" s="418"/>
      <c r="TMI18" s="418"/>
      <c r="TMJ18" s="418"/>
      <c r="TMK18" s="418"/>
      <c r="TML18" s="418"/>
      <c r="TMM18" s="418"/>
      <c r="TMN18" s="418"/>
      <c r="TMO18" s="418"/>
      <c r="TMP18" s="418"/>
      <c r="TMQ18" s="418"/>
      <c r="TMR18" s="418"/>
      <c r="TMS18" s="418"/>
      <c r="TMT18" s="418"/>
      <c r="TMU18" s="418"/>
      <c r="TMV18" s="418"/>
      <c r="TMW18" s="418"/>
      <c r="TMX18" s="418"/>
      <c r="TMY18" s="418"/>
      <c r="TMZ18" s="418"/>
      <c r="TNA18" s="418"/>
      <c r="TNB18" s="418"/>
      <c r="TNC18" s="418"/>
      <c r="TND18" s="418"/>
      <c r="TNE18" s="418"/>
      <c r="TNF18" s="418"/>
      <c r="TNG18" s="418"/>
      <c r="TNH18" s="418"/>
      <c r="TNI18" s="418"/>
      <c r="TNJ18" s="418"/>
      <c r="TNK18" s="418"/>
      <c r="TNL18" s="418"/>
      <c r="TNM18" s="418"/>
      <c r="TNN18" s="418"/>
      <c r="TNO18" s="418"/>
      <c r="TNP18" s="418"/>
      <c r="TNQ18" s="418"/>
      <c r="TNR18" s="418"/>
      <c r="TNS18" s="418"/>
      <c r="TNT18" s="418"/>
      <c r="TNU18" s="418"/>
      <c r="TNV18" s="418"/>
      <c r="TNW18" s="418"/>
      <c r="TNX18" s="418"/>
      <c r="TNY18" s="418"/>
      <c r="TNZ18" s="418"/>
      <c r="TOA18" s="418"/>
      <c r="TOB18" s="418"/>
      <c r="TOC18" s="418"/>
      <c r="TOD18" s="418"/>
      <c r="TOE18" s="418"/>
      <c r="TOF18" s="418"/>
      <c r="TOG18" s="418"/>
      <c r="TOH18" s="418"/>
      <c r="TOI18" s="418"/>
      <c r="TOJ18" s="418"/>
      <c r="TOK18" s="418"/>
      <c r="TOL18" s="418"/>
      <c r="TOM18" s="418"/>
      <c r="TON18" s="418"/>
      <c r="TOO18" s="418"/>
      <c r="TOP18" s="418"/>
      <c r="TOQ18" s="418"/>
      <c r="TOR18" s="418"/>
      <c r="TOS18" s="418"/>
      <c r="TOT18" s="418"/>
      <c r="TOU18" s="418"/>
      <c r="TOV18" s="418"/>
      <c r="TOW18" s="418"/>
      <c r="TOX18" s="418"/>
      <c r="TOY18" s="418"/>
      <c r="TOZ18" s="418"/>
      <c r="TPA18" s="418"/>
      <c r="TPB18" s="418"/>
      <c r="TPC18" s="418"/>
      <c r="TPD18" s="418"/>
      <c r="TPE18" s="418"/>
      <c r="TPF18" s="418"/>
      <c r="TPG18" s="418"/>
      <c r="TPH18" s="418"/>
      <c r="TPI18" s="418"/>
      <c r="TPJ18" s="418"/>
      <c r="TPK18" s="418"/>
      <c r="TPL18" s="418"/>
      <c r="TPM18" s="418"/>
      <c r="TPN18" s="418"/>
      <c r="TPO18" s="418"/>
      <c r="TPP18" s="418"/>
      <c r="TPQ18" s="418"/>
      <c r="TPR18" s="418"/>
      <c r="TPS18" s="418"/>
      <c r="TPT18" s="418"/>
      <c r="TPU18" s="418"/>
      <c r="TPV18" s="418"/>
      <c r="TPW18" s="418"/>
      <c r="TPX18" s="418"/>
      <c r="TPY18" s="418"/>
      <c r="TPZ18" s="418"/>
      <c r="TQA18" s="418"/>
      <c r="TQB18" s="418"/>
      <c r="TQC18" s="418"/>
      <c r="TQD18" s="418"/>
      <c r="TQE18" s="418"/>
      <c r="TQF18" s="418"/>
      <c r="TQG18" s="418"/>
      <c r="TQH18" s="418"/>
      <c r="TQI18" s="418"/>
      <c r="TQJ18" s="418"/>
      <c r="TQK18" s="418"/>
      <c r="TQL18" s="418"/>
      <c r="TQM18" s="418"/>
      <c r="TQN18" s="418"/>
      <c r="TQO18" s="418"/>
      <c r="TQP18" s="418"/>
      <c r="TQQ18" s="418"/>
      <c r="TQR18" s="418"/>
      <c r="TQS18" s="418"/>
      <c r="TQT18" s="418"/>
      <c r="TQU18" s="418"/>
      <c r="TQV18" s="418"/>
      <c r="TQW18" s="418"/>
      <c r="TQX18" s="418"/>
      <c r="TQY18" s="418"/>
      <c r="TQZ18" s="418"/>
      <c r="TRA18" s="418"/>
      <c r="TRB18" s="418"/>
      <c r="TRC18" s="418"/>
      <c r="TRD18" s="418"/>
      <c r="TRE18" s="418"/>
      <c r="TRF18" s="418"/>
      <c r="TRG18" s="418"/>
      <c r="TRH18" s="418"/>
      <c r="TRI18" s="418"/>
      <c r="TRJ18" s="418"/>
      <c r="TRK18" s="418"/>
      <c r="TRL18" s="418"/>
      <c r="TRM18" s="418"/>
      <c r="TRN18" s="418"/>
      <c r="TRO18" s="418"/>
      <c r="TRP18" s="418"/>
      <c r="TRQ18" s="418"/>
      <c r="TRR18" s="418"/>
      <c r="TRS18" s="418"/>
      <c r="TRT18" s="418"/>
      <c r="TRU18" s="418"/>
      <c r="TRV18" s="418"/>
      <c r="TRW18" s="418"/>
      <c r="TRX18" s="418"/>
      <c r="TRY18" s="418"/>
      <c r="TRZ18" s="418"/>
      <c r="TSA18" s="418"/>
      <c r="TSB18" s="418"/>
      <c r="TSC18" s="418"/>
      <c r="TSD18" s="418"/>
      <c r="TSE18" s="418"/>
      <c r="TSF18" s="418"/>
      <c r="TSG18" s="418"/>
      <c r="TSH18" s="418"/>
      <c r="TSI18" s="418"/>
      <c r="TSJ18" s="418"/>
      <c r="TSK18" s="418"/>
      <c r="TSL18" s="418"/>
      <c r="TSM18" s="418"/>
      <c r="TSN18" s="418"/>
      <c r="TSO18" s="418"/>
      <c r="TSP18" s="418"/>
      <c r="TSQ18" s="418"/>
      <c r="TSR18" s="418"/>
      <c r="TSS18" s="418"/>
      <c r="TST18" s="418"/>
      <c r="TSU18" s="418"/>
      <c r="TSV18" s="418"/>
      <c r="TSW18" s="418"/>
      <c r="TSX18" s="418"/>
      <c r="TSY18" s="418"/>
      <c r="TSZ18" s="418"/>
      <c r="TTA18" s="418"/>
      <c r="TTB18" s="418"/>
      <c r="TTC18" s="418"/>
      <c r="TTD18" s="418"/>
      <c r="TTE18" s="418"/>
      <c r="TTF18" s="418"/>
      <c r="TTG18" s="418"/>
      <c r="TTH18" s="418"/>
      <c r="TTI18" s="418"/>
      <c r="TTJ18" s="418"/>
      <c r="TTK18" s="418"/>
      <c r="TTL18" s="418"/>
      <c r="TTM18" s="418"/>
      <c r="TTN18" s="418"/>
      <c r="TTO18" s="418"/>
      <c r="TTP18" s="418"/>
      <c r="TTQ18" s="418"/>
      <c r="TTR18" s="418"/>
      <c r="TTS18" s="418"/>
      <c r="TTT18" s="418"/>
      <c r="TTU18" s="418"/>
      <c r="TTV18" s="418"/>
      <c r="TTW18" s="418"/>
      <c r="TTX18" s="418"/>
      <c r="TTY18" s="418"/>
      <c r="TTZ18" s="418"/>
      <c r="TUA18" s="418"/>
      <c r="TUB18" s="418"/>
      <c r="TUC18" s="418"/>
      <c r="TUD18" s="418"/>
      <c r="TUE18" s="418"/>
      <c r="TUF18" s="418"/>
      <c r="TUG18" s="418"/>
      <c r="TUH18" s="418"/>
      <c r="TUI18" s="418"/>
      <c r="TUJ18" s="418"/>
      <c r="TUK18" s="418"/>
      <c r="TUL18" s="418"/>
      <c r="TUM18" s="418"/>
      <c r="TUN18" s="418"/>
      <c r="TUO18" s="418"/>
      <c r="TUP18" s="418"/>
      <c r="TUQ18" s="418"/>
      <c r="TUR18" s="418"/>
      <c r="TUS18" s="418"/>
      <c r="TUT18" s="418"/>
      <c r="TUU18" s="418"/>
      <c r="TUV18" s="418"/>
      <c r="TUW18" s="418"/>
      <c r="TUX18" s="418"/>
      <c r="TUY18" s="418"/>
      <c r="TUZ18" s="418"/>
      <c r="TVA18" s="418"/>
      <c r="TVB18" s="418"/>
      <c r="TVC18" s="418"/>
      <c r="TVD18" s="418"/>
      <c r="TVE18" s="418"/>
      <c r="TVF18" s="418"/>
      <c r="TVG18" s="418"/>
      <c r="TVH18" s="418"/>
      <c r="TVI18" s="418"/>
      <c r="TVJ18" s="418"/>
      <c r="TVK18" s="418"/>
      <c r="TVL18" s="418"/>
      <c r="TVM18" s="418"/>
      <c r="TVN18" s="418"/>
      <c r="TVO18" s="418"/>
      <c r="TVP18" s="418"/>
      <c r="TVQ18" s="418"/>
      <c r="TVR18" s="418"/>
      <c r="TVS18" s="418"/>
      <c r="TVT18" s="418"/>
      <c r="TVU18" s="418"/>
      <c r="TVV18" s="418"/>
      <c r="TVW18" s="418"/>
      <c r="TVX18" s="418"/>
      <c r="TVY18" s="418"/>
      <c r="TVZ18" s="418"/>
      <c r="TWA18" s="418"/>
      <c r="TWB18" s="418"/>
      <c r="TWC18" s="418"/>
      <c r="TWD18" s="418"/>
      <c r="TWE18" s="418"/>
      <c r="TWF18" s="418"/>
      <c r="TWG18" s="418"/>
      <c r="TWH18" s="418"/>
      <c r="TWI18" s="418"/>
      <c r="TWJ18" s="418"/>
      <c r="TWK18" s="418"/>
      <c r="TWL18" s="418"/>
      <c r="TWM18" s="418"/>
      <c r="TWN18" s="418"/>
      <c r="TWO18" s="418"/>
      <c r="TWP18" s="418"/>
      <c r="TWQ18" s="418"/>
      <c r="TWR18" s="418"/>
      <c r="TWS18" s="418"/>
      <c r="TWT18" s="418"/>
      <c r="TWU18" s="418"/>
      <c r="TWV18" s="418"/>
      <c r="TWW18" s="418"/>
      <c r="TWX18" s="418"/>
      <c r="TWY18" s="418"/>
      <c r="TWZ18" s="418"/>
      <c r="TXA18" s="418"/>
      <c r="TXB18" s="418"/>
      <c r="TXC18" s="418"/>
      <c r="TXD18" s="418"/>
      <c r="TXE18" s="418"/>
      <c r="TXF18" s="418"/>
      <c r="TXG18" s="418"/>
      <c r="TXH18" s="418"/>
      <c r="TXI18" s="418"/>
      <c r="TXJ18" s="418"/>
      <c r="TXK18" s="418"/>
      <c r="TXL18" s="418"/>
      <c r="TXM18" s="418"/>
      <c r="TXN18" s="418"/>
      <c r="TXO18" s="418"/>
      <c r="TXP18" s="418"/>
      <c r="TXQ18" s="418"/>
      <c r="TXR18" s="418"/>
      <c r="TXS18" s="418"/>
      <c r="TXT18" s="418"/>
      <c r="TXU18" s="418"/>
      <c r="TXV18" s="418"/>
      <c r="TXW18" s="418"/>
      <c r="TXX18" s="418"/>
      <c r="TXY18" s="418"/>
      <c r="TXZ18" s="418"/>
      <c r="TYA18" s="418"/>
      <c r="TYB18" s="418"/>
      <c r="TYC18" s="418"/>
      <c r="TYD18" s="418"/>
      <c r="TYE18" s="418"/>
      <c r="TYF18" s="418"/>
      <c r="TYG18" s="418"/>
      <c r="TYH18" s="418"/>
      <c r="TYI18" s="418"/>
      <c r="TYJ18" s="418"/>
      <c r="TYK18" s="418"/>
      <c r="TYL18" s="418"/>
      <c r="TYM18" s="418"/>
      <c r="TYN18" s="418"/>
      <c r="TYO18" s="418"/>
      <c r="TYP18" s="418"/>
      <c r="TYQ18" s="418"/>
      <c r="TYR18" s="418"/>
      <c r="TYS18" s="418"/>
      <c r="TYT18" s="418"/>
      <c r="TYU18" s="418"/>
      <c r="TYV18" s="418"/>
      <c r="TYW18" s="418"/>
      <c r="TYX18" s="418"/>
      <c r="TYY18" s="418"/>
      <c r="TYZ18" s="418"/>
      <c r="TZA18" s="418"/>
      <c r="TZB18" s="418"/>
      <c r="TZC18" s="418"/>
      <c r="TZD18" s="418"/>
      <c r="TZE18" s="418"/>
      <c r="TZF18" s="418"/>
      <c r="TZG18" s="418"/>
      <c r="TZH18" s="418"/>
      <c r="TZI18" s="418"/>
      <c r="TZJ18" s="418"/>
      <c r="TZK18" s="418"/>
      <c r="TZL18" s="418"/>
      <c r="TZM18" s="418"/>
      <c r="TZN18" s="418"/>
      <c r="TZO18" s="418"/>
      <c r="TZP18" s="418"/>
      <c r="TZQ18" s="418"/>
      <c r="TZR18" s="418"/>
      <c r="TZS18" s="418"/>
      <c r="TZT18" s="418"/>
      <c r="TZU18" s="418"/>
      <c r="TZV18" s="418"/>
      <c r="TZW18" s="418"/>
      <c r="TZX18" s="418"/>
      <c r="TZY18" s="418"/>
      <c r="TZZ18" s="418"/>
      <c r="UAA18" s="418"/>
      <c r="UAB18" s="418"/>
      <c r="UAC18" s="418"/>
      <c r="UAD18" s="418"/>
      <c r="UAE18" s="418"/>
      <c r="UAF18" s="418"/>
      <c r="UAG18" s="418"/>
      <c r="UAH18" s="418"/>
      <c r="UAI18" s="418"/>
      <c r="UAJ18" s="418"/>
      <c r="UAK18" s="418"/>
      <c r="UAL18" s="418"/>
      <c r="UAM18" s="418"/>
      <c r="UAN18" s="418"/>
      <c r="UAO18" s="418"/>
      <c r="UAP18" s="418"/>
      <c r="UAQ18" s="418"/>
      <c r="UAR18" s="418"/>
      <c r="UAS18" s="418"/>
      <c r="UAT18" s="418"/>
      <c r="UAU18" s="418"/>
      <c r="UAV18" s="418"/>
      <c r="UAW18" s="418"/>
      <c r="UAX18" s="418"/>
      <c r="UAY18" s="418"/>
      <c r="UAZ18" s="418"/>
      <c r="UBA18" s="418"/>
      <c r="UBB18" s="418"/>
      <c r="UBC18" s="418"/>
      <c r="UBD18" s="418"/>
      <c r="UBE18" s="418"/>
      <c r="UBF18" s="418"/>
      <c r="UBG18" s="418"/>
      <c r="UBH18" s="418"/>
      <c r="UBI18" s="418"/>
      <c r="UBJ18" s="418"/>
      <c r="UBK18" s="418"/>
      <c r="UBL18" s="418"/>
      <c r="UBM18" s="418"/>
      <c r="UBN18" s="418"/>
      <c r="UBO18" s="418"/>
      <c r="UBP18" s="418"/>
      <c r="UBQ18" s="418"/>
      <c r="UBR18" s="418"/>
      <c r="UBS18" s="418"/>
      <c r="UBT18" s="418"/>
      <c r="UBU18" s="418"/>
      <c r="UBV18" s="418"/>
      <c r="UBW18" s="418"/>
      <c r="UBX18" s="418"/>
      <c r="UBY18" s="418"/>
      <c r="UBZ18" s="418"/>
      <c r="UCA18" s="418"/>
      <c r="UCB18" s="418"/>
      <c r="UCC18" s="418"/>
      <c r="UCD18" s="418"/>
      <c r="UCE18" s="418"/>
      <c r="UCF18" s="418"/>
      <c r="UCG18" s="418"/>
      <c r="UCH18" s="418"/>
      <c r="UCI18" s="418"/>
      <c r="UCJ18" s="418"/>
      <c r="UCK18" s="418"/>
      <c r="UCL18" s="418"/>
      <c r="UCM18" s="418"/>
      <c r="UCN18" s="418"/>
      <c r="UCO18" s="418"/>
      <c r="UCP18" s="418"/>
      <c r="UCQ18" s="418"/>
      <c r="UCR18" s="418"/>
      <c r="UCS18" s="418"/>
      <c r="UCT18" s="418"/>
      <c r="UCU18" s="418"/>
      <c r="UCV18" s="418"/>
      <c r="UCW18" s="418"/>
      <c r="UCX18" s="418"/>
      <c r="UCY18" s="418"/>
      <c r="UCZ18" s="418"/>
      <c r="UDA18" s="418"/>
      <c r="UDB18" s="418"/>
      <c r="UDC18" s="418"/>
      <c r="UDD18" s="418"/>
      <c r="UDE18" s="418"/>
      <c r="UDF18" s="418"/>
      <c r="UDG18" s="418"/>
      <c r="UDH18" s="418"/>
      <c r="UDI18" s="418"/>
      <c r="UDJ18" s="418"/>
      <c r="UDK18" s="418"/>
      <c r="UDL18" s="418"/>
      <c r="UDM18" s="418"/>
      <c r="UDN18" s="418"/>
      <c r="UDO18" s="418"/>
      <c r="UDP18" s="418"/>
      <c r="UDQ18" s="418"/>
      <c r="UDR18" s="418"/>
      <c r="UDS18" s="418"/>
      <c r="UDT18" s="418"/>
      <c r="UDU18" s="418"/>
      <c r="UDV18" s="418"/>
      <c r="UDW18" s="418"/>
      <c r="UDX18" s="418"/>
      <c r="UDY18" s="418"/>
      <c r="UDZ18" s="418"/>
      <c r="UEA18" s="418"/>
      <c r="UEB18" s="418"/>
      <c r="UEC18" s="418"/>
      <c r="UED18" s="418"/>
      <c r="UEE18" s="418"/>
      <c r="UEF18" s="418"/>
      <c r="UEG18" s="418"/>
      <c r="UEH18" s="418"/>
      <c r="UEI18" s="418"/>
      <c r="UEJ18" s="418"/>
      <c r="UEK18" s="418"/>
      <c r="UEL18" s="418"/>
      <c r="UEM18" s="418"/>
      <c r="UEN18" s="418"/>
      <c r="UEO18" s="418"/>
      <c r="UEP18" s="418"/>
      <c r="UEQ18" s="418"/>
      <c r="UER18" s="418"/>
      <c r="UES18" s="418"/>
      <c r="UET18" s="418"/>
      <c r="UEU18" s="418"/>
      <c r="UEV18" s="418"/>
      <c r="UEW18" s="418"/>
      <c r="UEX18" s="418"/>
      <c r="UEY18" s="418"/>
      <c r="UEZ18" s="418"/>
      <c r="UFA18" s="418"/>
      <c r="UFB18" s="418"/>
      <c r="UFC18" s="418"/>
      <c r="UFD18" s="418"/>
      <c r="UFE18" s="418"/>
      <c r="UFF18" s="418"/>
      <c r="UFG18" s="418"/>
      <c r="UFH18" s="418"/>
      <c r="UFI18" s="418"/>
      <c r="UFJ18" s="418"/>
      <c r="UFK18" s="418"/>
      <c r="UFL18" s="418"/>
      <c r="UFM18" s="418"/>
      <c r="UFN18" s="418"/>
      <c r="UFO18" s="418"/>
      <c r="UFP18" s="418"/>
      <c r="UFQ18" s="418"/>
      <c r="UFR18" s="418"/>
      <c r="UFS18" s="418"/>
      <c r="UFT18" s="418"/>
      <c r="UFU18" s="418"/>
      <c r="UFV18" s="418"/>
      <c r="UFW18" s="418"/>
      <c r="UFX18" s="418"/>
      <c r="UFY18" s="418"/>
      <c r="UFZ18" s="418"/>
      <c r="UGA18" s="418"/>
      <c r="UGB18" s="418"/>
      <c r="UGC18" s="418"/>
      <c r="UGD18" s="418"/>
      <c r="UGE18" s="418"/>
      <c r="UGF18" s="418"/>
      <c r="UGG18" s="418"/>
      <c r="UGH18" s="418"/>
      <c r="UGI18" s="418"/>
      <c r="UGJ18" s="418"/>
      <c r="UGK18" s="418"/>
      <c r="UGL18" s="418"/>
      <c r="UGM18" s="418"/>
      <c r="UGN18" s="418"/>
      <c r="UGO18" s="418"/>
      <c r="UGP18" s="418"/>
      <c r="UGQ18" s="418"/>
      <c r="UGR18" s="418"/>
      <c r="UGS18" s="418"/>
      <c r="UGT18" s="418"/>
      <c r="UGU18" s="418"/>
      <c r="UGV18" s="418"/>
      <c r="UGW18" s="418"/>
      <c r="UGX18" s="418"/>
      <c r="UGY18" s="418"/>
      <c r="UGZ18" s="418"/>
      <c r="UHA18" s="418"/>
      <c r="UHB18" s="418"/>
      <c r="UHC18" s="418"/>
      <c r="UHD18" s="418"/>
      <c r="UHE18" s="418"/>
      <c r="UHF18" s="418"/>
      <c r="UHG18" s="418"/>
      <c r="UHH18" s="418"/>
      <c r="UHI18" s="418"/>
      <c r="UHJ18" s="418"/>
      <c r="UHK18" s="418"/>
      <c r="UHL18" s="418"/>
      <c r="UHM18" s="418"/>
      <c r="UHN18" s="418"/>
      <c r="UHO18" s="418"/>
      <c r="UHP18" s="418"/>
      <c r="UHQ18" s="418"/>
      <c r="UHR18" s="418"/>
      <c r="UHS18" s="418"/>
      <c r="UHT18" s="418"/>
      <c r="UHU18" s="418"/>
      <c r="UHV18" s="418"/>
      <c r="UHW18" s="418"/>
      <c r="UHX18" s="418"/>
      <c r="UHY18" s="418"/>
      <c r="UHZ18" s="418"/>
      <c r="UIA18" s="418"/>
      <c r="UIB18" s="418"/>
      <c r="UIC18" s="418"/>
      <c r="UID18" s="418"/>
      <c r="UIE18" s="418"/>
      <c r="UIF18" s="418"/>
      <c r="UIG18" s="418"/>
      <c r="UIH18" s="418"/>
      <c r="UII18" s="418"/>
      <c r="UIJ18" s="418"/>
      <c r="UIK18" s="418"/>
      <c r="UIL18" s="418"/>
      <c r="UIM18" s="418"/>
      <c r="UIN18" s="418"/>
      <c r="UIO18" s="418"/>
      <c r="UIP18" s="418"/>
      <c r="UIQ18" s="418"/>
      <c r="UIR18" s="418"/>
      <c r="UIS18" s="418"/>
      <c r="UIT18" s="418"/>
      <c r="UIU18" s="418"/>
      <c r="UIV18" s="418"/>
      <c r="UIW18" s="418"/>
      <c r="UIX18" s="418"/>
      <c r="UIY18" s="418"/>
      <c r="UIZ18" s="418"/>
      <c r="UJA18" s="418"/>
      <c r="UJB18" s="418"/>
      <c r="UJC18" s="418"/>
      <c r="UJD18" s="418"/>
      <c r="UJE18" s="418"/>
      <c r="UJF18" s="418"/>
      <c r="UJG18" s="418"/>
      <c r="UJH18" s="418"/>
      <c r="UJI18" s="418"/>
      <c r="UJJ18" s="418"/>
      <c r="UJK18" s="418"/>
      <c r="UJL18" s="418"/>
      <c r="UJM18" s="418"/>
      <c r="UJN18" s="418"/>
      <c r="UJO18" s="418"/>
      <c r="UJP18" s="418"/>
      <c r="UJQ18" s="418"/>
      <c r="UJR18" s="418"/>
      <c r="UJS18" s="418"/>
      <c r="UJT18" s="418"/>
      <c r="UJU18" s="418"/>
      <c r="UJV18" s="418"/>
      <c r="UJW18" s="418"/>
      <c r="UJX18" s="418"/>
      <c r="UJY18" s="418"/>
      <c r="UJZ18" s="418"/>
      <c r="UKA18" s="418"/>
      <c r="UKB18" s="418"/>
      <c r="UKC18" s="418"/>
      <c r="UKD18" s="418"/>
      <c r="UKE18" s="418"/>
      <c r="UKF18" s="418"/>
      <c r="UKG18" s="418"/>
      <c r="UKH18" s="418"/>
      <c r="UKI18" s="418"/>
      <c r="UKJ18" s="418"/>
      <c r="UKK18" s="418"/>
      <c r="UKL18" s="418"/>
      <c r="UKM18" s="418"/>
      <c r="UKN18" s="418"/>
      <c r="UKO18" s="418"/>
      <c r="UKP18" s="418"/>
      <c r="UKQ18" s="418"/>
      <c r="UKR18" s="418"/>
      <c r="UKS18" s="418"/>
      <c r="UKT18" s="418"/>
      <c r="UKU18" s="418"/>
      <c r="UKV18" s="418"/>
      <c r="UKW18" s="418"/>
      <c r="UKX18" s="418"/>
      <c r="UKY18" s="418"/>
      <c r="UKZ18" s="418"/>
      <c r="ULA18" s="418"/>
      <c r="ULB18" s="418"/>
      <c r="ULC18" s="418"/>
      <c r="ULD18" s="418"/>
      <c r="ULE18" s="418"/>
      <c r="ULF18" s="418"/>
      <c r="ULG18" s="418"/>
      <c r="ULH18" s="418"/>
      <c r="ULI18" s="418"/>
      <c r="ULJ18" s="418"/>
      <c r="ULK18" s="418"/>
      <c r="ULL18" s="418"/>
      <c r="ULM18" s="418"/>
      <c r="ULN18" s="418"/>
      <c r="ULO18" s="418"/>
      <c r="ULP18" s="418"/>
      <c r="ULQ18" s="418"/>
      <c r="ULR18" s="418"/>
      <c r="ULS18" s="418"/>
      <c r="ULT18" s="418"/>
      <c r="ULU18" s="418"/>
      <c r="ULV18" s="418"/>
      <c r="ULW18" s="418"/>
      <c r="ULX18" s="418"/>
      <c r="ULY18" s="418"/>
      <c r="ULZ18" s="418"/>
      <c r="UMA18" s="418"/>
      <c r="UMB18" s="418"/>
      <c r="UMC18" s="418"/>
      <c r="UMD18" s="418"/>
      <c r="UME18" s="418"/>
      <c r="UMF18" s="418"/>
      <c r="UMG18" s="418"/>
      <c r="UMH18" s="418"/>
      <c r="UMI18" s="418"/>
      <c r="UMJ18" s="418"/>
      <c r="UMK18" s="418"/>
      <c r="UML18" s="418"/>
      <c r="UMM18" s="418"/>
      <c r="UMN18" s="418"/>
      <c r="UMO18" s="418"/>
      <c r="UMP18" s="418"/>
      <c r="UMQ18" s="418"/>
      <c r="UMR18" s="418"/>
      <c r="UMS18" s="418"/>
      <c r="UMT18" s="418"/>
      <c r="UMU18" s="418"/>
      <c r="UMV18" s="418"/>
      <c r="UMW18" s="418"/>
      <c r="UMX18" s="418"/>
      <c r="UMY18" s="418"/>
      <c r="UMZ18" s="418"/>
      <c r="UNA18" s="418"/>
      <c r="UNB18" s="418"/>
      <c r="UNC18" s="418"/>
      <c r="UND18" s="418"/>
      <c r="UNE18" s="418"/>
      <c r="UNF18" s="418"/>
      <c r="UNG18" s="418"/>
      <c r="UNH18" s="418"/>
      <c r="UNI18" s="418"/>
      <c r="UNJ18" s="418"/>
      <c r="UNK18" s="418"/>
      <c r="UNL18" s="418"/>
      <c r="UNM18" s="418"/>
      <c r="UNN18" s="418"/>
      <c r="UNO18" s="418"/>
      <c r="UNP18" s="418"/>
      <c r="UNQ18" s="418"/>
      <c r="UNR18" s="418"/>
      <c r="UNS18" s="418"/>
      <c r="UNT18" s="418"/>
      <c r="UNU18" s="418"/>
      <c r="UNV18" s="418"/>
      <c r="UNW18" s="418"/>
      <c r="UNX18" s="418"/>
      <c r="UNY18" s="418"/>
      <c r="UNZ18" s="418"/>
      <c r="UOA18" s="418"/>
      <c r="UOB18" s="418"/>
      <c r="UOC18" s="418"/>
      <c r="UOD18" s="418"/>
      <c r="UOE18" s="418"/>
      <c r="UOF18" s="418"/>
      <c r="UOG18" s="418"/>
      <c r="UOH18" s="418"/>
      <c r="UOI18" s="418"/>
      <c r="UOJ18" s="418"/>
      <c r="UOK18" s="418"/>
      <c r="UOL18" s="418"/>
      <c r="UOM18" s="418"/>
      <c r="UON18" s="418"/>
      <c r="UOO18" s="418"/>
      <c r="UOP18" s="418"/>
      <c r="UOQ18" s="418"/>
      <c r="UOR18" s="418"/>
      <c r="UOS18" s="418"/>
      <c r="UOT18" s="418"/>
      <c r="UOU18" s="418"/>
      <c r="UOV18" s="418"/>
      <c r="UOW18" s="418"/>
      <c r="UOX18" s="418"/>
      <c r="UOY18" s="418"/>
      <c r="UOZ18" s="418"/>
      <c r="UPA18" s="418"/>
      <c r="UPB18" s="418"/>
      <c r="UPC18" s="418"/>
      <c r="UPD18" s="418"/>
      <c r="UPE18" s="418"/>
      <c r="UPF18" s="418"/>
      <c r="UPG18" s="418"/>
      <c r="UPH18" s="418"/>
      <c r="UPI18" s="418"/>
      <c r="UPJ18" s="418"/>
      <c r="UPK18" s="418"/>
      <c r="UPL18" s="418"/>
      <c r="UPM18" s="418"/>
      <c r="UPN18" s="418"/>
      <c r="UPO18" s="418"/>
      <c r="UPP18" s="418"/>
      <c r="UPQ18" s="418"/>
      <c r="UPR18" s="418"/>
      <c r="UPS18" s="418"/>
      <c r="UPT18" s="418"/>
      <c r="UPU18" s="418"/>
      <c r="UPV18" s="418"/>
      <c r="UPW18" s="418"/>
      <c r="UPX18" s="418"/>
      <c r="UPY18" s="418"/>
      <c r="UPZ18" s="418"/>
      <c r="UQA18" s="418"/>
      <c r="UQB18" s="418"/>
      <c r="UQC18" s="418"/>
      <c r="UQD18" s="418"/>
      <c r="UQE18" s="418"/>
      <c r="UQF18" s="418"/>
      <c r="UQG18" s="418"/>
      <c r="UQH18" s="418"/>
      <c r="UQI18" s="418"/>
      <c r="UQJ18" s="418"/>
      <c r="UQK18" s="418"/>
      <c r="UQL18" s="418"/>
      <c r="UQM18" s="418"/>
      <c r="UQN18" s="418"/>
      <c r="UQO18" s="418"/>
      <c r="UQP18" s="418"/>
      <c r="UQQ18" s="418"/>
      <c r="UQR18" s="418"/>
      <c r="UQS18" s="418"/>
      <c r="UQT18" s="418"/>
      <c r="UQU18" s="418"/>
      <c r="UQV18" s="418"/>
      <c r="UQW18" s="418"/>
      <c r="UQX18" s="418"/>
      <c r="UQY18" s="418"/>
      <c r="UQZ18" s="418"/>
      <c r="URA18" s="418"/>
      <c r="URB18" s="418"/>
      <c r="URC18" s="418"/>
      <c r="URD18" s="418"/>
      <c r="URE18" s="418"/>
      <c r="URF18" s="418"/>
      <c r="URG18" s="418"/>
      <c r="URH18" s="418"/>
      <c r="URI18" s="418"/>
      <c r="URJ18" s="418"/>
      <c r="URK18" s="418"/>
      <c r="URL18" s="418"/>
      <c r="URM18" s="418"/>
      <c r="URN18" s="418"/>
      <c r="URO18" s="418"/>
      <c r="URP18" s="418"/>
      <c r="URQ18" s="418"/>
      <c r="URR18" s="418"/>
      <c r="URS18" s="418"/>
      <c r="URT18" s="418"/>
      <c r="URU18" s="418"/>
      <c r="URV18" s="418"/>
      <c r="URW18" s="418"/>
      <c r="URX18" s="418"/>
      <c r="URY18" s="418"/>
      <c r="URZ18" s="418"/>
      <c r="USA18" s="418"/>
      <c r="USB18" s="418"/>
      <c r="USC18" s="418"/>
      <c r="USD18" s="418"/>
      <c r="USE18" s="418"/>
      <c r="USF18" s="418"/>
      <c r="USG18" s="418"/>
      <c r="USH18" s="418"/>
      <c r="USI18" s="418"/>
      <c r="USJ18" s="418"/>
      <c r="USK18" s="418"/>
      <c r="USL18" s="418"/>
      <c r="USM18" s="418"/>
      <c r="USN18" s="418"/>
      <c r="USO18" s="418"/>
      <c r="USP18" s="418"/>
      <c r="USQ18" s="418"/>
      <c r="USR18" s="418"/>
      <c r="USS18" s="418"/>
      <c r="UST18" s="418"/>
      <c r="USU18" s="418"/>
      <c r="USV18" s="418"/>
      <c r="USW18" s="418"/>
      <c r="USX18" s="418"/>
      <c r="USY18" s="418"/>
      <c r="USZ18" s="418"/>
      <c r="UTA18" s="418"/>
      <c r="UTB18" s="418"/>
      <c r="UTC18" s="418"/>
      <c r="UTD18" s="418"/>
      <c r="UTE18" s="418"/>
      <c r="UTF18" s="418"/>
      <c r="UTG18" s="418"/>
      <c r="UTH18" s="418"/>
      <c r="UTI18" s="418"/>
      <c r="UTJ18" s="418"/>
      <c r="UTK18" s="418"/>
      <c r="UTL18" s="418"/>
      <c r="UTM18" s="418"/>
      <c r="UTN18" s="418"/>
      <c r="UTO18" s="418"/>
      <c r="UTP18" s="418"/>
      <c r="UTQ18" s="418"/>
      <c r="UTR18" s="418"/>
      <c r="UTS18" s="418"/>
      <c r="UTT18" s="418"/>
      <c r="UTU18" s="418"/>
      <c r="UTV18" s="418"/>
      <c r="UTW18" s="418"/>
      <c r="UTX18" s="418"/>
      <c r="UTY18" s="418"/>
      <c r="UTZ18" s="418"/>
      <c r="UUA18" s="418"/>
      <c r="UUB18" s="418"/>
      <c r="UUC18" s="418"/>
      <c r="UUD18" s="418"/>
      <c r="UUE18" s="418"/>
      <c r="UUF18" s="418"/>
      <c r="UUG18" s="418"/>
      <c r="UUH18" s="418"/>
      <c r="UUI18" s="418"/>
      <c r="UUJ18" s="418"/>
      <c r="UUK18" s="418"/>
      <c r="UUL18" s="418"/>
      <c r="UUM18" s="418"/>
      <c r="UUN18" s="418"/>
      <c r="UUO18" s="418"/>
      <c r="UUP18" s="418"/>
      <c r="UUQ18" s="418"/>
      <c r="UUR18" s="418"/>
      <c r="UUS18" s="418"/>
      <c r="UUT18" s="418"/>
      <c r="UUU18" s="418"/>
      <c r="UUV18" s="418"/>
      <c r="UUW18" s="418"/>
      <c r="UUX18" s="418"/>
      <c r="UUY18" s="418"/>
      <c r="UUZ18" s="418"/>
      <c r="UVA18" s="418"/>
      <c r="UVB18" s="418"/>
      <c r="UVC18" s="418"/>
      <c r="UVD18" s="418"/>
      <c r="UVE18" s="418"/>
      <c r="UVF18" s="418"/>
      <c r="UVG18" s="418"/>
      <c r="UVH18" s="418"/>
      <c r="UVI18" s="418"/>
      <c r="UVJ18" s="418"/>
      <c r="UVK18" s="418"/>
      <c r="UVL18" s="418"/>
      <c r="UVM18" s="418"/>
      <c r="UVN18" s="418"/>
      <c r="UVO18" s="418"/>
      <c r="UVP18" s="418"/>
      <c r="UVQ18" s="418"/>
      <c r="UVR18" s="418"/>
      <c r="UVS18" s="418"/>
      <c r="UVT18" s="418"/>
      <c r="UVU18" s="418"/>
      <c r="UVV18" s="418"/>
      <c r="UVW18" s="418"/>
      <c r="UVX18" s="418"/>
      <c r="UVY18" s="418"/>
      <c r="UVZ18" s="418"/>
      <c r="UWA18" s="418"/>
      <c r="UWB18" s="418"/>
      <c r="UWC18" s="418"/>
      <c r="UWD18" s="418"/>
      <c r="UWE18" s="418"/>
      <c r="UWF18" s="418"/>
      <c r="UWG18" s="418"/>
      <c r="UWH18" s="418"/>
      <c r="UWI18" s="418"/>
      <c r="UWJ18" s="418"/>
      <c r="UWK18" s="418"/>
      <c r="UWL18" s="418"/>
      <c r="UWM18" s="418"/>
      <c r="UWN18" s="418"/>
      <c r="UWO18" s="418"/>
      <c r="UWP18" s="418"/>
      <c r="UWQ18" s="418"/>
      <c r="UWR18" s="418"/>
      <c r="UWS18" s="418"/>
      <c r="UWT18" s="418"/>
      <c r="UWU18" s="418"/>
      <c r="UWV18" s="418"/>
      <c r="UWW18" s="418"/>
      <c r="UWX18" s="418"/>
      <c r="UWY18" s="418"/>
      <c r="UWZ18" s="418"/>
      <c r="UXA18" s="418"/>
      <c r="UXB18" s="418"/>
      <c r="UXC18" s="418"/>
      <c r="UXD18" s="418"/>
      <c r="UXE18" s="418"/>
      <c r="UXF18" s="418"/>
      <c r="UXG18" s="418"/>
      <c r="UXH18" s="418"/>
      <c r="UXI18" s="418"/>
      <c r="UXJ18" s="418"/>
      <c r="UXK18" s="418"/>
      <c r="UXL18" s="418"/>
      <c r="UXM18" s="418"/>
      <c r="UXN18" s="418"/>
      <c r="UXO18" s="418"/>
      <c r="UXP18" s="418"/>
      <c r="UXQ18" s="418"/>
      <c r="UXR18" s="418"/>
      <c r="UXS18" s="418"/>
      <c r="UXT18" s="418"/>
      <c r="UXU18" s="418"/>
      <c r="UXV18" s="418"/>
      <c r="UXW18" s="418"/>
      <c r="UXX18" s="418"/>
      <c r="UXY18" s="418"/>
      <c r="UXZ18" s="418"/>
      <c r="UYA18" s="418"/>
      <c r="UYB18" s="418"/>
      <c r="UYC18" s="418"/>
      <c r="UYD18" s="418"/>
      <c r="UYE18" s="418"/>
      <c r="UYF18" s="418"/>
      <c r="UYG18" s="418"/>
      <c r="UYH18" s="418"/>
      <c r="UYI18" s="418"/>
      <c r="UYJ18" s="418"/>
      <c r="UYK18" s="418"/>
      <c r="UYL18" s="418"/>
      <c r="UYM18" s="418"/>
      <c r="UYN18" s="418"/>
      <c r="UYO18" s="418"/>
      <c r="UYP18" s="418"/>
      <c r="UYQ18" s="418"/>
      <c r="UYR18" s="418"/>
      <c r="UYS18" s="418"/>
      <c r="UYT18" s="418"/>
      <c r="UYU18" s="418"/>
      <c r="UYV18" s="418"/>
      <c r="UYW18" s="418"/>
      <c r="UYX18" s="418"/>
      <c r="UYY18" s="418"/>
      <c r="UYZ18" s="418"/>
      <c r="UZA18" s="418"/>
      <c r="UZB18" s="418"/>
      <c r="UZC18" s="418"/>
      <c r="UZD18" s="418"/>
      <c r="UZE18" s="418"/>
      <c r="UZF18" s="418"/>
      <c r="UZG18" s="418"/>
      <c r="UZH18" s="418"/>
      <c r="UZI18" s="418"/>
      <c r="UZJ18" s="418"/>
      <c r="UZK18" s="418"/>
      <c r="UZL18" s="418"/>
      <c r="UZM18" s="418"/>
      <c r="UZN18" s="418"/>
      <c r="UZO18" s="418"/>
      <c r="UZP18" s="418"/>
      <c r="UZQ18" s="418"/>
      <c r="UZR18" s="418"/>
      <c r="UZS18" s="418"/>
      <c r="UZT18" s="418"/>
      <c r="UZU18" s="418"/>
      <c r="UZV18" s="418"/>
      <c r="UZW18" s="418"/>
      <c r="UZX18" s="418"/>
      <c r="UZY18" s="418"/>
      <c r="UZZ18" s="418"/>
      <c r="VAA18" s="418"/>
      <c r="VAB18" s="418"/>
      <c r="VAC18" s="418"/>
      <c r="VAD18" s="418"/>
      <c r="VAE18" s="418"/>
      <c r="VAF18" s="418"/>
      <c r="VAG18" s="418"/>
      <c r="VAH18" s="418"/>
      <c r="VAI18" s="418"/>
      <c r="VAJ18" s="418"/>
      <c r="VAK18" s="418"/>
      <c r="VAL18" s="418"/>
      <c r="VAM18" s="418"/>
      <c r="VAN18" s="418"/>
      <c r="VAO18" s="418"/>
      <c r="VAP18" s="418"/>
      <c r="VAQ18" s="418"/>
      <c r="VAR18" s="418"/>
      <c r="VAS18" s="418"/>
      <c r="VAT18" s="418"/>
      <c r="VAU18" s="418"/>
      <c r="VAV18" s="418"/>
      <c r="VAW18" s="418"/>
      <c r="VAX18" s="418"/>
      <c r="VAY18" s="418"/>
      <c r="VAZ18" s="418"/>
      <c r="VBA18" s="418"/>
      <c r="VBB18" s="418"/>
      <c r="VBC18" s="418"/>
      <c r="VBD18" s="418"/>
      <c r="VBE18" s="418"/>
      <c r="VBF18" s="418"/>
      <c r="VBG18" s="418"/>
      <c r="VBH18" s="418"/>
      <c r="VBI18" s="418"/>
      <c r="VBJ18" s="418"/>
      <c r="VBK18" s="418"/>
      <c r="VBL18" s="418"/>
      <c r="VBM18" s="418"/>
      <c r="VBN18" s="418"/>
      <c r="VBO18" s="418"/>
      <c r="VBP18" s="418"/>
      <c r="VBQ18" s="418"/>
      <c r="VBR18" s="418"/>
      <c r="VBS18" s="418"/>
      <c r="VBT18" s="418"/>
      <c r="VBU18" s="418"/>
      <c r="VBV18" s="418"/>
      <c r="VBW18" s="418"/>
      <c r="VBX18" s="418"/>
      <c r="VBY18" s="418"/>
      <c r="VBZ18" s="418"/>
      <c r="VCA18" s="418"/>
      <c r="VCB18" s="418"/>
      <c r="VCC18" s="418"/>
      <c r="VCD18" s="418"/>
      <c r="VCE18" s="418"/>
      <c r="VCF18" s="418"/>
      <c r="VCG18" s="418"/>
      <c r="VCH18" s="418"/>
      <c r="VCI18" s="418"/>
      <c r="VCJ18" s="418"/>
      <c r="VCK18" s="418"/>
      <c r="VCL18" s="418"/>
      <c r="VCM18" s="418"/>
      <c r="VCN18" s="418"/>
      <c r="VCO18" s="418"/>
      <c r="VCP18" s="418"/>
      <c r="VCQ18" s="418"/>
      <c r="VCR18" s="418"/>
      <c r="VCS18" s="418"/>
      <c r="VCT18" s="418"/>
      <c r="VCU18" s="418"/>
      <c r="VCV18" s="418"/>
      <c r="VCW18" s="418"/>
      <c r="VCX18" s="418"/>
      <c r="VCY18" s="418"/>
      <c r="VCZ18" s="418"/>
      <c r="VDA18" s="418"/>
      <c r="VDB18" s="418"/>
      <c r="VDC18" s="418"/>
      <c r="VDD18" s="418"/>
      <c r="VDE18" s="418"/>
      <c r="VDF18" s="418"/>
      <c r="VDG18" s="418"/>
      <c r="VDH18" s="418"/>
      <c r="VDI18" s="418"/>
      <c r="VDJ18" s="418"/>
      <c r="VDK18" s="418"/>
      <c r="VDL18" s="418"/>
      <c r="VDM18" s="418"/>
      <c r="VDN18" s="418"/>
      <c r="VDO18" s="418"/>
      <c r="VDP18" s="418"/>
      <c r="VDQ18" s="418"/>
      <c r="VDR18" s="418"/>
      <c r="VDS18" s="418"/>
      <c r="VDT18" s="418"/>
      <c r="VDU18" s="418"/>
      <c r="VDV18" s="418"/>
      <c r="VDW18" s="418"/>
      <c r="VDX18" s="418"/>
      <c r="VDY18" s="418"/>
      <c r="VDZ18" s="418"/>
      <c r="VEA18" s="418"/>
      <c r="VEB18" s="418"/>
      <c r="VEC18" s="418"/>
      <c r="VED18" s="418"/>
      <c r="VEE18" s="418"/>
      <c r="VEF18" s="418"/>
      <c r="VEG18" s="418"/>
      <c r="VEH18" s="418"/>
      <c r="VEI18" s="418"/>
      <c r="VEJ18" s="418"/>
      <c r="VEK18" s="418"/>
      <c r="VEL18" s="418"/>
      <c r="VEM18" s="418"/>
      <c r="VEN18" s="418"/>
      <c r="VEO18" s="418"/>
      <c r="VEP18" s="418"/>
      <c r="VEQ18" s="418"/>
      <c r="VER18" s="418"/>
      <c r="VES18" s="418"/>
      <c r="VET18" s="418"/>
      <c r="VEU18" s="418"/>
      <c r="VEV18" s="418"/>
      <c r="VEW18" s="418"/>
      <c r="VEX18" s="418"/>
      <c r="VEY18" s="418"/>
      <c r="VEZ18" s="418"/>
      <c r="VFA18" s="418"/>
      <c r="VFB18" s="418"/>
      <c r="VFC18" s="418"/>
      <c r="VFD18" s="418"/>
      <c r="VFE18" s="418"/>
      <c r="VFF18" s="418"/>
      <c r="VFG18" s="418"/>
      <c r="VFH18" s="418"/>
      <c r="VFI18" s="418"/>
      <c r="VFJ18" s="418"/>
      <c r="VFK18" s="418"/>
      <c r="VFL18" s="418"/>
      <c r="VFM18" s="418"/>
      <c r="VFN18" s="418"/>
      <c r="VFO18" s="418"/>
      <c r="VFP18" s="418"/>
      <c r="VFQ18" s="418"/>
      <c r="VFR18" s="418"/>
      <c r="VFS18" s="418"/>
      <c r="VFT18" s="418"/>
      <c r="VFU18" s="418"/>
      <c r="VFV18" s="418"/>
      <c r="VFW18" s="418"/>
      <c r="VFX18" s="418"/>
      <c r="VFY18" s="418"/>
      <c r="VFZ18" s="418"/>
      <c r="VGA18" s="418"/>
      <c r="VGB18" s="418"/>
      <c r="VGC18" s="418"/>
      <c r="VGD18" s="418"/>
      <c r="VGE18" s="418"/>
      <c r="VGF18" s="418"/>
      <c r="VGG18" s="418"/>
      <c r="VGH18" s="418"/>
      <c r="VGI18" s="418"/>
      <c r="VGJ18" s="418"/>
      <c r="VGK18" s="418"/>
      <c r="VGL18" s="418"/>
      <c r="VGM18" s="418"/>
      <c r="VGN18" s="418"/>
      <c r="VGO18" s="418"/>
      <c r="VGP18" s="418"/>
      <c r="VGQ18" s="418"/>
      <c r="VGR18" s="418"/>
      <c r="VGS18" s="418"/>
      <c r="VGT18" s="418"/>
      <c r="VGU18" s="418"/>
      <c r="VGV18" s="418"/>
      <c r="VGW18" s="418"/>
      <c r="VGX18" s="418"/>
      <c r="VGY18" s="418"/>
      <c r="VGZ18" s="418"/>
      <c r="VHA18" s="418"/>
      <c r="VHB18" s="418"/>
      <c r="VHC18" s="418"/>
      <c r="VHD18" s="418"/>
      <c r="VHE18" s="418"/>
      <c r="VHF18" s="418"/>
      <c r="VHG18" s="418"/>
      <c r="VHH18" s="418"/>
      <c r="VHI18" s="418"/>
      <c r="VHJ18" s="418"/>
      <c r="VHK18" s="418"/>
      <c r="VHL18" s="418"/>
      <c r="VHM18" s="418"/>
      <c r="VHN18" s="418"/>
      <c r="VHO18" s="418"/>
      <c r="VHP18" s="418"/>
      <c r="VHQ18" s="418"/>
      <c r="VHR18" s="418"/>
      <c r="VHS18" s="418"/>
      <c r="VHT18" s="418"/>
      <c r="VHU18" s="418"/>
      <c r="VHV18" s="418"/>
      <c r="VHW18" s="418"/>
      <c r="VHX18" s="418"/>
      <c r="VHY18" s="418"/>
      <c r="VHZ18" s="418"/>
      <c r="VIA18" s="418"/>
      <c r="VIB18" s="418"/>
      <c r="VIC18" s="418"/>
      <c r="VID18" s="418"/>
      <c r="VIE18" s="418"/>
      <c r="VIF18" s="418"/>
      <c r="VIG18" s="418"/>
      <c r="VIH18" s="418"/>
      <c r="VII18" s="418"/>
      <c r="VIJ18" s="418"/>
      <c r="VIK18" s="418"/>
      <c r="VIL18" s="418"/>
      <c r="VIM18" s="418"/>
      <c r="VIN18" s="418"/>
      <c r="VIO18" s="418"/>
      <c r="VIP18" s="418"/>
      <c r="VIQ18" s="418"/>
      <c r="VIR18" s="418"/>
      <c r="VIS18" s="418"/>
      <c r="VIT18" s="418"/>
      <c r="VIU18" s="418"/>
      <c r="VIV18" s="418"/>
      <c r="VIW18" s="418"/>
      <c r="VIX18" s="418"/>
      <c r="VIY18" s="418"/>
      <c r="VIZ18" s="418"/>
      <c r="VJA18" s="418"/>
      <c r="VJB18" s="418"/>
      <c r="VJC18" s="418"/>
      <c r="VJD18" s="418"/>
      <c r="VJE18" s="418"/>
      <c r="VJF18" s="418"/>
      <c r="VJG18" s="418"/>
      <c r="VJH18" s="418"/>
      <c r="VJI18" s="418"/>
      <c r="VJJ18" s="418"/>
      <c r="VJK18" s="418"/>
      <c r="VJL18" s="418"/>
      <c r="VJM18" s="418"/>
      <c r="VJN18" s="418"/>
      <c r="VJO18" s="418"/>
      <c r="VJP18" s="418"/>
      <c r="VJQ18" s="418"/>
      <c r="VJR18" s="418"/>
      <c r="VJS18" s="418"/>
      <c r="VJT18" s="418"/>
      <c r="VJU18" s="418"/>
      <c r="VJV18" s="418"/>
      <c r="VJW18" s="418"/>
      <c r="VJX18" s="418"/>
      <c r="VJY18" s="418"/>
      <c r="VJZ18" s="418"/>
      <c r="VKA18" s="418"/>
      <c r="VKB18" s="418"/>
      <c r="VKC18" s="418"/>
      <c r="VKD18" s="418"/>
      <c r="VKE18" s="418"/>
      <c r="VKF18" s="418"/>
      <c r="VKG18" s="418"/>
      <c r="VKH18" s="418"/>
      <c r="VKI18" s="418"/>
      <c r="VKJ18" s="418"/>
      <c r="VKK18" s="418"/>
      <c r="VKL18" s="418"/>
      <c r="VKM18" s="418"/>
      <c r="VKN18" s="418"/>
      <c r="VKO18" s="418"/>
      <c r="VKP18" s="418"/>
      <c r="VKQ18" s="418"/>
      <c r="VKR18" s="418"/>
      <c r="VKS18" s="418"/>
      <c r="VKT18" s="418"/>
      <c r="VKU18" s="418"/>
      <c r="VKV18" s="418"/>
      <c r="VKW18" s="418"/>
      <c r="VKX18" s="418"/>
      <c r="VKY18" s="418"/>
      <c r="VKZ18" s="418"/>
      <c r="VLA18" s="418"/>
      <c r="VLB18" s="418"/>
      <c r="VLC18" s="418"/>
      <c r="VLD18" s="418"/>
      <c r="VLE18" s="418"/>
      <c r="VLF18" s="418"/>
      <c r="VLG18" s="418"/>
      <c r="VLH18" s="418"/>
      <c r="VLI18" s="418"/>
      <c r="VLJ18" s="418"/>
      <c r="VLK18" s="418"/>
      <c r="VLL18" s="418"/>
      <c r="VLM18" s="418"/>
      <c r="VLN18" s="418"/>
      <c r="VLO18" s="418"/>
      <c r="VLP18" s="418"/>
      <c r="VLQ18" s="418"/>
      <c r="VLR18" s="418"/>
      <c r="VLS18" s="418"/>
      <c r="VLT18" s="418"/>
      <c r="VLU18" s="418"/>
      <c r="VLV18" s="418"/>
      <c r="VLW18" s="418"/>
      <c r="VLX18" s="418"/>
      <c r="VLY18" s="418"/>
      <c r="VLZ18" s="418"/>
      <c r="VMA18" s="418"/>
      <c r="VMB18" s="418"/>
      <c r="VMC18" s="418"/>
      <c r="VMD18" s="418"/>
      <c r="VME18" s="418"/>
      <c r="VMF18" s="418"/>
      <c r="VMG18" s="418"/>
      <c r="VMH18" s="418"/>
      <c r="VMI18" s="418"/>
      <c r="VMJ18" s="418"/>
      <c r="VMK18" s="418"/>
      <c r="VML18" s="418"/>
      <c r="VMM18" s="418"/>
      <c r="VMN18" s="418"/>
      <c r="VMO18" s="418"/>
      <c r="VMP18" s="418"/>
      <c r="VMQ18" s="418"/>
      <c r="VMR18" s="418"/>
      <c r="VMS18" s="418"/>
      <c r="VMT18" s="418"/>
      <c r="VMU18" s="418"/>
      <c r="VMV18" s="418"/>
      <c r="VMW18" s="418"/>
      <c r="VMX18" s="418"/>
      <c r="VMY18" s="418"/>
      <c r="VMZ18" s="418"/>
      <c r="VNA18" s="418"/>
      <c r="VNB18" s="418"/>
      <c r="VNC18" s="418"/>
      <c r="VND18" s="418"/>
      <c r="VNE18" s="418"/>
      <c r="VNF18" s="418"/>
      <c r="VNG18" s="418"/>
      <c r="VNH18" s="418"/>
      <c r="VNI18" s="418"/>
      <c r="VNJ18" s="418"/>
      <c r="VNK18" s="418"/>
      <c r="VNL18" s="418"/>
      <c r="VNM18" s="418"/>
      <c r="VNN18" s="418"/>
      <c r="VNO18" s="418"/>
      <c r="VNP18" s="418"/>
      <c r="VNQ18" s="418"/>
      <c r="VNR18" s="418"/>
      <c r="VNS18" s="418"/>
      <c r="VNT18" s="418"/>
      <c r="VNU18" s="418"/>
      <c r="VNV18" s="418"/>
      <c r="VNW18" s="418"/>
      <c r="VNX18" s="418"/>
      <c r="VNY18" s="418"/>
      <c r="VNZ18" s="418"/>
      <c r="VOA18" s="418"/>
      <c r="VOB18" s="418"/>
      <c r="VOC18" s="418"/>
      <c r="VOD18" s="418"/>
      <c r="VOE18" s="418"/>
      <c r="VOF18" s="418"/>
      <c r="VOG18" s="418"/>
      <c r="VOH18" s="418"/>
      <c r="VOI18" s="418"/>
      <c r="VOJ18" s="418"/>
      <c r="VOK18" s="418"/>
      <c r="VOL18" s="418"/>
      <c r="VOM18" s="418"/>
      <c r="VON18" s="418"/>
      <c r="VOO18" s="418"/>
      <c r="VOP18" s="418"/>
      <c r="VOQ18" s="418"/>
      <c r="VOR18" s="418"/>
      <c r="VOS18" s="418"/>
      <c r="VOT18" s="418"/>
      <c r="VOU18" s="418"/>
      <c r="VOV18" s="418"/>
      <c r="VOW18" s="418"/>
      <c r="VOX18" s="418"/>
      <c r="VOY18" s="418"/>
      <c r="VOZ18" s="418"/>
      <c r="VPA18" s="418"/>
      <c r="VPB18" s="418"/>
      <c r="VPC18" s="418"/>
      <c r="VPD18" s="418"/>
      <c r="VPE18" s="418"/>
      <c r="VPF18" s="418"/>
      <c r="VPG18" s="418"/>
      <c r="VPH18" s="418"/>
      <c r="VPI18" s="418"/>
      <c r="VPJ18" s="418"/>
      <c r="VPK18" s="418"/>
      <c r="VPL18" s="418"/>
      <c r="VPM18" s="418"/>
      <c r="VPN18" s="418"/>
      <c r="VPO18" s="418"/>
      <c r="VPP18" s="418"/>
      <c r="VPQ18" s="418"/>
      <c r="VPR18" s="418"/>
      <c r="VPS18" s="418"/>
      <c r="VPT18" s="418"/>
      <c r="VPU18" s="418"/>
      <c r="VPV18" s="418"/>
      <c r="VPW18" s="418"/>
      <c r="VPX18" s="418"/>
      <c r="VPY18" s="418"/>
      <c r="VPZ18" s="418"/>
      <c r="VQA18" s="418"/>
      <c r="VQB18" s="418"/>
      <c r="VQC18" s="418"/>
      <c r="VQD18" s="418"/>
      <c r="VQE18" s="418"/>
      <c r="VQF18" s="418"/>
      <c r="VQG18" s="418"/>
      <c r="VQH18" s="418"/>
      <c r="VQI18" s="418"/>
      <c r="VQJ18" s="418"/>
      <c r="VQK18" s="418"/>
      <c r="VQL18" s="418"/>
      <c r="VQM18" s="418"/>
      <c r="VQN18" s="418"/>
      <c r="VQO18" s="418"/>
      <c r="VQP18" s="418"/>
      <c r="VQQ18" s="418"/>
      <c r="VQR18" s="418"/>
      <c r="VQS18" s="418"/>
      <c r="VQT18" s="418"/>
      <c r="VQU18" s="418"/>
      <c r="VQV18" s="418"/>
      <c r="VQW18" s="418"/>
      <c r="VQX18" s="418"/>
      <c r="VQY18" s="418"/>
      <c r="VQZ18" s="418"/>
      <c r="VRA18" s="418"/>
      <c r="VRB18" s="418"/>
      <c r="VRC18" s="418"/>
      <c r="VRD18" s="418"/>
      <c r="VRE18" s="418"/>
      <c r="VRF18" s="418"/>
      <c r="VRG18" s="418"/>
      <c r="VRH18" s="418"/>
      <c r="VRI18" s="418"/>
      <c r="VRJ18" s="418"/>
      <c r="VRK18" s="418"/>
      <c r="VRL18" s="418"/>
      <c r="VRM18" s="418"/>
      <c r="VRN18" s="418"/>
      <c r="VRO18" s="418"/>
      <c r="VRP18" s="418"/>
      <c r="VRQ18" s="418"/>
      <c r="VRR18" s="418"/>
      <c r="VRS18" s="418"/>
      <c r="VRT18" s="418"/>
      <c r="VRU18" s="418"/>
      <c r="VRV18" s="418"/>
      <c r="VRW18" s="418"/>
      <c r="VRX18" s="418"/>
      <c r="VRY18" s="418"/>
      <c r="VRZ18" s="418"/>
      <c r="VSA18" s="418"/>
      <c r="VSB18" s="418"/>
      <c r="VSC18" s="418"/>
      <c r="VSD18" s="418"/>
      <c r="VSE18" s="418"/>
      <c r="VSF18" s="418"/>
      <c r="VSG18" s="418"/>
      <c r="VSH18" s="418"/>
      <c r="VSI18" s="418"/>
      <c r="VSJ18" s="418"/>
      <c r="VSK18" s="418"/>
      <c r="VSL18" s="418"/>
      <c r="VSM18" s="418"/>
      <c r="VSN18" s="418"/>
      <c r="VSO18" s="418"/>
      <c r="VSP18" s="418"/>
      <c r="VSQ18" s="418"/>
      <c r="VSR18" s="418"/>
      <c r="VSS18" s="418"/>
      <c r="VST18" s="418"/>
      <c r="VSU18" s="418"/>
      <c r="VSV18" s="418"/>
      <c r="VSW18" s="418"/>
      <c r="VSX18" s="418"/>
      <c r="VSY18" s="418"/>
      <c r="VSZ18" s="418"/>
      <c r="VTA18" s="418"/>
      <c r="VTB18" s="418"/>
      <c r="VTC18" s="418"/>
      <c r="VTD18" s="418"/>
      <c r="VTE18" s="418"/>
      <c r="VTF18" s="418"/>
      <c r="VTG18" s="418"/>
      <c r="VTH18" s="418"/>
      <c r="VTI18" s="418"/>
      <c r="VTJ18" s="418"/>
      <c r="VTK18" s="418"/>
      <c r="VTL18" s="418"/>
      <c r="VTM18" s="418"/>
      <c r="VTN18" s="418"/>
      <c r="VTO18" s="418"/>
      <c r="VTP18" s="418"/>
      <c r="VTQ18" s="418"/>
      <c r="VTR18" s="418"/>
      <c r="VTS18" s="418"/>
      <c r="VTT18" s="418"/>
      <c r="VTU18" s="418"/>
      <c r="VTV18" s="418"/>
      <c r="VTW18" s="418"/>
      <c r="VTX18" s="418"/>
      <c r="VTY18" s="418"/>
      <c r="VTZ18" s="418"/>
      <c r="VUA18" s="418"/>
      <c r="VUB18" s="418"/>
      <c r="VUC18" s="418"/>
      <c r="VUD18" s="418"/>
      <c r="VUE18" s="418"/>
      <c r="VUF18" s="418"/>
      <c r="VUG18" s="418"/>
      <c r="VUH18" s="418"/>
      <c r="VUI18" s="418"/>
      <c r="VUJ18" s="418"/>
      <c r="VUK18" s="418"/>
      <c r="VUL18" s="418"/>
      <c r="VUM18" s="418"/>
      <c r="VUN18" s="418"/>
      <c r="VUO18" s="418"/>
      <c r="VUP18" s="418"/>
      <c r="VUQ18" s="418"/>
      <c r="VUR18" s="418"/>
      <c r="VUS18" s="418"/>
      <c r="VUT18" s="418"/>
      <c r="VUU18" s="418"/>
      <c r="VUV18" s="418"/>
      <c r="VUW18" s="418"/>
      <c r="VUX18" s="418"/>
      <c r="VUY18" s="418"/>
      <c r="VUZ18" s="418"/>
      <c r="VVA18" s="418"/>
      <c r="VVB18" s="418"/>
      <c r="VVC18" s="418"/>
      <c r="VVD18" s="418"/>
      <c r="VVE18" s="418"/>
      <c r="VVF18" s="418"/>
      <c r="VVG18" s="418"/>
      <c r="VVH18" s="418"/>
      <c r="VVI18" s="418"/>
      <c r="VVJ18" s="418"/>
      <c r="VVK18" s="418"/>
      <c r="VVL18" s="418"/>
      <c r="VVM18" s="418"/>
      <c r="VVN18" s="418"/>
      <c r="VVO18" s="418"/>
      <c r="VVP18" s="418"/>
      <c r="VVQ18" s="418"/>
      <c r="VVR18" s="418"/>
      <c r="VVS18" s="418"/>
      <c r="VVT18" s="418"/>
      <c r="VVU18" s="418"/>
      <c r="VVV18" s="418"/>
      <c r="VVW18" s="418"/>
      <c r="VVX18" s="418"/>
      <c r="VVY18" s="418"/>
      <c r="VVZ18" s="418"/>
      <c r="VWA18" s="418"/>
      <c r="VWB18" s="418"/>
      <c r="VWC18" s="418"/>
      <c r="VWD18" s="418"/>
      <c r="VWE18" s="418"/>
      <c r="VWF18" s="418"/>
      <c r="VWG18" s="418"/>
      <c r="VWH18" s="418"/>
      <c r="VWI18" s="418"/>
      <c r="VWJ18" s="418"/>
      <c r="VWK18" s="418"/>
      <c r="VWL18" s="418"/>
      <c r="VWM18" s="418"/>
      <c r="VWN18" s="418"/>
      <c r="VWO18" s="418"/>
      <c r="VWP18" s="418"/>
      <c r="VWQ18" s="418"/>
      <c r="VWR18" s="418"/>
      <c r="VWS18" s="418"/>
      <c r="VWT18" s="418"/>
      <c r="VWU18" s="418"/>
      <c r="VWV18" s="418"/>
      <c r="VWW18" s="418"/>
      <c r="VWX18" s="418"/>
      <c r="VWY18" s="418"/>
      <c r="VWZ18" s="418"/>
      <c r="VXA18" s="418"/>
      <c r="VXB18" s="418"/>
      <c r="VXC18" s="418"/>
      <c r="VXD18" s="418"/>
      <c r="VXE18" s="418"/>
      <c r="VXF18" s="418"/>
      <c r="VXG18" s="418"/>
      <c r="VXH18" s="418"/>
      <c r="VXI18" s="418"/>
      <c r="VXJ18" s="418"/>
      <c r="VXK18" s="418"/>
      <c r="VXL18" s="418"/>
      <c r="VXM18" s="418"/>
      <c r="VXN18" s="418"/>
      <c r="VXO18" s="418"/>
      <c r="VXP18" s="418"/>
      <c r="VXQ18" s="418"/>
      <c r="VXR18" s="418"/>
      <c r="VXS18" s="418"/>
      <c r="VXT18" s="418"/>
      <c r="VXU18" s="418"/>
      <c r="VXV18" s="418"/>
      <c r="VXW18" s="418"/>
      <c r="VXX18" s="418"/>
      <c r="VXY18" s="418"/>
      <c r="VXZ18" s="418"/>
      <c r="VYA18" s="418"/>
      <c r="VYB18" s="418"/>
      <c r="VYC18" s="418"/>
      <c r="VYD18" s="418"/>
      <c r="VYE18" s="418"/>
      <c r="VYF18" s="418"/>
      <c r="VYG18" s="418"/>
      <c r="VYH18" s="418"/>
      <c r="VYI18" s="418"/>
      <c r="VYJ18" s="418"/>
      <c r="VYK18" s="418"/>
      <c r="VYL18" s="418"/>
      <c r="VYM18" s="418"/>
      <c r="VYN18" s="418"/>
      <c r="VYO18" s="418"/>
      <c r="VYP18" s="418"/>
      <c r="VYQ18" s="418"/>
      <c r="VYR18" s="418"/>
      <c r="VYS18" s="418"/>
      <c r="VYT18" s="418"/>
      <c r="VYU18" s="418"/>
      <c r="VYV18" s="418"/>
      <c r="VYW18" s="418"/>
      <c r="VYX18" s="418"/>
      <c r="VYY18" s="418"/>
      <c r="VYZ18" s="418"/>
      <c r="VZA18" s="418"/>
      <c r="VZB18" s="418"/>
      <c r="VZC18" s="418"/>
      <c r="VZD18" s="418"/>
      <c r="VZE18" s="418"/>
      <c r="VZF18" s="418"/>
      <c r="VZG18" s="418"/>
      <c r="VZH18" s="418"/>
      <c r="VZI18" s="418"/>
      <c r="VZJ18" s="418"/>
      <c r="VZK18" s="418"/>
      <c r="VZL18" s="418"/>
      <c r="VZM18" s="418"/>
      <c r="VZN18" s="418"/>
      <c r="VZO18" s="418"/>
      <c r="VZP18" s="418"/>
      <c r="VZQ18" s="418"/>
      <c r="VZR18" s="418"/>
      <c r="VZS18" s="418"/>
      <c r="VZT18" s="418"/>
      <c r="VZU18" s="418"/>
      <c r="VZV18" s="418"/>
      <c r="VZW18" s="418"/>
      <c r="VZX18" s="418"/>
      <c r="VZY18" s="418"/>
      <c r="VZZ18" s="418"/>
      <c r="WAA18" s="418"/>
      <c r="WAB18" s="418"/>
      <c r="WAC18" s="418"/>
      <c r="WAD18" s="418"/>
      <c r="WAE18" s="418"/>
      <c r="WAF18" s="418"/>
      <c r="WAG18" s="418"/>
      <c r="WAH18" s="418"/>
      <c r="WAI18" s="418"/>
      <c r="WAJ18" s="418"/>
      <c r="WAK18" s="418"/>
      <c r="WAL18" s="418"/>
      <c r="WAM18" s="418"/>
      <c r="WAN18" s="418"/>
      <c r="WAO18" s="418"/>
      <c r="WAP18" s="418"/>
      <c r="WAQ18" s="418"/>
      <c r="WAR18" s="418"/>
      <c r="WAS18" s="418"/>
      <c r="WAT18" s="418"/>
      <c r="WAU18" s="418"/>
      <c r="WAV18" s="418"/>
      <c r="WAW18" s="418"/>
      <c r="WAX18" s="418"/>
      <c r="WAY18" s="418"/>
      <c r="WAZ18" s="418"/>
      <c r="WBA18" s="418"/>
      <c r="WBB18" s="418"/>
      <c r="WBC18" s="418"/>
      <c r="WBD18" s="418"/>
      <c r="WBE18" s="418"/>
      <c r="WBF18" s="418"/>
      <c r="WBG18" s="418"/>
      <c r="WBH18" s="418"/>
      <c r="WBI18" s="418"/>
      <c r="WBJ18" s="418"/>
      <c r="WBK18" s="418"/>
      <c r="WBL18" s="418"/>
      <c r="WBM18" s="418"/>
      <c r="WBN18" s="418"/>
      <c r="WBO18" s="418"/>
      <c r="WBP18" s="418"/>
      <c r="WBQ18" s="418"/>
      <c r="WBR18" s="418"/>
      <c r="WBS18" s="418"/>
      <c r="WBT18" s="418"/>
      <c r="WBU18" s="418"/>
      <c r="WBV18" s="418"/>
      <c r="WBW18" s="418"/>
      <c r="WBX18" s="418"/>
      <c r="WBY18" s="418"/>
      <c r="WBZ18" s="418"/>
      <c r="WCA18" s="418"/>
      <c r="WCB18" s="418"/>
      <c r="WCC18" s="418"/>
      <c r="WCD18" s="418"/>
      <c r="WCE18" s="418"/>
      <c r="WCF18" s="418"/>
      <c r="WCG18" s="418"/>
      <c r="WCH18" s="418"/>
      <c r="WCI18" s="418"/>
      <c r="WCJ18" s="418"/>
      <c r="WCK18" s="418"/>
      <c r="WCL18" s="418"/>
      <c r="WCM18" s="418"/>
      <c r="WCN18" s="418"/>
      <c r="WCO18" s="418"/>
      <c r="WCP18" s="418"/>
      <c r="WCQ18" s="418"/>
      <c r="WCR18" s="418"/>
      <c r="WCS18" s="418"/>
      <c r="WCT18" s="418"/>
      <c r="WCU18" s="418"/>
      <c r="WCV18" s="418"/>
      <c r="WCW18" s="418"/>
      <c r="WCX18" s="418"/>
      <c r="WCY18" s="418"/>
      <c r="WCZ18" s="418"/>
      <c r="WDA18" s="418"/>
      <c r="WDB18" s="418"/>
      <c r="WDC18" s="418"/>
      <c r="WDD18" s="418"/>
      <c r="WDE18" s="418"/>
      <c r="WDF18" s="418"/>
      <c r="WDG18" s="418"/>
      <c r="WDH18" s="418"/>
      <c r="WDI18" s="418"/>
      <c r="WDJ18" s="418"/>
      <c r="WDK18" s="418"/>
      <c r="WDL18" s="418"/>
      <c r="WDM18" s="418"/>
      <c r="WDN18" s="418"/>
      <c r="WDO18" s="418"/>
      <c r="WDP18" s="418"/>
      <c r="WDQ18" s="418"/>
      <c r="WDR18" s="418"/>
      <c r="WDS18" s="418"/>
      <c r="WDT18" s="418"/>
      <c r="WDU18" s="418"/>
      <c r="WDV18" s="418"/>
      <c r="WDW18" s="418"/>
      <c r="WDX18" s="418"/>
      <c r="WDY18" s="418"/>
      <c r="WDZ18" s="418"/>
      <c r="WEA18" s="418"/>
      <c r="WEB18" s="418"/>
      <c r="WEC18" s="418"/>
      <c r="WED18" s="418"/>
      <c r="WEE18" s="418"/>
      <c r="WEF18" s="418"/>
      <c r="WEG18" s="418"/>
      <c r="WEH18" s="418"/>
      <c r="WEI18" s="418"/>
      <c r="WEJ18" s="418"/>
      <c r="WEK18" s="418"/>
      <c r="WEL18" s="418"/>
      <c r="WEM18" s="418"/>
      <c r="WEN18" s="418"/>
      <c r="WEO18" s="418"/>
      <c r="WEP18" s="418"/>
      <c r="WEQ18" s="418"/>
      <c r="WER18" s="418"/>
      <c r="WES18" s="418"/>
      <c r="WET18" s="418"/>
      <c r="WEU18" s="418"/>
      <c r="WEV18" s="418"/>
      <c r="WEW18" s="418"/>
      <c r="WEX18" s="418"/>
      <c r="WEY18" s="418"/>
      <c r="WEZ18" s="418"/>
      <c r="WFA18" s="418"/>
      <c r="WFB18" s="418"/>
      <c r="WFC18" s="418"/>
      <c r="WFD18" s="418"/>
      <c r="WFE18" s="418"/>
      <c r="WFF18" s="418"/>
      <c r="WFG18" s="418"/>
      <c r="WFH18" s="418"/>
      <c r="WFI18" s="418"/>
      <c r="WFJ18" s="418"/>
      <c r="WFK18" s="418"/>
      <c r="WFL18" s="418"/>
      <c r="WFM18" s="418"/>
      <c r="WFN18" s="418"/>
      <c r="WFO18" s="418"/>
      <c r="WFP18" s="418"/>
      <c r="WFQ18" s="418"/>
      <c r="WFR18" s="418"/>
      <c r="WFS18" s="418"/>
      <c r="WFT18" s="418"/>
      <c r="WFU18" s="418"/>
      <c r="WFV18" s="418"/>
      <c r="WFW18" s="418"/>
      <c r="WFX18" s="418"/>
      <c r="WFY18" s="418"/>
      <c r="WFZ18" s="418"/>
      <c r="WGA18" s="418"/>
      <c r="WGB18" s="418"/>
      <c r="WGC18" s="418"/>
      <c r="WGD18" s="418"/>
      <c r="WGE18" s="418"/>
      <c r="WGF18" s="418"/>
      <c r="WGG18" s="418"/>
      <c r="WGH18" s="418"/>
      <c r="WGI18" s="418"/>
      <c r="WGJ18" s="418"/>
      <c r="WGK18" s="418"/>
      <c r="WGL18" s="418"/>
      <c r="WGM18" s="418"/>
      <c r="WGN18" s="418"/>
      <c r="WGO18" s="418"/>
      <c r="WGP18" s="418"/>
      <c r="WGQ18" s="418"/>
      <c r="WGR18" s="418"/>
      <c r="WGS18" s="418"/>
      <c r="WGT18" s="418"/>
      <c r="WGU18" s="418"/>
      <c r="WGV18" s="418"/>
      <c r="WGW18" s="418"/>
      <c r="WGX18" s="418"/>
      <c r="WGY18" s="418"/>
      <c r="WGZ18" s="418"/>
      <c r="WHA18" s="418"/>
      <c r="WHB18" s="418"/>
      <c r="WHC18" s="418"/>
      <c r="WHD18" s="418"/>
      <c r="WHE18" s="418"/>
      <c r="WHF18" s="418"/>
      <c r="WHG18" s="418"/>
      <c r="WHH18" s="418"/>
      <c r="WHI18" s="418"/>
      <c r="WHJ18" s="418"/>
      <c r="WHK18" s="418"/>
      <c r="WHL18" s="418"/>
      <c r="WHM18" s="418"/>
      <c r="WHN18" s="418"/>
      <c r="WHO18" s="418"/>
      <c r="WHP18" s="418"/>
      <c r="WHQ18" s="418"/>
      <c r="WHR18" s="418"/>
      <c r="WHS18" s="418"/>
      <c r="WHT18" s="418"/>
      <c r="WHU18" s="418"/>
      <c r="WHV18" s="418"/>
      <c r="WHW18" s="418"/>
      <c r="WHX18" s="418"/>
      <c r="WHY18" s="418"/>
      <c r="WHZ18" s="418"/>
      <c r="WIA18" s="418"/>
      <c r="WIB18" s="418"/>
      <c r="WIC18" s="418"/>
      <c r="WID18" s="418"/>
      <c r="WIE18" s="418"/>
      <c r="WIF18" s="418"/>
      <c r="WIG18" s="418"/>
      <c r="WIH18" s="418"/>
      <c r="WII18" s="418"/>
      <c r="WIJ18" s="418"/>
      <c r="WIK18" s="418"/>
      <c r="WIL18" s="418"/>
      <c r="WIM18" s="418"/>
      <c r="WIN18" s="418"/>
      <c r="WIO18" s="418"/>
      <c r="WIP18" s="418"/>
      <c r="WIQ18" s="418"/>
      <c r="WIR18" s="418"/>
      <c r="WIS18" s="418"/>
      <c r="WIT18" s="418"/>
      <c r="WIU18" s="418"/>
      <c r="WIV18" s="418"/>
      <c r="WIW18" s="418"/>
      <c r="WIX18" s="418"/>
      <c r="WIY18" s="418"/>
      <c r="WIZ18" s="418"/>
      <c r="WJA18" s="418"/>
      <c r="WJB18" s="418"/>
      <c r="WJC18" s="418"/>
      <c r="WJD18" s="418"/>
      <c r="WJE18" s="418"/>
      <c r="WJF18" s="418"/>
      <c r="WJG18" s="418"/>
      <c r="WJH18" s="418"/>
      <c r="WJI18" s="418"/>
      <c r="WJJ18" s="418"/>
      <c r="WJK18" s="418"/>
      <c r="WJL18" s="418"/>
      <c r="WJM18" s="418"/>
      <c r="WJN18" s="418"/>
      <c r="WJO18" s="418"/>
      <c r="WJP18" s="418"/>
      <c r="WJQ18" s="418"/>
      <c r="WJR18" s="418"/>
      <c r="WJS18" s="418"/>
      <c r="WJT18" s="418"/>
      <c r="WJU18" s="418"/>
      <c r="WJV18" s="418"/>
      <c r="WJW18" s="418"/>
      <c r="WJX18" s="418"/>
      <c r="WJY18" s="418"/>
      <c r="WJZ18" s="418"/>
      <c r="WKA18" s="418"/>
      <c r="WKB18" s="418"/>
      <c r="WKC18" s="418"/>
      <c r="WKD18" s="418"/>
      <c r="WKE18" s="418"/>
      <c r="WKF18" s="418"/>
      <c r="WKG18" s="418"/>
      <c r="WKH18" s="418"/>
      <c r="WKI18" s="418"/>
      <c r="WKJ18" s="418"/>
      <c r="WKK18" s="418"/>
      <c r="WKL18" s="418"/>
      <c r="WKM18" s="418"/>
      <c r="WKN18" s="418"/>
      <c r="WKO18" s="418"/>
      <c r="WKP18" s="418"/>
      <c r="WKQ18" s="418"/>
      <c r="WKR18" s="418"/>
      <c r="WKS18" s="418"/>
      <c r="WKT18" s="418"/>
      <c r="WKU18" s="418"/>
      <c r="WKV18" s="418"/>
      <c r="WKW18" s="418"/>
      <c r="WKX18" s="418"/>
      <c r="WKY18" s="418"/>
      <c r="WKZ18" s="418"/>
      <c r="WLA18" s="418"/>
      <c r="WLB18" s="418"/>
      <c r="WLC18" s="418"/>
      <c r="WLD18" s="418"/>
      <c r="WLE18" s="418"/>
      <c r="WLF18" s="418"/>
      <c r="WLG18" s="418"/>
      <c r="WLH18" s="418"/>
      <c r="WLI18" s="418"/>
      <c r="WLJ18" s="418"/>
      <c r="WLK18" s="418"/>
      <c r="WLL18" s="418"/>
      <c r="WLM18" s="418"/>
      <c r="WLN18" s="418"/>
      <c r="WLO18" s="418"/>
      <c r="WLP18" s="418"/>
      <c r="WLQ18" s="418"/>
      <c r="WLR18" s="418"/>
      <c r="WLS18" s="418"/>
      <c r="WLT18" s="418"/>
      <c r="WLU18" s="418"/>
      <c r="WLV18" s="418"/>
      <c r="WLW18" s="418"/>
      <c r="WLX18" s="418"/>
      <c r="WLY18" s="418"/>
      <c r="WLZ18" s="418"/>
      <c r="WMA18" s="418"/>
      <c r="WMB18" s="418"/>
      <c r="WMC18" s="418"/>
      <c r="WMD18" s="418"/>
      <c r="WME18" s="418"/>
      <c r="WMF18" s="418"/>
      <c r="WMG18" s="418"/>
      <c r="WMH18" s="418"/>
      <c r="WMI18" s="418"/>
      <c r="WMJ18" s="418"/>
      <c r="WMK18" s="418"/>
      <c r="WML18" s="418"/>
      <c r="WMM18" s="418"/>
      <c r="WMN18" s="418"/>
      <c r="WMO18" s="418"/>
      <c r="WMP18" s="418"/>
      <c r="WMQ18" s="418"/>
      <c r="WMR18" s="418"/>
      <c r="WMS18" s="418"/>
      <c r="WMT18" s="418"/>
      <c r="WMU18" s="418"/>
      <c r="WMV18" s="418"/>
      <c r="WMW18" s="418"/>
      <c r="WMX18" s="418"/>
      <c r="WMY18" s="418"/>
      <c r="WMZ18" s="418"/>
      <c r="WNA18" s="418"/>
      <c r="WNB18" s="418"/>
      <c r="WNC18" s="418"/>
      <c r="WND18" s="418"/>
      <c r="WNE18" s="418"/>
      <c r="WNF18" s="418"/>
      <c r="WNG18" s="418"/>
      <c r="WNH18" s="418"/>
      <c r="WNI18" s="418"/>
      <c r="WNJ18" s="418"/>
      <c r="WNK18" s="418"/>
      <c r="WNL18" s="418"/>
      <c r="WNM18" s="418"/>
      <c r="WNN18" s="418"/>
      <c r="WNO18" s="418"/>
      <c r="WNP18" s="418"/>
      <c r="WNQ18" s="418"/>
      <c r="WNR18" s="418"/>
      <c r="WNS18" s="418"/>
      <c r="WNT18" s="418"/>
      <c r="WNU18" s="418"/>
      <c r="WNV18" s="418"/>
      <c r="WNW18" s="418"/>
      <c r="WNX18" s="418"/>
      <c r="WNY18" s="418"/>
      <c r="WNZ18" s="418"/>
      <c r="WOA18" s="418"/>
      <c r="WOB18" s="418"/>
      <c r="WOC18" s="418"/>
      <c r="WOD18" s="418"/>
      <c r="WOE18" s="418"/>
      <c r="WOF18" s="418"/>
      <c r="WOG18" s="418"/>
      <c r="WOH18" s="418"/>
      <c r="WOI18" s="418"/>
      <c r="WOJ18" s="418"/>
      <c r="WOK18" s="418"/>
      <c r="WOL18" s="418"/>
      <c r="WOM18" s="418"/>
      <c r="WON18" s="418"/>
      <c r="WOO18" s="418"/>
      <c r="WOP18" s="418"/>
      <c r="WOQ18" s="418"/>
      <c r="WOR18" s="418"/>
      <c r="WOS18" s="418"/>
      <c r="WOT18" s="418"/>
      <c r="WOU18" s="418"/>
      <c r="WOV18" s="418"/>
      <c r="WOW18" s="418"/>
      <c r="WOX18" s="418"/>
      <c r="WOY18" s="418"/>
      <c r="WOZ18" s="418"/>
      <c r="WPA18" s="418"/>
      <c r="WPB18" s="418"/>
      <c r="WPC18" s="418"/>
      <c r="WPD18" s="418"/>
      <c r="WPE18" s="418"/>
      <c r="WPF18" s="418"/>
      <c r="WPG18" s="418"/>
      <c r="WPH18" s="418"/>
      <c r="WPI18" s="418"/>
      <c r="WPJ18" s="418"/>
      <c r="WPK18" s="418"/>
      <c r="WPL18" s="418"/>
      <c r="WPM18" s="418"/>
      <c r="WPN18" s="418"/>
      <c r="WPO18" s="418"/>
      <c r="WPP18" s="418"/>
      <c r="WPQ18" s="418"/>
      <c r="WPR18" s="418"/>
      <c r="WPS18" s="418"/>
      <c r="WPT18" s="418"/>
      <c r="WPU18" s="418"/>
      <c r="WPV18" s="418"/>
      <c r="WPW18" s="418"/>
      <c r="WPX18" s="418"/>
      <c r="WPY18" s="418"/>
      <c r="WPZ18" s="418"/>
      <c r="WQA18" s="418"/>
      <c r="WQB18" s="418"/>
      <c r="WQC18" s="418"/>
      <c r="WQD18" s="418"/>
      <c r="WQE18" s="418"/>
      <c r="WQF18" s="418"/>
      <c r="WQG18" s="418"/>
      <c r="WQH18" s="418"/>
      <c r="WQI18" s="418"/>
      <c r="WQJ18" s="418"/>
      <c r="WQK18" s="418"/>
      <c r="WQL18" s="418"/>
      <c r="WQM18" s="418"/>
      <c r="WQN18" s="418"/>
      <c r="WQO18" s="418"/>
      <c r="WQP18" s="418"/>
      <c r="WQQ18" s="418"/>
      <c r="WQR18" s="418"/>
      <c r="WQS18" s="418"/>
      <c r="WQT18" s="418"/>
      <c r="WQU18" s="418"/>
      <c r="WQV18" s="418"/>
      <c r="WQW18" s="418"/>
      <c r="WQX18" s="418"/>
      <c r="WQY18" s="418"/>
      <c r="WQZ18" s="418"/>
      <c r="WRA18" s="418"/>
      <c r="WRB18" s="418"/>
      <c r="WRC18" s="418"/>
      <c r="WRD18" s="418"/>
      <c r="WRE18" s="418"/>
      <c r="WRF18" s="418"/>
      <c r="WRG18" s="418"/>
      <c r="WRH18" s="418"/>
      <c r="WRI18" s="418"/>
      <c r="WRJ18" s="418"/>
      <c r="WRK18" s="418"/>
      <c r="WRL18" s="418"/>
      <c r="WRM18" s="418"/>
      <c r="WRN18" s="418"/>
      <c r="WRO18" s="418"/>
      <c r="WRP18" s="418"/>
      <c r="WRQ18" s="418"/>
      <c r="WRR18" s="418"/>
      <c r="WRS18" s="418"/>
      <c r="WRT18" s="418"/>
      <c r="WRU18" s="418"/>
      <c r="WRV18" s="418"/>
      <c r="WRW18" s="418"/>
      <c r="WRX18" s="418"/>
      <c r="WRY18" s="418"/>
      <c r="WRZ18" s="418"/>
      <c r="WSA18" s="418"/>
      <c r="WSB18" s="418"/>
      <c r="WSC18" s="418"/>
      <c r="WSD18" s="418"/>
      <c r="WSE18" s="418"/>
      <c r="WSF18" s="418"/>
      <c r="WSG18" s="418"/>
      <c r="WSH18" s="418"/>
      <c r="WSI18" s="418"/>
      <c r="WSJ18" s="418"/>
      <c r="WSK18" s="418"/>
      <c r="WSL18" s="418"/>
      <c r="WSM18" s="418"/>
      <c r="WSN18" s="418"/>
      <c r="WSO18" s="418"/>
      <c r="WSP18" s="418"/>
      <c r="WSQ18" s="418"/>
      <c r="WSR18" s="418"/>
      <c r="WSS18" s="418"/>
      <c r="WST18" s="418"/>
      <c r="WSU18" s="418"/>
      <c r="WSV18" s="418"/>
      <c r="WSW18" s="418"/>
      <c r="WSX18" s="418"/>
      <c r="WSY18" s="418"/>
      <c r="WSZ18" s="418"/>
      <c r="WTA18" s="418"/>
      <c r="WTB18" s="418"/>
      <c r="WTC18" s="418"/>
      <c r="WTD18" s="418"/>
      <c r="WTE18" s="418"/>
      <c r="WTF18" s="418"/>
      <c r="WTG18" s="418"/>
      <c r="WTH18" s="418"/>
      <c r="WTI18" s="418"/>
      <c r="WTJ18" s="418"/>
      <c r="WTK18" s="418"/>
      <c r="WTL18" s="418"/>
      <c r="WTM18" s="418"/>
      <c r="WTN18" s="418"/>
      <c r="WTO18" s="418"/>
      <c r="WTP18" s="418"/>
      <c r="WTQ18" s="418"/>
      <c r="WTR18" s="418"/>
      <c r="WTS18" s="418"/>
      <c r="WTT18" s="418"/>
      <c r="WTU18" s="418"/>
      <c r="WTV18" s="418"/>
      <c r="WTW18" s="418"/>
      <c r="WTX18" s="418"/>
      <c r="WTY18" s="418"/>
      <c r="WTZ18" s="418"/>
      <c r="WUA18" s="418"/>
      <c r="WUB18" s="418"/>
      <c r="WUC18" s="418"/>
      <c r="WUD18" s="418"/>
      <c r="WUE18" s="418"/>
      <c r="WUF18" s="418"/>
      <c r="WUG18" s="418"/>
      <c r="WUH18" s="418"/>
      <c r="WUI18" s="418"/>
      <c r="WUJ18" s="418"/>
      <c r="WUK18" s="418"/>
      <c r="WUL18" s="418"/>
      <c r="WUM18" s="418"/>
      <c r="WUN18" s="418"/>
      <c r="WUO18" s="418"/>
      <c r="WUP18" s="418"/>
      <c r="WUQ18" s="418"/>
      <c r="WUR18" s="418"/>
      <c r="WUS18" s="418"/>
      <c r="WUT18" s="418"/>
      <c r="WUU18" s="418"/>
      <c r="WUV18" s="418"/>
      <c r="WUW18" s="418"/>
      <c r="WUX18" s="418"/>
      <c r="WUY18" s="418"/>
      <c r="WUZ18" s="418"/>
      <c r="WVA18" s="418"/>
      <c r="WVB18" s="418"/>
      <c r="WVC18" s="418"/>
      <c r="WVD18" s="418"/>
      <c r="WVE18" s="418"/>
      <c r="WVF18" s="418"/>
      <c r="WVG18" s="418"/>
      <c r="WVH18" s="418"/>
      <c r="WVI18" s="418"/>
      <c r="WVJ18" s="418"/>
      <c r="WVK18" s="418"/>
      <c r="WVL18" s="418"/>
      <c r="WVM18" s="418"/>
      <c r="WVN18" s="418"/>
      <c r="WVO18" s="418"/>
      <c r="WVP18" s="418"/>
      <c r="WVQ18" s="418"/>
      <c r="WVR18" s="418"/>
      <c r="WVS18" s="418"/>
      <c r="WVT18" s="418"/>
      <c r="WVU18" s="418"/>
      <c r="WVV18" s="418"/>
      <c r="WVW18" s="418"/>
      <c r="WVX18" s="418"/>
      <c r="WVY18" s="418"/>
      <c r="WVZ18" s="418"/>
      <c r="WWA18" s="418"/>
      <c r="WWB18" s="418"/>
      <c r="WWC18" s="418"/>
      <c r="WWD18" s="418"/>
      <c r="WWE18" s="418"/>
      <c r="WWF18" s="418"/>
      <c r="WWG18" s="418"/>
      <c r="WWH18" s="418"/>
      <c r="WWI18" s="418"/>
      <c r="WWJ18" s="418"/>
      <c r="WWK18" s="418"/>
      <c r="WWL18" s="418"/>
      <c r="WWM18" s="418"/>
      <c r="WWN18" s="418"/>
      <c r="WWO18" s="418"/>
      <c r="WWP18" s="418"/>
      <c r="WWQ18" s="418"/>
      <c r="WWR18" s="418"/>
      <c r="WWS18" s="418"/>
      <c r="WWT18" s="418"/>
      <c r="WWU18" s="418"/>
      <c r="WWV18" s="418"/>
      <c r="WWW18" s="418"/>
      <c r="WWX18" s="418"/>
      <c r="WWY18" s="418"/>
      <c r="WWZ18" s="418"/>
      <c r="WXA18" s="418"/>
      <c r="WXB18" s="418"/>
      <c r="WXC18" s="418"/>
      <c r="WXD18" s="418"/>
      <c r="WXE18" s="418"/>
      <c r="WXF18" s="418"/>
      <c r="WXG18" s="418"/>
      <c r="WXH18" s="418"/>
      <c r="WXI18" s="418"/>
      <c r="WXJ18" s="418"/>
      <c r="WXK18" s="418"/>
      <c r="WXL18" s="418"/>
      <c r="WXM18" s="418"/>
      <c r="WXN18" s="418"/>
      <c r="WXO18" s="418"/>
      <c r="WXP18" s="418"/>
      <c r="WXQ18" s="418"/>
      <c r="WXR18" s="418"/>
      <c r="WXS18" s="418"/>
      <c r="WXT18" s="418"/>
      <c r="WXU18" s="418"/>
      <c r="WXV18" s="418"/>
      <c r="WXW18" s="418"/>
      <c r="WXX18" s="418"/>
      <c r="WXY18" s="418"/>
      <c r="WXZ18" s="418"/>
      <c r="WYA18" s="418"/>
      <c r="WYB18" s="418"/>
      <c r="WYC18" s="418"/>
      <c r="WYD18" s="418"/>
      <c r="WYE18" s="418"/>
      <c r="WYF18" s="418"/>
      <c r="WYG18" s="418"/>
      <c r="WYH18" s="418"/>
      <c r="WYI18" s="418"/>
      <c r="WYJ18" s="418"/>
      <c r="WYK18" s="418"/>
      <c r="WYL18" s="418"/>
      <c r="WYM18" s="418"/>
      <c r="WYN18" s="418"/>
      <c r="WYO18" s="418"/>
      <c r="WYP18" s="418"/>
      <c r="WYQ18" s="418"/>
      <c r="WYR18" s="418"/>
      <c r="WYS18" s="418"/>
      <c r="WYT18" s="418"/>
      <c r="WYU18" s="418"/>
      <c r="WYV18" s="418"/>
      <c r="WYW18" s="418"/>
      <c r="WYX18" s="418"/>
      <c r="WYY18" s="418"/>
      <c r="WYZ18" s="418"/>
      <c r="WZA18" s="418"/>
      <c r="WZB18" s="418"/>
      <c r="WZC18" s="418"/>
      <c r="WZD18" s="418"/>
      <c r="WZE18" s="418"/>
      <c r="WZF18" s="418"/>
      <c r="WZG18" s="418"/>
      <c r="WZH18" s="418"/>
      <c r="WZI18" s="418"/>
      <c r="WZJ18" s="418"/>
      <c r="WZK18" s="418"/>
      <c r="WZL18" s="418"/>
      <c r="WZM18" s="418"/>
      <c r="WZN18" s="418"/>
      <c r="WZO18" s="418"/>
      <c r="WZP18" s="418"/>
      <c r="WZQ18" s="418"/>
      <c r="WZR18" s="418"/>
      <c r="WZS18" s="418"/>
      <c r="WZT18" s="418"/>
      <c r="WZU18" s="418"/>
      <c r="WZV18" s="418"/>
      <c r="WZW18" s="418"/>
      <c r="WZX18" s="418"/>
      <c r="WZY18" s="418"/>
      <c r="WZZ18" s="418"/>
      <c r="XAA18" s="418"/>
      <c r="XAB18" s="418"/>
      <c r="XAC18" s="418"/>
      <c r="XAD18" s="418"/>
      <c r="XAE18" s="418"/>
      <c r="XAF18" s="418"/>
      <c r="XAG18" s="418"/>
      <c r="XAH18" s="418"/>
      <c r="XAI18" s="418"/>
      <c r="XAJ18" s="418"/>
      <c r="XAK18" s="418"/>
      <c r="XAL18" s="418"/>
      <c r="XAM18" s="418"/>
      <c r="XAN18" s="418"/>
      <c r="XAO18" s="418"/>
      <c r="XAP18" s="418"/>
      <c r="XAQ18" s="418"/>
      <c r="XAR18" s="418"/>
      <c r="XAS18" s="418"/>
      <c r="XAT18" s="418"/>
      <c r="XAU18" s="418"/>
      <c r="XAV18" s="418"/>
      <c r="XAW18" s="418"/>
      <c r="XAX18" s="418"/>
      <c r="XAY18" s="418"/>
      <c r="XAZ18" s="418"/>
      <c r="XBA18" s="418"/>
      <c r="XBB18" s="418"/>
      <c r="XBC18" s="418"/>
      <c r="XBD18" s="418"/>
      <c r="XBE18" s="418"/>
      <c r="XBF18" s="418"/>
      <c r="XBG18" s="418"/>
      <c r="XBH18" s="418"/>
      <c r="XBI18" s="418"/>
      <c r="XBJ18" s="418"/>
      <c r="XBK18" s="418"/>
      <c r="XBL18" s="418"/>
      <c r="XBM18" s="418"/>
      <c r="XBN18" s="418"/>
      <c r="XBO18" s="418"/>
      <c r="XBP18" s="418"/>
      <c r="XBQ18" s="418"/>
      <c r="XBR18" s="418"/>
      <c r="XBS18" s="418"/>
      <c r="XBT18" s="418"/>
      <c r="XBU18" s="418"/>
      <c r="XBV18" s="418"/>
      <c r="XBW18" s="418"/>
      <c r="XBX18" s="418"/>
      <c r="XBY18" s="418"/>
      <c r="XBZ18" s="418"/>
      <c r="XCA18" s="418"/>
      <c r="XCB18" s="418"/>
      <c r="XCC18" s="418"/>
      <c r="XCD18" s="418"/>
      <c r="XCE18" s="418"/>
      <c r="XCF18" s="418"/>
      <c r="XCG18" s="418"/>
      <c r="XCH18" s="418"/>
      <c r="XCI18" s="418"/>
      <c r="XCJ18" s="418"/>
      <c r="XCK18" s="418"/>
      <c r="XCL18" s="418"/>
      <c r="XCM18" s="418"/>
      <c r="XCN18" s="418"/>
      <c r="XCO18" s="418"/>
      <c r="XCP18" s="418"/>
      <c r="XCQ18" s="418"/>
      <c r="XCR18" s="418"/>
      <c r="XCS18" s="418"/>
      <c r="XCT18" s="418"/>
      <c r="XCU18" s="418"/>
      <c r="XCV18" s="418"/>
      <c r="XCW18" s="418"/>
      <c r="XCX18" s="418"/>
      <c r="XCY18" s="418"/>
      <c r="XCZ18" s="418"/>
      <c r="XDA18" s="418"/>
      <c r="XDB18" s="418"/>
      <c r="XDC18" s="418"/>
      <c r="XDD18" s="418"/>
      <c r="XDE18" s="418"/>
      <c r="XDF18" s="418"/>
      <c r="XDG18" s="418"/>
      <c r="XDH18" s="418"/>
      <c r="XDI18" s="418"/>
      <c r="XDJ18" s="418"/>
      <c r="XDK18" s="418"/>
      <c r="XDL18" s="418"/>
      <c r="XDM18" s="418"/>
      <c r="XDN18" s="418"/>
      <c r="XDO18" s="418"/>
      <c r="XDP18" s="418"/>
      <c r="XDQ18" s="418"/>
      <c r="XDR18" s="418"/>
      <c r="XDS18" s="418"/>
      <c r="XDT18" s="418"/>
      <c r="XDU18" s="418"/>
      <c r="XDV18" s="418"/>
      <c r="XDW18" s="418"/>
      <c r="XDX18" s="418"/>
      <c r="XDY18" s="418"/>
      <c r="XDZ18" s="418"/>
      <c r="XEA18" s="418"/>
      <c r="XEB18" s="418"/>
      <c r="XEC18" s="418"/>
      <c r="XED18" s="418"/>
      <c r="XEE18" s="418"/>
      <c r="XEF18" s="418"/>
      <c r="XEG18" s="418"/>
      <c r="XEH18" s="418"/>
      <c r="XEI18" s="418"/>
      <c r="XEJ18" s="418"/>
      <c r="XEK18" s="418"/>
      <c r="XEL18" s="418"/>
      <c r="XEM18" s="418"/>
      <c r="XEN18" s="418"/>
      <c r="XEO18" s="418"/>
      <c r="XEP18" s="418"/>
      <c r="XEQ18" s="418"/>
      <c r="XER18" s="418"/>
      <c r="XES18" s="418"/>
      <c r="XET18" s="418"/>
      <c r="XEU18" s="418"/>
      <c r="XEV18" s="418"/>
      <c r="XEW18" s="418"/>
    </row>
    <row r="19" spans="1:16377" s="244" customFormat="1" ht="33" customHeight="1">
      <c r="A19" s="2539">
        <v>406</v>
      </c>
      <c r="C19" s="1579"/>
      <c r="D19" s="1579"/>
      <c r="E19" s="1582" t="s">
        <v>674</v>
      </c>
      <c r="F19" s="1582"/>
      <c r="G19" s="1582"/>
      <c r="H19" s="1582"/>
      <c r="I19" s="1582"/>
      <c r="J19" s="1582"/>
      <c r="K19" s="1582"/>
      <c r="L19" s="418"/>
      <c r="M19" s="867"/>
      <c r="N19" s="840"/>
      <c r="O19" s="1581"/>
      <c r="P19" s="1584"/>
      <c r="Q19" s="840">
        <f>SUMIF('1401'!$B$6:$B$576,$A19,'1401'!$V$6:$V$576)</f>
        <v>371673</v>
      </c>
      <c r="R19" s="1581"/>
      <c r="S19" s="1584">
        <v>138535</v>
      </c>
    </row>
    <row r="20" spans="1:16377" s="244" customFormat="1" ht="39.75" customHeight="1" thickBot="1">
      <c r="A20" s="921"/>
      <c r="B20" s="867"/>
      <c r="C20" s="1579"/>
      <c r="D20" s="1579"/>
      <c r="E20" s="867"/>
      <c r="F20" s="867"/>
      <c r="G20" s="867"/>
      <c r="H20" s="867"/>
      <c r="I20" s="867"/>
      <c r="J20" s="867"/>
      <c r="K20" s="867"/>
      <c r="L20" s="1585"/>
      <c r="M20" s="867"/>
      <c r="N20" s="2744"/>
      <c r="O20" s="840"/>
      <c r="P20" s="2745"/>
      <c r="Q20" s="841">
        <f>SUM(Q16:Q19)</f>
        <v>439416</v>
      </c>
      <c r="R20" s="840"/>
      <c r="S20" s="1127">
        <f>SUM(S16:S19)</f>
        <v>193840</v>
      </c>
    </row>
    <row r="21" spans="1:16377" s="255" customFormat="1" ht="29.25" customHeight="1" thickTop="1">
      <c r="A21" s="2540"/>
      <c r="C21" s="2025"/>
      <c r="D21" s="2025"/>
      <c r="E21" s="383"/>
      <c r="F21" s="2717"/>
      <c r="G21" s="2717"/>
      <c r="H21" s="2751"/>
      <c r="I21" s="2751"/>
      <c r="J21" s="2717"/>
      <c r="L21" s="969"/>
      <c r="M21" s="924"/>
      <c r="N21" s="969"/>
      <c r="O21" s="969"/>
      <c r="P21" s="378"/>
      <c r="Q21" s="924"/>
      <c r="R21" s="450"/>
      <c r="S21" s="450"/>
    </row>
    <row r="22" spans="1:16377" s="244" customFormat="1" ht="41.25" customHeight="1">
      <c r="A22" s="3140" t="s">
        <v>2165</v>
      </c>
      <c r="B22" s="3140"/>
      <c r="C22" s="3140"/>
      <c r="D22" s="2715"/>
      <c r="E22" s="3141" t="s">
        <v>2667</v>
      </c>
      <c r="F22" s="3141"/>
      <c r="G22" s="3141"/>
      <c r="H22" s="3141"/>
      <c r="I22" s="3141"/>
      <c r="J22" s="3141"/>
      <c r="K22" s="3141"/>
      <c r="L22" s="3141"/>
      <c r="M22" s="3141"/>
      <c r="N22" s="3141"/>
      <c r="O22" s="3141"/>
      <c r="P22" s="3141"/>
      <c r="Q22" s="3141"/>
      <c r="R22" s="3141"/>
      <c r="S22" s="3141"/>
    </row>
    <row r="23" spans="1:16377" s="1393" customFormat="1" ht="33.75" customHeight="1">
      <c r="A23" s="2541"/>
      <c r="C23" s="1592" t="s">
        <v>2164</v>
      </c>
      <c r="D23" s="1592"/>
      <c r="E23" s="2146" t="s">
        <v>1547</v>
      </c>
      <c r="F23" s="2146"/>
      <c r="G23" s="2146"/>
      <c r="H23" s="2146"/>
      <c r="I23" s="2146"/>
      <c r="J23" s="2146"/>
      <c r="L23" s="2147"/>
      <c r="M23" s="2148"/>
      <c r="N23" s="2737"/>
      <c r="O23" s="2737"/>
      <c r="P23" s="2738"/>
      <c r="Q23" s="2739"/>
      <c r="R23" s="2149"/>
      <c r="S23" s="2149"/>
    </row>
    <row r="24" spans="1:16377" s="255" customFormat="1" ht="35.25" customHeight="1">
      <c r="A24" s="2540"/>
      <c r="B24" s="450"/>
      <c r="C24" s="450"/>
      <c r="D24" s="450"/>
      <c r="E24" s="450"/>
      <c r="F24" s="450"/>
      <c r="G24" s="450"/>
      <c r="H24" s="450"/>
      <c r="I24" s="450"/>
      <c r="J24" s="450"/>
      <c r="K24" s="450"/>
      <c r="L24" s="925"/>
      <c r="N24" s="3134"/>
      <c r="O24" s="3134"/>
      <c r="P24" s="3134"/>
      <c r="Q24" s="3134" t="s">
        <v>1950</v>
      </c>
      <c r="R24" s="3134"/>
      <c r="S24" s="3134"/>
    </row>
    <row r="25" spans="1:16377" s="255" customFormat="1" ht="35.25" customHeight="1">
      <c r="A25" s="2540"/>
      <c r="B25" s="450"/>
      <c r="C25" s="926"/>
      <c r="D25" s="926"/>
      <c r="E25" s="450"/>
      <c r="F25" s="450"/>
      <c r="G25" s="450"/>
      <c r="H25" s="450"/>
      <c r="I25" s="450"/>
      <c r="J25" s="450"/>
      <c r="K25" s="450"/>
      <c r="L25" s="925"/>
      <c r="N25" s="2740"/>
      <c r="O25" s="2741"/>
      <c r="P25" s="2740"/>
      <c r="Q25" s="2174">
        <v>1401</v>
      </c>
      <c r="R25" s="1089"/>
      <c r="S25" s="2174">
        <v>1400</v>
      </c>
    </row>
    <row r="26" spans="1:16377" s="1337" customFormat="1" ht="35.25" customHeight="1">
      <c r="A26" s="2542"/>
      <c r="B26" s="1583"/>
      <c r="E26" s="1586" t="s">
        <v>1045</v>
      </c>
      <c r="F26" s="1586"/>
      <c r="G26" s="1586"/>
      <c r="H26" s="1586"/>
      <c r="I26" s="1586"/>
      <c r="J26" s="1586"/>
      <c r="K26" s="1583"/>
      <c r="L26" s="1583"/>
      <c r="N26" s="1590"/>
      <c r="O26" s="1588"/>
      <c r="P26" s="1588"/>
      <c r="Q26" s="1590">
        <v>3819465</v>
      </c>
      <c r="R26" s="1588"/>
      <c r="S26" s="1588">
        <v>2495568</v>
      </c>
    </row>
    <row r="27" spans="1:16377" s="1337" customFormat="1" ht="35.25" customHeight="1">
      <c r="A27" s="2542"/>
      <c r="B27" s="1583"/>
      <c r="E27" s="1586" t="s">
        <v>1849</v>
      </c>
      <c r="F27" s="1586"/>
      <c r="G27" s="1586"/>
      <c r="H27" s="1586"/>
      <c r="I27" s="1586"/>
      <c r="J27" s="1586"/>
      <c r="K27" s="1583"/>
      <c r="L27" s="1583"/>
      <c r="N27" s="1590"/>
      <c r="O27" s="1588"/>
      <c r="P27" s="1588"/>
      <c r="Q27" s="1590">
        <v>-120929</v>
      </c>
      <c r="R27" s="1588"/>
      <c r="S27" s="1588">
        <v>-116674</v>
      </c>
    </row>
    <row r="28" spans="1:16377" s="1337" customFormat="1" ht="35.25" customHeight="1">
      <c r="A28" s="2542"/>
      <c r="B28" s="1583"/>
      <c r="E28" s="1586" t="s">
        <v>1850</v>
      </c>
      <c r="F28" s="1586"/>
      <c r="G28" s="1586"/>
      <c r="H28" s="1586"/>
      <c r="I28" s="1586"/>
      <c r="J28" s="1586"/>
      <c r="K28" s="1583"/>
      <c r="L28" s="1583"/>
      <c r="N28" s="1590"/>
      <c r="O28" s="1588"/>
      <c r="P28" s="1588"/>
      <c r="Q28" s="1590">
        <v>1479367</v>
      </c>
      <c r="R28" s="1588"/>
      <c r="S28" s="1588">
        <v>1440571</v>
      </c>
    </row>
    <row r="29" spans="1:16377" s="1337" customFormat="1" ht="44.25" customHeight="1" thickBot="1">
      <c r="A29" s="2542">
        <v>1013</v>
      </c>
      <c r="B29" s="1587"/>
      <c r="E29" s="1583"/>
      <c r="F29" s="1583"/>
      <c r="G29" s="1583"/>
      <c r="H29" s="1583"/>
      <c r="I29" s="1583"/>
      <c r="J29" s="1583"/>
      <c r="K29" s="1583"/>
      <c r="L29" s="1583"/>
      <c r="N29" s="2057"/>
      <c r="O29" s="1588"/>
      <c r="P29" s="1588"/>
      <c r="Q29" s="1591">
        <f>SUMIF('1401'!$B$6:$B$576,$A29,'1401'!$V$6:$V$576)</f>
        <v>5177903</v>
      </c>
      <c r="R29" s="1588"/>
      <c r="S29" s="1589">
        <f>SUM(S26:S28)</f>
        <v>3819465</v>
      </c>
    </row>
    <row r="30" spans="1:16377" s="1337" customFormat="1" ht="26.25" customHeight="1" thickTop="1">
      <c r="A30" s="2542"/>
      <c r="B30" s="1587" t="s">
        <v>2545</v>
      </c>
      <c r="E30" s="1583"/>
      <c r="F30" s="1583"/>
      <c r="G30" s="1583"/>
      <c r="H30" s="1583"/>
      <c r="I30" s="1583"/>
      <c r="J30" s="1583"/>
      <c r="K30" s="1583"/>
      <c r="L30" s="1583"/>
      <c r="N30" s="2057"/>
      <c r="O30" s="1588"/>
      <c r="P30" s="1588"/>
      <c r="Q30" s="2742"/>
    </row>
    <row r="31" spans="1:16377" s="1337" customFormat="1" ht="26.25" customHeight="1">
      <c r="A31" s="2542"/>
      <c r="B31" s="1587"/>
      <c r="C31" s="2718" t="s">
        <v>1690</v>
      </c>
      <c r="D31" s="1582"/>
      <c r="E31" s="2718" t="s">
        <v>2546</v>
      </c>
      <c r="F31" s="2719"/>
      <c r="G31" s="2718" t="s">
        <v>2578</v>
      </c>
      <c r="H31" s="2719"/>
      <c r="I31" s="2718" t="s">
        <v>2575</v>
      </c>
      <c r="J31" s="2719"/>
      <c r="K31" s="2718" t="s">
        <v>2575</v>
      </c>
      <c r="L31" s="2057"/>
      <c r="M31" s="2746" t="s">
        <v>2574</v>
      </c>
      <c r="N31" s="2057"/>
      <c r="O31" s="2747" t="s">
        <v>2573</v>
      </c>
      <c r="P31" s="1588"/>
      <c r="Q31" s="2746" t="s">
        <v>679</v>
      </c>
      <c r="S31" s="2746" t="s">
        <v>2576</v>
      </c>
    </row>
    <row r="32" spans="1:16377" s="1337" customFormat="1" ht="26.25" customHeight="1">
      <c r="A32" s="2542"/>
      <c r="B32" s="1587"/>
      <c r="C32" s="1582">
        <v>1395</v>
      </c>
      <c r="D32" s="1582"/>
      <c r="E32" s="2720">
        <v>308363</v>
      </c>
      <c r="F32" s="2720"/>
      <c r="G32" s="2720">
        <f>329510-300000</f>
        <v>29510</v>
      </c>
      <c r="H32" s="1582"/>
      <c r="I32" s="2720">
        <f>249165-227826</f>
        <v>21339</v>
      </c>
      <c r="J32" s="1582"/>
      <c r="K32" s="2720">
        <f>I32+G32-K29</f>
        <v>50849</v>
      </c>
      <c r="L32" s="2728"/>
      <c r="M32" s="2720">
        <v>883549</v>
      </c>
      <c r="N32" s="1588"/>
      <c r="O32" s="2720">
        <v>1185551</v>
      </c>
      <c r="P32" s="2057"/>
      <c r="Q32" s="1588">
        <f>O32+M32</f>
        <v>2069100</v>
      </c>
      <c r="R32" s="1588"/>
      <c r="S32" s="1588">
        <f>Q32-K32</f>
        <v>2018251</v>
      </c>
    </row>
    <row r="33" spans="1:19" s="1337" customFormat="1" ht="26.25" customHeight="1">
      <c r="A33" s="2542"/>
      <c r="B33" s="1587"/>
      <c r="C33" s="1582">
        <v>1396</v>
      </c>
      <c r="D33" s="1582"/>
      <c r="E33" s="2720">
        <v>497379</v>
      </c>
      <c r="F33" s="2720"/>
      <c r="G33" s="2720">
        <v>264092</v>
      </c>
      <c r="H33" s="1582"/>
      <c r="I33" s="2720">
        <v>464114</v>
      </c>
      <c r="J33" s="1582"/>
      <c r="K33" s="2720">
        <f t="shared" ref="K33:K39" si="0">I33+G33</f>
        <v>728206</v>
      </c>
      <c r="L33" s="2728"/>
      <c r="M33" s="2720">
        <v>864298</v>
      </c>
      <c r="N33" s="1588"/>
      <c r="O33" s="2720">
        <v>900738</v>
      </c>
      <c r="P33" s="2057"/>
      <c r="Q33" s="1588">
        <f t="shared" ref="Q33:Q35" si="1">O33+M33</f>
        <v>1765036</v>
      </c>
      <c r="R33" s="1588"/>
      <c r="S33" s="1588">
        <f t="shared" ref="S33:S38" si="2">Q33-K33</f>
        <v>1036830</v>
      </c>
    </row>
    <row r="34" spans="1:19" s="1337" customFormat="1" ht="26.25" customHeight="1">
      <c r="A34" s="2542"/>
      <c r="B34" s="1587"/>
      <c r="C34" s="1582">
        <v>1397</v>
      </c>
      <c r="D34" s="1582"/>
      <c r="E34" s="2720">
        <v>429488</v>
      </c>
      <c r="F34" s="2720"/>
      <c r="G34" s="1582"/>
      <c r="H34" s="1582"/>
      <c r="I34" s="2720">
        <v>390861</v>
      </c>
      <c r="J34" s="1582"/>
      <c r="K34" s="2720">
        <f t="shared" si="0"/>
        <v>390861</v>
      </c>
      <c r="L34" s="2728"/>
      <c r="M34" s="2720">
        <v>855769</v>
      </c>
      <c r="N34" s="1588"/>
      <c r="O34" s="2720">
        <v>961588</v>
      </c>
      <c r="P34" s="2057"/>
      <c r="Q34" s="1588">
        <f t="shared" si="1"/>
        <v>1817357</v>
      </c>
      <c r="R34" s="1588"/>
      <c r="S34" s="1588">
        <f t="shared" si="2"/>
        <v>1426496</v>
      </c>
    </row>
    <row r="35" spans="1:19" s="1337" customFormat="1" ht="26.25" customHeight="1">
      <c r="A35" s="2542"/>
      <c r="B35" s="1587"/>
      <c r="C35" s="1582">
        <v>1398</v>
      </c>
      <c r="D35" s="1582"/>
      <c r="E35" s="2720">
        <v>558931</v>
      </c>
      <c r="F35" s="2720"/>
      <c r="G35" s="1582"/>
      <c r="H35" s="1582"/>
      <c r="I35" s="2720">
        <v>500431</v>
      </c>
      <c r="J35" s="1582"/>
      <c r="K35" s="2720">
        <f t="shared" si="0"/>
        <v>500431</v>
      </c>
      <c r="L35" s="2728"/>
      <c r="M35" s="2720">
        <v>1268071</v>
      </c>
      <c r="N35" s="1588"/>
      <c r="O35" s="2720">
        <v>892382</v>
      </c>
      <c r="P35" s="2057"/>
      <c r="Q35" s="1588">
        <f t="shared" si="1"/>
        <v>2160453</v>
      </c>
      <c r="R35" s="1588"/>
      <c r="S35" s="1588">
        <f t="shared" si="2"/>
        <v>1660022</v>
      </c>
    </row>
    <row r="36" spans="1:19" s="1337" customFormat="1" ht="26.25" customHeight="1">
      <c r="A36" s="2542"/>
      <c r="B36" s="1587"/>
      <c r="C36" s="1582">
        <v>1399</v>
      </c>
      <c r="D36" s="1582"/>
      <c r="E36" s="2720">
        <v>891959</v>
      </c>
      <c r="F36" s="2720"/>
      <c r="G36" s="1582"/>
      <c r="H36" s="1582"/>
      <c r="I36" s="2720">
        <v>825221</v>
      </c>
      <c r="J36" s="1582"/>
      <c r="K36" s="2720">
        <f t="shared" si="0"/>
        <v>825221</v>
      </c>
      <c r="L36" s="2728"/>
      <c r="M36" s="2720">
        <v>1579917</v>
      </c>
      <c r="N36" s="1588"/>
      <c r="O36" s="2720">
        <v>565880</v>
      </c>
      <c r="P36" s="2057"/>
      <c r="Q36" s="1588">
        <f>O36+M36</f>
        <v>2145797</v>
      </c>
      <c r="R36" s="1588"/>
      <c r="S36" s="1588">
        <f t="shared" si="2"/>
        <v>1320576</v>
      </c>
    </row>
    <row r="37" spans="1:19" s="1337" customFormat="1" ht="26.25" customHeight="1">
      <c r="A37" s="2542"/>
      <c r="B37" s="1587"/>
      <c r="C37" s="1582">
        <v>1400</v>
      </c>
      <c r="D37" s="1582"/>
      <c r="E37" s="2720">
        <v>1327346</v>
      </c>
      <c r="F37" s="2720"/>
      <c r="G37" s="1582"/>
      <c r="H37" s="1582"/>
      <c r="I37" s="2720">
        <v>1323897</v>
      </c>
      <c r="J37" s="1582"/>
      <c r="K37" s="2720">
        <f t="shared" si="0"/>
        <v>1323897</v>
      </c>
      <c r="L37" s="2728"/>
      <c r="M37" s="2720">
        <v>2436718</v>
      </c>
      <c r="N37" s="1588"/>
      <c r="O37" s="2720">
        <v>4531282</v>
      </c>
      <c r="P37" s="2057"/>
      <c r="Q37" s="1588">
        <f t="shared" ref="Q37:Q38" si="3">O37+M37</f>
        <v>6968000</v>
      </c>
      <c r="R37" s="1588"/>
      <c r="S37" s="1588">
        <f t="shared" si="2"/>
        <v>5644103</v>
      </c>
    </row>
    <row r="38" spans="1:19" s="1337" customFormat="1" ht="26.25" customHeight="1">
      <c r="A38" s="2542"/>
      <c r="B38" s="1587"/>
      <c r="C38" s="2719">
        <v>1401</v>
      </c>
      <c r="D38" s="1582"/>
      <c r="E38" s="2727">
        <v>0</v>
      </c>
      <c r="F38" s="2727"/>
      <c r="G38" s="2719"/>
      <c r="H38" s="2719"/>
      <c r="I38" s="2720">
        <v>1358438</v>
      </c>
      <c r="J38" s="1582"/>
      <c r="K38" s="2720">
        <f t="shared" si="0"/>
        <v>1358438</v>
      </c>
      <c r="L38" s="2729"/>
      <c r="M38" s="2727">
        <v>0</v>
      </c>
      <c r="N38" s="1588"/>
      <c r="O38" s="2727">
        <v>0</v>
      </c>
      <c r="P38" s="2057"/>
      <c r="Q38" s="1588">
        <f t="shared" si="3"/>
        <v>0</v>
      </c>
      <c r="R38" s="1588"/>
      <c r="S38" s="1588">
        <f t="shared" si="2"/>
        <v>-1358438</v>
      </c>
    </row>
    <row r="39" spans="1:19" s="1337" customFormat="1" ht="26.25" customHeight="1">
      <c r="A39" s="2542"/>
      <c r="B39" s="1587"/>
      <c r="C39" s="2718" t="s">
        <v>1838</v>
      </c>
      <c r="D39" s="1582"/>
      <c r="E39" s="2721">
        <v>1164437</v>
      </c>
      <c r="F39" s="2727"/>
      <c r="G39" s="2718"/>
      <c r="H39" s="2719"/>
      <c r="I39" s="2721">
        <v>0</v>
      </c>
      <c r="J39" s="2719"/>
      <c r="K39" s="2721">
        <f t="shared" si="0"/>
        <v>0</v>
      </c>
      <c r="L39" s="2729"/>
      <c r="M39" s="2721">
        <v>0</v>
      </c>
      <c r="N39" s="1588"/>
      <c r="O39" s="2721">
        <v>0</v>
      </c>
      <c r="P39" s="2057"/>
      <c r="Q39" s="2747">
        <v>0</v>
      </c>
      <c r="R39" s="1588"/>
      <c r="S39" s="2747">
        <v>0</v>
      </c>
    </row>
    <row r="40" spans="1:19" s="1337" customFormat="1">
      <c r="A40" s="2542"/>
      <c r="B40" s="1587"/>
      <c r="C40" s="2719"/>
      <c r="D40" s="1582"/>
      <c r="E40" s="2720">
        <f>SUM(E32:E39)</f>
        <v>5177903</v>
      </c>
      <c r="F40" s="1582"/>
      <c r="G40" s="2720">
        <f>SUM(G32:G39)</f>
        <v>293602</v>
      </c>
      <c r="H40" s="2720"/>
      <c r="I40" s="2720">
        <f>SUM(I32:I39)</f>
        <v>4884301</v>
      </c>
      <c r="J40" s="2720"/>
      <c r="K40" s="2752">
        <f>SUM(K32:K38)</f>
        <v>5177903</v>
      </c>
      <c r="L40" s="1583"/>
      <c r="M40" s="2720">
        <f>SUM(M32:M39)</f>
        <v>7888322</v>
      </c>
      <c r="N40" s="2057"/>
      <c r="O40" s="1588">
        <f>SUM(O32:O39)</f>
        <v>9037421</v>
      </c>
      <c r="P40" s="1588"/>
      <c r="Q40" s="1588">
        <f>SUM(Q32:Q38)</f>
        <v>16925743</v>
      </c>
      <c r="S40" s="1588">
        <f>SUM(S32:S38)</f>
        <v>11747840</v>
      </c>
    </row>
    <row r="41" spans="1:19" s="1337" customFormat="1" ht="27.75" customHeight="1">
      <c r="A41" s="2542"/>
      <c r="B41" s="1587"/>
      <c r="C41" s="2719"/>
      <c r="D41" s="1582"/>
      <c r="E41" s="2720"/>
      <c r="F41" s="1582"/>
      <c r="G41" s="2720"/>
      <c r="H41" s="2720"/>
      <c r="I41" s="2720"/>
      <c r="J41" s="2720"/>
      <c r="K41" s="2752"/>
      <c r="L41" s="1583"/>
      <c r="M41" s="2720"/>
      <c r="N41" s="2057"/>
      <c r="O41" s="1588"/>
      <c r="P41" s="1588"/>
      <c r="Q41" s="1588"/>
      <c r="S41" s="1588"/>
    </row>
    <row r="42" spans="1:19" s="1337" customFormat="1" ht="64.5" customHeight="1">
      <c r="A42" s="2542"/>
      <c r="B42" s="3143" t="s">
        <v>2584</v>
      </c>
      <c r="C42" s="3143"/>
      <c r="D42" s="1592" t="s">
        <v>2164</v>
      </c>
      <c r="E42" s="3145" t="s">
        <v>2580</v>
      </c>
      <c r="F42" s="3145"/>
      <c r="G42" s="3145"/>
      <c r="H42" s="3145"/>
      <c r="I42" s="3145"/>
      <c r="J42" s="3145"/>
      <c r="K42" s="3145"/>
      <c r="L42" s="3145"/>
      <c r="M42" s="3145"/>
      <c r="N42" s="3145"/>
      <c r="O42" s="3145"/>
      <c r="P42" s="3145"/>
      <c r="Q42" s="3145"/>
      <c r="R42" s="3145"/>
      <c r="S42" s="3145"/>
    </row>
    <row r="43" spans="1:19" s="1337" customFormat="1" ht="61.5" customHeight="1">
      <c r="A43" s="1393"/>
      <c r="B43" s="1587"/>
      <c r="C43" s="1587" t="s">
        <v>2585</v>
      </c>
      <c r="D43" s="2146"/>
      <c r="E43" s="3145" t="s">
        <v>2579</v>
      </c>
      <c r="F43" s="3145"/>
      <c r="G43" s="3145"/>
      <c r="H43" s="3145"/>
      <c r="I43" s="3145"/>
      <c r="J43" s="3145"/>
      <c r="K43" s="3145"/>
      <c r="L43" s="3145"/>
      <c r="M43" s="3145"/>
      <c r="N43" s="3145"/>
      <c r="O43" s="3145"/>
      <c r="P43" s="3145"/>
      <c r="Q43" s="3145"/>
      <c r="R43" s="3145"/>
      <c r="S43" s="3145"/>
    </row>
    <row r="44" spans="1:19" s="1337" customFormat="1" ht="67.5" customHeight="1">
      <c r="A44" s="2542"/>
      <c r="B44" s="3144" t="s">
        <v>2586</v>
      </c>
      <c r="C44" s="3144"/>
      <c r="D44" s="2719"/>
      <c r="E44" s="3145" t="s">
        <v>2581</v>
      </c>
      <c r="F44" s="3145"/>
      <c r="G44" s="3145"/>
      <c r="H44" s="3145"/>
      <c r="I44" s="3145"/>
      <c r="J44" s="3145"/>
      <c r="K44" s="3145"/>
      <c r="L44" s="3145"/>
      <c r="M44" s="3145"/>
      <c r="N44" s="3145"/>
      <c r="O44" s="3145"/>
      <c r="P44" s="3145"/>
      <c r="Q44" s="3145"/>
      <c r="R44" s="3145"/>
      <c r="S44" s="3145"/>
    </row>
    <row r="45" spans="1:19" s="1337" customFormat="1" ht="69" customHeight="1">
      <c r="A45" s="2542"/>
      <c r="B45" s="1587"/>
      <c r="C45" s="1587" t="s">
        <v>2587</v>
      </c>
      <c r="D45" s="1582"/>
      <c r="E45" s="3145" t="s">
        <v>2582</v>
      </c>
      <c r="F45" s="3145"/>
      <c r="G45" s="3145"/>
      <c r="H45" s="3145"/>
      <c r="I45" s="3145"/>
      <c r="J45" s="3145"/>
      <c r="K45" s="3145"/>
      <c r="L45" s="3145"/>
      <c r="M45" s="3145"/>
      <c r="N45" s="3145"/>
      <c r="O45" s="3145"/>
      <c r="P45" s="3145"/>
      <c r="Q45" s="3145"/>
      <c r="R45" s="3145"/>
      <c r="S45" s="3145"/>
    </row>
    <row r="46" spans="1:19" s="1337" customFormat="1" ht="70.5" customHeight="1">
      <c r="A46" s="2542"/>
      <c r="B46" s="1587"/>
      <c r="C46" s="1587" t="s">
        <v>2588</v>
      </c>
      <c r="D46" s="1582"/>
      <c r="E46" s="3145" t="s">
        <v>2583</v>
      </c>
      <c r="F46" s="3145"/>
      <c r="G46" s="3145"/>
      <c r="H46" s="3145"/>
      <c r="I46" s="3145"/>
      <c r="J46" s="3145"/>
      <c r="K46" s="3145"/>
      <c r="L46" s="3145"/>
      <c r="M46" s="3145"/>
      <c r="N46" s="3145"/>
      <c r="O46" s="3145"/>
      <c r="P46" s="3145"/>
      <c r="Q46" s="3145"/>
      <c r="R46" s="3145"/>
      <c r="S46" s="3145"/>
    </row>
    <row r="47" spans="1:19" s="1337" customFormat="1" ht="26.25" customHeight="1">
      <c r="A47" s="2542"/>
      <c r="B47" s="1587"/>
      <c r="C47" s="1582"/>
      <c r="D47" s="1582"/>
      <c r="E47" s="2720"/>
      <c r="F47" s="2720"/>
      <c r="G47" s="1582"/>
      <c r="H47" s="1582"/>
      <c r="I47" s="1582"/>
      <c r="J47" s="1582"/>
      <c r="K47" s="1582"/>
      <c r="L47" s="2728"/>
      <c r="M47" s="2730"/>
      <c r="N47" s="1588"/>
      <c r="O47" s="1583"/>
      <c r="P47" s="2057"/>
      <c r="Q47" s="1588"/>
      <c r="R47" s="1588"/>
    </row>
    <row r="48" spans="1:19" s="1337" customFormat="1" ht="179.25" customHeight="1">
      <c r="A48" s="2542"/>
      <c r="B48" s="110"/>
      <c r="C48" s="414" t="s">
        <v>2589</v>
      </c>
      <c r="D48" s="414"/>
      <c r="E48" s="3142" t="s">
        <v>2104</v>
      </c>
      <c r="F48" s="3142"/>
      <c r="G48" s="3142"/>
      <c r="H48" s="3142"/>
      <c r="I48" s="3142"/>
      <c r="J48" s="3142"/>
      <c r="K48" s="3142"/>
      <c r="L48" s="3142"/>
      <c r="M48" s="3142"/>
      <c r="N48" s="3142"/>
      <c r="O48" s="3142"/>
      <c r="P48" s="3142"/>
      <c r="Q48" s="3142"/>
      <c r="R48" s="3142"/>
      <c r="S48" s="3142"/>
    </row>
    <row r="49" spans="1:19" ht="44.25" customHeight="1">
      <c r="C49" s="1592"/>
      <c r="D49" s="1592"/>
      <c r="E49" s="3139"/>
      <c r="F49" s="3139"/>
      <c r="G49" s="3139"/>
      <c r="H49" s="3139"/>
      <c r="I49" s="3139"/>
      <c r="J49" s="3139"/>
      <c r="K49" s="3139"/>
      <c r="L49" s="3139"/>
      <c r="M49" s="3139"/>
      <c r="N49" s="3139"/>
      <c r="O49" s="3139"/>
      <c r="P49" s="3139"/>
    </row>
    <row r="50" spans="1:19" ht="35.25" hidden="1" customHeight="1">
      <c r="C50" s="414" t="s">
        <v>1766</v>
      </c>
      <c r="D50" s="414"/>
      <c r="E50" s="3137" t="s">
        <v>1757</v>
      </c>
      <c r="F50" s="3137"/>
      <c r="G50" s="3137"/>
      <c r="H50" s="3137"/>
      <c r="I50" s="3137"/>
      <c r="J50" s="3137"/>
      <c r="K50" s="3137"/>
      <c r="L50" s="3137"/>
      <c r="M50" s="3137"/>
      <c r="N50" s="3137"/>
      <c r="O50" s="3137"/>
      <c r="P50" s="3137"/>
    </row>
    <row r="51" spans="1:19" s="1495" customFormat="1" ht="15" hidden="1" customHeight="1">
      <c r="A51" s="386"/>
      <c r="B51" s="110"/>
      <c r="C51" s="414"/>
      <c r="D51" s="414"/>
      <c r="E51" s="1494"/>
      <c r="F51" s="2714"/>
      <c r="G51" s="2714"/>
      <c r="H51" s="2749"/>
      <c r="I51" s="2749"/>
      <c r="J51" s="2714"/>
      <c r="K51" s="1494"/>
      <c r="L51" s="1494"/>
      <c r="M51" s="2725"/>
      <c r="N51" s="1494"/>
      <c r="O51" s="1494"/>
      <c r="P51" s="1494"/>
    </row>
    <row r="52" spans="1:19" s="1495" customFormat="1" ht="15" hidden="1" customHeight="1">
      <c r="A52" s="386"/>
      <c r="B52" s="110"/>
      <c r="C52" s="414"/>
      <c r="D52" s="414"/>
      <c r="E52" s="1494"/>
      <c r="F52" s="2714"/>
      <c r="G52" s="2714"/>
      <c r="H52" s="2749"/>
      <c r="I52" s="2749"/>
      <c r="J52" s="2714"/>
      <c r="K52" s="1494"/>
      <c r="L52" s="1494"/>
      <c r="M52" s="2725"/>
      <c r="N52" s="1494"/>
      <c r="O52" s="1494"/>
      <c r="P52" s="1494"/>
    </row>
    <row r="53" spans="1:19" s="1495" customFormat="1" ht="35.25" customHeight="1">
      <c r="A53" s="386"/>
      <c r="B53" s="382"/>
      <c r="C53" s="3147" t="s">
        <v>1998</v>
      </c>
      <c r="D53" s="3147"/>
      <c r="E53" s="3147"/>
      <c r="F53" s="3147"/>
      <c r="G53" s="3147"/>
      <c r="H53" s="3147"/>
      <c r="I53" s="3147"/>
      <c r="J53" s="3147"/>
      <c r="K53" s="3147"/>
      <c r="L53" s="3147"/>
      <c r="M53" s="3147"/>
      <c r="N53" s="3134"/>
      <c r="O53" s="3134"/>
      <c r="P53" s="3134"/>
      <c r="Q53" s="3146" t="s">
        <v>1950</v>
      </c>
      <c r="R53" s="3146"/>
      <c r="S53" s="3146"/>
    </row>
    <row r="54" spans="1:19" s="1495" customFormat="1" ht="35.25" customHeight="1">
      <c r="A54" s="386"/>
      <c r="B54" s="120"/>
      <c r="C54" s="382"/>
      <c r="D54" s="382"/>
      <c r="E54" s="423"/>
      <c r="F54" s="423"/>
      <c r="G54" s="423"/>
      <c r="H54" s="423"/>
      <c r="I54" s="423"/>
      <c r="J54" s="423"/>
      <c r="K54" s="424"/>
      <c r="L54" s="424"/>
      <c r="M54" s="2725"/>
      <c r="N54" s="2731"/>
      <c r="O54" s="2137"/>
      <c r="P54" s="2137"/>
      <c r="Q54" s="1836">
        <v>1401</v>
      </c>
      <c r="R54" s="837"/>
      <c r="S54" s="836">
        <v>1400</v>
      </c>
    </row>
    <row r="55" spans="1:19" s="1495" customFormat="1" ht="35.25" customHeight="1">
      <c r="A55" s="386"/>
      <c r="B55" s="120"/>
      <c r="C55" s="382"/>
      <c r="D55" s="382"/>
      <c r="E55" s="425" t="s">
        <v>2167</v>
      </c>
      <c r="F55" s="425"/>
      <c r="G55" s="425"/>
      <c r="H55" s="425"/>
      <c r="I55" s="425"/>
      <c r="J55" s="425"/>
      <c r="K55" s="426"/>
      <c r="L55" s="424"/>
      <c r="M55" s="2725"/>
      <c r="N55" s="2732"/>
      <c r="O55" s="2733"/>
      <c r="P55" s="2732"/>
      <c r="Q55" s="416"/>
      <c r="R55" s="417"/>
      <c r="S55" s="416"/>
    </row>
    <row r="56" spans="1:19" s="1495" customFormat="1" ht="35.25" customHeight="1">
      <c r="A56" s="2543">
        <v>420</v>
      </c>
      <c r="B56" s="1458"/>
      <c r="C56" s="382"/>
      <c r="D56" s="382"/>
      <c r="E56" s="374" t="s">
        <v>1471</v>
      </c>
      <c r="F56" s="2713"/>
      <c r="G56" s="2713"/>
      <c r="H56" s="2748"/>
      <c r="I56" s="2748"/>
      <c r="J56" s="2713"/>
      <c r="K56" s="418"/>
      <c r="L56" s="427"/>
      <c r="M56" s="2725"/>
      <c r="N56" s="835"/>
      <c r="O56" s="2734"/>
      <c r="P56" s="835"/>
      <c r="Q56" s="835">
        <f>SUMIF('1401'!$B$6:$B$576,$A56,'1401'!$V$6:$V$576)</f>
        <v>17078</v>
      </c>
      <c r="R56" s="640"/>
      <c r="S56" s="835">
        <v>20015</v>
      </c>
    </row>
    <row r="57" spans="1:19" s="1495" customFormat="1" ht="35.25" customHeight="1">
      <c r="A57" s="2543">
        <v>421</v>
      </c>
      <c r="B57" s="1458"/>
      <c r="C57" s="382"/>
      <c r="D57" s="382"/>
      <c r="E57" s="1718" t="s">
        <v>2014</v>
      </c>
      <c r="F57" s="1718"/>
      <c r="G57" s="1718"/>
      <c r="H57" s="1718"/>
      <c r="I57" s="1718"/>
      <c r="J57" s="1718"/>
      <c r="K57" s="418"/>
      <c r="L57" s="428"/>
      <c r="M57" s="2725"/>
      <c r="N57" s="835"/>
      <c r="O57" s="2734"/>
      <c r="P57" s="835"/>
      <c r="Q57" s="835">
        <f>SUMIF('1401'!$B$6:$B$576,$A57,'1401'!$V$6:$V$576)</f>
        <v>5223</v>
      </c>
      <c r="R57" s="640"/>
      <c r="S57" s="835">
        <v>6529</v>
      </c>
    </row>
    <row r="58" spans="1:19" ht="35.25" customHeight="1" thickBot="1">
      <c r="E58" s="1458"/>
      <c r="K58" s="1458"/>
      <c r="L58" s="1458"/>
      <c r="N58" s="840"/>
      <c r="O58" s="2735"/>
      <c r="P58" s="2736"/>
      <c r="Q58" s="839">
        <f>SUM(Q56:Q57)</f>
        <v>22301</v>
      </c>
      <c r="R58" s="842"/>
      <c r="S58" s="1128">
        <f>SUM(S56:S57)</f>
        <v>26544</v>
      </c>
    </row>
    <row r="59" spans="1:19" s="2829" customFormat="1" ht="35.25" customHeight="1" thickTop="1">
      <c r="A59" s="386"/>
      <c r="B59" s="110"/>
      <c r="C59" s="382"/>
      <c r="D59" s="382"/>
      <c r="N59" s="840"/>
      <c r="O59" s="2735"/>
      <c r="P59" s="2736"/>
      <c r="Q59" s="840"/>
      <c r="R59" s="842"/>
      <c r="S59" s="2736"/>
    </row>
    <row r="60" spans="1:19" s="2829" customFormat="1" ht="35.25" customHeight="1">
      <c r="A60" s="386"/>
      <c r="B60" s="110"/>
      <c r="C60" s="382"/>
      <c r="D60" s="382"/>
      <c r="N60" s="840"/>
      <c r="O60" s="2735"/>
      <c r="P60" s="2736"/>
      <c r="Q60" s="840"/>
      <c r="R60" s="842"/>
      <c r="S60" s="2736"/>
    </row>
    <row r="61" spans="1:19" ht="39.75">
      <c r="A61" s="3130">
        <v>20</v>
      </c>
      <c r="B61" s="3130"/>
      <c r="C61" s="3130"/>
      <c r="D61" s="3130"/>
      <c r="E61" s="3130"/>
      <c r="F61" s="3130"/>
      <c r="G61" s="3130"/>
      <c r="H61" s="3130"/>
      <c r="I61" s="3130"/>
      <c r="J61" s="3130"/>
      <c r="K61" s="3130"/>
      <c r="L61" s="3130"/>
      <c r="M61" s="3130"/>
      <c r="N61" s="3130"/>
      <c r="O61" s="3130"/>
      <c r="P61" s="3130"/>
      <c r="Q61" s="3130"/>
      <c r="R61" s="3130"/>
      <c r="S61" s="3130"/>
    </row>
    <row r="73" spans="2:16" ht="21">
      <c r="B73" s="151"/>
      <c r="C73" s="151"/>
      <c r="D73" s="2716"/>
      <c r="P73" s="151">
        <v>-7717613</v>
      </c>
    </row>
  </sheetData>
  <mergeCells count="24">
    <mergeCell ref="A61:S61"/>
    <mergeCell ref="E42:S42"/>
    <mergeCell ref="E43:S43"/>
    <mergeCell ref="E44:S44"/>
    <mergeCell ref="E45:S45"/>
    <mergeCell ref="E46:S46"/>
    <mergeCell ref="Q53:S53"/>
    <mergeCell ref="C53:M53"/>
    <mergeCell ref="N53:P53"/>
    <mergeCell ref="A1:S1"/>
    <mergeCell ref="A2:S2"/>
    <mergeCell ref="A3:S3"/>
    <mergeCell ref="E50:P50"/>
    <mergeCell ref="E5:P5"/>
    <mergeCell ref="E49:P49"/>
    <mergeCell ref="A22:C22"/>
    <mergeCell ref="N13:P13"/>
    <mergeCell ref="N24:P24"/>
    <mergeCell ref="E22:S22"/>
    <mergeCell ref="Q24:S24"/>
    <mergeCell ref="Q13:S13"/>
    <mergeCell ref="E48:S48"/>
    <mergeCell ref="B42:C42"/>
    <mergeCell ref="B44:C44"/>
  </mergeCells>
  <printOptions horizontalCentered="1"/>
  <pageMargins left="0.17" right="0.17" top="0.3" bottom="0.18" header="0.17" footer="0.18"/>
  <pageSetup paperSize="9" scale="4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O34"/>
  <sheetViews>
    <sheetView rightToLeft="1" view="pageBreakPreview" topLeftCell="C1" zoomScale="82" zoomScaleNormal="100" zoomScaleSheetLayoutView="82" zoomScalePageLayoutView="70" workbookViewId="0">
      <selection activeCell="R27" sqref="R27"/>
    </sheetView>
  </sheetViews>
  <sheetFormatPr defaultColWidth="1.375" defaultRowHeight="26.25"/>
  <cols>
    <col min="1" max="1" width="5.5" style="1742" hidden="1" customWidth="1"/>
    <col min="2" max="2" width="12" style="1359" hidden="1" customWidth="1"/>
    <col min="3" max="3" width="6.375" style="2537" customWidth="1"/>
    <col min="4" max="4" width="21.75" style="151" customWidth="1"/>
    <col min="5" max="5" width="50.75" style="151" bestFit="1" customWidth="1"/>
    <col min="6" max="6" width="4.875" style="151" customWidth="1"/>
    <col min="7" max="7" width="7.375" style="151" customWidth="1"/>
    <col min="8" max="8" width="16.75" style="151" customWidth="1"/>
    <col min="9" max="9" width="4" style="151" customWidth="1"/>
    <col min="10" max="10" width="14.625" style="151" bestFit="1" customWidth="1"/>
    <col min="11" max="11" width="1.375" style="151"/>
    <col min="12" max="12" width="1.75" style="151" bestFit="1" customWidth="1"/>
    <col min="13" max="13" width="1.375" style="151"/>
    <col min="14" max="14" width="2.75" style="151" bestFit="1" customWidth="1"/>
    <col min="15" max="17" width="1.375" style="151"/>
    <col min="18" max="18" width="11.375" style="151" bestFit="1" customWidth="1"/>
    <col min="19" max="19" width="12.625" style="151" bestFit="1" customWidth="1"/>
    <col min="20" max="29" width="1.375" style="151"/>
    <col min="30" max="41" width="7.75" style="151" bestFit="1" customWidth="1"/>
    <col min="42" max="16384" width="1.375" style="151"/>
  </cols>
  <sheetData>
    <row r="1" spans="1:19" s="429" customFormat="1" ht="39" customHeight="1">
      <c r="A1" s="3127" t="str">
        <f>مفروضات!A1</f>
        <v>شركت خطوط لوله و مخابرات نفت ايران (سهامي خاص)</v>
      </c>
      <c r="B1" s="3127"/>
      <c r="C1" s="3127"/>
      <c r="D1" s="3127"/>
      <c r="E1" s="3127"/>
      <c r="F1" s="3127"/>
      <c r="G1" s="3127"/>
      <c r="H1" s="3127"/>
      <c r="I1" s="3127"/>
      <c r="J1" s="3127"/>
    </row>
    <row r="2" spans="1:19" s="429" customFormat="1" ht="39.75" customHeight="1">
      <c r="A2" s="3127" t="str">
        <f>مفروضات!A2</f>
        <v>يادداشت هاي توضيحي صورت هاي مالي</v>
      </c>
      <c r="B2" s="3127"/>
      <c r="C2" s="3127"/>
      <c r="D2" s="3127"/>
      <c r="E2" s="3127"/>
      <c r="F2" s="3127"/>
      <c r="G2" s="3127"/>
      <c r="H2" s="3127"/>
      <c r="I2" s="3127"/>
      <c r="J2" s="3127"/>
    </row>
    <row r="3" spans="1:19" s="429" customFormat="1" ht="37.5" customHeight="1">
      <c r="A3" s="3127" t="str">
        <f>مفروضات!A3</f>
        <v xml:space="preserve"> سال مالي منتهي به 29 اسفند 1401</v>
      </c>
      <c r="B3" s="3127"/>
      <c r="C3" s="3127"/>
      <c r="D3" s="3127"/>
      <c r="E3" s="3127"/>
      <c r="F3" s="3127"/>
      <c r="G3" s="3127"/>
      <c r="H3" s="3127"/>
      <c r="I3" s="3127"/>
      <c r="J3" s="3127"/>
    </row>
    <row r="4" spans="1:19" s="429" customFormat="1" ht="27" customHeight="1">
      <c r="A4" s="888"/>
      <c r="B4" s="1526"/>
      <c r="C4" s="2561"/>
      <c r="D4" s="1526"/>
      <c r="E4" s="1526"/>
      <c r="F4" s="1526"/>
      <c r="G4" s="1526"/>
      <c r="H4" s="1526"/>
      <c r="I4" s="1526"/>
      <c r="J4" s="1526"/>
    </row>
    <row r="5" spans="1:19" s="429" customFormat="1" ht="22.5" customHeight="1">
      <c r="A5" s="888"/>
      <c r="B5" s="1526"/>
      <c r="C5" s="2561"/>
      <c r="D5" s="1526"/>
      <c r="E5" s="1526"/>
      <c r="F5" s="1526"/>
      <c r="G5" s="1526"/>
      <c r="H5" s="1526"/>
      <c r="I5" s="1526"/>
      <c r="J5" s="1526"/>
    </row>
    <row r="6" spans="1:19" ht="36.75" customHeight="1">
      <c r="C6" s="2562" t="s">
        <v>1999</v>
      </c>
      <c r="D6" s="1509" t="s">
        <v>1408</v>
      </c>
      <c r="E6" s="448"/>
      <c r="F6" s="448"/>
      <c r="G6" s="448"/>
      <c r="H6" s="3151" t="s">
        <v>1950</v>
      </c>
      <c r="I6" s="3151"/>
      <c r="J6" s="3151"/>
      <c r="K6" s="449"/>
      <c r="L6" s="449"/>
      <c r="M6" s="449"/>
      <c r="N6" s="449"/>
      <c r="O6" s="449"/>
      <c r="P6" s="450"/>
    </row>
    <row r="7" spans="1:19" s="976" customFormat="1" ht="33" hidden="1" customHeight="1">
      <c r="A7" s="1743"/>
      <c r="B7" s="1360"/>
      <c r="C7" s="2563"/>
      <c r="D7" s="991" t="s">
        <v>1673</v>
      </c>
      <c r="E7" s="986"/>
      <c r="F7" s="986"/>
      <c r="G7" s="986"/>
      <c r="H7" s="439" t="s">
        <v>675</v>
      </c>
      <c r="I7" s="439"/>
      <c r="J7" s="439" t="s">
        <v>675</v>
      </c>
      <c r="K7" s="992"/>
      <c r="L7" s="992"/>
      <c r="M7" s="992"/>
      <c r="N7" s="992"/>
      <c r="O7" s="992"/>
      <c r="P7" s="927"/>
    </row>
    <row r="8" spans="1:19" s="976" customFormat="1" ht="33" hidden="1" customHeight="1">
      <c r="A8" s="1743"/>
      <c r="B8" s="1360"/>
      <c r="C8" s="2563"/>
      <c r="D8" s="991" t="s">
        <v>1694</v>
      </c>
      <c r="E8" s="986"/>
      <c r="F8" s="986"/>
      <c r="G8" s="986"/>
      <c r="H8" s="961">
        <v>0</v>
      </c>
      <c r="I8" s="993"/>
      <c r="J8" s="637">
        <v>0</v>
      </c>
      <c r="K8" s="992"/>
      <c r="L8" s="992"/>
      <c r="M8" s="992"/>
      <c r="N8" s="992"/>
      <c r="O8" s="992"/>
      <c r="P8" s="927"/>
    </row>
    <row r="9" spans="1:19" s="976" customFormat="1" ht="33" hidden="1" customHeight="1">
      <c r="A9" s="1743"/>
      <c r="B9" s="1360"/>
      <c r="C9" s="2563"/>
      <c r="D9" s="991" t="s">
        <v>674</v>
      </c>
      <c r="E9" s="986"/>
      <c r="F9" s="986"/>
      <c r="G9" s="986"/>
      <c r="H9" s="967">
        <v>0</v>
      </c>
      <c r="I9" s="993"/>
      <c r="J9" s="639">
        <v>0</v>
      </c>
      <c r="K9" s="992"/>
      <c r="L9" s="992"/>
      <c r="M9" s="992"/>
      <c r="N9" s="992"/>
      <c r="O9" s="992"/>
      <c r="P9" s="927"/>
    </row>
    <row r="10" spans="1:19" s="976" customFormat="1" ht="33" hidden="1" customHeight="1">
      <c r="A10" s="1743"/>
      <c r="B10" s="1360"/>
      <c r="C10" s="2563"/>
      <c r="D10" s="991"/>
      <c r="E10" s="986"/>
      <c r="F10" s="986"/>
      <c r="G10" s="986"/>
      <c r="H10" s="1547">
        <v>0</v>
      </c>
      <c r="I10" s="994"/>
      <c r="J10" s="2175">
        <v>0</v>
      </c>
      <c r="K10" s="992"/>
      <c r="L10" s="992"/>
      <c r="M10" s="992"/>
      <c r="N10" s="992"/>
      <c r="O10" s="992"/>
      <c r="P10" s="927"/>
    </row>
    <row r="11" spans="1:19" s="976" customFormat="1" ht="28.5" customHeight="1">
      <c r="A11" s="1743"/>
      <c r="B11" s="1360"/>
      <c r="C11" s="2564"/>
      <c r="D11" s="991"/>
      <c r="E11" s="986"/>
      <c r="F11" s="986"/>
      <c r="G11" s="986"/>
      <c r="H11" s="436">
        <v>1401</v>
      </c>
      <c r="I11" s="439"/>
      <c r="J11" s="436">
        <v>1400</v>
      </c>
      <c r="K11" s="992"/>
      <c r="L11" s="992"/>
      <c r="M11" s="992"/>
      <c r="N11" s="992"/>
      <c r="O11" s="992"/>
      <c r="P11" s="927"/>
    </row>
    <row r="12" spans="1:19" s="976" customFormat="1" ht="42.75" hidden="1" customHeight="1">
      <c r="A12" s="1801"/>
      <c r="B12" s="1358"/>
      <c r="C12" s="2565"/>
      <c r="D12" s="1509"/>
      <c r="E12" s="1509"/>
      <c r="F12" s="995"/>
      <c r="G12" s="986"/>
      <c r="H12" s="996"/>
      <c r="I12" s="996"/>
      <c r="J12" s="996"/>
      <c r="K12" s="992"/>
      <c r="L12" s="997"/>
      <c r="M12" s="998"/>
      <c r="N12" s="997"/>
      <c r="O12" s="992"/>
      <c r="P12" s="927"/>
    </row>
    <row r="13" spans="1:19" s="976" customFormat="1" ht="40.5" customHeight="1">
      <c r="A13" s="1801">
        <v>602</v>
      </c>
      <c r="B13" s="990"/>
      <c r="C13" s="985">
        <v>602</v>
      </c>
      <c r="E13" s="980" t="s">
        <v>1975</v>
      </c>
      <c r="F13" s="638"/>
      <c r="G13" s="1000"/>
      <c r="H13" s="638">
        <f>SUMIF('1401'!$B$6:$B$576,$A13,'1401'!$V$6:$V$576)-H14+36912+50000</f>
        <v>50000</v>
      </c>
      <c r="I13" s="1001"/>
      <c r="J13" s="385">
        <v>33228</v>
      </c>
      <c r="K13" s="992"/>
      <c r="L13" s="992"/>
      <c r="M13" s="998"/>
      <c r="N13" s="997"/>
      <c r="O13" s="990"/>
      <c r="P13" s="927"/>
      <c r="R13" s="1191">
        <f>H13-J13</f>
        <v>16772</v>
      </c>
    </row>
    <row r="14" spans="1:19" s="976" customFormat="1" ht="40.5" hidden="1" customHeight="1">
      <c r="A14" s="1801"/>
      <c r="B14" s="990"/>
      <c r="C14" s="985"/>
      <c r="E14" s="980" t="s">
        <v>1974</v>
      </c>
      <c r="F14" s="638"/>
      <c r="G14" s="1000"/>
      <c r="H14" s="638">
        <v>0</v>
      </c>
      <c r="I14" s="1001"/>
      <c r="J14" s="385">
        <v>0</v>
      </c>
      <c r="K14" s="992"/>
      <c r="L14" s="992"/>
      <c r="M14" s="998"/>
      <c r="N14" s="997"/>
      <c r="O14" s="990"/>
      <c r="P14" s="927"/>
      <c r="R14" s="1191"/>
    </row>
    <row r="15" spans="1:19" s="976" customFormat="1" ht="40.5" customHeight="1">
      <c r="A15" s="1801">
        <v>603</v>
      </c>
      <c r="B15" s="990"/>
      <c r="C15" s="985">
        <v>603</v>
      </c>
      <c r="E15" s="980" t="s">
        <v>1487</v>
      </c>
      <c r="F15" s="999"/>
      <c r="G15" s="1000"/>
      <c r="H15" s="638">
        <f>SUMIF('1401'!$B$6:$B$576,$A15,'1401'!$V$6:$V$576)</f>
        <v>243771</v>
      </c>
      <c r="I15" s="1001"/>
      <c r="J15" s="638">
        <v>84739</v>
      </c>
      <c r="K15" s="992"/>
      <c r="L15" s="992"/>
      <c r="M15" s="998"/>
      <c r="N15" s="997"/>
      <c r="O15" s="990"/>
      <c r="P15" s="927"/>
    </row>
    <row r="16" spans="1:19" s="976" customFormat="1" ht="40.5" customHeight="1">
      <c r="A16" s="1801">
        <v>607</v>
      </c>
      <c r="B16" s="990"/>
      <c r="C16" s="985">
        <v>607</v>
      </c>
      <c r="E16" s="980" t="s">
        <v>1689</v>
      </c>
      <c r="F16" s="999"/>
      <c r="G16" s="1000"/>
      <c r="H16" s="638">
        <f>SUMIF('1401'!$B$6:$B$576,$A16,'1401'!$V$6:$V$576)</f>
        <v>109781</v>
      </c>
      <c r="I16" s="1001"/>
      <c r="J16" s="638">
        <v>77377</v>
      </c>
      <c r="K16" s="992"/>
      <c r="L16" s="992"/>
      <c r="M16" s="998"/>
      <c r="N16" s="1002"/>
      <c r="O16" s="985"/>
      <c r="P16" s="1003"/>
      <c r="S16" s="1400"/>
    </row>
    <row r="17" spans="1:41" s="976" customFormat="1" ht="40.5" customHeight="1">
      <c r="A17" s="1801">
        <v>606</v>
      </c>
      <c r="B17" s="990"/>
      <c r="C17" s="985">
        <v>606</v>
      </c>
      <c r="E17" s="980" t="s">
        <v>920</v>
      </c>
      <c r="F17" s="999"/>
      <c r="G17" s="1000"/>
      <c r="H17" s="638">
        <f>SUMIF('1401'!$B$6:$B$576,$A17,'1401'!$V$6:$V$576)</f>
        <v>53395</v>
      </c>
      <c r="I17" s="1001"/>
      <c r="J17" s="638">
        <v>122127</v>
      </c>
      <c r="K17" s="992"/>
      <c r="L17" s="992"/>
      <c r="M17" s="998"/>
      <c r="N17" s="997"/>
      <c r="O17" s="990"/>
      <c r="P17" s="927"/>
      <c r="R17" s="1158"/>
      <c r="AD17" s="1158">
        <f>AF17+AF16+AF15+AF13</f>
        <v>0</v>
      </c>
      <c r="AE17" s="1158">
        <f t="shared" ref="AE17:AO17" si="0">AG17+AG16+AG15+AG13</f>
        <v>0</v>
      </c>
      <c r="AF17" s="1158">
        <f t="shared" si="0"/>
        <v>0</v>
      </c>
      <c r="AG17" s="1158">
        <f t="shared" si="0"/>
        <v>0</v>
      </c>
      <c r="AH17" s="1158">
        <f t="shared" si="0"/>
        <v>0</v>
      </c>
      <c r="AI17" s="1158">
        <f t="shared" si="0"/>
        <v>0</v>
      </c>
      <c r="AJ17" s="1158">
        <f t="shared" si="0"/>
        <v>0</v>
      </c>
      <c r="AK17" s="1158">
        <f t="shared" si="0"/>
        <v>0</v>
      </c>
      <c r="AL17" s="1158">
        <f t="shared" si="0"/>
        <v>0</v>
      </c>
      <c r="AM17" s="1158">
        <f t="shared" si="0"/>
        <v>0</v>
      </c>
      <c r="AN17" s="1158">
        <f t="shared" si="0"/>
        <v>0</v>
      </c>
      <c r="AO17" s="1158">
        <f t="shared" si="0"/>
        <v>0</v>
      </c>
    </row>
    <row r="18" spans="1:41" s="976" customFormat="1" ht="40.5" customHeight="1">
      <c r="A18" s="1801">
        <v>604</v>
      </c>
      <c r="B18" s="1801"/>
      <c r="C18" s="985">
        <v>604</v>
      </c>
      <c r="E18" s="980" t="s">
        <v>70</v>
      </c>
      <c r="F18" s="1158"/>
      <c r="G18" s="1000"/>
      <c r="H18" s="638">
        <f>SUMIF('1401'!$B$6:$B$576,$A18,'1401'!$V$6:$V$576)</f>
        <v>108</v>
      </c>
      <c r="I18" s="634"/>
      <c r="J18" s="638">
        <v>108</v>
      </c>
      <c r="K18" s="992"/>
      <c r="L18" s="992"/>
      <c r="M18" s="998"/>
      <c r="N18" s="997"/>
      <c r="O18" s="990"/>
      <c r="P18" s="927"/>
      <c r="R18" s="1159"/>
      <c r="S18" s="1159"/>
      <c r="V18" s="1159"/>
      <c r="W18" s="1159"/>
      <c r="X18" s="1159"/>
      <c r="Y18" s="1159"/>
      <c r="Z18" s="1159"/>
      <c r="AA18" s="1159"/>
      <c r="AB18" s="1159"/>
      <c r="AC18" s="1159"/>
      <c r="AD18" s="1159">
        <f>AH17+AH16+AH15+AH13</f>
        <v>0</v>
      </c>
      <c r="AE18" s="1159">
        <f t="shared" ref="AE18:AO18" si="1">AI17+AI16+AI15+AI13</f>
        <v>0</v>
      </c>
      <c r="AF18" s="1159">
        <f t="shared" si="1"/>
        <v>0</v>
      </c>
      <c r="AG18" s="1159">
        <f t="shared" si="1"/>
        <v>0</v>
      </c>
      <c r="AH18" s="1159">
        <f t="shared" si="1"/>
        <v>0</v>
      </c>
      <c r="AI18" s="1159">
        <f t="shared" si="1"/>
        <v>0</v>
      </c>
      <c r="AJ18" s="1159">
        <f t="shared" si="1"/>
        <v>0</v>
      </c>
      <c r="AK18" s="1159">
        <f t="shared" si="1"/>
        <v>0</v>
      </c>
      <c r="AL18" s="1159">
        <f t="shared" si="1"/>
        <v>0</v>
      </c>
      <c r="AM18" s="1159">
        <f t="shared" si="1"/>
        <v>0</v>
      </c>
      <c r="AN18" s="1159">
        <f t="shared" si="1"/>
        <v>0</v>
      </c>
      <c r="AO18" s="1159">
        <f t="shared" si="1"/>
        <v>0</v>
      </c>
    </row>
    <row r="19" spans="1:41" s="976" customFormat="1" ht="40.5" customHeight="1" thickBot="1">
      <c r="A19" s="1801"/>
      <c r="B19" s="990"/>
      <c r="C19" s="985"/>
      <c r="E19" s="980" t="s">
        <v>677</v>
      </c>
      <c r="F19" s="1159"/>
      <c r="G19" s="986"/>
      <c r="H19" s="1169">
        <f>SUM(H13:H18)</f>
        <v>457055</v>
      </c>
      <c r="I19" s="634"/>
      <c r="J19" s="1169">
        <f>SUM(J13:J18)</f>
        <v>317579</v>
      </c>
      <c r="K19" s="987"/>
      <c r="L19" s="987"/>
      <c r="M19" s="988"/>
      <c r="N19" s="1002"/>
      <c r="O19" s="985"/>
      <c r="P19" s="1003"/>
      <c r="R19" s="1160">
        <f>H19-H13</f>
        <v>407055</v>
      </c>
      <c r="S19" s="1352">
        <f>J19-J13</f>
        <v>284351</v>
      </c>
      <c r="V19" s="1159"/>
      <c r="W19" s="1159"/>
      <c r="X19" s="1159"/>
      <c r="Y19" s="1159"/>
      <c r="Z19" s="1159"/>
      <c r="AA19" s="1159"/>
      <c r="AB19" s="1159"/>
      <c r="AC19" s="1159"/>
      <c r="AD19" s="1159">
        <f>AD17-AD18</f>
        <v>0</v>
      </c>
      <c r="AE19" s="1159">
        <f t="shared" ref="AE19:AO19" si="2">AE17-AE18</f>
        <v>0</v>
      </c>
      <c r="AF19" s="1159">
        <f t="shared" si="2"/>
        <v>0</v>
      </c>
      <c r="AG19" s="1159">
        <f t="shared" si="2"/>
        <v>0</v>
      </c>
      <c r="AH19" s="1159">
        <f t="shared" si="2"/>
        <v>0</v>
      </c>
      <c r="AI19" s="1159">
        <f t="shared" si="2"/>
        <v>0</v>
      </c>
      <c r="AJ19" s="1159">
        <f t="shared" si="2"/>
        <v>0</v>
      </c>
      <c r="AK19" s="1160">
        <f t="shared" si="2"/>
        <v>0</v>
      </c>
      <c r="AL19" s="1160">
        <f t="shared" si="2"/>
        <v>0</v>
      </c>
      <c r="AM19" s="1160">
        <f t="shared" si="2"/>
        <v>0</v>
      </c>
      <c r="AN19" s="1160">
        <f t="shared" si="2"/>
        <v>0</v>
      </c>
      <c r="AO19" s="1160">
        <f t="shared" si="2"/>
        <v>0</v>
      </c>
    </row>
    <row r="20" spans="1:41" ht="30" customHeight="1" thickTop="1">
      <c r="F20" s="1160"/>
      <c r="H20" s="1168"/>
      <c r="I20" s="637"/>
      <c r="J20" s="1167"/>
      <c r="R20" s="1192"/>
    </row>
    <row r="21" spans="1:41" ht="53.25" customHeight="1">
      <c r="D21" s="3149" t="s">
        <v>2076</v>
      </c>
      <c r="E21" s="3149"/>
      <c r="F21" s="3149"/>
      <c r="G21" s="3149"/>
      <c r="H21" s="3149"/>
      <c r="I21" s="3149"/>
      <c r="J21" s="3149"/>
    </row>
    <row r="22" spans="1:41" s="976" customFormat="1" ht="44.25" customHeight="1">
      <c r="A22" s="1743"/>
      <c r="B22" s="1360"/>
      <c r="C22" s="2538"/>
      <c r="H22" s="3151" t="s">
        <v>1950</v>
      </c>
      <c r="I22" s="3151"/>
      <c r="J22" s="3151"/>
    </row>
    <row r="23" spans="1:41" s="976" customFormat="1" ht="28.5">
      <c r="A23" s="1743"/>
      <c r="B23" s="1360"/>
      <c r="C23" s="2538"/>
      <c r="H23" s="436">
        <v>1401</v>
      </c>
      <c r="I23" s="2202"/>
      <c r="J23" s="436">
        <v>1400</v>
      </c>
    </row>
    <row r="24" spans="1:41" s="976" customFormat="1" ht="50.25" customHeight="1">
      <c r="A24" s="1743"/>
      <c r="B24" s="1360"/>
      <c r="C24" s="2538"/>
      <c r="D24" s="979"/>
      <c r="E24" s="979" t="s">
        <v>1970</v>
      </c>
      <c r="F24" s="638"/>
      <c r="G24" s="980"/>
      <c r="H24" s="633">
        <v>723225</v>
      </c>
      <c r="I24" s="636"/>
      <c r="J24" s="633">
        <v>596559</v>
      </c>
    </row>
    <row r="25" spans="1:41" s="976" customFormat="1" ht="50.25" customHeight="1">
      <c r="A25" s="1743"/>
      <c r="B25" s="1360"/>
      <c r="C25" s="2538"/>
      <c r="D25" s="979"/>
      <c r="E25" s="979" t="s">
        <v>2617</v>
      </c>
      <c r="F25" s="638"/>
      <c r="G25" s="980"/>
      <c r="H25" s="633">
        <v>50000</v>
      </c>
      <c r="I25" s="636"/>
      <c r="J25" s="633">
        <f>95000+31666</f>
        <v>126666</v>
      </c>
    </row>
    <row r="26" spans="1:41" s="976" customFormat="1" ht="50.25" hidden="1" customHeight="1">
      <c r="A26" s="1743"/>
      <c r="B26" s="1360"/>
      <c r="C26" s="2538"/>
      <c r="D26" s="979"/>
      <c r="E26" s="979"/>
      <c r="F26" s="638"/>
      <c r="G26" s="980"/>
      <c r="H26" s="633">
        <v>0</v>
      </c>
      <c r="I26" s="636"/>
      <c r="J26" s="633">
        <v>0</v>
      </c>
    </row>
    <row r="27" spans="1:41" s="976" customFormat="1" ht="50.25" customHeight="1">
      <c r="A27" s="1743"/>
      <c r="B27" s="1360"/>
      <c r="C27" s="2538"/>
      <c r="D27" s="979"/>
      <c r="E27" s="984" t="s">
        <v>2425</v>
      </c>
      <c r="F27" s="638"/>
      <c r="G27" s="980"/>
      <c r="H27" s="633">
        <v>-533225</v>
      </c>
      <c r="I27" s="2037"/>
      <c r="J27" s="633">
        <v>0</v>
      </c>
    </row>
    <row r="28" spans="1:41" s="976" customFormat="1" ht="50.25" customHeight="1">
      <c r="A28" s="1743"/>
      <c r="B28" s="2560"/>
      <c r="C28" s="2538"/>
      <c r="D28" s="2559"/>
      <c r="E28" s="984" t="s">
        <v>2426</v>
      </c>
      <c r="F28" s="638"/>
      <c r="G28" s="980"/>
      <c r="H28" s="633">
        <v>-95000</v>
      </c>
      <c r="I28" s="2037"/>
      <c r="J28" s="633"/>
    </row>
    <row r="29" spans="1:41" s="976" customFormat="1" ht="50.25" customHeight="1">
      <c r="A29" s="1743"/>
      <c r="B29" s="1360"/>
      <c r="C29" s="2538"/>
      <c r="D29" s="979"/>
      <c r="E29" s="1388" t="s">
        <v>679</v>
      </c>
      <c r="F29" s="1389"/>
      <c r="G29" s="1390"/>
      <c r="H29" s="1391">
        <f>SUM(H24:H28)</f>
        <v>145000</v>
      </c>
      <c r="I29" s="2037"/>
      <c r="J29" s="1391">
        <f>SUM(J24:J27)</f>
        <v>723225</v>
      </c>
    </row>
    <row r="30" spans="1:41" s="976" customFormat="1" ht="50.25" customHeight="1">
      <c r="A30" s="1801"/>
      <c r="B30" s="990"/>
      <c r="C30" s="985"/>
      <c r="E30" s="980" t="s">
        <v>2596</v>
      </c>
      <c r="F30" s="638"/>
      <c r="G30" s="986"/>
      <c r="H30" s="2604">
        <v>-95000</v>
      </c>
      <c r="I30" s="2037"/>
      <c r="J30" s="2604">
        <v>-689997</v>
      </c>
      <c r="K30" s="987"/>
      <c r="L30" s="987"/>
      <c r="M30" s="988"/>
      <c r="N30" s="989"/>
      <c r="O30" s="990"/>
      <c r="P30" s="927"/>
    </row>
    <row r="31" spans="1:41" s="976" customFormat="1" ht="50.25" customHeight="1" thickBot="1">
      <c r="A31" s="1801"/>
      <c r="B31" s="990"/>
      <c r="C31" s="2566"/>
      <c r="E31" s="1336"/>
      <c r="F31" s="986"/>
      <c r="G31" s="986"/>
      <c r="H31" s="2417">
        <f>H29+H30</f>
        <v>50000</v>
      </c>
      <c r="I31" s="635"/>
      <c r="J31" s="2418">
        <f>SUM(J29:J30)</f>
        <v>33228</v>
      </c>
      <c r="K31" s="987"/>
      <c r="L31" s="987"/>
      <c r="M31" s="988"/>
      <c r="N31" s="989"/>
      <c r="O31" s="990"/>
      <c r="P31" s="927"/>
    </row>
    <row r="32" spans="1:41" s="976" customFormat="1" ht="32.25" customHeight="1" thickTop="1">
      <c r="A32" s="1801"/>
      <c r="B32" s="990"/>
      <c r="C32" s="985"/>
      <c r="E32" s="980"/>
      <c r="F32" s="1806">
        <v>1097085</v>
      </c>
      <c r="G32" s="986"/>
      <c r="H32" s="1168"/>
      <c r="I32" s="635"/>
      <c r="J32" s="1186"/>
      <c r="K32" s="987"/>
      <c r="L32" s="987"/>
      <c r="M32" s="988"/>
      <c r="N32" s="989"/>
      <c r="O32" s="990"/>
      <c r="P32" s="927"/>
    </row>
    <row r="33" spans="1:10" ht="43.5" customHeight="1">
      <c r="A33" s="2112"/>
      <c r="B33" s="2112"/>
      <c r="C33" s="2567"/>
      <c r="D33" s="3150"/>
      <c r="E33" s="3150"/>
      <c r="F33" s="3150"/>
      <c r="G33" s="3150"/>
      <c r="H33" s="3150"/>
      <c r="I33" s="3150"/>
      <c r="J33" s="3150"/>
    </row>
    <row r="34" spans="1:10" ht="84" customHeight="1">
      <c r="C34" s="3148">
        <v>21</v>
      </c>
      <c r="D34" s="3148"/>
      <c r="E34" s="3148"/>
      <c r="F34" s="3148"/>
      <c r="G34" s="3148"/>
      <c r="H34" s="3148"/>
      <c r="I34" s="3148"/>
      <c r="J34" s="3148"/>
    </row>
  </sheetData>
  <mergeCells count="8">
    <mergeCell ref="C34:J34"/>
    <mergeCell ref="A1:J1"/>
    <mergeCell ref="A2:J2"/>
    <mergeCell ref="A3:J3"/>
    <mergeCell ref="D21:J21"/>
    <mergeCell ref="D33:J33"/>
    <mergeCell ref="H6:J6"/>
    <mergeCell ref="H22:J22"/>
  </mergeCells>
  <printOptions horizontalCentered="1" verticalCentered="1"/>
  <pageMargins left="0" right="0" top="0.31496062992125984" bottom="0.19685039370078741" header="0.15748031496062992" footer="0.19685039370078741"/>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O40"/>
  <sheetViews>
    <sheetView rightToLeft="1" view="pageBreakPreview" zoomScale="60" zoomScaleNormal="100" workbookViewId="0">
      <selection activeCell="F24" sqref="F24"/>
    </sheetView>
  </sheetViews>
  <sheetFormatPr defaultColWidth="1.375" defaultRowHeight="26.25"/>
  <cols>
    <col min="1" max="1" width="13.75" style="887" customWidth="1"/>
    <col min="2" max="2" width="4.25" style="430" customWidth="1"/>
    <col min="3" max="3" width="4.25" style="151" customWidth="1"/>
    <col min="4" max="4" width="44.875" style="151" customWidth="1"/>
    <col min="5" max="5" width="22.625" style="151" customWidth="1"/>
    <col min="6" max="6" width="25.875" style="151" customWidth="1"/>
    <col min="7" max="7" width="6.875" style="151" customWidth="1"/>
    <col min="8" max="8" width="9.625" style="151" customWidth="1"/>
    <col min="9" max="9" width="3.75" style="151" customWidth="1"/>
    <col min="10" max="10" width="11.625" style="151" customWidth="1"/>
    <col min="11" max="11" width="3.25" style="151" customWidth="1"/>
    <col min="12" max="12" width="17.125" style="151" customWidth="1"/>
    <col min="13" max="13" width="2.125" style="151" customWidth="1"/>
    <col min="14" max="14" width="18" style="151" customWidth="1"/>
    <col min="15" max="15" width="1.375" style="151"/>
    <col min="16" max="16" width="1.75" style="151" bestFit="1" customWidth="1"/>
    <col min="17" max="17" width="1.375" style="151"/>
    <col min="18" max="18" width="2.75" style="151" bestFit="1" customWidth="1"/>
    <col min="19" max="16384" width="1.375" style="151"/>
  </cols>
  <sheetData>
    <row r="1" spans="1:15" s="150" customFormat="1" ht="43.5" customHeight="1">
      <c r="A1" s="3156" t="str">
        <f>مفروضات!A1</f>
        <v>شركت خطوط لوله و مخابرات نفت ايران (سهامي خاص)</v>
      </c>
      <c r="B1" s="3156"/>
      <c r="C1" s="3156"/>
      <c r="D1" s="3156"/>
      <c r="E1" s="3156"/>
      <c r="F1" s="3156"/>
      <c r="G1" s="3156"/>
      <c r="H1" s="3156"/>
      <c r="I1" s="3156"/>
      <c r="J1" s="3156"/>
      <c r="K1" s="3156"/>
      <c r="L1" s="3156"/>
      <c r="M1" s="3156"/>
      <c r="N1" s="3156"/>
    </row>
    <row r="2" spans="1:15" s="150" customFormat="1" ht="43.5" customHeight="1">
      <c r="A2" s="3156" t="str">
        <f>مفروضات!A2</f>
        <v>يادداشت هاي توضيحي صورت هاي مالي</v>
      </c>
      <c r="B2" s="3156"/>
      <c r="C2" s="3156"/>
      <c r="D2" s="3156"/>
      <c r="E2" s="3156"/>
      <c r="F2" s="3156"/>
      <c r="G2" s="3156"/>
      <c r="H2" s="3156"/>
      <c r="I2" s="3156"/>
      <c r="J2" s="3156"/>
      <c r="K2" s="3156"/>
      <c r="L2" s="3156"/>
      <c r="M2" s="3156"/>
      <c r="N2" s="3156"/>
    </row>
    <row r="3" spans="1:15" s="150" customFormat="1" ht="43.5" customHeight="1">
      <c r="A3" s="3157" t="str">
        <f>مفروضات!A3</f>
        <v xml:space="preserve"> سال مالي منتهي به 29 اسفند 1401</v>
      </c>
      <c r="B3" s="3157"/>
      <c r="C3" s="3157"/>
      <c r="D3" s="3157"/>
      <c r="E3" s="3157"/>
      <c r="F3" s="3157"/>
      <c r="G3" s="3157"/>
      <c r="H3" s="3157"/>
      <c r="I3" s="3157"/>
      <c r="J3" s="3157"/>
      <c r="K3" s="3157"/>
      <c r="L3" s="3157"/>
      <c r="M3" s="3157"/>
      <c r="N3" s="3157"/>
    </row>
    <row r="4" spans="1:15" s="429" customFormat="1" ht="36.75" customHeight="1">
      <c r="A4" s="888"/>
      <c r="B4" s="729"/>
      <c r="C4" s="729"/>
      <c r="D4" s="729"/>
      <c r="E4" s="729"/>
      <c r="F4" s="729"/>
      <c r="G4" s="729"/>
      <c r="H4" s="729"/>
      <c r="I4" s="729"/>
      <c r="J4" s="729"/>
      <c r="K4" s="729"/>
      <c r="L4" s="729"/>
      <c r="M4" s="729"/>
      <c r="N4" s="729"/>
    </row>
    <row r="5" spans="1:15" ht="35.25" customHeight="1"/>
    <row r="6" spans="1:15" s="618" customFormat="1" ht="35.25" customHeight="1">
      <c r="A6" s="889"/>
      <c r="B6" s="548"/>
      <c r="C6" s="382" t="s">
        <v>1441</v>
      </c>
      <c r="D6" s="180" t="s">
        <v>1543</v>
      </c>
      <c r="E6" s="180"/>
      <c r="F6" s="180"/>
      <c r="L6" s="171" t="str">
        <f>مفروضات!A8</f>
        <v>1401/12/29</v>
      </c>
      <c r="N6" s="171" t="str">
        <f>مفروضات!C8</f>
        <v>1400/12/30</v>
      </c>
    </row>
    <row r="7" spans="1:15" s="618" customFormat="1" ht="35.25" customHeight="1">
      <c r="A7" s="889"/>
      <c r="C7" s="175"/>
      <c r="D7" s="175"/>
      <c r="E7" s="175"/>
      <c r="F7" s="175"/>
      <c r="G7" s="173"/>
      <c r="H7" s="173"/>
      <c r="I7" s="173"/>
      <c r="L7" s="174" t="s">
        <v>675</v>
      </c>
      <c r="N7" s="174" t="str">
        <f>L7</f>
        <v>ميليون ريال</v>
      </c>
      <c r="O7" s="175"/>
    </row>
    <row r="8" spans="1:15" s="618" customFormat="1" ht="35.25" customHeight="1">
      <c r="A8" s="889"/>
      <c r="C8" s="180"/>
      <c r="D8" s="180" t="s">
        <v>1210</v>
      </c>
      <c r="E8" s="180"/>
      <c r="F8" s="180"/>
      <c r="G8" s="173"/>
      <c r="H8" s="173"/>
      <c r="I8" s="173"/>
      <c r="L8" s="766">
        <f>N11</f>
        <v>155157</v>
      </c>
      <c r="M8" s="177"/>
      <c r="N8" s="766">
        <v>16834</v>
      </c>
      <c r="O8" s="175"/>
    </row>
    <row r="9" spans="1:15" s="618" customFormat="1" ht="35.25" customHeight="1">
      <c r="A9" s="889"/>
      <c r="C9" s="180"/>
      <c r="D9" s="180" t="s">
        <v>1420</v>
      </c>
      <c r="E9" s="180"/>
      <c r="F9" s="180"/>
      <c r="G9" s="173"/>
      <c r="H9" s="173"/>
      <c r="I9" s="173"/>
      <c r="L9" s="766">
        <v>0</v>
      </c>
      <c r="M9" s="177"/>
      <c r="N9" s="766">
        <v>-8010</v>
      </c>
      <c r="O9" s="175"/>
    </row>
    <row r="10" spans="1:15" s="618" customFormat="1" ht="35.25" customHeight="1">
      <c r="A10" s="889"/>
      <c r="C10" s="180"/>
      <c r="D10" s="180" t="s">
        <v>1649</v>
      </c>
      <c r="E10" s="180"/>
      <c r="F10" s="180"/>
      <c r="L10" s="766">
        <f>'95'!S424-L8</f>
        <v>112019</v>
      </c>
      <c r="M10" s="765"/>
      <c r="N10" s="766">
        <v>146333</v>
      </c>
    </row>
    <row r="11" spans="1:15" s="618" customFormat="1" ht="35.25" customHeight="1" thickBot="1">
      <c r="A11" s="889"/>
      <c r="C11" s="3155"/>
      <c r="D11" s="3155"/>
      <c r="E11" s="732"/>
      <c r="F11" s="732"/>
      <c r="L11" s="452">
        <f>SUM(L8:L10)</f>
        <v>267176</v>
      </c>
      <c r="M11" s="453"/>
      <c r="N11" s="452">
        <f>SUM(N8:N10)</f>
        <v>155157</v>
      </c>
    </row>
    <row r="12" spans="1:15" ht="27" thickTop="1"/>
    <row r="13" spans="1:15" ht="37.5">
      <c r="A13" s="3021">
        <v>12</v>
      </c>
      <c r="B13" s="3021"/>
      <c r="C13" s="3021"/>
      <c r="D13" s="3021"/>
      <c r="E13" s="3021"/>
      <c r="F13" s="3021"/>
      <c r="G13" s="3021"/>
      <c r="H13" s="3021"/>
      <c r="I13" s="3021"/>
      <c r="J13" s="3021"/>
      <c r="K13" s="3021"/>
      <c r="L13" s="3021"/>
      <c r="M13" s="3021"/>
      <c r="N13" s="3021"/>
    </row>
    <row r="40" spans="1:10">
      <c r="A40" s="3152"/>
      <c r="B40" s="3153"/>
      <c r="C40" s="3154"/>
      <c r="D40" s="3154"/>
      <c r="E40" s="3154"/>
      <c r="F40" s="3154"/>
      <c r="G40" s="3154"/>
      <c r="H40" s="3154"/>
      <c r="I40" s="3154"/>
      <c r="J40" s="3154"/>
    </row>
  </sheetData>
  <mergeCells count="6">
    <mergeCell ref="A40:J40"/>
    <mergeCell ref="A13:N13"/>
    <mergeCell ref="C11:D11"/>
    <mergeCell ref="A1:N1"/>
    <mergeCell ref="A2:N2"/>
    <mergeCell ref="A3:N3"/>
  </mergeCells>
  <pageMargins left="0.47" right="0.70866141732283472" top="0.74803149606299213" bottom="0.74803149606299213" header="0.31496062992125984" footer="0.31496062992125984"/>
  <pageSetup paperSize="9"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42"/>
  <sheetViews>
    <sheetView rightToLeft="1" view="pageBreakPreview" zoomScale="77" zoomScaleNormal="70" zoomScaleSheetLayoutView="77" zoomScalePageLayoutView="70" workbookViewId="0">
      <selection activeCell="J9" sqref="J9"/>
    </sheetView>
  </sheetViews>
  <sheetFormatPr defaultColWidth="1.375" defaultRowHeight="26.25"/>
  <cols>
    <col min="1" max="1" width="5.875" style="1972" customWidth="1"/>
    <col min="2" max="2" width="3.125" style="1359" customWidth="1"/>
    <col min="3" max="3" width="8.375" style="1359" customWidth="1"/>
    <col min="4" max="4" width="19.625" style="1458" customWidth="1"/>
    <col min="5" max="5" width="1.25" style="2183" customWidth="1"/>
    <col min="6" max="6" width="44.875" style="1458" customWidth="1"/>
    <col min="7" max="7" width="1.25" style="2183" customWidth="1"/>
    <col min="8" max="8" width="29.125" style="1458" customWidth="1"/>
    <col min="9" max="9" width="9.375" style="1458" customWidth="1"/>
    <col min="10" max="10" width="19.375" style="1458" customWidth="1"/>
    <col min="11" max="11" width="1.125" style="1458" customWidth="1"/>
    <col min="12" max="12" width="26.625" style="1458" customWidth="1"/>
    <col min="13" max="13" width="1.375" style="1458"/>
    <col min="14" max="14" width="1.75" style="1458" bestFit="1" customWidth="1"/>
    <col min="15" max="15" width="1.375" style="1458"/>
    <col min="16" max="16" width="2.75" style="1458" bestFit="1" customWidth="1"/>
    <col min="17" max="19" width="1.375" style="1458"/>
    <col min="20" max="20" width="21.625" style="1458" customWidth="1"/>
    <col min="21" max="21" width="18.125" style="1458" customWidth="1"/>
    <col min="22" max="31" width="1.375" style="1458"/>
    <col min="32" max="33" width="8.5" style="1458" bestFit="1" customWidth="1"/>
    <col min="34" max="43" width="7.75" style="1458" bestFit="1" customWidth="1"/>
    <col min="44" max="16384" width="1.375" style="1458"/>
  </cols>
  <sheetData>
    <row r="1" spans="1:12" s="429" customFormat="1" ht="29.25" customHeight="1">
      <c r="A1" s="3164" t="str">
        <f>مفروضات!A1</f>
        <v>شركت خطوط لوله و مخابرات نفت ايران (سهامي خاص)</v>
      </c>
      <c r="B1" s="3164"/>
      <c r="C1" s="3164"/>
      <c r="D1" s="3164"/>
      <c r="E1" s="3164"/>
      <c r="F1" s="3164"/>
      <c r="G1" s="3164"/>
      <c r="H1" s="3164"/>
      <c r="I1" s="3164"/>
      <c r="J1" s="3164"/>
      <c r="K1" s="3164"/>
      <c r="L1" s="3164"/>
    </row>
    <row r="2" spans="1:12" s="429" customFormat="1" ht="27" customHeight="1">
      <c r="A2" s="3164" t="str">
        <f>مفروضات!A2</f>
        <v>يادداشت هاي توضيحي صورت هاي مالي</v>
      </c>
      <c r="B2" s="3164"/>
      <c r="C2" s="3164"/>
      <c r="D2" s="3164"/>
      <c r="E2" s="3164"/>
      <c r="F2" s="3164"/>
      <c r="G2" s="3164"/>
      <c r="H2" s="3164"/>
      <c r="I2" s="3164"/>
      <c r="J2" s="3164"/>
      <c r="K2" s="3164"/>
      <c r="L2" s="3164"/>
    </row>
    <row r="3" spans="1:12" s="429" customFormat="1" ht="26.25" customHeight="1">
      <c r="A3" s="3164" t="str">
        <f>مفروضات!A3</f>
        <v xml:space="preserve"> سال مالي منتهي به 29 اسفند 1401</v>
      </c>
      <c r="B3" s="3164"/>
      <c r="C3" s="3164"/>
      <c r="D3" s="3164"/>
      <c r="E3" s="3164"/>
      <c r="F3" s="3164"/>
      <c r="G3" s="3164"/>
      <c r="H3" s="3164"/>
      <c r="I3" s="3164"/>
      <c r="J3" s="3164"/>
      <c r="K3" s="3164"/>
      <c r="L3" s="3164"/>
    </row>
    <row r="4" spans="1:12" ht="45.75" customHeight="1">
      <c r="C4" s="1612" t="s">
        <v>1454</v>
      </c>
      <c r="D4" s="431" t="s">
        <v>1407</v>
      </c>
      <c r="E4" s="431"/>
      <c r="F4" s="1613"/>
      <c r="G4" s="1613"/>
      <c r="H4" s="432"/>
      <c r="I4" s="432"/>
      <c r="J4" s="3167" t="s">
        <v>1950</v>
      </c>
      <c r="K4" s="3167"/>
      <c r="L4" s="3167"/>
    </row>
    <row r="5" spans="1:12" ht="27.75" customHeight="1">
      <c r="A5" s="1973"/>
      <c r="B5" s="1355"/>
      <c r="C5" s="1355"/>
      <c r="D5" s="433"/>
      <c r="E5" s="433"/>
      <c r="F5" s="433"/>
      <c r="G5" s="433"/>
      <c r="H5" s="434"/>
      <c r="I5" s="435"/>
      <c r="J5" s="1824">
        <v>1401</v>
      </c>
      <c r="K5" s="437"/>
      <c r="L5" s="436">
        <v>1400</v>
      </c>
    </row>
    <row r="6" spans="1:12" ht="21.75" hidden="1" customHeight="1">
      <c r="A6" s="1973"/>
      <c r="B6" s="1355"/>
      <c r="C6" s="1355"/>
      <c r="D6" s="438"/>
      <c r="E6" s="438"/>
      <c r="F6" s="433"/>
      <c r="G6" s="433"/>
      <c r="H6" s="433"/>
      <c r="I6" s="433"/>
      <c r="J6" s="439"/>
      <c r="K6" s="439"/>
      <c r="L6" s="439"/>
    </row>
    <row r="7" spans="1:12" ht="33" customHeight="1">
      <c r="A7" s="1973">
        <v>501</v>
      </c>
      <c r="B7" s="1356"/>
      <c r="C7" s="1356"/>
      <c r="D7" s="440" t="s">
        <v>1484</v>
      </c>
      <c r="E7" s="440"/>
      <c r="H7" s="1496"/>
      <c r="I7" s="441"/>
      <c r="J7" s="1540">
        <f>SUMIF('1401'!$B$6:$B$576,$A7,'1401'!$V$6:$V$576)-J9</f>
        <v>4333339</v>
      </c>
      <c r="K7" s="1544"/>
      <c r="L7" s="1540">
        <v>4137026</v>
      </c>
    </row>
    <row r="8" spans="1:12" ht="32.25" customHeight="1">
      <c r="A8" s="1973">
        <v>504</v>
      </c>
      <c r="B8" s="1356"/>
      <c r="C8" s="1356"/>
      <c r="D8" s="440" t="s">
        <v>1485</v>
      </c>
      <c r="E8" s="440"/>
      <c r="H8" s="442"/>
      <c r="I8" s="441"/>
      <c r="J8" s="1540">
        <f>SUMIF('1401'!$B$6:$B$576,$A8,'1401'!$V$6:$V$576)</f>
        <v>13712</v>
      </c>
      <c r="K8" s="1544"/>
      <c r="L8" s="1540">
        <v>35930</v>
      </c>
    </row>
    <row r="9" spans="1:12" ht="32.25" customHeight="1">
      <c r="A9" s="1973"/>
      <c r="B9" s="1356"/>
      <c r="C9" s="1356"/>
      <c r="D9" s="440" t="s">
        <v>1486</v>
      </c>
      <c r="E9" s="440"/>
      <c r="H9" s="441"/>
      <c r="I9" s="441"/>
      <c r="J9" s="1540">
        <v>50760</v>
      </c>
      <c r="K9" s="1545"/>
      <c r="L9" s="1540">
        <v>54076</v>
      </c>
    </row>
    <row r="10" spans="1:12" s="1571" customFormat="1" ht="32.25" customHeight="1">
      <c r="A10" s="1973">
        <v>505</v>
      </c>
      <c r="B10" s="1356"/>
      <c r="C10" s="1356"/>
      <c r="D10" s="440" t="s">
        <v>1973</v>
      </c>
      <c r="E10" s="440"/>
      <c r="G10" s="2183"/>
      <c r="H10" s="441"/>
      <c r="I10" s="441"/>
      <c r="J10" s="1540">
        <f>SUMIF('1401'!$B$6:$B$576,$A10,'1401'!$V$6:$V$576)</f>
        <v>87053</v>
      </c>
      <c r="K10" s="1545"/>
      <c r="L10" s="1540">
        <v>53598</v>
      </c>
    </row>
    <row r="11" spans="1:12" ht="32.25" customHeight="1" thickBot="1">
      <c r="A11" s="1973"/>
      <c r="B11" s="1355"/>
      <c r="C11" s="1355"/>
      <c r="D11" s="443"/>
      <c r="E11" s="443"/>
      <c r="F11" s="433"/>
      <c r="G11" s="433"/>
      <c r="H11" s="1811"/>
      <c r="I11" s="444"/>
      <c r="J11" s="1542">
        <f>SUM(J7:J10)</f>
        <v>4484864</v>
      </c>
      <c r="K11" s="637"/>
      <c r="L11" s="1542">
        <f>SUM(L7:L10)</f>
        <v>4280630</v>
      </c>
    </row>
    <row r="12" spans="1:12" ht="21" customHeight="1" thickTop="1">
      <c r="A12" s="1973"/>
      <c r="B12" s="1355"/>
      <c r="C12" s="1357"/>
      <c r="D12" s="445"/>
      <c r="E12" s="445"/>
      <c r="F12" s="433"/>
      <c r="G12" s="433"/>
      <c r="H12" s="1546">
        <f>J11-L11</f>
        <v>204234</v>
      </c>
      <c r="I12" s="433"/>
      <c r="J12" s="433"/>
      <c r="K12" s="433"/>
      <c r="L12" s="446"/>
    </row>
    <row r="13" spans="1:12" s="1571" customFormat="1" ht="30.75" customHeight="1">
      <c r="A13" s="1973"/>
      <c r="B13" s="1355"/>
      <c r="C13" s="3166" t="s">
        <v>2170</v>
      </c>
      <c r="D13" s="3166"/>
      <c r="E13" s="3166"/>
      <c r="F13" s="3166"/>
      <c r="G13" s="3166"/>
      <c r="H13" s="3166"/>
      <c r="I13" s="2189"/>
      <c r="J13" s="3168" t="s">
        <v>1950</v>
      </c>
      <c r="K13" s="3168"/>
      <c r="L13" s="3168"/>
    </row>
    <row r="14" spans="1:12" s="2183" customFormat="1" ht="23.25" customHeight="1">
      <c r="A14" s="1973"/>
      <c r="B14" s="1355"/>
      <c r="C14" s="2189"/>
      <c r="D14" s="2190" t="s">
        <v>2171</v>
      </c>
      <c r="E14" s="2191"/>
      <c r="F14" s="2190" t="s">
        <v>2172</v>
      </c>
      <c r="G14" s="2191"/>
      <c r="H14" s="2190" t="s">
        <v>2482</v>
      </c>
      <c r="I14" s="2189"/>
      <c r="J14" s="2190">
        <v>1401</v>
      </c>
      <c r="K14" s="2189"/>
      <c r="L14" s="2190">
        <v>1400</v>
      </c>
    </row>
    <row r="15" spans="1:12" s="2183" customFormat="1" ht="24.75" customHeight="1">
      <c r="A15" s="1973"/>
      <c r="B15" s="1355"/>
      <c r="C15" s="2189"/>
      <c r="D15" s="378" t="s">
        <v>2618</v>
      </c>
      <c r="E15" s="2189"/>
      <c r="F15" s="378" t="s">
        <v>2173</v>
      </c>
      <c r="G15" s="2189"/>
      <c r="H15" s="2192">
        <v>98031</v>
      </c>
      <c r="I15" s="2192"/>
      <c r="J15" s="2193">
        <v>87053</v>
      </c>
      <c r="K15" s="2189"/>
      <c r="L15" s="2193">
        <v>53598</v>
      </c>
    </row>
    <row r="16" spans="1:12" s="2183" customFormat="1" ht="30.75" customHeight="1" thickBot="1">
      <c r="A16" s="1973"/>
      <c r="B16" s="1355"/>
      <c r="C16" s="2189"/>
      <c r="D16" s="2189"/>
      <c r="E16" s="2189"/>
      <c r="F16" s="2189"/>
      <c r="G16" s="2189"/>
      <c r="H16" s="2192"/>
      <c r="I16" s="2192"/>
      <c r="J16" s="2629">
        <f>SUM(J15:J15)</f>
        <v>87053</v>
      </c>
      <c r="K16" s="2193">
        <f>SUM(K15:K15)</f>
        <v>0</v>
      </c>
      <c r="L16" s="2629">
        <f>SUM(L15:L15)</f>
        <v>53598</v>
      </c>
    </row>
    <row r="17" spans="1:43" s="2183" customFormat="1" ht="28.5" customHeight="1" thickTop="1">
      <c r="A17" s="1973"/>
      <c r="B17" s="1355"/>
      <c r="C17" s="2187"/>
      <c r="D17" s="2187"/>
      <c r="E17" s="2187"/>
      <c r="F17" s="2187"/>
      <c r="G17" s="2187"/>
      <c r="H17" s="2188"/>
      <c r="I17" s="2188"/>
      <c r="J17" s="2188"/>
      <c r="K17" s="2187"/>
      <c r="L17" s="2187"/>
    </row>
    <row r="18" spans="1:43" s="218" customFormat="1" ht="35.25" customHeight="1">
      <c r="A18" s="1974"/>
      <c r="B18" s="1559"/>
      <c r="C18" s="3165" t="s">
        <v>2169</v>
      </c>
      <c r="D18" s="3165"/>
      <c r="E18" s="3165"/>
      <c r="F18" s="3165"/>
      <c r="G18" s="3165"/>
      <c r="H18" s="3165"/>
      <c r="I18" s="3165"/>
      <c r="J18" s="3165"/>
      <c r="K18" s="3165"/>
      <c r="L18" s="3165"/>
    </row>
    <row r="19" spans="1:43" ht="18.75" customHeight="1">
      <c r="C19" s="1354"/>
      <c r="D19" s="447"/>
      <c r="E19" s="447"/>
      <c r="F19" s="448"/>
      <c r="G19" s="448"/>
      <c r="H19" s="448"/>
      <c r="I19" s="448"/>
      <c r="J19" s="437"/>
      <c r="K19" s="1548"/>
      <c r="L19" s="437"/>
      <c r="M19" s="449"/>
      <c r="N19" s="449"/>
      <c r="O19" s="449"/>
      <c r="P19" s="449"/>
      <c r="Q19" s="449"/>
      <c r="R19" s="450"/>
    </row>
    <row r="20" spans="1:43" s="976" customFormat="1" ht="33" hidden="1" customHeight="1">
      <c r="A20" s="1975"/>
      <c r="B20" s="1360"/>
      <c r="C20" s="991"/>
      <c r="D20" s="991"/>
      <c r="E20" s="991"/>
      <c r="F20" s="986"/>
      <c r="G20" s="986"/>
      <c r="H20" s="986"/>
      <c r="I20" s="986"/>
      <c r="J20" s="1549"/>
      <c r="K20" s="439"/>
      <c r="L20" s="1549"/>
      <c r="M20" s="992"/>
      <c r="N20" s="992"/>
      <c r="O20" s="992"/>
      <c r="P20" s="992"/>
      <c r="Q20" s="992"/>
      <c r="R20" s="927"/>
    </row>
    <row r="21" spans="1:43" s="976" customFormat="1" ht="33" hidden="1" customHeight="1">
      <c r="A21" s="1975"/>
      <c r="B21" s="1360"/>
      <c r="C21" s="991"/>
      <c r="D21" s="991"/>
      <c r="E21" s="991"/>
      <c r="F21" s="986"/>
      <c r="G21" s="986" t="s">
        <v>2178</v>
      </c>
      <c r="H21" s="986"/>
      <c r="I21" s="986"/>
      <c r="J21" s="961"/>
      <c r="K21" s="993"/>
      <c r="L21" s="637"/>
      <c r="M21" s="992"/>
      <c r="N21" s="992"/>
      <c r="O21" s="992"/>
      <c r="P21" s="992"/>
      <c r="Q21" s="992"/>
      <c r="R21" s="927"/>
    </row>
    <row r="22" spans="1:43" s="976" customFormat="1" ht="33" hidden="1" customHeight="1">
      <c r="A22" s="1975"/>
      <c r="B22" s="1360"/>
      <c r="C22" s="991"/>
      <c r="D22" s="991"/>
      <c r="E22" s="991"/>
      <c r="F22" s="986"/>
      <c r="G22" s="986"/>
      <c r="H22" s="986"/>
      <c r="I22" s="986"/>
      <c r="J22" s="961"/>
      <c r="K22" s="993"/>
      <c r="L22" s="1550"/>
      <c r="M22" s="992"/>
      <c r="N22" s="992"/>
      <c r="O22" s="992"/>
      <c r="P22" s="992"/>
      <c r="Q22" s="992"/>
      <c r="R22" s="927"/>
    </row>
    <row r="23" spans="1:43" s="976" customFormat="1" ht="18.75" customHeight="1">
      <c r="A23" s="1975"/>
      <c r="B23" s="1360"/>
      <c r="C23" s="991"/>
      <c r="D23" s="991"/>
      <c r="E23" s="991"/>
      <c r="F23" s="986"/>
      <c r="G23" s="986"/>
      <c r="H23" s="986"/>
      <c r="I23" s="986"/>
      <c r="J23" s="1547"/>
      <c r="K23" s="994"/>
      <c r="L23" s="637"/>
      <c r="M23" s="992"/>
      <c r="N23" s="992"/>
      <c r="O23" s="992"/>
      <c r="P23" s="992"/>
      <c r="Q23" s="992"/>
      <c r="R23" s="927"/>
    </row>
    <row r="24" spans="1:43" s="976" customFormat="1" ht="36.75" customHeight="1">
      <c r="A24" s="1971"/>
      <c r="B24" s="1376"/>
      <c r="C24" s="549" t="s">
        <v>2000</v>
      </c>
      <c r="D24" s="317"/>
      <c r="E24" s="317"/>
      <c r="F24" s="317"/>
      <c r="G24" s="317"/>
      <c r="H24" s="317"/>
      <c r="I24" s="317"/>
      <c r="J24" s="3169" t="s">
        <v>1950</v>
      </c>
      <c r="K24" s="3169"/>
      <c r="L24" s="3169"/>
      <c r="M24" s="992"/>
      <c r="N24" s="997"/>
      <c r="O24" s="998"/>
      <c r="P24" s="997"/>
      <c r="Q24" s="992"/>
      <c r="R24" s="927"/>
    </row>
    <row r="25" spans="1:43" s="976" customFormat="1" ht="45.75" customHeight="1">
      <c r="A25" s="1976"/>
      <c r="B25" s="1377"/>
      <c r="C25" s="366"/>
      <c r="D25" s="366"/>
      <c r="E25" s="366"/>
      <c r="F25" s="366"/>
      <c r="G25" s="366"/>
      <c r="H25" s="366"/>
      <c r="I25" s="367"/>
      <c r="J25" s="1805">
        <f>J5</f>
        <v>1401</v>
      </c>
      <c r="K25" s="1133"/>
      <c r="L25" s="1132">
        <v>1400</v>
      </c>
      <c r="M25" s="992"/>
      <c r="N25" s="992"/>
      <c r="O25" s="998"/>
      <c r="P25" s="997"/>
      <c r="Q25" s="990"/>
      <c r="R25" s="927"/>
      <c r="T25" s="1191" t="e">
        <f>#REF!-#REF!</f>
        <v>#REF!</v>
      </c>
    </row>
    <row r="26" spans="1:43" s="976" customFormat="1" ht="33" hidden="1" customHeight="1">
      <c r="A26" s="1971"/>
      <c r="B26" s="1378"/>
      <c r="C26" s="369"/>
      <c r="D26" s="370"/>
      <c r="E26" s="370"/>
      <c r="F26" s="370"/>
      <c r="G26" s="370"/>
      <c r="H26" s="370"/>
      <c r="I26" s="370"/>
      <c r="J26" s="1086"/>
      <c r="K26" s="1087"/>
      <c r="L26" s="1086"/>
      <c r="M26" s="992"/>
      <c r="N26" s="992"/>
      <c r="O26" s="998"/>
      <c r="P26" s="997"/>
      <c r="Q26" s="990"/>
      <c r="R26" s="927"/>
    </row>
    <row r="27" spans="1:43" s="976" customFormat="1" ht="33" customHeight="1">
      <c r="A27" s="1977">
        <v>301</v>
      </c>
      <c r="B27" s="1353"/>
      <c r="C27" s="373"/>
      <c r="D27" s="374" t="s">
        <v>1526</v>
      </c>
      <c r="E27" s="374"/>
      <c r="F27" s="374"/>
      <c r="G27" s="374"/>
      <c r="H27" s="374"/>
      <c r="I27" s="375"/>
      <c r="J27" s="1540">
        <f>SUMIF('1401'!$B$6:$B$576,$A27,'1401'!$V$6:$V$576)-22</f>
        <v>1609403</v>
      </c>
      <c r="K27" s="376"/>
      <c r="L27" s="1541">
        <v>397949</v>
      </c>
      <c r="M27" s="992"/>
      <c r="N27" s="992"/>
      <c r="O27" s="998"/>
      <c r="P27" s="1002"/>
      <c r="Q27" s="985"/>
      <c r="R27" s="1003"/>
      <c r="U27" s="1400" t="e">
        <f>#REF!-#REF!</f>
        <v>#REF!</v>
      </c>
    </row>
    <row r="28" spans="1:43" s="976" customFormat="1" ht="33" customHeight="1">
      <c r="A28" s="1977">
        <v>302</v>
      </c>
      <c r="B28" s="1353"/>
      <c r="C28" s="373"/>
      <c r="D28" s="374" t="s">
        <v>1695</v>
      </c>
      <c r="E28" s="374"/>
      <c r="F28" s="374"/>
      <c r="G28" s="374"/>
      <c r="H28" s="374"/>
      <c r="I28" s="375"/>
      <c r="J28" s="1540">
        <f>SUMIF('1401'!$B$6:$B$576,$A28,'1401'!$V$6:$V$576)</f>
        <v>1100</v>
      </c>
      <c r="K28" s="376"/>
      <c r="L28" s="1541">
        <v>1120</v>
      </c>
      <c r="M28" s="992"/>
      <c r="N28" s="992"/>
      <c r="O28" s="998"/>
      <c r="P28" s="997"/>
      <c r="Q28" s="990"/>
      <c r="R28" s="927"/>
      <c r="T28" s="1158" t="e">
        <f>#REF!+#REF!+#REF!+#REF!</f>
        <v>#REF!</v>
      </c>
      <c r="AF28" s="1158">
        <f>AH28+AH27+AH26+AH25</f>
        <v>0</v>
      </c>
      <c r="AG28" s="1158">
        <f t="shared" ref="AG28:AQ28" si="0">AI28+AI27+AI26+AI25</f>
        <v>0</v>
      </c>
      <c r="AH28" s="1158">
        <f t="shared" si="0"/>
        <v>0</v>
      </c>
      <c r="AI28" s="1158">
        <f t="shared" si="0"/>
        <v>0</v>
      </c>
      <c r="AJ28" s="1158">
        <f t="shared" si="0"/>
        <v>0</v>
      </c>
      <c r="AK28" s="1158">
        <f t="shared" si="0"/>
        <v>0</v>
      </c>
      <c r="AL28" s="1158">
        <f t="shared" si="0"/>
        <v>0</v>
      </c>
      <c r="AM28" s="1158">
        <f t="shared" si="0"/>
        <v>0</v>
      </c>
      <c r="AN28" s="1158">
        <f t="shared" si="0"/>
        <v>0</v>
      </c>
      <c r="AO28" s="1158">
        <f t="shared" si="0"/>
        <v>0</v>
      </c>
      <c r="AP28" s="1158">
        <f t="shared" si="0"/>
        <v>0</v>
      </c>
      <c r="AQ28" s="1158">
        <f t="shared" si="0"/>
        <v>0</v>
      </c>
    </row>
    <row r="29" spans="1:43" s="976" customFormat="1" ht="33" hidden="1" customHeight="1">
      <c r="A29" s="1977">
        <v>303</v>
      </c>
      <c r="B29" s="1353"/>
      <c r="C29" s="373"/>
      <c r="D29" s="374" t="s">
        <v>1275</v>
      </c>
      <c r="E29" s="374"/>
      <c r="F29" s="374"/>
      <c r="G29" s="374"/>
      <c r="H29" s="374"/>
      <c r="I29" s="375"/>
      <c r="J29" s="1541">
        <v>0</v>
      </c>
      <c r="K29" s="376"/>
      <c r="L29" s="1541">
        <v>0</v>
      </c>
      <c r="M29" s="992"/>
      <c r="N29" s="992"/>
      <c r="O29" s="998"/>
      <c r="P29" s="997"/>
      <c r="Q29" s="990"/>
      <c r="R29" s="927"/>
      <c r="T29" s="1159" t="e">
        <f>#REF!+#REF!+#REF!+#REF!</f>
        <v>#REF!</v>
      </c>
      <c r="U29" s="1159">
        <f>715615-698324</f>
        <v>17291</v>
      </c>
      <c r="X29" s="1159"/>
      <c r="Y29" s="1159"/>
      <c r="Z29" s="1159"/>
      <c r="AA29" s="1159"/>
      <c r="AB29" s="1159"/>
      <c r="AC29" s="1159"/>
      <c r="AD29" s="1159"/>
      <c r="AE29" s="1159"/>
      <c r="AF29" s="1159">
        <f>AJ28+AJ27+AJ26+AJ25</f>
        <v>0</v>
      </c>
      <c r="AG29" s="1159">
        <f t="shared" ref="AG29:AQ29" si="1">AK28+AK27+AK26+AK25</f>
        <v>0</v>
      </c>
      <c r="AH29" s="1159">
        <f t="shared" si="1"/>
        <v>0</v>
      </c>
      <c r="AI29" s="1159">
        <f t="shared" si="1"/>
        <v>0</v>
      </c>
      <c r="AJ29" s="1159">
        <f t="shared" si="1"/>
        <v>0</v>
      </c>
      <c r="AK29" s="1159">
        <f t="shared" si="1"/>
        <v>0</v>
      </c>
      <c r="AL29" s="1159">
        <f t="shared" si="1"/>
        <v>0</v>
      </c>
      <c r="AM29" s="1159">
        <f t="shared" si="1"/>
        <v>0</v>
      </c>
      <c r="AN29" s="1159">
        <f t="shared" si="1"/>
        <v>0</v>
      </c>
      <c r="AO29" s="1159">
        <f t="shared" si="1"/>
        <v>0</v>
      </c>
      <c r="AP29" s="1159">
        <f t="shared" si="1"/>
        <v>0</v>
      </c>
      <c r="AQ29" s="1159">
        <f t="shared" si="1"/>
        <v>0</v>
      </c>
    </row>
    <row r="30" spans="1:43" s="976" customFormat="1" ht="30" customHeight="1" thickBot="1">
      <c r="A30" s="1971"/>
      <c r="B30" s="1379"/>
      <c r="C30" s="377"/>
      <c r="D30" s="378"/>
      <c r="E30" s="378"/>
      <c r="F30" s="378"/>
      <c r="G30" s="378"/>
      <c r="H30" s="378"/>
      <c r="I30" s="366"/>
      <c r="J30" s="1542">
        <f>SUM(J27:J29)</f>
        <v>1610503</v>
      </c>
      <c r="K30" s="1543"/>
      <c r="L30" s="1542">
        <f>SUM(L27:L29)</f>
        <v>399069</v>
      </c>
      <c r="M30" s="987"/>
      <c r="N30" s="987"/>
      <c r="O30" s="988"/>
      <c r="P30" s="1002"/>
      <c r="Q30" s="985"/>
      <c r="R30" s="1003"/>
      <c r="T30" s="1160" t="e">
        <f>T28-T29</f>
        <v>#REF!</v>
      </c>
      <c r="U30" s="1352" t="e">
        <f>T29-U29</f>
        <v>#REF!</v>
      </c>
      <c r="X30" s="1159"/>
      <c r="Y30" s="1159"/>
      <c r="Z30" s="1159"/>
      <c r="AA30" s="1159"/>
      <c r="AB30" s="1159"/>
      <c r="AC30" s="1159"/>
      <c r="AD30" s="1159"/>
      <c r="AE30" s="1159"/>
      <c r="AF30" s="1159">
        <f>AF28-AF29</f>
        <v>0</v>
      </c>
      <c r="AG30" s="1159">
        <f t="shared" ref="AG30:AQ30" si="2">AG28-AG29</f>
        <v>0</v>
      </c>
      <c r="AH30" s="1159">
        <f t="shared" si="2"/>
        <v>0</v>
      </c>
      <c r="AI30" s="1159">
        <f t="shared" si="2"/>
        <v>0</v>
      </c>
      <c r="AJ30" s="1159">
        <f t="shared" si="2"/>
        <v>0</v>
      </c>
      <c r="AK30" s="1159">
        <f t="shared" si="2"/>
        <v>0</v>
      </c>
      <c r="AL30" s="1159">
        <f t="shared" si="2"/>
        <v>0</v>
      </c>
      <c r="AM30" s="1160">
        <f t="shared" si="2"/>
        <v>0</v>
      </c>
      <c r="AN30" s="1160">
        <f t="shared" si="2"/>
        <v>0</v>
      </c>
      <c r="AO30" s="1160">
        <f t="shared" si="2"/>
        <v>0</v>
      </c>
      <c r="AP30" s="1160">
        <f t="shared" si="2"/>
        <v>0</v>
      </c>
      <c r="AQ30" s="1160">
        <f t="shared" si="2"/>
        <v>0</v>
      </c>
    </row>
    <row r="31" spans="1:43" ht="13.5" customHeight="1" thickTop="1">
      <c r="A31" s="1971"/>
      <c r="B31" s="1380"/>
      <c r="C31" s="371"/>
      <c r="D31" s="371"/>
      <c r="E31" s="371"/>
      <c r="F31" s="371"/>
      <c r="G31" s="371"/>
      <c r="H31" s="371"/>
      <c r="I31" s="379"/>
      <c r="J31" s="380"/>
      <c r="K31" s="381"/>
      <c r="L31" s="380"/>
      <c r="T31" s="1192" t="e">
        <f>T25+T30</f>
        <v>#REF!</v>
      </c>
    </row>
    <row r="32" spans="1:43" s="1529" customFormat="1" ht="11.25" customHeight="1">
      <c r="A32" s="1971"/>
      <c r="B32" s="1380"/>
      <c r="C32" s="371"/>
      <c r="D32" s="371"/>
      <c r="E32" s="371"/>
      <c r="F32" s="371"/>
      <c r="G32" s="371"/>
      <c r="H32" s="371"/>
      <c r="I32" s="379"/>
      <c r="J32" s="380"/>
      <c r="K32" s="381"/>
      <c r="L32" s="380"/>
      <c r="T32" s="1192"/>
    </row>
    <row r="33" spans="1:20" ht="60" customHeight="1">
      <c r="A33" s="1823"/>
      <c r="B33" s="1381"/>
      <c r="C33" s="1467"/>
      <c r="D33" s="3162"/>
      <c r="E33" s="3162"/>
      <c r="F33" s="3162"/>
      <c r="G33" s="3162"/>
      <c r="H33" s="3162"/>
      <c r="I33" s="3162"/>
      <c r="J33" s="3162"/>
      <c r="K33" s="3162"/>
      <c r="L33" s="3162"/>
      <c r="T33" s="1192"/>
    </row>
    <row r="34" spans="1:20" s="429" customFormat="1" ht="48" customHeight="1">
      <c r="A34" s="1978"/>
      <c r="B34" s="1698"/>
      <c r="C34" s="1699" t="s">
        <v>2009</v>
      </c>
      <c r="D34" s="1713" t="s">
        <v>1875</v>
      </c>
      <c r="E34" s="1713"/>
      <c r="F34" s="1700"/>
      <c r="G34" s="1700"/>
      <c r="H34" s="1701"/>
      <c r="I34" s="1701"/>
      <c r="J34" s="1701"/>
      <c r="K34" s="1701"/>
      <c r="L34" s="1701"/>
    </row>
    <row r="35" spans="1:20" s="976" customFormat="1" ht="169.5" customHeight="1">
      <c r="A35" s="928"/>
      <c r="B35" s="618"/>
      <c r="C35" s="1468"/>
      <c r="D35" s="3163" t="s">
        <v>2619</v>
      </c>
      <c r="E35" s="3163"/>
      <c r="F35" s="3163"/>
      <c r="G35" s="3163"/>
      <c r="H35" s="3163"/>
      <c r="I35" s="3163"/>
      <c r="J35" s="3163"/>
      <c r="K35" s="3163"/>
      <c r="L35" s="3163"/>
    </row>
    <row r="36" spans="1:20" s="1017" customFormat="1" ht="49.5" customHeight="1">
      <c r="A36" s="1979" t="s">
        <v>1924</v>
      </c>
      <c r="B36" s="1702"/>
      <c r="C36" s="1699" t="s">
        <v>2001</v>
      </c>
      <c r="D36" s="1713" t="s">
        <v>202</v>
      </c>
      <c r="E36" s="1713"/>
      <c r="F36" s="1703"/>
      <c r="G36" s="1703"/>
      <c r="H36" s="1703"/>
      <c r="I36" s="1703"/>
      <c r="J36" s="1704"/>
      <c r="K36" s="1703"/>
      <c r="L36" s="1705"/>
      <c r="M36" s="1706"/>
      <c r="N36" s="1706"/>
      <c r="O36" s="1706"/>
    </row>
    <row r="37" spans="1:20" s="1469" customFormat="1" ht="48" customHeight="1">
      <c r="A37" s="1980"/>
      <c r="B37" s="1468"/>
      <c r="C37" s="1707" t="s">
        <v>2002</v>
      </c>
      <c r="D37" s="3158" t="s">
        <v>1925</v>
      </c>
      <c r="E37" s="3158"/>
      <c r="F37" s="3158"/>
      <c r="G37" s="2184"/>
      <c r="H37" s="1708"/>
      <c r="I37" s="1708"/>
      <c r="J37" s="1708"/>
      <c r="K37" s="1708"/>
      <c r="L37" s="1709"/>
      <c r="M37" s="1710"/>
      <c r="N37" s="1710"/>
      <c r="O37" s="1710"/>
    </row>
    <row r="38" spans="1:20" s="617" customFormat="1" ht="175.5" customHeight="1">
      <c r="A38" s="928"/>
      <c r="B38" s="1712"/>
      <c r="C38" s="1712"/>
      <c r="D38" s="3161" t="s">
        <v>1942</v>
      </c>
      <c r="E38" s="3161"/>
      <c r="F38" s="3161"/>
      <c r="G38" s="3161"/>
      <c r="H38" s="3161"/>
      <c r="I38" s="3161"/>
      <c r="J38" s="3161"/>
      <c r="K38" s="3161"/>
      <c r="L38" s="3161"/>
      <c r="M38" s="169"/>
      <c r="N38" s="169"/>
      <c r="O38" s="169"/>
    </row>
    <row r="39" spans="1:20" s="1469" customFormat="1" ht="48" customHeight="1">
      <c r="A39" s="1694"/>
      <c r="B39" s="357"/>
      <c r="C39" s="1707" t="s">
        <v>2003</v>
      </c>
      <c r="D39" s="3159" t="s">
        <v>2602</v>
      </c>
      <c r="E39" s="3159"/>
      <c r="F39" s="3159"/>
      <c r="G39" s="2185"/>
      <c r="H39" s="870"/>
      <c r="I39" s="1708"/>
      <c r="J39" s="1664"/>
      <c r="K39" s="1708"/>
      <c r="L39" s="1711"/>
      <c r="M39" s="1710"/>
      <c r="N39" s="1710"/>
      <c r="O39" s="1710"/>
    </row>
    <row r="40" spans="1:20" s="617" customFormat="1" ht="116.25" customHeight="1">
      <c r="A40" s="928"/>
      <c r="B40" s="618"/>
      <c r="C40" s="1712"/>
      <c r="D40" s="3161" t="s">
        <v>2011</v>
      </c>
      <c r="E40" s="3161"/>
      <c r="F40" s="3161"/>
      <c r="G40" s="3161"/>
      <c r="H40" s="3161"/>
      <c r="I40" s="3161"/>
      <c r="J40" s="3161"/>
      <c r="K40" s="3161"/>
      <c r="L40" s="3161"/>
      <c r="M40" s="169"/>
      <c r="N40" s="169"/>
      <c r="O40" s="169"/>
    </row>
    <row r="41" spans="1:20" s="617" customFormat="1" ht="23.25" customHeight="1">
      <c r="A41" s="928"/>
      <c r="B41" s="618"/>
      <c r="C41" s="1712"/>
      <c r="D41" s="1665"/>
      <c r="E41" s="2186"/>
      <c r="F41" s="1665"/>
      <c r="G41" s="2186"/>
      <c r="H41" s="1665"/>
      <c r="I41" s="1665"/>
      <c r="J41" s="1665"/>
      <c r="K41" s="1665"/>
      <c r="L41" s="1665"/>
      <c r="M41" s="169"/>
      <c r="N41" s="169"/>
      <c r="O41" s="169"/>
    </row>
    <row r="42" spans="1:20" s="976" customFormat="1" ht="174" customHeight="1">
      <c r="A42" s="3160">
        <v>22</v>
      </c>
      <c r="B42" s="3160"/>
      <c r="C42" s="3160"/>
      <c r="D42" s="3160"/>
      <c r="E42" s="3160"/>
      <c r="F42" s="3160"/>
      <c r="G42" s="3160"/>
      <c r="H42" s="3160"/>
      <c r="I42" s="3160"/>
      <c r="J42" s="3160"/>
      <c r="K42" s="3160"/>
      <c r="L42" s="3160"/>
      <c r="M42" s="987"/>
      <c r="N42" s="987"/>
      <c r="O42" s="988"/>
      <c r="P42" s="989"/>
      <c r="Q42" s="990"/>
      <c r="R42" s="927"/>
    </row>
  </sheetData>
  <mergeCells count="15">
    <mergeCell ref="D33:L33"/>
    <mergeCell ref="D35:L35"/>
    <mergeCell ref="A1:L1"/>
    <mergeCell ref="A2:L2"/>
    <mergeCell ref="A3:L3"/>
    <mergeCell ref="C18:L18"/>
    <mergeCell ref="C13:H13"/>
    <mergeCell ref="J4:L4"/>
    <mergeCell ref="J13:L13"/>
    <mergeCell ref="J24:L24"/>
    <mergeCell ref="D37:F37"/>
    <mergeCell ref="D39:F39"/>
    <mergeCell ref="A42:L42"/>
    <mergeCell ref="D38:L38"/>
    <mergeCell ref="D40:L40"/>
  </mergeCells>
  <printOptions horizontalCentered="1" verticalCentered="1"/>
  <pageMargins left="0.17" right="0.17" top="0.31496062992125984" bottom="0.18" header="0.15748031496062992" footer="0.17"/>
  <pageSetup paperSize="9" scale="4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FD147"/>
  <sheetViews>
    <sheetView rightToLeft="1" view="pageBreakPreview" topLeftCell="A117" zoomScale="50" zoomScaleNormal="50" zoomScaleSheetLayoutView="50" workbookViewId="0">
      <selection activeCell="F128" sqref="F128"/>
    </sheetView>
  </sheetViews>
  <sheetFormatPr defaultColWidth="1.375" defaultRowHeight="32.25" customHeight="1"/>
  <cols>
    <col min="1" max="1" width="10.625" style="614" customWidth="1"/>
    <col min="2" max="2" width="3.5" style="890" customWidth="1"/>
    <col min="3" max="3" width="6" style="614" customWidth="1"/>
    <col min="4" max="4" width="13.75" style="575" customWidth="1"/>
    <col min="5" max="5" width="56.125" style="255" customWidth="1"/>
    <col min="6" max="6" width="17.5" style="255" customWidth="1"/>
    <col min="7" max="7" width="17.375" style="255" customWidth="1"/>
    <col min="8" max="8" width="19.25" style="255" customWidth="1"/>
    <col min="9" max="9" width="13.375" style="255" customWidth="1"/>
    <col min="10" max="10" width="19.25" style="255" bestFit="1" customWidth="1"/>
    <col min="11" max="11" width="5" style="255" customWidth="1"/>
    <col min="12" max="12" width="12.5" style="255" hidden="1" customWidth="1"/>
    <col min="13" max="13" width="18.25" style="255" customWidth="1"/>
    <col min="14" max="14" width="21.125" style="255" customWidth="1"/>
    <col min="15" max="15" width="18.125" style="255" customWidth="1"/>
    <col min="16" max="16" width="23.25" style="255" customWidth="1"/>
    <col min="17" max="22" width="14.875" style="255" customWidth="1"/>
    <col min="23" max="23" width="1.375" style="255"/>
    <col min="24" max="24" width="16.375" style="255" bestFit="1" customWidth="1"/>
    <col min="25" max="16384" width="1.375" style="255"/>
  </cols>
  <sheetData>
    <row r="1" spans="1:17" s="499" customFormat="1" ht="42.75" customHeight="1">
      <c r="A1" s="3117" t="s">
        <v>612</v>
      </c>
      <c r="B1" s="3117"/>
      <c r="C1" s="3117"/>
      <c r="D1" s="3117"/>
      <c r="E1" s="3117"/>
      <c r="F1" s="3117"/>
      <c r="G1" s="3117"/>
      <c r="H1" s="3117"/>
      <c r="I1" s="3117"/>
      <c r="J1" s="3117"/>
      <c r="K1" s="3117"/>
      <c r="L1" s="3117"/>
      <c r="M1" s="3117"/>
      <c r="N1" s="3117"/>
      <c r="O1" s="3117"/>
      <c r="P1" s="3117"/>
    </row>
    <row r="2" spans="1:17" ht="45.75" customHeight="1">
      <c r="A2" s="3173" t="str">
        <f>مفروضات!A2:C2</f>
        <v>يادداشت هاي توضيحي صورت هاي مالي</v>
      </c>
      <c r="B2" s="3173"/>
      <c r="C2" s="3173"/>
      <c r="D2" s="3173"/>
      <c r="E2" s="3173"/>
      <c r="F2" s="3173"/>
      <c r="G2" s="3173"/>
      <c r="H2" s="3173"/>
      <c r="I2" s="3173"/>
      <c r="J2" s="3173"/>
      <c r="K2" s="3173"/>
      <c r="L2" s="3173"/>
      <c r="M2" s="3173"/>
      <c r="N2" s="3173"/>
      <c r="O2" s="3173"/>
      <c r="P2" s="3173"/>
      <c r="Q2" s="1004"/>
    </row>
    <row r="3" spans="1:17" s="499" customFormat="1" ht="42.75" customHeight="1">
      <c r="A3" s="3117" t="str">
        <f>مفروضات!A7</f>
        <v xml:space="preserve"> سال مالي منتهي به 29 اسفند 1401</v>
      </c>
      <c r="B3" s="3117"/>
      <c r="C3" s="3117"/>
      <c r="D3" s="3117"/>
      <c r="E3" s="3117"/>
      <c r="F3" s="3117"/>
      <c r="G3" s="3117"/>
      <c r="H3" s="3117"/>
      <c r="I3" s="3117"/>
      <c r="J3" s="3117"/>
      <c r="K3" s="3117"/>
      <c r="L3" s="3117"/>
      <c r="M3" s="3117"/>
      <c r="N3" s="3117"/>
      <c r="O3" s="3117"/>
      <c r="P3" s="3117"/>
    </row>
    <row r="4" spans="1:17" s="499" customFormat="1" ht="6" customHeight="1">
      <c r="A4" s="2548"/>
      <c r="B4" s="1518"/>
      <c r="C4" s="1518"/>
      <c r="D4" s="1518"/>
      <c r="E4" s="1518"/>
      <c r="F4" s="1518"/>
      <c r="G4" s="1518"/>
      <c r="H4" s="1518"/>
      <c r="I4" s="1518"/>
      <c r="J4" s="1518"/>
      <c r="K4" s="1518"/>
      <c r="L4" s="1518"/>
      <c r="M4" s="1518"/>
      <c r="N4" s="1518"/>
      <c r="O4" s="1518"/>
      <c r="P4" s="1518"/>
    </row>
    <row r="5" spans="1:17" s="499" customFormat="1" ht="35.25" customHeight="1">
      <c r="A5" s="2549"/>
      <c r="B5" s="3183" t="s">
        <v>2004</v>
      </c>
      <c r="C5" s="3183"/>
      <c r="D5" s="3183"/>
      <c r="E5" s="3183"/>
      <c r="F5" s="1518"/>
      <c r="G5" s="1518"/>
      <c r="H5" s="1518"/>
      <c r="I5" s="1518"/>
      <c r="J5" s="1518"/>
      <c r="K5" s="1518"/>
      <c r="L5" s="1518"/>
      <c r="M5" s="1518"/>
      <c r="N5" s="1518"/>
      <c r="O5" s="1518"/>
      <c r="P5" s="1518"/>
    </row>
    <row r="6" spans="1:17" ht="5.25" customHeight="1">
      <c r="E6" s="471"/>
      <c r="N6" s="505"/>
      <c r="O6" s="473"/>
      <c r="P6" s="473"/>
      <c r="Q6" s="506"/>
    </row>
    <row r="7" spans="1:17" ht="36" customHeight="1">
      <c r="C7" s="826"/>
      <c r="D7" s="872" t="s">
        <v>2005</v>
      </c>
      <c r="E7" s="507" t="s">
        <v>1494</v>
      </c>
      <c r="F7" s="507"/>
      <c r="H7" s="505"/>
      <c r="I7" s="505"/>
      <c r="J7" s="505"/>
      <c r="K7" s="505"/>
      <c r="L7" s="505"/>
      <c r="M7" s="505"/>
      <c r="N7" s="3185" t="s">
        <v>1950</v>
      </c>
      <c r="O7" s="3185"/>
      <c r="P7" s="3185"/>
    </row>
    <row r="8" spans="1:17" ht="33.75" customHeight="1">
      <c r="E8" s="871"/>
      <c r="F8" s="508"/>
      <c r="G8" s="508"/>
      <c r="H8" s="458"/>
      <c r="I8" s="458"/>
      <c r="J8" s="3181">
        <v>1401</v>
      </c>
      <c r="K8" s="3182"/>
      <c r="L8" s="3181"/>
      <c r="M8" s="3182"/>
      <c r="N8" s="3182"/>
      <c r="O8" s="509"/>
      <c r="P8" s="2331">
        <v>1400</v>
      </c>
    </row>
    <row r="9" spans="1:17" ht="28.5">
      <c r="F9" s="508"/>
      <c r="G9" s="508"/>
      <c r="H9" s="2895" t="s">
        <v>2327</v>
      </c>
      <c r="I9" s="455"/>
      <c r="J9" s="2896" t="s">
        <v>2326</v>
      </c>
      <c r="K9" s="455"/>
      <c r="L9" s="455"/>
      <c r="M9" s="2916" t="s">
        <v>2325</v>
      </c>
      <c r="N9" s="2305" t="s">
        <v>679</v>
      </c>
      <c r="O9" s="2305"/>
      <c r="P9" s="2897" t="s">
        <v>679</v>
      </c>
    </row>
    <row r="10" spans="1:17" ht="39">
      <c r="E10" s="871" t="s">
        <v>2154</v>
      </c>
      <c r="F10" s="508"/>
      <c r="G10" s="508"/>
      <c r="H10" s="455"/>
      <c r="I10" s="455"/>
      <c r="J10" s="455"/>
      <c r="K10" s="455"/>
      <c r="L10" s="455"/>
      <c r="M10" s="2916"/>
      <c r="N10" s="2305"/>
      <c r="O10" s="2305"/>
      <c r="P10" s="2305"/>
    </row>
    <row r="11" spans="1:17" ht="32.25" customHeight="1">
      <c r="E11" s="871" t="s">
        <v>2157</v>
      </c>
      <c r="F11" s="508"/>
      <c r="G11" s="508"/>
      <c r="H11" s="458"/>
      <c r="I11" s="458"/>
      <c r="J11" s="458"/>
      <c r="K11" s="458"/>
      <c r="L11" s="458"/>
      <c r="M11" s="2474"/>
      <c r="N11" s="2467"/>
      <c r="O11" s="2467"/>
      <c r="P11" s="2467"/>
    </row>
    <row r="12" spans="1:17" ht="32.25" customHeight="1">
      <c r="E12" s="522" t="s">
        <v>1524</v>
      </c>
      <c r="F12" s="508"/>
      <c r="G12" s="508"/>
      <c r="H12" s="455" t="s">
        <v>2487</v>
      </c>
      <c r="I12" s="458"/>
      <c r="J12" s="2470">
        <v>8110763</v>
      </c>
      <c r="K12" s="458"/>
      <c r="L12" s="458"/>
      <c r="M12" s="2908" t="s">
        <v>2328</v>
      </c>
      <c r="N12" s="2126">
        <f>N42</f>
        <v>8110763</v>
      </c>
      <c r="O12" s="509"/>
      <c r="P12" s="2126">
        <f>P42</f>
        <v>4646774</v>
      </c>
    </row>
    <row r="13" spans="1:17" ht="32.25" customHeight="1">
      <c r="E13" s="522" t="s">
        <v>2595</v>
      </c>
      <c r="F13" s="508"/>
      <c r="G13" s="508"/>
      <c r="H13" s="455" t="s">
        <v>2638</v>
      </c>
      <c r="I13" s="458"/>
      <c r="J13" s="2902">
        <f>J59</f>
        <v>5710845</v>
      </c>
      <c r="K13" s="2470"/>
      <c r="L13" s="2470">
        <f>L59</f>
        <v>0</v>
      </c>
      <c r="M13" s="2908" t="s">
        <v>2328</v>
      </c>
      <c r="N13" s="2902">
        <f>N59</f>
        <v>5710845</v>
      </c>
      <c r="O13" s="2470"/>
      <c r="P13" s="2902">
        <f>P59</f>
        <v>3770025</v>
      </c>
    </row>
    <row r="14" spans="1:17" ht="3" customHeight="1">
      <c r="E14" s="856"/>
      <c r="F14" s="522"/>
      <c r="G14" s="473"/>
      <c r="H14" s="511"/>
      <c r="I14" s="511"/>
      <c r="J14" s="511"/>
      <c r="K14" s="511"/>
      <c r="L14" s="511"/>
      <c r="M14" s="2910"/>
      <c r="N14" s="3186"/>
      <c r="O14" s="3186"/>
      <c r="P14" s="3186"/>
    </row>
    <row r="15" spans="1:17" ht="14.25" hidden="1" customHeight="1">
      <c r="E15" s="871"/>
      <c r="F15" s="508"/>
      <c r="G15" s="508"/>
      <c r="H15" s="458"/>
      <c r="I15" s="458"/>
      <c r="J15" s="458"/>
      <c r="K15" s="458"/>
      <c r="L15" s="458"/>
      <c r="M15" s="2909"/>
      <c r="N15" s="2305"/>
      <c r="O15" s="509"/>
      <c r="P15" s="2305"/>
    </row>
    <row r="16" spans="1:17" ht="32.25" customHeight="1">
      <c r="E16" s="871"/>
      <c r="F16" s="508"/>
      <c r="G16" s="508"/>
      <c r="H16" s="458"/>
      <c r="I16" s="458"/>
      <c r="J16" s="2902">
        <f>SUM(J12:J15)</f>
        <v>13821608</v>
      </c>
      <c r="K16" s="458"/>
      <c r="L16" s="458"/>
      <c r="M16" s="2909"/>
      <c r="N16" s="2903">
        <f>SUM(N12:N13)</f>
        <v>13821608</v>
      </c>
      <c r="O16" s="509"/>
      <c r="P16" s="2903">
        <f>SUM(P12:P13)</f>
        <v>8416799</v>
      </c>
    </row>
    <row r="17" spans="1:26" ht="32.25" customHeight="1">
      <c r="E17" s="871" t="s">
        <v>2160</v>
      </c>
      <c r="F17" s="522"/>
      <c r="G17" s="473"/>
      <c r="H17" s="511"/>
      <c r="I17" s="511"/>
      <c r="J17" s="511"/>
      <c r="K17" s="511"/>
      <c r="L17" s="511"/>
      <c r="M17" s="2910"/>
      <c r="N17" s="922"/>
      <c r="O17" s="512"/>
      <c r="P17" s="922"/>
    </row>
    <row r="18" spans="1:26" ht="32.25" customHeight="1">
      <c r="A18" s="615">
        <v>1012</v>
      </c>
      <c r="B18" s="1502"/>
      <c r="C18" s="615"/>
      <c r="D18" s="457"/>
      <c r="E18" s="856" t="s">
        <v>2637</v>
      </c>
      <c r="F18" s="516"/>
      <c r="G18" s="833"/>
      <c r="H18" s="455" t="s">
        <v>2671</v>
      </c>
      <c r="I18" s="515"/>
      <c r="J18" s="2470">
        <f>381609+1309567</f>
        <v>1691176</v>
      </c>
      <c r="K18" s="515"/>
      <c r="L18" s="515"/>
      <c r="M18" s="2911" t="s">
        <v>2328</v>
      </c>
      <c r="N18" s="922">
        <f>-SUMIF('1401'!$B$4:$B$578,$A18,'1401'!$V$4:$V$578)</f>
        <v>1691176</v>
      </c>
      <c r="O18" s="517"/>
      <c r="P18" s="503">
        <f>2040827+25370-1611199</f>
        <v>454998</v>
      </c>
      <c r="Q18" s="521"/>
      <c r="R18" s="521"/>
      <c r="S18" s="521"/>
      <c r="T18" s="521"/>
      <c r="U18" s="521"/>
      <c r="V18" s="521"/>
      <c r="W18" s="521"/>
      <c r="X18" s="521"/>
      <c r="Y18" s="521"/>
      <c r="Z18" s="521"/>
    </row>
    <row r="19" spans="1:26" ht="32.25" customHeight="1">
      <c r="A19" s="615">
        <v>1007</v>
      </c>
      <c r="B19" s="1502"/>
      <c r="C19" s="615"/>
      <c r="E19" s="856" t="s">
        <v>2486</v>
      </c>
      <c r="F19" s="833"/>
      <c r="G19" s="833"/>
      <c r="H19" s="515"/>
      <c r="I19" s="515"/>
      <c r="J19" s="2470">
        <v>2537960</v>
      </c>
      <c r="K19" s="515"/>
      <c r="L19" s="515"/>
      <c r="M19" s="2911" t="s">
        <v>2328</v>
      </c>
      <c r="N19" s="922">
        <f>-SUMIF('1401'!$B$4:$B$578,$A19,'1401'!$V$4:$V$578)</f>
        <v>2537960</v>
      </c>
      <c r="O19" s="517"/>
      <c r="P19" s="922">
        <v>8059827</v>
      </c>
    </row>
    <row r="20" spans="1:26" ht="32.25" customHeight="1">
      <c r="A20" s="615"/>
      <c r="B20" s="1502"/>
      <c r="C20" s="615"/>
      <c r="E20" s="856" t="s">
        <v>2665</v>
      </c>
      <c r="F20" s="833"/>
      <c r="G20" s="833"/>
      <c r="H20" s="455" t="s">
        <v>2641</v>
      </c>
      <c r="I20" s="515"/>
      <c r="J20" s="2470">
        <f>H76+G76+F76</f>
        <v>5486176</v>
      </c>
      <c r="K20" s="515"/>
      <c r="L20" s="515"/>
      <c r="M20" s="2907">
        <v>465044</v>
      </c>
      <c r="N20" s="922">
        <f>J76</f>
        <v>5951220</v>
      </c>
      <c r="O20" s="517"/>
      <c r="P20" s="922">
        <v>2362448</v>
      </c>
    </row>
    <row r="21" spans="1:26" ht="32.25" customHeight="1">
      <c r="A21" s="615">
        <v>1009</v>
      </c>
      <c r="B21" s="1502"/>
      <c r="C21" s="615"/>
      <c r="E21" s="856" t="s">
        <v>2506</v>
      </c>
      <c r="F21" s="833"/>
      <c r="G21" s="833"/>
      <c r="H21" s="515"/>
      <c r="I21" s="515"/>
      <c r="J21" s="2470">
        <v>1470937</v>
      </c>
      <c r="K21" s="515"/>
      <c r="L21" s="515"/>
      <c r="M21" s="2912" t="s">
        <v>2328</v>
      </c>
      <c r="N21" s="922">
        <f>-SUMIF('1401'!$B$4:$B$578,$A21,'1401'!$V$4:$V$578)</f>
        <v>1470937</v>
      </c>
      <c r="O21" s="517"/>
      <c r="P21" s="922">
        <v>942234</v>
      </c>
    </row>
    <row r="22" spans="1:26" ht="32.25" customHeight="1">
      <c r="A22" s="615">
        <v>1020</v>
      </c>
      <c r="B22" s="1502"/>
      <c r="C22" s="615"/>
      <c r="E22" s="856" t="s">
        <v>633</v>
      </c>
      <c r="F22" s="833"/>
      <c r="G22" s="833"/>
      <c r="H22" s="515"/>
      <c r="I22" s="515"/>
      <c r="J22" s="2470">
        <v>413491</v>
      </c>
      <c r="K22" s="515"/>
      <c r="L22" s="515"/>
      <c r="M22" s="2912" t="s">
        <v>2328</v>
      </c>
      <c r="N22" s="922">
        <f>-SUMIF('1401'!$B$4:$B$578,$A22,'1401'!$V$4:$V$578)</f>
        <v>413491</v>
      </c>
      <c r="O22" s="517"/>
      <c r="P22" s="922">
        <v>326762</v>
      </c>
      <c r="Q22" s="473"/>
      <c r="R22" s="473"/>
      <c r="S22" s="513"/>
      <c r="T22" s="512"/>
      <c r="U22" s="513"/>
    </row>
    <row r="23" spans="1:26" ht="32.25" customHeight="1">
      <c r="A23" s="615">
        <v>1017</v>
      </c>
      <c r="B23" s="1502"/>
      <c r="C23" s="615"/>
      <c r="E23" s="856" t="s">
        <v>2677</v>
      </c>
      <c r="F23" s="833"/>
      <c r="G23" s="833"/>
      <c r="H23" s="515"/>
      <c r="I23" s="515"/>
      <c r="J23" s="2470">
        <v>140</v>
      </c>
      <c r="K23" s="515"/>
      <c r="L23" s="515"/>
      <c r="M23" s="2912"/>
      <c r="N23" s="922">
        <f>-SUMIF('1401'!$B$4:$B$578,$A23,'1401'!$V$4:$V$578)</f>
        <v>140</v>
      </c>
      <c r="O23" s="517"/>
      <c r="P23" s="922">
        <v>622435</v>
      </c>
    </row>
    <row r="24" spans="1:26" ht="32.25" hidden="1" customHeight="1">
      <c r="E24" s="856" t="s">
        <v>1527</v>
      </c>
      <c r="F24" s="473"/>
      <c r="G24" s="473"/>
      <c r="H24" s="511"/>
      <c r="I24" s="511"/>
      <c r="J24" s="2470"/>
      <c r="K24" s="511"/>
      <c r="L24" s="511"/>
      <c r="M24" s="2910"/>
      <c r="N24" s="922">
        <f>N143</f>
        <v>0</v>
      </c>
      <c r="O24" s="512"/>
      <c r="P24" s="922">
        <v>0</v>
      </c>
    </row>
    <row r="25" spans="1:26" ht="32.25" hidden="1" customHeight="1">
      <c r="A25" s="615">
        <v>1016</v>
      </c>
      <c r="B25" s="1502"/>
      <c r="C25" s="615"/>
      <c r="E25" s="856" t="s">
        <v>504</v>
      </c>
      <c r="F25" s="833"/>
      <c r="G25" s="833"/>
      <c r="H25" s="515"/>
      <c r="I25" s="515"/>
      <c r="J25" s="2475"/>
      <c r="K25" s="515"/>
      <c r="L25" s="515"/>
      <c r="M25" s="2912" t="s">
        <v>2328</v>
      </c>
      <c r="N25" s="922">
        <f>-SUMIF('1401'!$B$4:$B$576,$A25,'1401'!$V$4:$V$576)</f>
        <v>0</v>
      </c>
      <c r="O25" s="517"/>
      <c r="P25" s="922">
        <v>0</v>
      </c>
      <c r="Q25" s="1420">
        <f>N25-P25</f>
        <v>0</v>
      </c>
    </row>
    <row r="26" spans="1:26" ht="32.25" customHeight="1">
      <c r="A26" s="615">
        <v>1011</v>
      </c>
      <c r="B26" s="1502"/>
      <c r="C26" s="615"/>
      <c r="E26" s="856" t="s">
        <v>229</v>
      </c>
      <c r="F26" s="833"/>
      <c r="G26" s="833"/>
      <c r="H26" s="515"/>
      <c r="I26" s="515"/>
      <c r="J26" s="2470">
        <v>25208</v>
      </c>
      <c r="K26" s="515"/>
      <c r="L26" s="515"/>
      <c r="M26" s="2912" t="s">
        <v>2328</v>
      </c>
      <c r="N26" s="922">
        <f>-SUMIF('1401'!$B$4:$B$576,$A26,'1401'!$V$4:$V$576)</f>
        <v>25208</v>
      </c>
      <c r="O26" s="517"/>
      <c r="P26" s="922">
        <v>25849</v>
      </c>
      <c r="Q26" s="255" t="s">
        <v>2031</v>
      </c>
      <c r="R26" s="255" t="s">
        <v>2032</v>
      </c>
      <c r="S26" s="255" t="s">
        <v>2033</v>
      </c>
    </row>
    <row r="27" spans="1:26" ht="32.25" customHeight="1">
      <c r="A27" s="615">
        <v>1015</v>
      </c>
      <c r="B27" s="1502"/>
      <c r="C27" s="615"/>
      <c r="E27" s="856" t="s">
        <v>818</v>
      </c>
      <c r="F27" s="833"/>
      <c r="G27" s="833"/>
      <c r="H27" s="518"/>
      <c r="I27" s="518"/>
      <c r="J27" s="2470">
        <v>9180</v>
      </c>
      <c r="K27" s="518"/>
      <c r="L27" s="518"/>
      <c r="M27" s="2913" t="s">
        <v>2328</v>
      </c>
      <c r="N27" s="922">
        <f>-SUMIF('1401'!$B$4:$B$576,$A27,'1401'!$V$4:$V$576)</f>
        <v>9180</v>
      </c>
      <c r="O27" s="517"/>
      <c r="P27" s="922">
        <v>7902</v>
      </c>
      <c r="Q27" s="1420" t="e">
        <f>#REF!+N22+N18</f>
        <v>#REF!</v>
      </c>
      <c r="R27" s="1420" t="e">
        <f>#REF!+P22+P18</f>
        <v>#REF!</v>
      </c>
      <c r="S27" s="1420" t="e">
        <f>Q27-R27</f>
        <v>#REF!</v>
      </c>
    </row>
    <row r="28" spans="1:26" ht="32.25" hidden="1" customHeight="1">
      <c r="A28" s="615"/>
      <c r="B28" s="1502"/>
      <c r="C28" s="615"/>
      <c r="E28" s="856" t="s">
        <v>1964</v>
      </c>
      <c r="F28" s="833"/>
      <c r="G28" s="833"/>
      <c r="H28" s="518"/>
      <c r="I28" s="518"/>
      <c r="J28" s="2470"/>
      <c r="K28" s="518"/>
      <c r="L28" s="518"/>
      <c r="M28" s="2913"/>
      <c r="N28" s="922">
        <v>0</v>
      </c>
      <c r="O28" s="517"/>
      <c r="P28" s="922">
        <v>0</v>
      </c>
      <c r="Q28" s="521"/>
      <c r="R28" s="521"/>
      <c r="S28" s="521"/>
      <c r="T28" s="521"/>
      <c r="U28" s="521"/>
      <c r="V28" s="521"/>
      <c r="W28" s="521"/>
      <c r="X28" s="521"/>
      <c r="Y28" s="521"/>
      <c r="Z28" s="521"/>
    </row>
    <row r="29" spans="1:26" ht="32.25" customHeight="1">
      <c r="A29" s="615">
        <v>1018</v>
      </c>
      <c r="B29" s="1502"/>
      <c r="C29" s="615"/>
      <c r="E29" s="857" t="s">
        <v>626</v>
      </c>
      <c r="F29" s="833"/>
      <c r="G29" s="833"/>
      <c r="H29" s="519"/>
      <c r="I29" s="519"/>
      <c r="J29" s="2470">
        <v>180149</v>
      </c>
      <c r="K29" s="519"/>
      <c r="L29" s="519"/>
      <c r="M29" s="2914" t="s">
        <v>2328</v>
      </c>
      <c r="N29" s="930">
        <f>-SUMIF('1401'!$B$4:$B$576,$A29,'1401'!$V$4:$V$576)</f>
        <v>180149</v>
      </c>
      <c r="O29" s="517"/>
      <c r="P29" s="1345">
        <f>48004+514168</f>
        <v>562172</v>
      </c>
      <c r="S29" s="255" t="s">
        <v>2034</v>
      </c>
      <c r="T29" s="255" t="s">
        <v>2035</v>
      </c>
    </row>
    <row r="30" spans="1:26" ht="32.25" customHeight="1">
      <c r="A30" s="616"/>
      <c r="B30" s="1503"/>
      <c r="C30" s="616"/>
      <c r="E30" s="520"/>
      <c r="F30" s="520"/>
      <c r="G30" s="520"/>
      <c r="H30" s="517"/>
      <c r="I30" s="517"/>
      <c r="J30" s="2476">
        <f>SUM(J18:J29)</f>
        <v>11814417</v>
      </c>
      <c r="K30" s="517"/>
      <c r="L30" s="517"/>
      <c r="M30" s="2909">
        <f>SUM(M20:M29)</f>
        <v>465044</v>
      </c>
      <c r="N30" s="2301">
        <f>SUM(N18:N29)</f>
        <v>12279461</v>
      </c>
      <c r="O30" s="517"/>
      <c r="P30" s="2302">
        <f>SUM(P18:P29)</f>
        <v>13364627</v>
      </c>
      <c r="S30" s="1420">
        <f>N30-P30</f>
        <v>-1085166</v>
      </c>
      <c r="T30" s="1812" t="e">
        <f>S30-S27-Q25</f>
        <v>#REF!</v>
      </c>
      <c r="U30" s="614"/>
      <c r="V30" s="614"/>
    </row>
    <row r="31" spans="1:26" ht="35.25" customHeight="1" thickBot="1">
      <c r="A31" s="457"/>
      <c r="B31" s="1215"/>
      <c r="C31" s="1514"/>
      <c r="D31" s="1515"/>
      <c r="E31" s="1520"/>
      <c r="F31" s="1520"/>
      <c r="G31" s="1520"/>
      <c r="H31" s="1520"/>
      <c r="I31" s="1520"/>
      <c r="J31" s="2477">
        <f>J30+J16</f>
        <v>25636025</v>
      </c>
      <c r="K31" s="2831"/>
      <c r="L31" s="2477">
        <f>SUM(L30,L59)</f>
        <v>0</v>
      </c>
      <c r="M31" s="2915">
        <f>+M30</f>
        <v>465044</v>
      </c>
      <c r="N31" s="2303">
        <f>N30+N16</f>
        <v>26101069</v>
      </c>
      <c r="O31" s="923">
        <f>O30+O59</f>
        <v>0</v>
      </c>
      <c r="P31" s="2303">
        <f>P30+P16</f>
        <v>21781426</v>
      </c>
    </row>
    <row r="32" spans="1:26" ht="30.75" customHeight="1" thickTop="1">
      <c r="A32" s="457"/>
      <c r="B32" s="1215"/>
      <c r="C32" s="457"/>
      <c r="D32" s="872" t="s">
        <v>2639</v>
      </c>
      <c r="E32" s="858" t="s">
        <v>1703</v>
      </c>
      <c r="G32" s="843"/>
      <c r="H32" s="843"/>
      <c r="I32" s="843"/>
      <c r="J32" s="843"/>
      <c r="K32" s="843"/>
      <c r="L32" s="843"/>
      <c r="M32" s="843"/>
      <c r="N32" s="3185"/>
      <c r="O32" s="3185"/>
      <c r="P32" s="3185"/>
    </row>
    <row r="33" spans="1:17" ht="26.25" customHeight="1">
      <c r="A33" s="457"/>
      <c r="B33" s="1215"/>
      <c r="C33" s="457"/>
      <c r="D33" s="872"/>
      <c r="E33" s="858"/>
      <c r="G33" s="843"/>
      <c r="H33" s="843"/>
      <c r="I33" s="843"/>
      <c r="J33" s="843"/>
      <c r="K33" s="843"/>
      <c r="L33" s="843"/>
      <c r="M33" s="843"/>
      <c r="N33" s="3185" t="s">
        <v>1950</v>
      </c>
      <c r="O33" s="3185"/>
      <c r="P33" s="3185"/>
      <c r="Q33" s="2304"/>
    </row>
    <row r="34" spans="1:17" ht="32.25" customHeight="1">
      <c r="A34" s="457"/>
      <c r="B34" s="1215"/>
      <c r="C34" s="255"/>
      <c r="D34" s="170"/>
      <c r="N34" s="2150">
        <v>1401</v>
      </c>
      <c r="O34" s="509"/>
      <c r="P34" s="2150">
        <v>1400</v>
      </c>
    </row>
    <row r="35" spans="1:17" ht="32.25" customHeight="1">
      <c r="A35" s="2550">
        <v>0</v>
      </c>
      <c r="B35" s="1504"/>
      <c r="C35" s="255"/>
      <c r="D35" s="522"/>
      <c r="E35" s="522" t="s">
        <v>2150</v>
      </c>
      <c r="F35" s="522"/>
      <c r="G35" s="522"/>
      <c r="H35" s="522"/>
      <c r="I35" s="522"/>
      <c r="J35" s="522"/>
      <c r="K35" s="522"/>
      <c r="L35" s="522"/>
      <c r="M35" s="522"/>
      <c r="N35" s="2041">
        <f>N97</f>
        <v>8103895</v>
      </c>
      <c r="O35" s="2042"/>
      <c r="P35" s="2041">
        <v>4447274</v>
      </c>
    </row>
    <row r="36" spans="1:17" ht="32.25" customHeight="1">
      <c r="A36" s="2550">
        <v>1028</v>
      </c>
      <c r="B36" s="1504"/>
      <c r="C36" s="255"/>
      <c r="D36" s="522"/>
      <c r="E36" s="522" t="s">
        <v>1659</v>
      </c>
      <c r="F36" s="522"/>
      <c r="G36" s="522"/>
      <c r="H36" s="522"/>
      <c r="I36" s="522"/>
      <c r="J36" s="522"/>
      <c r="K36" s="522"/>
      <c r="L36" s="522"/>
      <c r="M36" s="522"/>
      <c r="N36" s="2041">
        <f>-SUMIF('1401'!$B$4:$B$576,$A36,'1401'!$V$4:$V$576)</f>
        <v>0</v>
      </c>
      <c r="O36" s="2042"/>
      <c r="P36" s="2041">
        <v>20914</v>
      </c>
    </row>
    <row r="37" spans="1:17" ht="32.25" customHeight="1">
      <c r="A37" s="2550"/>
      <c r="B37" s="1504"/>
      <c r="C37" s="255"/>
      <c r="D37" s="522"/>
      <c r="E37" s="856" t="s">
        <v>2238</v>
      </c>
      <c r="F37" s="522"/>
      <c r="G37" s="522"/>
      <c r="H37" s="522"/>
      <c r="I37" s="522"/>
      <c r="J37" s="522"/>
      <c r="K37" s="522"/>
      <c r="L37" s="522"/>
      <c r="M37" s="522"/>
      <c r="N37" s="2041"/>
      <c r="O37" s="2042"/>
      <c r="P37" s="922">
        <v>119470</v>
      </c>
    </row>
    <row r="38" spans="1:17" ht="32.25" customHeight="1">
      <c r="A38" s="2550"/>
      <c r="B38" s="1504"/>
      <c r="C38" s="255"/>
      <c r="D38" s="522"/>
      <c r="E38" s="522" t="s">
        <v>2027</v>
      </c>
      <c r="F38" s="522"/>
      <c r="G38" s="522"/>
      <c r="H38" s="522"/>
      <c r="I38" s="522"/>
      <c r="J38" s="522"/>
      <c r="K38" s="522"/>
      <c r="L38" s="522"/>
      <c r="M38" s="522"/>
      <c r="N38" s="2041">
        <f>-SUMIF('1401'!$B$4:$B$576,$A38,'1401'!$V$4:$V$576)</f>
        <v>0</v>
      </c>
      <c r="O38" s="2042"/>
      <c r="P38" s="2041">
        <v>12157</v>
      </c>
    </row>
    <row r="39" spans="1:17" ht="32.25" customHeight="1">
      <c r="A39" s="2550"/>
      <c r="B39" s="1504"/>
      <c r="C39" s="255"/>
      <c r="D39" s="522"/>
      <c r="E39" s="522" t="s">
        <v>2629</v>
      </c>
      <c r="F39" s="522"/>
      <c r="G39" s="522"/>
      <c r="H39" s="522"/>
      <c r="I39" s="522"/>
      <c r="J39" s="522"/>
      <c r="K39" s="522"/>
      <c r="L39" s="522"/>
      <c r="M39" s="522"/>
      <c r="N39" s="2041">
        <f>-SUMIF('1401'!$B$4:$B$576,$A39,'1401'!$V$4:$V$576)</f>
        <v>0</v>
      </c>
      <c r="O39" s="2042"/>
      <c r="P39" s="2041">
        <v>18858</v>
      </c>
    </row>
    <row r="40" spans="1:17" ht="32.25" customHeight="1">
      <c r="A40" s="2551">
        <v>1003</v>
      </c>
      <c r="B40" s="1505"/>
      <c r="C40" s="255"/>
      <c r="D40" s="522"/>
      <c r="E40" s="522" t="s">
        <v>1687</v>
      </c>
      <c r="F40" s="522"/>
      <c r="G40" s="522"/>
      <c r="H40" s="522"/>
      <c r="I40" s="522"/>
      <c r="J40" s="522"/>
      <c r="K40" s="522"/>
      <c r="L40" s="522"/>
      <c r="M40" s="522"/>
      <c r="N40" s="2041">
        <f>-SUMIF('1401'!$B$4:$B$576,$A40,'1401'!$V$4:$V$576)</f>
        <v>6868</v>
      </c>
      <c r="O40" s="2042"/>
      <c r="P40" s="2041">
        <v>28101</v>
      </c>
    </row>
    <row r="41" spans="1:17" ht="32.25" hidden="1" customHeight="1">
      <c r="A41" s="2551">
        <v>1019</v>
      </c>
      <c r="B41" s="1505"/>
      <c r="C41" s="255"/>
      <c r="D41" s="522"/>
      <c r="E41" s="522" t="s">
        <v>2028</v>
      </c>
      <c r="F41" s="522"/>
      <c r="G41" s="522"/>
      <c r="H41" s="522"/>
      <c r="I41" s="522"/>
      <c r="J41" s="522"/>
      <c r="K41" s="522"/>
      <c r="L41" s="522"/>
      <c r="M41" s="522"/>
      <c r="N41" s="2041">
        <f>-SUMIF('1401'!$B$4:$B$576,$A41,'1401'!$V$4:$V$576)</f>
        <v>1110895</v>
      </c>
      <c r="O41" s="2042"/>
      <c r="P41" s="2041">
        <v>0</v>
      </c>
    </row>
    <row r="42" spans="1:17" ht="32.25" customHeight="1" thickBot="1">
      <c r="C42" s="514"/>
      <c r="D42" s="516"/>
      <c r="E42" s="516"/>
      <c r="F42" s="516"/>
      <c r="G42" s="516"/>
      <c r="H42" s="516"/>
      <c r="I42" s="516"/>
      <c r="J42" s="516"/>
      <c r="K42" s="516"/>
      <c r="L42" s="516"/>
      <c r="M42" s="516"/>
      <c r="N42" s="1322">
        <f>SUM(N35:N40)</f>
        <v>8110763</v>
      </c>
      <c r="O42" s="517"/>
      <c r="P42" s="1322">
        <f>SUM(P35:P41)</f>
        <v>4646774</v>
      </c>
    </row>
    <row r="43" spans="1:17" ht="35.25" customHeight="1" thickTop="1">
      <c r="A43" s="457"/>
      <c r="B43" s="1215"/>
      <c r="C43" s="1514"/>
      <c r="D43" s="1515"/>
      <c r="E43" s="1520"/>
      <c r="F43" s="1520"/>
      <c r="G43" s="1520"/>
      <c r="H43" s="1520"/>
      <c r="I43" s="1520"/>
      <c r="J43" s="2831"/>
      <c r="K43" s="2831"/>
      <c r="L43" s="2831"/>
      <c r="M43" s="2831"/>
      <c r="N43" s="923"/>
      <c r="O43" s="923"/>
      <c r="P43" s="923"/>
    </row>
    <row r="44" spans="1:17" ht="35.25" customHeight="1">
      <c r="A44" s="457"/>
      <c r="B44" s="1215"/>
      <c r="C44" s="1514"/>
      <c r="D44" s="872" t="s">
        <v>2640</v>
      </c>
      <c r="E44" s="858" t="s">
        <v>2636</v>
      </c>
      <c r="F44" s="1520"/>
      <c r="G44" s="1520"/>
      <c r="H44" s="1520"/>
      <c r="I44" s="1520"/>
      <c r="J44" s="2831"/>
      <c r="K44" s="2831"/>
      <c r="L44" s="2831"/>
      <c r="M44" s="2831"/>
      <c r="N44" s="923"/>
      <c r="O44" s="923"/>
      <c r="P44" s="923"/>
    </row>
    <row r="45" spans="1:17" ht="35.25" customHeight="1">
      <c r="A45" s="457"/>
      <c r="B45" s="1215"/>
      <c r="C45" s="1514"/>
      <c r="D45" s="1515"/>
      <c r="E45" s="1520"/>
      <c r="F45" s="1520"/>
      <c r="G45" s="1520"/>
      <c r="H45" s="1520"/>
      <c r="I45" s="1520"/>
      <c r="J45" s="3181">
        <v>1401</v>
      </c>
      <c r="K45" s="3182"/>
      <c r="L45" s="3181"/>
      <c r="M45" s="3182"/>
      <c r="N45" s="3182"/>
      <c r="O45" s="509"/>
      <c r="P45" s="2826">
        <v>1400</v>
      </c>
    </row>
    <row r="46" spans="1:17" ht="35.25" customHeight="1">
      <c r="A46" s="457"/>
      <c r="B46" s="1215"/>
      <c r="C46" s="1514"/>
      <c r="D46" s="1515"/>
      <c r="E46" s="1520"/>
      <c r="F46" s="1520"/>
      <c r="G46" s="1520"/>
      <c r="H46" s="1520"/>
      <c r="I46" s="1520"/>
      <c r="J46" s="2469" t="s">
        <v>2326</v>
      </c>
      <c r="K46" s="458"/>
      <c r="L46" s="458"/>
      <c r="M46" s="458" t="s">
        <v>2325</v>
      </c>
      <c r="N46" s="2467" t="s">
        <v>679</v>
      </c>
      <c r="O46" s="2467"/>
      <c r="P46" s="2468" t="s">
        <v>679</v>
      </c>
    </row>
    <row r="47" spans="1:17" ht="32.25" customHeight="1">
      <c r="A47" s="615">
        <v>1027</v>
      </c>
      <c r="E47" s="522" t="s">
        <v>2158</v>
      </c>
      <c r="F47" s="522"/>
      <c r="G47" s="508"/>
      <c r="H47" s="458"/>
      <c r="I47" s="458"/>
      <c r="J47" s="2470">
        <v>4012007</v>
      </c>
      <c r="K47" s="458"/>
      <c r="L47" s="458"/>
      <c r="M47" s="2473" t="s">
        <v>2328</v>
      </c>
      <c r="N47" s="2126">
        <f>-SUMIF('1401'!$B$4:$B$576,$A47,'1401'!$V$4:$V$576)</f>
        <v>4012007</v>
      </c>
      <c r="O47" s="509"/>
      <c r="P47" s="2126">
        <f>1500809+1611199</f>
        <v>3112008</v>
      </c>
    </row>
    <row r="48" spans="1:17" ht="32.25" customHeight="1">
      <c r="A48" s="615">
        <v>1021</v>
      </c>
      <c r="E48" s="856" t="s">
        <v>344</v>
      </c>
      <c r="F48" s="522"/>
      <c r="G48" s="508"/>
      <c r="H48" s="458"/>
      <c r="I48" s="458"/>
      <c r="J48" s="2470">
        <v>1338542</v>
      </c>
      <c r="K48" s="458"/>
      <c r="L48" s="458"/>
      <c r="M48" s="2473" t="s">
        <v>2328</v>
      </c>
      <c r="N48" s="2126">
        <f>-SUMIF('1401'!$B$4:$B$576,$A48,'1401'!$V$4:$V$576)</f>
        <v>1338542</v>
      </c>
      <c r="O48" s="509"/>
      <c r="P48" s="2126">
        <v>553540</v>
      </c>
    </row>
    <row r="49" spans="1:16" ht="32.25" customHeight="1">
      <c r="A49" s="615">
        <v>1006</v>
      </c>
      <c r="E49" s="856" t="s">
        <v>156</v>
      </c>
      <c r="F49" s="522"/>
      <c r="G49" s="508"/>
      <c r="H49" s="458"/>
      <c r="I49" s="458"/>
      <c r="J49" s="2470">
        <v>160826</v>
      </c>
      <c r="K49" s="458"/>
      <c r="L49" s="458"/>
      <c r="M49" s="2473" t="s">
        <v>2328</v>
      </c>
      <c r="N49" s="2126">
        <f>-SUMIF('1401'!$B$4:$B$576,$A49,'1401'!$V$4:$V$576)</f>
        <v>160826</v>
      </c>
      <c r="O49" s="509"/>
      <c r="P49" s="2126">
        <v>19980</v>
      </c>
    </row>
    <row r="50" spans="1:16" ht="32.25" customHeight="1">
      <c r="A50" s="615">
        <v>1001</v>
      </c>
      <c r="E50" s="856" t="s">
        <v>1675</v>
      </c>
      <c r="F50" s="522"/>
      <c r="G50" s="508"/>
      <c r="H50" s="458"/>
      <c r="I50" s="458"/>
      <c r="J50" s="2470">
        <v>102166</v>
      </c>
      <c r="K50" s="458"/>
      <c r="L50" s="458"/>
      <c r="M50" s="2473" t="s">
        <v>2328</v>
      </c>
      <c r="N50" s="2126">
        <f>-SUMIF('1401'!$B$4:$B$576,$A50,'1401'!$V$4:$V$576)</f>
        <v>102166</v>
      </c>
      <c r="O50" s="509"/>
      <c r="P50" s="2126">
        <v>42874</v>
      </c>
    </row>
    <row r="51" spans="1:16" ht="32.25" customHeight="1">
      <c r="A51" s="615">
        <v>1025</v>
      </c>
      <c r="E51" s="856" t="s">
        <v>1635</v>
      </c>
      <c r="F51" s="522"/>
      <c r="G51" s="508"/>
      <c r="H51" s="458"/>
      <c r="I51" s="458"/>
      <c r="J51" s="2470">
        <v>49783</v>
      </c>
      <c r="K51" s="458"/>
      <c r="L51" s="458"/>
      <c r="M51" s="2473" t="s">
        <v>2328</v>
      </c>
      <c r="N51" s="2126">
        <f>-SUMIF('1401'!$B$4:$B$576,$A51,'1401'!$V$4:$V$576)</f>
        <v>49783</v>
      </c>
      <c r="O51" s="509"/>
      <c r="P51" s="2126">
        <v>16229</v>
      </c>
    </row>
    <row r="52" spans="1:16" ht="32.25" customHeight="1">
      <c r="A52" s="615">
        <v>1026</v>
      </c>
      <c r="E52" s="856" t="s">
        <v>1677</v>
      </c>
      <c r="F52" s="522"/>
      <c r="G52" s="508"/>
      <c r="H52" s="458"/>
      <c r="I52" s="458"/>
      <c r="J52" s="2470">
        <v>6192</v>
      </c>
      <c r="K52" s="458"/>
      <c r="L52" s="458"/>
      <c r="M52" s="2473" t="s">
        <v>2328</v>
      </c>
      <c r="N52" s="2126">
        <f>-SUMIF('1401'!$B$4:$B$576,$A52,'1401'!$V$4:$V$576)</f>
        <v>6192</v>
      </c>
      <c r="O52" s="2041"/>
      <c r="P52" s="2041">
        <v>4356</v>
      </c>
    </row>
    <row r="53" spans="1:16" ht="32.25" customHeight="1">
      <c r="A53" s="615">
        <v>414</v>
      </c>
      <c r="E53" s="856" t="s">
        <v>1946</v>
      </c>
      <c r="F53" s="522"/>
      <c r="G53" s="508"/>
      <c r="H53" s="458"/>
      <c r="I53" s="458"/>
      <c r="J53" s="2470">
        <v>15159</v>
      </c>
      <c r="K53" s="458"/>
      <c r="L53" s="458"/>
      <c r="M53" s="2473" t="s">
        <v>2328</v>
      </c>
      <c r="N53" s="2126">
        <f>-SUMIF('1401'!$B$4:$B$576,$A53,'1401'!$V$4:$V$576)</f>
        <v>15159</v>
      </c>
      <c r="O53" s="2041"/>
      <c r="P53" s="2041">
        <v>3394</v>
      </c>
    </row>
    <row r="54" spans="1:16" ht="32.25" customHeight="1">
      <c r="A54" s="615">
        <v>415</v>
      </c>
      <c r="E54" s="856" t="s">
        <v>1839</v>
      </c>
      <c r="F54" s="522"/>
      <c r="G54" s="508"/>
      <c r="H54" s="458"/>
      <c r="I54" s="458"/>
      <c r="J54" s="2470">
        <v>7968</v>
      </c>
      <c r="K54" s="458"/>
      <c r="L54" s="458"/>
      <c r="M54" s="2473" t="s">
        <v>2328</v>
      </c>
      <c r="N54" s="2126">
        <f>-SUMIF('1401'!$B$4:$B$576,$A54,'1401'!$V$4:$V$576)</f>
        <v>7968</v>
      </c>
      <c r="O54" s="2041"/>
      <c r="P54" s="2041">
        <v>10490</v>
      </c>
    </row>
    <row r="55" spans="1:16" ht="32.25" customHeight="1">
      <c r="A55" s="615">
        <v>1005</v>
      </c>
      <c r="E55" s="856" t="s">
        <v>528</v>
      </c>
      <c r="F55" s="522"/>
      <c r="G55" s="508"/>
      <c r="H55" s="510"/>
      <c r="I55" s="510"/>
      <c r="J55" s="2470">
        <v>14013</v>
      </c>
      <c r="K55" s="510"/>
      <c r="L55" s="510"/>
      <c r="M55" s="2472" t="s">
        <v>2328</v>
      </c>
      <c r="N55" s="2126">
        <f>-SUMIF('1401'!$B$4:$B$576,$A55,'1401'!$V$4:$V$576)</f>
        <v>14013</v>
      </c>
      <c r="O55" s="2041"/>
      <c r="P55" s="2041">
        <v>2729</v>
      </c>
    </row>
    <row r="56" spans="1:16" ht="32.25" customHeight="1">
      <c r="A56" s="615">
        <v>1029</v>
      </c>
      <c r="E56" s="856" t="s">
        <v>578</v>
      </c>
      <c r="F56" s="522"/>
      <c r="G56" s="508"/>
      <c r="H56" s="510"/>
      <c r="I56" s="510"/>
      <c r="J56" s="2472" t="s">
        <v>2328</v>
      </c>
      <c r="K56" s="510"/>
      <c r="L56" s="510"/>
      <c r="M56" s="2472" t="s">
        <v>2328</v>
      </c>
      <c r="N56" s="2126">
        <f>-SUMIF('1401'!$B$4:$B$576,$A56,'1401'!$V$4:$V$576)</f>
        <v>0</v>
      </c>
      <c r="O56" s="2041"/>
      <c r="P56" s="2041">
        <v>229</v>
      </c>
    </row>
    <row r="57" spans="1:16" ht="32.25" customHeight="1">
      <c r="A57" s="615">
        <v>1030</v>
      </c>
      <c r="E57" s="856" t="s">
        <v>967</v>
      </c>
      <c r="F57" s="522"/>
      <c r="G57" s="508"/>
      <c r="H57" s="510"/>
      <c r="I57" s="510"/>
      <c r="J57" s="2470">
        <v>3860</v>
      </c>
      <c r="K57" s="510"/>
      <c r="L57" s="510"/>
      <c r="M57" s="2472" t="s">
        <v>2328</v>
      </c>
      <c r="N57" s="2126">
        <f>-SUMIF('1401'!$B$4:$B$576,$A57,'1401'!$V$4:$V$576)</f>
        <v>3860</v>
      </c>
      <c r="O57" s="2041"/>
      <c r="P57" s="2041">
        <v>3718</v>
      </c>
    </row>
    <row r="58" spans="1:16" ht="32.25" customHeight="1">
      <c r="A58" s="615">
        <v>1031</v>
      </c>
      <c r="E58" s="856" t="s">
        <v>2159</v>
      </c>
      <c r="F58" s="522"/>
      <c r="G58" s="508"/>
      <c r="H58" s="510"/>
      <c r="I58" s="510"/>
      <c r="J58" s="2470">
        <v>329</v>
      </c>
      <c r="K58" s="510"/>
      <c r="L58" s="510"/>
      <c r="M58" s="2472" t="s">
        <v>2328</v>
      </c>
      <c r="N58" s="2126">
        <f>-SUMIF('1401'!$B$4:$B$576,$A58,'1401'!$V$4:$V$576)</f>
        <v>329</v>
      </c>
      <c r="O58" s="2041"/>
      <c r="P58" s="2041">
        <v>478</v>
      </c>
    </row>
    <row r="59" spans="1:16" ht="32.25" customHeight="1">
      <c r="E59" s="856"/>
      <c r="F59" s="522"/>
      <c r="G59" s="473"/>
      <c r="H59" s="511"/>
      <c r="I59" s="511"/>
      <c r="J59" s="2471">
        <f>SUM(J47:J58)</f>
        <v>5710845</v>
      </c>
      <c r="K59" s="511"/>
      <c r="L59" s="511"/>
      <c r="M59" s="2833" t="s">
        <v>2328</v>
      </c>
      <c r="N59" s="2300">
        <f>SUM(N47:N58)</f>
        <v>5710845</v>
      </c>
      <c r="O59" s="512"/>
      <c r="P59" s="2300">
        <f>SUM(P47:P58)</f>
        <v>3770025</v>
      </c>
    </row>
    <row r="60" spans="1:16" ht="32.25" customHeight="1">
      <c r="D60" s="872"/>
      <c r="E60" s="856"/>
      <c r="F60" s="522"/>
      <c r="G60" s="473"/>
      <c r="H60" s="511"/>
      <c r="I60" s="511"/>
      <c r="J60" s="2832"/>
      <c r="K60" s="511"/>
      <c r="L60" s="511"/>
      <c r="M60" s="2833"/>
      <c r="N60" s="922"/>
      <c r="O60" s="512"/>
      <c r="P60" s="922"/>
    </row>
    <row r="61" spans="1:16" ht="32.25" customHeight="1">
      <c r="D61" s="872" t="s">
        <v>2662</v>
      </c>
      <c r="E61" s="856" t="s">
        <v>2666</v>
      </c>
      <c r="F61" s="522"/>
      <c r="G61" s="473"/>
      <c r="H61" s="511"/>
      <c r="I61" s="511"/>
      <c r="J61" s="2832"/>
      <c r="K61" s="511"/>
      <c r="L61" s="511"/>
      <c r="M61" s="2833"/>
      <c r="N61" s="922"/>
      <c r="O61" s="512"/>
      <c r="P61" s="922"/>
    </row>
    <row r="62" spans="1:16" ht="32.25" customHeight="1">
      <c r="D62" s="872"/>
      <c r="E62" s="856"/>
      <c r="F62" s="3190">
        <v>1401</v>
      </c>
      <c r="G62" s="3190"/>
      <c r="H62" s="3190"/>
      <c r="I62" s="3190"/>
      <c r="J62" s="3190"/>
      <c r="K62" s="511"/>
      <c r="L62" s="511"/>
      <c r="M62" s="3190" t="s">
        <v>2676</v>
      </c>
      <c r="N62" s="3190"/>
      <c r="O62" s="3190"/>
      <c r="P62" s="3190"/>
    </row>
    <row r="63" spans="1:16" ht="32.25" customHeight="1">
      <c r="D63" s="872"/>
      <c r="E63" s="856"/>
      <c r="F63" s="2922" t="s">
        <v>2672</v>
      </c>
      <c r="G63" s="2922" t="s">
        <v>2675</v>
      </c>
      <c r="H63" s="2922" t="s">
        <v>2673</v>
      </c>
      <c r="I63" s="2923" t="s">
        <v>2325</v>
      </c>
      <c r="J63" s="2471" t="s">
        <v>679</v>
      </c>
      <c r="K63" s="511"/>
      <c r="L63" s="511"/>
      <c r="M63" s="2923" t="s">
        <v>1826</v>
      </c>
      <c r="N63" s="2300" t="s">
        <v>2675</v>
      </c>
      <c r="O63" s="2471" t="s">
        <v>2673</v>
      </c>
      <c r="P63" s="2300" t="s">
        <v>2674</v>
      </c>
    </row>
    <row r="64" spans="1:16" ht="32.25" customHeight="1">
      <c r="A64" s="615"/>
      <c r="B64" s="1502"/>
      <c r="C64" s="615"/>
      <c r="E64" s="856" t="s">
        <v>2323</v>
      </c>
      <c r="F64" s="922"/>
      <c r="G64" s="922"/>
      <c r="H64" s="922"/>
      <c r="I64" s="922">
        <f>138826+230592</f>
        <v>369418</v>
      </c>
      <c r="J64" s="922">
        <f>I64+H64+G64+F64</f>
        <v>369418</v>
      </c>
      <c r="K64" s="515"/>
      <c r="L64" s="515"/>
      <c r="M64" s="922">
        <v>0</v>
      </c>
      <c r="N64" s="922"/>
      <c r="O64" s="517"/>
      <c r="P64" s="922"/>
    </row>
    <row r="65" spans="1:16" ht="32.25" customHeight="1">
      <c r="A65" s="615"/>
      <c r="B65" s="1502"/>
      <c r="C65" s="615"/>
      <c r="E65" s="856" t="s">
        <v>2324</v>
      </c>
      <c r="F65" s="922"/>
      <c r="G65" s="922"/>
      <c r="H65" s="922">
        <v>725</v>
      </c>
      <c r="I65" s="922">
        <f>23481+58702</f>
        <v>82183</v>
      </c>
      <c r="J65" s="922">
        <f t="shared" ref="J65:J75" si="0">I65+H65+G65+F65</f>
        <v>82908</v>
      </c>
      <c r="K65" s="515"/>
      <c r="L65" s="515"/>
      <c r="M65" s="922"/>
      <c r="N65" s="922"/>
      <c r="O65" s="517"/>
      <c r="P65" s="922"/>
    </row>
    <row r="66" spans="1:16" ht="32.25" customHeight="1">
      <c r="A66" s="615"/>
      <c r="B66" s="1502"/>
      <c r="C66" s="615"/>
      <c r="E66" s="856" t="s">
        <v>2416</v>
      </c>
      <c r="F66" s="922"/>
      <c r="G66" s="922"/>
      <c r="H66" s="922">
        <v>274972</v>
      </c>
      <c r="I66" s="922">
        <v>0</v>
      </c>
      <c r="J66" s="922">
        <f t="shared" si="0"/>
        <v>274972</v>
      </c>
      <c r="K66" s="515"/>
      <c r="L66" s="515"/>
      <c r="M66" s="922"/>
      <c r="N66" s="922"/>
      <c r="O66" s="517"/>
      <c r="P66" s="922"/>
    </row>
    <row r="67" spans="1:16" ht="32.25" customHeight="1">
      <c r="A67" s="615"/>
      <c r="B67" s="1502"/>
      <c r="C67" s="615"/>
      <c r="E67" s="856" t="s">
        <v>2417</v>
      </c>
      <c r="F67" s="922"/>
      <c r="G67" s="922"/>
      <c r="H67" s="922">
        <v>159062</v>
      </c>
      <c r="I67" s="922">
        <v>13443</v>
      </c>
      <c r="J67" s="922">
        <f t="shared" si="0"/>
        <v>172505</v>
      </c>
      <c r="K67" s="515"/>
      <c r="L67" s="515"/>
      <c r="M67" s="2470"/>
      <c r="N67" s="922"/>
      <c r="O67" s="517"/>
      <c r="P67" s="922"/>
    </row>
    <row r="68" spans="1:16" ht="32.25" customHeight="1">
      <c r="A68" s="615"/>
      <c r="B68" s="1502"/>
      <c r="C68" s="615"/>
      <c r="E68" s="856" t="s">
        <v>2418</v>
      </c>
      <c r="F68" s="922"/>
      <c r="G68" s="922"/>
      <c r="H68" s="922">
        <v>112200</v>
      </c>
      <c r="I68" s="922">
        <v>0</v>
      </c>
      <c r="J68" s="922">
        <f t="shared" si="0"/>
        <v>112200</v>
      </c>
      <c r="K68" s="515"/>
      <c r="L68" s="515"/>
      <c r="M68" s="2475"/>
      <c r="N68" s="922"/>
      <c r="O68" s="517"/>
      <c r="P68" s="922"/>
    </row>
    <row r="69" spans="1:16" ht="32.25" customHeight="1">
      <c r="A69" s="615"/>
      <c r="B69" s="1502"/>
      <c r="C69" s="615"/>
      <c r="E69" s="856" t="s">
        <v>2419</v>
      </c>
      <c r="F69" s="922"/>
      <c r="G69" s="922"/>
      <c r="H69" s="922">
        <v>49783</v>
      </c>
      <c r="I69" s="922">
        <v>0</v>
      </c>
      <c r="J69" s="922">
        <f t="shared" si="0"/>
        <v>49783</v>
      </c>
      <c r="K69" s="2470"/>
      <c r="L69" s="2470"/>
      <c r="M69" s="2475"/>
      <c r="N69" s="2470"/>
      <c r="O69" s="2470"/>
      <c r="P69" s="922"/>
    </row>
    <row r="70" spans="1:16" ht="32.25" customHeight="1">
      <c r="A70" s="615">
        <v>1032</v>
      </c>
      <c r="B70" s="1502"/>
      <c r="C70" s="615"/>
      <c r="E70" s="856" t="s">
        <v>2421</v>
      </c>
      <c r="F70" s="922"/>
      <c r="G70" s="922"/>
      <c r="H70" s="922">
        <v>78536</v>
      </c>
      <c r="I70" s="922">
        <v>0</v>
      </c>
      <c r="J70" s="922">
        <f t="shared" si="0"/>
        <v>78536</v>
      </c>
      <c r="K70" s="515"/>
      <c r="L70" s="515"/>
      <c r="M70" s="2475"/>
      <c r="N70" s="922">
        <f>-SUMIF('1401'!$B$4:$B$578,$A70,'1401'!$V$4:$V$578)-N66-N67-N68-N69+13443+89</f>
        <v>687996</v>
      </c>
      <c r="O70" s="517"/>
      <c r="P70" s="922"/>
    </row>
    <row r="71" spans="1:16" ht="32.25" customHeight="1">
      <c r="A71" s="615">
        <v>1008</v>
      </c>
      <c r="B71" s="1502"/>
      <c r="C71" s="615"/>
      <c r="E71" s="856" t="s">
        <v>2679</v>
      </c>
      <c r="F71" s="922">
        <f>-SUMIF('1401'!$B$4:$B$576,$A71,'1401'!$V$4:$V$576)</f>
        <v>2224115</v>
      </c>
      <c r="G71" s="922"/>
      <c r="H71" s="922"/>
      <c r="I71" s="922"/>
      <c r="J71" s="922">
        <f t="shared" si="0"/>
        <v>2224115</v>
      </c>
      <c r="K71" s="515"/>
      <c r="L71" s="515"/>
      <c r="M71" s="2475"/>
      <c r="N71" s="517"/>
      <c r="O71" s="922"/>
    </row>
    <row r="72" spans="1:16" ht="32.25" customHeight="1">
      <c r="A72" s="615">
        <v>1033</v>
      </c>
      <c r="B72" s="1502"/>
      <c r="C72" s="615"/>
      <c r="E72" s="856" t="s">
        <v>2681</v>
      </c>
      <c r="F72" s="922"/>
      <c r="G72" s="922"/>
      <c r="H72" s="922">
        <f>-SUMIF('1401'!$B$4:$B$576,$A72,'1401'!$V$4:$V$576)</f>
        <v>856333</v>
      </c>
      <c r="I72" s="922"/>
      <c r="J72" s="922">
        <f t="shared" si="0"/>
        <v>856333</v>
      </c>
      <c r="K72" s="515"/>
      <c r="L72" s="515"/>
      <c r="M72" s="2475"/>
      <c r="N72" s="517"/>
    </row>
    <row r="73" spans="1:16" ht="32.25" customHeight="1">
      <c r="A73" s="615">
        <v>1014</v>
      </c>
      <c r="B73" s="1502"/>
      <c r="C73" s="615"/>
      <c r="E73" s="856" t="s">
        <v>2682</v>
      </c>
      <c r="F73" s="922"/>
      <c r="G73" s="922"/>
      <c r="H73" s="922">
        <f>-SUMIF('1401'!$B$4:$B$576,$A73,'1401'!$V$4:$V$576)-289294</f>
        <v>179126</v>
      </c>
      <c r="I73" s="922"/>
      <c r="J73" s="922">
        <f t="shared" si="0"/>
        <v>179126</v>
      </c>
      <c r="K73" s="515"/>
      <c r="L73" s="515"/>
      <c r="M73" s="2475"/>
      <c r="N73" s="517"/>
    </row>
    <row r="74" spans="1:16" ht="32.25" customHeight="1">
      <c r="A74" s="615">
        <v>1010</v>
      </c>
      <c r="B74" s="1502"/>
      <c r="C74" s="615"/>
      <c r="E74" s="856" t="s">
        <v>2678</v>
      </c>
      <c r="F74" s="922">
        <f>-SUMIF('1401'!$B$4:$B$576,$A74,'1401'!$V$4:$V$576)</f>
        <v>616993</v>
      </c>
      <c r="G74" s="922"/>
      <c r="H74" s="922"/>
      <c r="I74" s="922"/>
      <c r="J74" s="922">
        <f t="shared" si="0"/>
        <v>616993</v>
      </c>
      <c r="K74" s="515"/>
      <c r="L74" s="515"/>
      <c r="M74" s="2475"/>
      <c r="N74" s="517"/>
    </row>
    <row r="75" spans="1:16" ht="32.25" customHeight="1">
      <c r="A75" s="615">
        <v>1019</v>
      </c>
      <c r="B75" s="1502"/>
      <c r="C75" s="615"/>
      <c r="E75" s="856" t="s">
        <v>2680</v>
      </c>
      <c r="F75" s="2905"/>
      <c r="G75" s="2905">
        <f>-SUMIF('1401'!$B$4:$B$576,$A75,'1401'!$V$4:$V$576)-176564</f>
        <v>934331</v>
      </c>
      <c r="H75" s="2905"/>
      <c r="I75" s="922">
        <v>0</v>
      </c>
      <c r="J75" s="2905">
        <f t="shared" si="0"/>
        <v>934331</v>
      </c>
      <c r="K75" s="515"/>
      <c r="L75" s="515"/>
      <c r="M75" s="2475"/>
      <c r="N75" s="2924"/>
      <c r="O75" s="2925"/>
      <c r="P75" s="2925"/>
    </row>
    <row r="76" spans="1:16" ht="62.25" customHeight="1">
      <c r="E76" s="856"/>
      <c r="F76" s="2300">
        <f>SUM(F64:F75)</f>
        <v>2841108</v>
      </c>
      <c r="G76" s="2300">
        <f>SUM(G64:G75)</f>
        <v>934331</v>
      </c>
      <c r="H76" s="2300">
        <f>SUM(H64:H75)</f>
        <v>1710737</v>
      </c>
      <c r="I76" s="2300">
        <f>SUM(I64:I75)</f>
        <v>465044</v>
      </c>
      <c r="J76" s="2904">
        <f>SUM(J64:J75)</f>
        <v>5951220</v>
      </c>
      <c r="K76" s="511"/>
      <c r="L76" s="511"/>
      <c r="M76" s="2832"/>
      <c r="N76" s="2905">
        <f>SUM(N64:N70)</f>
        <v>687996</v>
      </c>
      <c r="O76" s="2926"/>
      <c r="P76" s="2905">
        <f>SUM(P64:P70)</f>
        <v>0</v>
      </c>
    </row>
    <row r="77" spans="1:16" ht="59.25" customHeight="1">
      <c r="A77" s="457"/>
      <c r="B77" s="1215"/>
      <c r="C77" s="1514"/>
      <c r="D77" s="2827" t="s">
        <v>2641</v>
      </c>
      <c r="E77" s="3180" t="s">
        <v>2670</v>
      </c>
      <c r="F77" s="3180"/>
      <c r="G77" s="3180"/>
      <c r="H77" s="3180"/>
      <c r="I77" s="3180"/>
      <c r="J77" s="3180"/>
      <c r="K77" s="3180"/>
      <c r="L77" s="3180"/>
      <c r="M77" s="3180"/>
      <c r="N77" s="3180"/>
      <c r="O77" s="3180"/>
      <c r="P77" s="3180"/>
    </row>
    <row r="78" spans="1:16" ht="61.5" customHeight="1">
      <c r="A78" s="457"/>
      <c r="B78" s="1215"/>
      <c r="C78" s="1514"/>
      <c r="D78" s="3187" t="s">
        <v>2663</v>
      </c>
      <c r="E78" s="3187"/>
      <c r="F78" s="3187"/>
      <c r="G78" s="3187"/>
      <c r="H78" s="3187"/>
      <c r="I78" s="3187"/>
      <c r="J78" s="3187"/>
      <c r="K78" s="3187"/>
      <c r="L78" s="3187"/>
      <c r="M78" s="3187"/>
      <c r="N78" s="3187"/>
      <c r="O78" s="3187"/>
      <c r="P78" s="3187"/>
    </row>
    <row r="79" spans="1:16" ht="29.25" customHeight="1">
      <c r="A79" s="457"/>
      <c r="B79" s="1215"/>
      <c r="C79" s="1514"/>
      <c r="D79" s="3188" t="s">
        <v>2664</v>
      </c>
      <c r="E79" s="3188"/>
      <c r="F79" s="3188"/>
      <c r="G79" s="3188"/>
      <c r="H79" s="3188"/>
      <c r="I79" s="3188"/>
      <c r="J79" s="3188"/>
      <c r="K79" s="3188"/>
      <c r="L79" s="3188"/>
      <c r="M79" s="3188"/>
      <c r="N79" s="3188"/>
      <c r="O79" s="3188"/>
      <c r="P79" s="3188"/>
    </row>
    <row r="80" spans="1:16" ht="32.25" customHeight="1">
      <c r="C80" s="514"/>
      <c r="D80" s="516"/>
      <c r="E80" s="516"/>
      <c r="F80" s="516"/>
      <c r="G80" s="516"/>
      <c r="H80" s="516"/>
      <c r="I80" s="516"/>
      <c r="J80" s="516"/>
      <c r="K80" s="516"/>
      <c r="L80" s="516"/>
      <c r="M80" s="516"/>
      <c r="N80" s="2495"/>
      <c r="O80" s="517"/>
      <c r="P80" s="2495"/>
    </row>
    <row r="81" spans="1:23" ht="47.25" customHeight="1">
      <c r="A81" s="3172">
        <v>23</v>
      </c>
      <c r="B81" s="3172"/>
      <c r="C81" s="3172"/>
      <c r="D81" s="3172"/>
      <c r="E81" s="3172"/>
      <c r="F81" s="3172"/>
      <c r="G81" s="3172"/>
      <c r="H81" s="3172"/>
      <c r="I81" s="3172"/>
      <c r="J81" s="3172"/>
      <c r="K81" s="3172"/>
      <c r="L81" s="3172"/>
      <c r="M81" s="3172"/>
      <c r="N81" s="3172"/>
      <c r="O81" s="3172"/>
      <c r="P81" s="3172"/>
      <c r="Q81" s="450"/>
      <c r="R81" s="450"/>
      <c r="S81" s="923"/>
      <c r="T81" s="922"/>
      <c r="U81" s="923"/>
    </row>
    <row r="82" spans="1:23" s="2318" customFormat="1" ht="48.75" customHeight="1">
      <c r="A82" s="3173" t="str">
        <f>مفروضات!A1</f>
        <v>شركت خطوط لوله و مخابرات نفت ايران (سهامي خاص)</v>
      </c>
      <c r="B82" s="3173"/>
      <c r="C82" s="3173"/>
      <c r="D82" s="3173"/>
      <c r="E82" s="3173"/>
      <c r="F82" s="3173"/>
      <c r="G82" s="3173"/>
      <c r="H82" s="3173"/>
      <c r="I82" s="3173"/>
      <c r="J82" s="3173"/>
      <c r="K82" s="3173"/>
      <c r="L82" s="3173"/>
      <c r="M82" s="3173"/>
      <c r="N82" s="3173"/>
      <c r="O82" s="3173"/>
      <c r="P82" s="3173"/>
      <c r="Q82" s="2319"/>
    </row>
    <row r="83" spans="1:23" s="2318" customFormat="1" ht="48.75" customHeight="1">
      <c r="A83" s="3173" t="str">
        <f>مفروضات!A2</f>
        <v>يادداشت هاي توضيحي صورت هاي مالي</v>
      </c>
      <c r="B83" s="3173"/>
      <c r="C83" s="3173"/>
      <c r="D83" s="3173"/>
      <c r="E83" s="3173"/>
      <c r="F83" s="3173"/>
      <c r="G83" s="3173"/>
      <c r="H83" s="3173"/>
      <c r="I83" s="3173"/>
      <c r="J83" s="3173"/>
      <c r="K83" s="3173"/>
      <c r="L83" s="3173"/>
      <c r="M83" s="3173"/>
      <c r="N83" s="3173"/>
      <c r="O83" s="3173"/>
      <c r="P83" s="3173"/>
      <c r="Q83" s="2319"/>
    </row>
    <row r="84" spans="1:23" s="2318" customFormat="1" ht="56.25" customHeight="1">
      <c r="A84" s="3173" t="str">
        <f>مفروضات!A3</f>
        <v xml:space="preserve"> سال مالي منتهي به 29 اسفند 1401</v>
      </c>
      <c r="B84" s="3173"/>
      <c r="C84" s="3173"/>
      <c r="D84" s="3173"/>
      <c r="E84" s="3173"/>
      <c r="F84" s="3173"/>
      <c r="G84" s="3173"/>
      <c r="H84" s="3173"/>
      <c r="I84" s="3173"/>
      <c r="J84" s="3173"/>
      <c r="K84" s="3173"/>
      <c r="L84" s="3173"/>
      <c r="M84" s="3173"/>
      <c r="N84" s="3173"/>
      <c r="O84" s="3173"/>
      <c r="P84" s="3173"/>
      <c r="Q84" s="2319"/>
    </row>
    <row r="85" spans="1:23" s="2325" customFormat="1" ht="37.5">
      <c r="A85" s="2552"/>
      <c r="B85" s="2320"/>
      <c r="C85" s="1467"/>
      <c r="D85" s="2321" t="s">
        <v>2643</v>
      </c>
      <c r="E85" s="2321"/>
      <c r="F85" s="2321"/>
      <c r="G85" s="2322"/>
      <c r="H85" s="1507"/>
      <c r="I85" s="1507"/>
      <c r="J85" s="2323"/>
      <c r="K85" s="422"/>
      <c r="L85" s="422"/>
      <c r="M85" s="422"/>
      <c r="N85" s="3177" t="s">
        <v>1950</v>
      </c>
      <c r="O85" s="3177"/>
      <c r="P85" s="3177"/>
      <c r="Q85" s="2324"/>
      <c r="R85" s="2324"/>
      <c r="S85" s="2324"/>
      <c r="T85" s="2324"/>
      <c r="U85" s="2324"/>
      <c r="V85" s="2324"/>
      <c r="W85" s="2324"/>
    </row>
    <row r="86" spans="1:23" s="2325" customFormat="1" ht="37.5">
      <c r="A86" s="2552"/>
      <c r="B86" s="2326"/>
      <c r="C86" s="2327"/>
      <c r="D86" s="422"/>
      <c r="E86" s="422"/>
      <c r="F86" s="422"/>
      <c r="G86" s="2323"/>
      <c r="H86" s="2328"/>
      <c r="I86" s="2329"/>
      <c r="J86" s="2329"/>
      <c r="K86" s="422"/>
      <c r="L86" s="422"/>
      <c r="M86" s="422"/>
      <c r="N86" s="2330">
        <v>1401</v>
      </c>
      <c r="O86" s="2329"/>
      <c r="P86" s="2331">
        <v>1400</v>
      </c>
      <c r="Q86" s="2324"/>
      <c r="R86" s="2324"/>
      <c r="S86" s="2324"/>
      <c r="T86" s="2324"/>
      <c r="U86" s="2324"/>
      <c r="V86" s="2324"/>
      <c r="W86" s="2324"/>
    </row>
    <row r="87" spans="1:23" s="2325" customFormat="1" ht="37.5">
      <c r="A87" s="2552"/>
      <c r="B87" s="2326"/>
      <c r="C87" s="2327"/>
      <c r="D87" s="422"/>
      <c r="E87" s="422"/>
      <c r="F87" s="422"/>
      <c r="G87" s="2323"/>
      <c r="H87" s="2332"/>
      <c r="I87" s="2332"/>
      <c r="J87" s="2332"/>
      <c r="K87" s="422"/>
      <c r="L87" s="422"/>
      <c r="M87" s="422"/>
      <c r="N87" s="2333"/>
      <c r="O87" s="2333"/>
      <c r="P87" s="2333"/>
      <c r="Q87" s="2324"/>
      <c r="R87" s="2324"/>
      <c r="S87" s="2324"/>
      <c r="T87" s="2324"/>
      <c r="U87" s="2324"/>
      <c r="V87" s="2324"/>
      <c r="W87" s="2324"/>
    </row>
    <row r="88" spans="1:23" s="2325" customFormat="1" ht="37.5">
      <c r="A88" s="2552"/>
      <c r="B88" s="2326"/>
      <c r="C88" s="2327"/>
      <c r="D88" s="2409" t="s">
        <v>1210</v>
      </c>
      <c r="E88" s="761"/>
      <c r="F88" s="384"/>
      <c r="G88" s="2410"/>
      <c r="H88" s="513"/>
      <c r="I88" s="2411"/>
      <c r="J88" s="2411"/>
      <c r="K88" s="422"/>
      <c r="L88" s="422"/>
      <c r="M88" s="422"/>
      <c r="N88" s="502">
        <f>P97</f>
        <v>4447274</v>
      </c>
      <c r="O88" s="2317"/>
      <c r="P88" s="2317">
        <v>434081</v>
      </c>
      <c r="Q88" s="2324"/>
      <c r="R88" s="2324"/>
      <c r="S88" s="2324"/>
      <c r="T88" s="2324"/>
      <c r="U88" s="2324"/>
      <c r="V88" s="2324"/>
      <c r="W88" s="2324"/>
    </row>
    <row r="89" spans="1:23" s="2325" customFormat="1" ht="37.5">
      <c r="A89" s="2552"/>
      <c r="B89" s="2326"/>
      <c r="C89" s="2327"/>
      <c r="D89" s="2409" t="s">
        <v>1415</v>
      </c>
      <c r="E89" s="2409"/>
      <c r="F89" s="384"/>
      <c r="G89" s="2410"/>
      <c r="H89" s="513"/>
      <c r="I89" s="2412"/>
      <c r="J89" s="2411"/>
      <c r="K89" s="422"/>
      <c r="L89" s="422"/>
      <c r="M89" s="422"/>
      <c r="N89" s="2335">
        <v>42153000</v>
      </c>
      <c r="O89" s="2316"/>
      <c r="P89" s="2317">
        <v>28731942</v>
      </c>
      <c r="Q89" s="2324"/>
      <c r="R89" s="2324"/>
      <c r="S89" s="2324"/>
      <c r="T89" s="2324"/>
      <c r="U89" s="2324"/>
      <c r="V89" s="2324"/>
      <c r="W89" s="2324"/>
    </row>
    <row r="90" spans="1:23" s="2325" customFormat="1" ht="37.5">
      <c r="A90" s="2552"/>
      <c r="B90" s="2326"/>
      <c r="C90" s="2327"/>
      <c r="D90" s="2409" t="s">
        <v>2700</v>
      </c>
      <c r="E90" s="2409"/>
      <c r="F90" s="384"/>
      <c r="G90" s="2410"/>
      <c r="H90" s="513"/>
      <c r="I90" s="2412"/>
      <c r="J90" s="2411"/>
      <c r="K90" s="422"/>
      <c r="L90" s="422"/>
      <c r="M90" s="422"/>
      <c r="N90" s="2335">
        <v>-52546498</v>
      </c>
      <c r="O90" s="2316"/>
      <c r="P90" s="2317">
        <v>-36477900</v>
      </c>
      <c r="Q90" s="2324"/>
      <c r="R90" s="2324"/>
      <c r="S90" s="2324"/>
      <c r="T90" s="2324"/>
      <c r="U90" s="2324"/>
      <c r="V90" s="2324"/>
      <c r="W90" s="2324"/>
    </row>
    <row r="91" spans="1:23" s="2325" customFormat="1" ht="37.5">
      <c r="A91" s="2552"/>
      <c r="B91" s="2326"/>
      <c r="C91" s="2327"/>
      <c r="D91" s="2409" t="s">
        <v>1418</v>
      </c>
      <c r="E91" s="2409"/>
      <c r="F91" s="384"/>
      <c r="G91" s="2410"/>
      <c r="H91" s="513"/>
      <c r="I91" s="2411"/>
      <c r="J91" s="2411"/>
      <c r="K91" s="422"/>
      <c r="L91" s="422"/>
      <c r="M91" s="422"/>
      <c r="N91" s="502">
        <v>0</v>
      </c>
      <c r="O91" s="2317"/>
      <c r="P91" s="2317">
        <v>761362</v>
      </c>
      <c r="Q91" s="2324"/>
      <c r="R91" s="2324"/>
      <c r="S91" s="2324"/>
      <c r="T91" s="2324"/>
      <c r="U91" s="2324"/>
      <c r="V91" s="2324"/>
      <c r="W91" s="2324"/>
    </row>
    <row r="92" spans="1:23" s="2325" customFormat="1" ht="37.5">
      <c r="A92" s="2552"/>
      <c r="B92" s="2326"/>
      <c r="C92" s="2327"/>
      <c r="D92" s="2409" t="s">
        <v>1434</v>
      </c>
      <c r="E92" s="2409"/>
      <c r="F92" s="384"/>
      <c r="G92" s="2410"/>
      <c r="H92" s="513"/>
      <c r="I92" s="2411"/>
      <c r="J92" s="2411"/>
      <c r="K92" s="422"/>
      <c r="L92" s="422"/>
      <c r="M92" s="422"/>
      <c r="N92" s="502">
        <v>-761362</v>
      </c>
      <c r="O92" s="2317"/>
      <c r="P92" s="2317">
        <v>481901</v>
      </c>
      <c r="Q92" s="2324"/>
      <c r="R92" s="2324"/>
      <c r="S92" s="2324"/>
      <c r="T92" s="2324"/>
      <c r="U92" s="2324"/>
      <c r="V92" s="2324"/>
      <c r="W92" s="2324"/>
    </row>
    <row r="93" spans="1:23" s="2325" customFormat="1" ht="37.5">
      <c r="A93" s="2552"/>
      <c r="B93" s="2326"/>
      <c r="C93" s="2327"/>
      <c r="D93" s="2409" t="s">
        <v>1944</v>
      </c>
      <c r="E93" s="2409"/>
      <c r="F93" s="384"/>
      <c r="G93" s="2410"/>
      <c r="H93" s="513"/>
      <c r="I93" s="2411"/>
      <c r="J93" s="2411"/>
      <c r="K93" s="422"/>
      <c r="L93" s="422"/>
      <c r="M93" s="422"/>
      <c r="N93" s="502">
        <v>2144429</v>
      </c>
      <c r="O93" s="2317"/>
      <c r="P93" s="2317">
        <v>1710256</v>
      </c>
      <c r="Q93" s="2324"/>
      <c r="R93" s="2324"/>
      <c r="S93" s="2324"/>
      <c r="T93" s="2324"/>
      <c r="U93" s="2324"/>
      <c r="V93" s="2324"/>
      <c r="W93" s="2324"/>
    </row>
    <row r="94" spans="1:23" s="2325" customFormat="1" ht="37.5">
      <c r="A94" s="2552"/>
      <c r="B94" s="2326"/>
      <c r="C94" s="2327"/>
      <c r="D94" s="2409" t="s">
        <v>2668</v>
      </c>
      <c r="E94" s="2409"/>
      <c r="F94" s="384"/>
      <c r="G94" s="2410"/>
      <c r="H94" s="513"/>
      <c r="I94" s="2411"/>
      <c r="J94" s="2411"/>
      <c r="K94" s="422"/>
      <c r="L94" s="422"/>
      <c r="M94" s="422"/>
      <c r="N94" s="502">
        <v>4856707</v>
      </c>
      <c r="O94" s="2317"/>
      <c r="P94" s="2317">
        <v>2902859</v>
      </c>
      <c r="Q94" s="2324"/>
      <c r="R94" s="2324"/>
      <c r="S94" s="2324"/>
      <c r="T94" s="2324"/>
      <c r="U94" s="2324"/>
      <c r="V94" s="2324"/>
      <c r="W94" s="2324"/>
    </row>
    <row r="95" spans="1:23" s="2325" customFormat="1" ht="37.5">
      <c r="A95" s="2552"/>
      <c r="B95" s="2326"/>
      <c r="C95" s="2327"/>
      <c r="D95" s="2409" t="s">
        <v>2669</v>
      </c>
      <c r="E95" s="2409"/>
      <c r="F95" s="384"/>
      <c r="G95" s="2410"/>
      <c r="H95" s="513"/>
      <c r="I95" s="2411"/>
      <c r="J95" s="2411"/>
      <c r="K95" s="422"/>
      <c r="L95" s="422"/>
      <c r="M95" s="422"/>
      <c r="N95" s="502">
        <v>1746009</v>
      </c>
      <c r="O95" s="2317"/>
      <c r="P95" s="2317">
        <v>1323334</v>
      </c>
      <c r="Q95" s="2324"/>
      <c r="R95" s="2324"/>
      <c r="S95" s="2324"/>
      <c r="T95" s="2324"/>
      <c r="U95" s="2324"/>
      <c r="V95" s="2324"/>
      <c r="W95" s="2324"/>
    </row>
    <row r="96" spans="1:23" s="2325" customFormat="1" ht="37.5">
      <c r="A96" s="2552"/>
      <c r="B96" s="2326"/>
      <c r="C96" s="2327"/>
      <c r="D96" s="2409" t="s">
        <v>2642</v>
      </c>
      <c r="E96" s="2409"/>
      <c r="F96" s="384"/>
      <c r="G96" s="2410"/>
      <c r="H96" s="513"/>
      <c r="I96" s="2411"/>
      <c r="J96" s="2411"/>
      <c r="K96" s="422"/>
      <c r="L96" s="422"/>
      <c r="M96" s="422"/>
      <c r="N96" s="502">
        <f>N97-N88-N89-N90-N91-N92-N93-N94-N95</f>
        <v>6064336</v>
      </c>
      <c r="O96" s="2317"/>
      <c r="P96" s="2317">
        <v>4579439</v>
      </c>
      <c r="Q96" s="2324"/>
      <c r="R96" s="2324"/>
      <c r="S96" s="2324"/>
      <c r="T96" s="2324"/>
      <c r="U96" s="2324"/>
      <c r="V96" s="2324"/>
      <c r="W96" s="2324"/>
    </row>
    <row r="97" spans="1:23" s="2325" customFormat="1" ht="38.25" thickBot="1">
      <c r="A97" s="2551">
        <v>10040</v>
      </c>
      <c r="B97" s="2326"/>
      <c r="C97" s="2327"/>
      <c r="D97" s="422"/>
      <c r="E97" s="2334"/>
      <c r="F97" s="2334"/>
      <c r="G97" s="422"/>
      <c r="H97" s="2336"/>
      <c r="I97" s="2317"/>
      <c r="J97" s="2336"/>
      <c r="K97" s="422"/>
      <c r="L97" s="422"/>
      <c r="M97" s="422"/>
      <c r="N97" s="2337">
        <f>-SUMIF('1401'!$B$6:$B$576,$A97,'1401'!$V$6:$V$576)</f>
        <v>8103895</v>
      </c>
      <c r="O97" s="2317"/>
      <c r="P97" s="2337">
        <f>SUM(P88:P96)</f>
        <v>4447274</v>
      </c>
      <c r="Q97" s="2324"/>
      <c r="R97" s="2324"/>
      <c r="S97" s="2324"/>
      <c r="T97" s="2324"/>
      <c r="U97" s="2324"/>
      <c r="V97" s="2324"/>
      <c r="W97" s="2324"/>
    </row>
    <row r="98" spans="1:23" s="2318" customFormat="1" ht="40.5" thickTop="1">
      <c r="A98" s="2553"/>
      <c r="B98" s="2338"/>
      <c r="C98" s="2338"/>
      <c r="D98" s="2338"/>
      <c r="E98" s="2338"/>
      <c r="F98" s="2338"/>
      <c r="G98" s="2338"/>
      <c r="H98" s="2338"/>
      <c r="I98" s="2338"/>
      <c r="J98" s="2338"/>
      <c r="K98" s="2338"/>
      <c r="L98" s="2338"/>
      <c r="M98" s="2338"/>
      <c r="N98" s="2338"/>
      <c r="O98" s="2338"/>
      <c r="P98" s="2338"/>
      <c r="Q98" s="2319"/>
    </row>
    <row r="99" spans="1:23" s="2325" customFormat="1" ht="79.5" customHeight="1">
      <c r="A99" s="2554"/>
      <c r="B99" s="2339"/>
      <c r="C99" s="2340"/>
      <c r="D99" s="3145" t="s">
        <v>2644</v>
      </c>
      <c r="E99" s="3145"/>
      <c r="F99" s="3145"/>
      <c r="G99" s="3145"/>
      <c r="H99" s="3145"/>
      <c r="I99" s="3145"/>
      <c r="J99" s="3145"/>
      <c r="K99" s="3145"/>
      <c r="L99" s="3145"/>
      <c r="M99" s="3145"/>
      <c r="N99" s="3145"/>
      <c r="O99" s="3145"/>
      <c r="P99" s="3145"/>
      <c r="Q99" s="2341"/>
      <c r="R99" s="2341"/>
      <c r="S99" s="2341"/>
      <c r="T99" s="2341"/>
      <c r="U99" s="2341"/>
      <c r="V99" s="2341"/>
      <c r="W99" s="2341"/>
    </row>
    <row r="100" spans="1:23" s="2318" customFormat="1" ht="37.5">
      <c r="A100" s="1980"/>
      <c r="B100" s="2342"/>
      <c r="C100" s="2343"/>
      <c r="R100" s="2318">
        <v>323</v>
      </c>
    </row>
    <row r="101" spans="1:23" s="2318" customFormat="1" ht="37.5" hidden="1" customHeight="1">
      <c r="A101" s="1980"/>
      <c r="B101" s="2342"/>
      <c r="C101" s="1980"/>
      <c r="D101" s="3184"/>
      <c r="E101" s="3184"/>
      <c r="F101" s="3184"/>
      <c r="G101" s="3184"/>
      <c r="H101" s="3184"/>
      <c r="I101" s="3184"/>
      <c r="J101" s="3184"/>
      <c r="K101" s="3184"/>
      <c r="L101" s="3184"/>
      <c r="M101" s="3184"/>
      <c r="N101" s="3184"/>
      <c r="O101" s="3184"/>
      <c r="P101" s="3184"/>
    </row>
    <row r="102" spans="1:23" s="2318" customFormat="1" ht="37.5">
      <c r="A102" s="1980"/>
      <c r="B102" s="2342"/>
      <c r="C102" s="1980"/>
      <c r="D102" s="3184"/>
      <c r="E102" s="3184"/>
      <c r="F102" s="3184"/>
      <c r="G102" s="3184"/>
      <c r="H102" s="3184"/>
      <c r="I102" s="3184"/>
      <c r="J102" s="3184"/>
      <c r="K102" s="3184"/>
      <c r="L102" s="3184"/>
      <c r="M102" s="3184"/>
      <c r="N102" s="3184"/>
      <c r="O102" s="3184"/>
      <c r="P102" s="3184"/>
    </row>
    <row r="103" spans="1:23" s="2318" customFormat="1" ht="37.5">
      <c r="A103" s="1980"/>
      <c r="B103" s="2342"/>
      <c r="C103" s="1469"/>
      <c r="D103" s="2385" t="s">
        <v>2488</v>
      </c>
      <c r="E103" s="2386" t="s">
        <v>2168</v>
      </c>
      <c r="H103" s="2385"/>
      <c r="I103" s="2387"/>
      <c r="J103" s="2387"/>
      <c r="K103" s="2386"/>
      <c r="L103" s="2386"/>
      <c r="M103" s="2386"/>
      <c r="N103" s="2386"/>
      <c r="O103" s="2386"/>
      <c r="P103" s="2386"/>
    </row>
    <row r="104" spans="1:23" s="2318" customFormat="1" ht="37.5">
      <c r="A104" s="1980"/>
      <c r="B104" s="2342"/>
      <c r="C104" s="1469"/>
      <c r="D104" s="2385"/>
      <c r="E104" s="2386"/>
      <c r="H104" s="2385"/>
      <c r="I104" s="2387"/>
      <c r="J104" s="2387"/>
      <c r="K104" s="2386"/>
      <c r="L104" s="2386"/>
      <c r="M104" s="2386"/>
      <c r="N104" s="2348"/>
      <c r="O104" s="2348"/>
      <c r="P104" s="2348" t="s">
        <v>1950</v>
      </c>
    </row>
    <row r="105" spans="1:23" s="2318" customFormat="1" ht="37.5">
      <c r="A105" s="1980"/>
      <c r="B105" s="2342"/>
      <c r="C105" s="1469"/>
      <c r="D105" s="1469"/>
      <c r="G105" s="2388"/>
      <c r="H105" s="3178">
        <v>1401</v>
      </c>
      <c r="I105" s="3179"/>
      <c r="J105" s="3179"/>
      <c r="K105" s="3179"/>
      <c r="L105" s="3179"/>
      <c r="M105" s="3179"/>
      <c r="N105" s="3179"/>
      <c r="O105" s="2348"/>
      <c r="P105" s="2355">
        <v>1400</v>
      </c>
    </row>
    <row r="106" spans="1:23" s="2318" customFormat="1" ht="37.5">
      <c r="A106" s="1980"/>
      <c r="B106" s="2342"/>
      <c r="C106" s="1469"/>
      <c r="D106" s="1469"/>
      <c r="E106" s="2387"/>
      <c r="F106" s="2387"/>
      <c r="G106" s="2386"/>
      <c r="H106" s="2478"/>
      <c r="I106" s="2390"/>
      <c r="J106" s="2389" t="s">
        <v>2232</v>
      </c>
      <c r="K106" s="2391"/>
      <c r="L106" s="2390"/>
      <c r="M106" s="2389" t="s">
        <v>2233</v>
      </c>
      <c r="N106" s="2392" t="s">
        <v>2235</v>
      </c>
      <c r="O106" s="2386"/>
      <c r="P106" s="2392" t="s">
        <v>2235</v>
      </c>
    </row>
    <row r="107" spans="1:23" s="2318" customFormat="1" ht="37.5">
      <c r="A107" s="1980"/>
      <c r="B107" s="2342"/>
      <c r="C107" s="1469"/>
      <c r="D107" s="1469"/>
      <c r="E107" s="2393" t="s">
        <v>1785</v>
      </c>
      <c r="F107" s="2393"/>
      <c r="G107" s="2394"/>
      <c r="H107" s="2395"/>
      <c r="I107" s="2395"/>
      <c r="J107" s="2395">
        <v>1077978</v>
      </c>
      <c r="K107" s="2394"/>
      <c r="M107" s="2395">
        <v>0</v>
      </c>
      <c r="N107" s="2395">
        <f>P110</f>
        <v>1077978</v>
      </c>
      <c r="O107" s="2394"/>
      <c r="P107" s="2395">
        <v>1042604</v>
      </c>
    </row>
    <row r="108" spans="1:23" s="2318" customFormat="1" ht="37.5">
      <c r="A108" s="1980"/>
      <c r="B108" s="2342"/>
      <c r="C108" s="1469"/>
      <c r="D108" s="1469"/>
      <c r="E108" s="2393" t="s">
        <v>2234</v>
      </c>
      <c r="F108" s="2393"/>
      <c r="G108" s="2394"/>
      <c r="H108" s="2395"/>
      <c r="I108" s="2395"/>
      <c r="J108" s="2395">
        <v>-4848887</v>
      </c>
      <c r="K108" s="2394"/>
      <c r="M108" s="2395"/>
      <c r="N108" s="2395">
        <f>J108+H108</f>
        <v>-4848887</v>
      </c>
      <c r="O108" s="2394"/>
      <c r="P108" s="2395">
        <v>-2094980</v>
      </c>
    </row>
    <row r="109" spans="1:23" s="2318" customFormat="1" ht="37.5">
      <c r="A109" s="1980"/>
      <c r="B109" s="2342"/>
      <c r="C109" s="1469"/>
      <c r="D109" s="1469"/>
      <c r="E109" s="2393" t="s">
        <v>1162</v>
      </c>
      <c r="F109" s="2393"/>
      <c r="G109" s="2394"/>
      <c r="H109" s="2395"/>
      <c r="I109" s="2390"/>
      <c r="J109" s="2396">
        <v>5031535</v>
      </c>
      <c r="K109" s="2397"/>
      <c r="L109" s="2390"/>
      <c r="M109" s="2396"/>
      <c r="N109" s="2396">
        <f>H109+J109</f>
        <v>5031535</v>
      </c>
      <c r="O109" s="2394"/>
      <c r="P109" s="2395">
        <v>2130354</v>
      </c>
    </row>
    <row r="110" spans="1:23" s="2318" customFormat="1" ht="37.5">
      <c r="A110" s="1980"/>
      <c r="B110" s="2342"/>
      <c r="C110" s="1469"/>
      <c r="D110" s="1469"/>
      <c r="E110" s="2393"/>
      <c r="F110" s="2393"/>
      <c r="G110" s="2394"/>
      <c r="H110" s="2395"/>
      <c r="J110" s="2395">
        <f>SUM(J107:J109)</f>
        <v>1260626</v>
      </c>
      <c r="K110" s="2394"/>
      <c r="M110" s="2395">
        <f>SUM(M107:M109)</f>
        <v>0</v>
      </c>
      <c r="N110" s="2398">
        <f>J110+H110</f>
        <v>1260626</v>
      </c>
      <c r="O110" s="2394"/>
      <c r="P110" s="2399">
        <f>SUM(P107:P109)</f>
        <v>1077978</v>
      </c>
    </row>
    <row r="111" spans="1:23" s="2318" customFormat="1" ht="37.5">
      <c r="A111" s="1980">
        <v>1004</v>
      </c>
      <c r="B111" s="2342"/>
      <c r="C111" s="1980">
        <v>1004</v>
      </c>
      <c r="D111" s="1469"/>
      <c r="E111" s="2393" t="s">
        <v>2006</v>
      </c>
      <c r="F111" s="2393"/>
      <c r="G111" s="2394"/>
      <c r="H111" s="2479"/>
      <c r="I111" s="2390"/>
      <c r="J111" s="2400">
        <v>-847135</v>
      </c>
      <c r="K111" s="2397"/>
      <c r="L111" s="2390"/>
      <c r="M111" s="2400">
        <v>0</v>
      </c>
      <c r="N111" s="2401">
        <f>SUMIF('1401'!$B$4:$B$576,$A111,'1401'!$V$4:$V$576)</f>
        <v>-847135</v>
      </c>
      <c r="O111" s="2394"/>
      <c r="P111" s="2398">
        <v>-751216</v>
      </c>
    </row>
    <row r="112" spans="1:23" s="2318" customFormat="1" ht="38.25" thickBot="1">
      <c r="A112" s="1980"/>
      <c r="B112" s="2342"/>
      <c r="C112" s="1980">
        <v>1020</v>
      </c>
      <c r="D112" s="1469"/>
      <c r="E112" s="2393"/>
      <c r="F112" s="2393"/>
      <c r="G112" s="2394"/>
      <c r="H112" s="2479"/>
      <c r="I112" s="2403"/>
      <c r="J112" s="2402">
        <f>SUM(J110:J111)</f>
        <v>413491</v>
      </c>
      <c r="K112" s="2404"/>
      <c r="L112" s="2403"/>
      <c r="M112" s="2402">
        <f>SUM(M110:M111)</f>
        <v>0</v>
      </c>
      <c r="N112" s="2405">
        <f>N110+N111</f>
        <v>413491</v>
      </c>
      <c r="O112" s="2394"/>
      <c r="P112" s="2405">
        <f>SUM(P110:P111)</f>
        <v>326762</v>
      </c>
    </row>
    <row r="113" spans="1:21" s="2318" customFormat="1" ht="38.25" thickTop="1">
      <c r="A113" s="1980"/>
      <c r="B113" s="2342"/>
      <c r="C113" s="1980"/>
      <c r="D113" s="1469"/>
      <c r="E113" s="2393"/>
      <c r="F113" s="2393"/>
      <c r="G113" s="2394"/>
      <c r="K113" s="2394"/>
      <c r="M113" s="2394"/>
      <c r="N113" s="2398"/>
      <c r="O113" s="2394"/>
      <c r="P113" s="2398"/>
    </row>
    <row r="114" spans="1:21" s="2318" customFormat="1" ht="37.5">
      <c r="A114" s="1980"/>
      <c r="B114" s="2342"/>
      <c r="C114" s="1980"/>
      <c r="D114" s="1469"/>
      <c r="E114" s="2393"/>
      <c r="F114" s="2393"/>
      <c r="G114" s="2394"/>
      <c r="K114" s="2394"/>
      <c r="M114" s="2394"/>
      <c r="N114" s="2398"/>
      <c r="O114" s="2394"/>
      <c r="P114" s="2398"/>
    </row>
    <row r="115" spans="1:21" s="2318" customFormat="1" ht="37.5">
      <c r="A115" s="1980"/>
      <c r="B115" s="2342"/>
      <c r="C115" s="1980"/>
      <c r="D115" s="1469"/>
      <c r="E115" s="2393"/>
      <c r="F115" s="2393"/>
      <c r="G115" s="2394"/>
      <c r="K115" s="2394"/>
      <c r="M115" s="2394"/>
      <c r="N115" s="2398"/>
      <c r="O115" s="2394"/>
      <c r="P115" s="2398"/>
    </row>
    <row r="116" spans="1:21" s="2318" customFormat="1" ht="117" customHeight="1">
      <c r="A116" s="1980"/>
      <c r="B116" s="2342"/>
      <c r="C116" s="1980"/>
      <c r="D116" s="2406" t="s">
        <v>2489</v>
      </c>
      <c r="E116" s="3174" t="s">
        <v>2505</v>
      </c>
      <c r="F116" s="3174"/>
      <c r="G116" s="3174"/>
      <c r="H116" s="3174"/>
      <c r="I116" s="3174"/>
      <c r="J116" s="3174"/>
      <c r="K116" s="3174"/>
      <c r="L116" s="3174"/>
      <c r="M116" s="3174"/>
      <c r="N116" s="3174"/>
      <c r="O116" s="3174"/>
      <c r="P116" s="3174"/>
      <c r="Q116" s="3174"/>
      <c r="R116" s="3174"/>
      <c r="S116" s="3174"/>
      <c r="T116" s="3174"/>
      <c r="U116" s="3174"/>
    </row>
    <row r="117" spans="1:21" s="2318" customFormat="1" ht="39.75">
      <c r="A117" s="2555"/>
      <c r="B117" s="2344"/>
      <c r="C117" s="2345"/>
      <c r="D117" s="2346"/>
      <c r="E117" s="2345"/>
      <c r="F117" s="2345"/>
      <c r="G117" s="2345"/>
      <c r="H117" s="2345"/>
      <c r="I117" s="2345"/>
      <c r="J117" s="2345"/>
      <c r="K117" s="2345"/>
      <c r="L117" s="2345"/>
      <c r="M117" s="2345"/>
      <c r="N117" s="2345"/>
      <c r="O117" s="2345"/>
      <c r="P117" s="2345"/>
      <c r="Q117" s="2345"/>
    </row>
    <row r="118" spans="1:21" s="2318" customFormat="1" ht="37.5">
      <c r="A118" s="2552"/>
      <c r="B118" s="2315"/>
      <c r="D118" s="3176" t="s">
        <v>2631</v>
      </c>
      <c r="E118" s="3176"/>
      <c r="F118" s="3176"/>
      <c r="G118" s="3176"/>
      <c r="H118" s="3176"/>
      <c r="I118" s="3176"/>
      <c r="J118" s="3176"/>
      <c r="K118" s="3176"/>
      <c r="L118" s="3176"/>
      <c r="M118" s="3176"/>
      <c r="N118" s="3176"/>
      <c r="O118" s="2347"/>
      <c r="P118" s="2348" t="s">
        <v>1950</v>
      </c>
      <c r="Q118" s="2349"/>
      <c r="R118" s="2349"/>
      <c r="S118" s="2349"/>
      <c r="T118" s="2349"/>
      <c r="U118" s="2350"/>
    </row>
    <row r="119" spans="1:21" s="2318" customFormat="1" ht="37.5">
      <c r="A119" s="2556"/>
      <c r="B119" s="2351"/>
      <c r="C119" s="2352"/>
      <c r="D119" s="2352"/>
      <c r="E119" s="2352"/>
      <c r="F119" s="2354"/>
      <c r="G119" s="2353"/>
      <c r="H119" s="2353"/>
      <c r="J119" s="2353">
        <v>1401</v>
      </c>
      <c r="K119" s="2353"/>
      <c r="L119" s="2353"/>
      <c r="M119" s="2353"/>
      <c r="N119" s="2353"/>
      <c r="O119" s="2354"/>
      <c r="P119" s="2355">
        <v>1400</v>
      </c>
    </row>
    <row r="120" spans="1:21" s="2318" customFormat="1" ht="64.5" customHeight="1">
      <c r="A120" s="2557"/>
      <c r="B120" s="2356"/>
      <c r="F120" s="2361"/>
      <c r="G120" s="2358"/>
      <c r="H120" s="2357" t="s">
        <v>1416</v>
      </c>
      <c r="I120" s="2358"/>
      <c r="J120" s="2357" t="s">
        <v>1274</v>
      </c>
      <c r="K120" s="2358"/>
      <c r="L120" s="2360" t="s">
        <v>1290</v>
      </c>
      <c r="M120" s="2359" t="s">
        <v>1289</v>
      </c>
      <c r="N120" s="2357" t="s">
        <v>1291</v>
      </c>
      <c r="O120" s="2361"/>
      <c r="P120" s="2360" t="s">
        <v>1784</v>
      </c>
    </row>
    <row r="121" spans="1:21" s="2318" customFormat="1" ht="37.5" hidden="1">
      <c r="A121" s="2557"/>
      <c r="B121" s="2356"/>
      <c r="C121" s="2362"/>
      <c r="D121" s="2363" t="s">
        <v>1450</v>
      </c>
      <c r="E121" s="2363"/>
      <c r="F121" s="2364"/>
      <c r="G121" s="2365"/>
      <c r="H121" s="2364"/>
      <c r="I121" s="2364"/>
      <c r="J121" s="2364">
        <v>0</v>
      </c>
      <c r="K121" s="2364"/>
      <c r="L121" s="2364"/>
      <c r="M121" s="2364"/>
      <c r="N121" s="2364">
        <f>H121+J121+M121</f>
        <v>0</v>
      </c>
      <c r="O121" s="2364"/>
      <c r="P121" s="2364">
        <v>0</v>
      </c>
      <c r="R121" s="2318" t="s">
        <v>674</v>
      </c>
    </row>
    <row r="122" spans="1:21" s="2318" customFormat="1" ht="37.5" hidden="1">
      <c r="A122" s="2557"/>
      <c r="B122" s="2356"/>
      <c r="C122" s="2362"/>
      <c r="D122" s="2363" t="s">
        <v>1451</v>
      </c>
      <c r="E122" s="2363"/>
      <c r="F122" s="2364"/>
      <c r="G122" s="2365"/>
      <c r="H122" s="2364"/>
      <c r="I122" s="2364"/>
      <c r="J122" s="2364">
        <v>0</v>
      </c>
      <c r="K122" s="2364"/>
      <c r="L122" s="2364"/>
      <c r="M122" s="2364"/>
      <c r="N122" s="2364">
        <f t="shared" ref="N122:N128" si="1">H122+J122+M122</f>
        <v>0</v>
      </c>
      <c r="O122" s="2364"/>
      <c r="P122" s="2364">
        <v>0</v>
      </c>
      <c r="R122" s="2318">
        <v>3741</v>
      </c>
    </row>
    <row r="123" spans="1:21" s="2318" customFormat="1" ht="37.5" hidden="1">
      <c r="A123" s="2557"/>
      <c r="B123" s="2356"/>
      <c r="C123" s="2362"/>
      <c r="D123" s="2363" t="s">
        <v>1452</v>
      </c>
      <c r="E123" s="2363"/>
      <c r="F123" s="2366"/>
      <c r="G123" s="2365"/>
      <c r="H123" s="2366"/>
      <c r="I123" s="2364"/>
      <c r="J123" s="2364"/>
      <c r="K123" s="2364"/>
      <c r="L123" s="2364"/>
      <c r="M123" s="2364"/>
      <c r="N123" s="2364">
        <f t="shared" si="1"/>
        <v>0</v>
      </c>
      <c r="O123" s="2364"/>
      <c r="P123" s="2364">
        <v>0</v>
      </c>
      <c r="R123" s="2318">
        <v>40</v>
      </c>
    </row>
    <row r="124" spans="1:21" s="2318" customFormat="1" ht="37.5">
      <c r="A124" s="2557"/>
      <c r="B124" s="2356"/>
      <c r="C124" s="2362"/>
      <c r="D124" s="2363" t="s">
        <v>2630</v>
      </c>
      <c r="E124" s="2363"/>
      <c r="F124" s="2364"/>
      <c r="G124" s="2365"/>
      <c r="H124" s="2364">
        <v>0</v>
      </c>
      <c r="I124" s="2364"/>
      <c r="J124" s="2364">
        <v>1239811</v>
      </c>
      <c r="K124" s="2364"/>
      <c r="L124" s="2364"/>
      <c r="M124" s="2364">
        <v>0</v>
      </c>
      <c r="N124" s="2364">
        <f t="shared" ref="N124" si="2">H124+J124+M124</f>
        <v>1239811</v>
      </c>
      <c r="O124" s="2364"/>
      <c r="P124" s="2364">
        <v>0</v>
      </c>
      <c r="R124" s="2318">
        <v>506</v>
      </c>
    </row>
    <row r="125" spans="1:21" s="2318" customFormat="1" ht="37.5">
      <c r="A125" s="2557"/>
      <c r="B125" s="2356"/>
      <c r="C125" s="2362"/>
      <c r="D125" s="2318" t="s">
        <v>2645</v>
      </c>
      <c r="E125" s="2363"/>
      <c r="F125" s="2366"/>
      <c r="G125" s="2365"/>
      <c r="H125" s="2366">
        <v>429628</v>
      </c>
      <c r="I125" s="2364"/>
      <c r="J125" s="2364">
        <v>381609</v>
      </c>
      <c r="K125" s="2364"/>
      <c r="L125" s="2364"/>
      <c r="M125" s="2364">
        <v>-429628</v>
      </c>
      <c r="N125" s="2364">
        <f>M125+J125+H125</f>
        <v>381609</v>
      </c>
      <c r="O125" s="2364"/>
      <c r="P125" s="2364">
        <v>429628</v>
      </c>
    </row>
    <row r="126" spans="1:21" s="2318" customFormat="1" ht="37.5">
      <c r="A126" s="2557"/>
      <c r="B126" s="2356"/>
      <c r="C126" s="2362"/>
      <c r="D126" s="2367" t="s">
        <v>2507</v>
      </c>
      <c r="E126" s="2367"/>
      <c r="F126" s="2364"/>
      <c r="G126" s="2365"/>
      <c r="H126" s="2364">
        <v>0</v>
      </c>
      <c r="I126" s="2364"/>
      <c r="J126" s="2364">
        <v>69756</v>
      </c>
      <c r="K126" s="2364"/>
      <c r="L126" s="2364"/>
      <c r="M126" s="2364"/>
      <c r="N126" s="2364">
        <f t="shared" si="1"/>
        <v>69756</v>
      </c>
      <c r="O126" s="2364"/>
      <c r="P126" s="2364">
        <v>0</v>
      </c>
    </row>
    <row r="127" spans="1:21" s="2318" customFormat="1" ht="37.5">
      <c r="A127" s="2557"/>
      <c r="B127" s="2356"/>
      <c r="C127" s="2362"/>
      <c r="D127" s="2367" t="s">
        <v>2240</v>
      </c>
      <c r="E127" s="2367"/>
      <c r="F127" s="2364"/>
      <c r="G127" s="2365"/>
      <c r="H127" s="2364">
        <v>24850</v>
      </c>
      <c r="I127" s="2364"/>
      <c r="J127" s="2364"/>
      <c r="K127" s="2364"/>
      <c r="L127" s="2364"/>
      <c r="M127" s="2364">
        <v>-24850</v>
      </c>
      <c r="N127" s="2364"/>
      <c r="O127" s="2364"/>
      <c r="P127" s="2364">
        <v>24850</v>
      </c>
    </row>
    <row r="128" spans="1:21" s="2318" customFormat="1" ht="37.5">
      <c r="A128" s="2557"/>
      <c r="B128" s="2356"/>
      <c r="C128" s="2362"/>
      <c r="D128" s="2363" t="s">
        <v>673</v>
      </c>
      <c r="E128" s="2363"/>
      <c r="F128" s="2364"/>
      <c r="G128" s="2365"/>
      <c r="H128" s="2364">
        <v>520</v>
      </c>
      <c r="I128" s="2364"/>
      <c r="J128" s="2364"/>
      <c r="K128" s="2364"/>
      <c r="L128" s="2364"/>
      <c r="M128" s="2364">
        <v>-520</v>
      </c>
      <c r="N128" s="2364">
        <f t="shared" si="1"/>
        <v>0</v>
      </c>
      <c r="O128" s="2364"/>
      <c r="P128" s="2364">
        <v>520</v>
      </c>
      <c r="R128" s="2318">
        <v>2160</v>
      </c>
    </row>
    <row r="129" spans="1:18" s="2318" customFormat="1" ht="38.25" thickBot="1">
      <c r="A129" s="2557">
        <v>1012</v>
      </c>
      <c r="B129" s="2356"/>
      <c r="F129" s="2369"/>
      <c r="G129" s="2369"/>
      <c r="H129" s="2368">
        <f>SUM(H121:H128)</f>
        <v>454998</v>
      </c>
      <c r="I129" s="2369"/>
      <c r="J129" s="2368">
        <f>SUM(J121:J128)</f>
        <v>1691176</v>
      </c>
      <c r="K129" s="2369"/>
      <c r="L129" s="2368">
        <f>SUM(L121:L128)</f>
        <v>0</v>
      </c>
      <c r="M129" s="2368">
        <f>SUM(M121:M128)</f>
        <v>-454998</v>
      </c>
      <c r="N129" s="2368">
        <f>-SUMIF('1401'!$B$6:$B$576,$A129,'1401'!$V$6:$V$576)</f>
        <v>1691176</v>
      </c>
      <c r="O129" s="2369"/>
      <c r="P129" s="2368">
        <f>SUM(P121:P128)</f>
        <v>454998</v>
      </c>
      <c r="R129" s="2318">
        <v>104</v>
      </c>
    </row>
    <row r="130" spans="1:18" s="2318" customFormat="1" ht="38.25" hidden="1" thickTop="1">
      <c r="A130" s="2557"/>
      <c r="B130" s="2356"/>
      <c r="C130" s="2316"/>
      <c r="F130" s="2370"/>
      <c r="G130" s="2370"/>
      <c r="H130" s="2370"/>
      <c r="I130" s="2370"/>
      <c r="J130" s="2370"/>
      <c r="K130" s="2370"/>
      <c r="L130" s="2370"/>
      <c r="M130" s="2370"/>
      <c r="N130" s="2370"/>
      <c r="O130" s="2370"/>
      <c r="P130" s="2370"/>
      <c r="R130" s="2318">
        <v>5582</v>
      </c>
    </row>
    <row r="131" spans="1:18" s="2318" customFormat="1" ht="38.25" hidden="1" thickTop="1">
      <c r="A131" s="1980"/>
      <c r="B131" s="2342"/>
      <c r="C131" s="1980"/>
      <c r="D131" s="3175"/>
      <c r="E131" s="3175"/>
      <c r="F131" s="843"/>
      <c r="G131" s="843"/>
      <c r="H131" s="843"/>
      <c r="I131" s="843"/>
      <c r="J131" s="843"/>
      <c r="K131" s="843"/>
      <c r="M131" s="843"/>
      <c r="N131" s="2371"/>
      <c r="O131" s="2372"/>
      <c r="P131" s="2355"/>
      <c r="R131" s="2318">
        <v>323</v>
      </c>
    </row>
    <row r="132" spans="1:18" s="2318" customFormat="1" ht="38.25" hidden="1" thickTop="1">
      <c r="A132" s="1980"/>
      <c r="B132" s="2342"/>
      <c r="D132" s="1469"/>
      <c r="N132" s="2373"/>
      <c r="O132" s="2372"/>
      <c r="P132" s="2373"/>
      <c r="R132" s="2318">
        <v>254</v>
      </c>
    </row>
    <row r="133" spans="1:18" s="2318" customFormat="1" ht="38.25" hidden="1" thickTop="1">
      <c r="A133" s="2558"/>
      <c r="B133" s="2374"/>
      <c r="D133" s="2375"/>
      <c r="E133" s="2376" t="s">
        <v>344</v>
      </c>
      <c r="F133" s="2377"/>
      <c r="G133" s="2375"/>
      <c r="H133" s="2375"/>
      <c r="I133" s="2375"/>
      <c r="J133" s="2375"/>
      <c r="K133" s="2375"/>
      <c r="L133" s="2375"/>
      <c r="M133" s="2375"/>
      <c r="N133" s="2378"/>
      <c r="O133" s="2379"/>
      <c r="P133" s="2378"/>
      <c r="R133" s="2318">
        <v>150</v>
      </c>
    </row>
    <row r="134" spans="1:18" s="2318" customFormat="1" ht="38.25" hidden="1" thickTop="1">
      <c r="A134" s="1980"/>
      <c r="B134" s="2342"/>
      <c r="D134" s="2375"/>
      <c r="E134" s="2376" t="s">
        <v>1676</v>
      </c>
      <c r="F134" s="2377"/>
      <c r="G134" s="2375"/>
      <c r="H134" s="2375"/>
      <c r="I134" s="2375"/>
      <c r="J134" s="2375"/>
      <c r="K134" s="2375"/>
      <c r="L134" s="2375"/>
      <c r="M134" s="2375"/>
      <c r="N134" s="2378"/>
      <c r="O134" s="2379"/>
      <c r="P134" s="2378"/>
      <c r="R134" s="2318">
        <v>282</v>
      </c>
    </row>
    <row r="135" spans="1:18" s="2318" customFormat="1" ht="38.25" hidden="1" thickTop="1">
      <c r="A135" s="1980"/>
      <c r="B135" s="2342"/>
      <c r="D135" s="2375"/>
      <c r="E135" s="2376" t="s">
        <v>156</v>
      </c>
      <c r="F135" s="2377"/>
      <c r="G135" s="2375"/>
      <c r="H135" s="2375"/>
      <c r="I135" s="2375"/>
      <c r="J135" s="2375"/>
      <c r="K135" s="2375"/>
      <c r="L135" s="2375"/>
      <c r="M135" s="2375"/>
      <c r="N135" s="2378"/>
      <c r="O135" s="2379"/>
      <c r="P135" s="2378"/>
      <c r="R135" s="2318">
        <f>SUM(R122:R134)</f>
        <v>13142</v>
      </c>
    </row>
    <row r="136" spans="1:18" s="2318" customFormat="1" ht="38.25" hidden="1" thickTop="1">
      <c r="A136" s="1980"/>
      <c r="B136" s="2342"/>
      <c r="D136" s="2375"/>
      <c r="E136" s="2376" t="s">
        <v>1675</v>
      </c>
      <c r="F136" s="2377"/>
      <c r="G136" s="2375"/>
      <c r="H136" s="2375"/>
      <c r="I136" s="2375"/>
      <c r="J136" s="2375"/>
      <c r="K136" s="2375"/>
      <c r="L136" s="2375"/>
      <c r="M136" s="2375"/>
      <c r="N136" s="2378"/>
      <c r="O136" s="2379"/>
      <c r="P136" s="2378"/>
    </row>
    <row r="137" spans="1:18" s="2318" customFormat="1" ht="38.25" hidden="1" thickTop="1">
      <c r="A137" s="1980"/>
      <c r="B137" s="2342"/>
      <c r="D137" s="2375"/>
      <c r="E137" s="2376" t="s">
        <v>2010</v>
      </c>
      <c r="F137" s="2377"/>
      <c r="G137" s="2375"/>
      <c r="H137" s="2375"/>
      <c r="I137" s="2375"/>
      <c r="J137" s="2375"/>
      <c r="K137" s="2375"/>
      <c r="L137" s="2375"/>
      <c r="M137" s="2375"/>
      <c r="N137" s="2378"/>
      <c r="O137" s="2379"/>
      <c r="P137" s="2378"/>
    </row>
    <row r="138" spans="1:18" s="2318" customFormat="1" ht="38.25" hidden="1" thickTop="1">
      <c r="A138" s="1980"/>
      <c r="B138" s="2342"/>
      <c r="D138" s="2375"/>
      <c r="E138" s="2376" t="s">
        <v>1635</v>
      </c>
      <c r="F138" s="2377"/>
      <c r="G138" s="2375"/>
      <c r="H138" s="2375"/>
      <c r="I138" s="2375"/>
      <c r="J138" s="2375"/>
      <c r="K138" s="2375"/>
      <c r="L138" s="2375"/>
      <c r="M138" s="2375"/>
      <c r="N138" s="2378"/>
      <c r="O138" s="2379"/>
      <c r="P138" s="2378"/>
    </row>
    <row r="139" spans="1:18" s="2318" customFormat="1" ht="38.25" hidden="1" thickTop="1">
      <c r="A139" s="1980"/>
      <c r="B139" s="2342"/>
      <c r="D139" s="2375"/>
      <c r="E139" s="2376" t="s">
        <v>1677</v>
      </c>
      <c r="F139" s="2377"/>
      <c r="G139" s="2375"/>
      <c r="H139" s="2375"/>
      <c r="I139" s="2375"/>
      <c r="J139" s="2375"/>
      <c r="K139" s="2375"/>
      <c r="L139" s="2375"/>
      <c r="M139" s="2375"/>
      <c r="N139" s="2378"/>
      <c r="O139" s="2379"/>
      <c r="P139" s="2378"/>
    </row>
    <row r="140" spans="1:18" s="2318" customFormat="1" ht="38.25" hidden="1" thickTop="1">
      <c r="A140" s="1980"/>
      <c r="B140" s="2342"/>
      <c r="D140" s="2375"/>
      <c r="E140" s="2376" t="s">
        <v>1946</v>
      </c>
      <c r="F140" s="2377"/>
      <c r="G140" s="2375"/>
      <c r="H140" s="2375"/>
      <c r="I140" s="2375"/>
      <c r="J140" s="2375"/>
      <c r="K140" s="2375"/>
      <c r="L140" s="2375"/>
      <c r="M140" s="2375"/>
      <c r="N140" s="2378"/>
      <c r="O140" s="2379"/>
      <c r="P140" s="2378"/>
    </row>
    <row r="141" spans="1:18" s="2318" customFormat="1" ht="38.25" hidden="1" thickTop="1">
      <c r="A141" s="1980"/>
      <c r="B141" s="2342"/>
      <c r="D141" s="2375"/>
      <c r="E141" s="2376" t="s">
        <v>1839</v>
      </c>
      <c r="F141" s="2377"/>
      <c r="G141" s="2375"/>
      <c r="H141" s="2375"/>
      <c r="I141" s="2375"/>
      <c r="J141" s="2375"/>
      <c r="K141" s="2375"/>
      <c r="L141" s="2375"/>
      <c r="M141" s="2375"/>
      <c r="N141" s="2378"/>
      <c r="O141" s="2379"/>
      <c r="P141" s="2378"/>
    </row>
    <row r="142" spans="1:18" s="2318" customFormat="1" ht="38.25" hidden="1" thickTop="1">
      <c r="A142" s="1980"/>
      <c r="B142" s="2342"/>
      <c r="C142" s="1980"/>
      <c r="D142" s="2376"/>
      <c r="E142" s="2376" t="s">
        <v>528</v>
      </c>
      <c r="F142" s="2377"/>
      <c r="G142" s="2377"/>
      <c r="H142" s="2380"/>
      <c r="I142" s="2380"/>
      <c r="J142" s="2380"/>
      <c r="K142" s="2380"/>
      <c r="L142" s="2380"/>
      <c r="M142" s="2380"/>
      <c r="N142" s="2378"/>
      <c r="O142" s="2381"/>
      <c r="P142" s="2382">
        <v>0</v>
      </c>
    </row>
    <row r="143" spans="1:18" s="2318" customFormat="1" ht="39" hidden="1" thickTop="1" thickBot="1">
      <c r="A143" s="1980"/>
      <c r="B143" s="2342"/>
      <c r="C143" s="843"/>
      <c r="D143" s="843"/>
      <c r="E143" s="843"/>
      <c r="F143" s="843"/>
      <c r="G143" s="843"/>
      <c r="H143" s="843"/>
      <c r="I143" s="843"/>
      <c r="J143" s="843"/>
      <c r="K143" s="843"/>
      <c r="L143" s="843"/>
      <c r="M143" s="843"/>
      <c r="N143" s="2383">
        <f>SUM(N133:N142)</f>
        <v>0</v>
      </c>
      <c r="O143" s="2316"/>
      <c r="P143" s="2383">
        <f>SUM(P133:P142)</f>
        <v>0</v>
      </c>
    </row>
    <row r="144" spans="1:18" s="2318" customFormat="1" ht="38.25" hidden="1" thickTop="1">
      <c r="A144" s="1980"/>
      <c r="B144" s="2342"/>
      <c r="C144" s="843"/>
      <c r="D144" s="843"/>
      <c r="E144" s="843"/>
      <c r="F144" s="843"/>
      <c r="G144" s="843"/>
      <c r="H144" s="843"/>
      <c r="I144" s="843"/>
      <c r="J144" s="843"/>
      <c r="K144" s="843"/>
      <c r="L144" s="843"/>
      <c r="M144" s="843"/>
      <c r="N144" s="2384"/>
      <c r="O144" s="2384"/>
      <c r="P144" s="2384"/>
    </row>
    <row r="145" spans="1:16384" s="2318" customFormat="1" ht="25.5" customHeight="1" thickTop="1">
      <c r="A145" s="1980"/>
      <c r="B145" s="2342"/>
      <c r="D145" s="2406"/>
      <c r="E145" s="3171"/>
      <c r="F145" s="3171"/>
      <c r="G145" s="3171"/>
      <c r="H145" s="3171"/>
      <c r="I145" s="3171"/>
      <c r="J145" s="3171"/>
      <c r="K145" s="3171"/>
      <c r="L145" s="3171"/>
      <c r="M145" s="3171"/>
      <c r="N145" s="3171"/>
      <c r="O145" s="3171"/>
      <c r="P145" s="3171"/>
      <c r="Q145" s="2407"/>
      <c r="R145" s="2407"/>
    </row>
    <row r="146" spans="1:16384" s="2318" customFormat="1" ht="54" customHeight="1">
      <c r="A146" s="3189">
        <v>24</v>
      </c>
      <c r="B146" s="3189"/>
      <c r="C146" s="3189"/>
      <c r="D146" s="3189"/>
      <c r="E146" s="3189"/>
      <c r="F146" s="3189"/>
      <c r="G146" s="3189"/>
      <c r="H146" s="3189"/>
      <c r="I146" s="3189"/>
      <c r="J146" s="3189"/>
      <c r="K146" s="3189"/>
      <c r="L146" s="3189"/>
      <c r="M146" s="3189"/>
      <c r="N146" s="3189"/>
      <c r="O146" s="3189"/>
      <c r="P146" s="3189"/>
      <c r="Q146" s="3170"/>
      <c r="R146" s="3170"/>
      <c r="S146" s="3170"/>
      <c r="T146" s="3170"/>
      <c r="U146" s="3170"/>
      <c r="V146" s="3170"/>
      <c r="W146" s="3170"/>
      <c r="X146" s="3170"/>
      <c r="Y146" s="3170"/>
      <c r="Z146" s="3170"/>
      <c r="AA146" s="3170"/>
      <c r="AB146" s="3170"/>
      <c r="AC146" s="3170"/>
      <c r="AD146" s="3170"/>
      <c r="AE146" s="3170"/>
      <c r="AF146" s="3170"/>
      <c r="AG146" s="3170"/>
      <c r="AH146" s="3170"/>
      <c r="AI146" s="3170"/>
      <c r="AJ146" s="3170"/>
      <c r="AK146" s="3170"/>
      <c r="AL146" s="3170"/>
      <c r="AM146" s="3170"/>
      <c r="AN146" s="3170"/>
      <c r="AO146" s="3170"/>
      <c r="AP146" s="3170"/>
      <c r="AQ146" s="3170"/>
      <c r="AR146" s="3170"/>
      <c r="AS146" s="3170"/>
      <c r="AT146" s="3170"/>
      <c r="AU146" s="3170"/>
      <c r="AV146" s="3170"/>
      <c r="AW146" s="3170"/>
      <c r="AX146" s="3170"/>
      <c r="AY146" s="3170"/>
      <c r="AZ146" s="3170"/>
      <c r="BA146" s="3170"/>
      <c r="BB146" s="3170"/>
      <c r="BC146" s="3170"/>
      <c r="BD146" s="3170"/>
      <c r="BE146" s="3170"/>
      <c r="BF146" s="3170"/>
      <c r="BG146" s="3170"/>
      <c r="BH146" s="3170"/>
      <c r="BI146" s="3170"/>
      <c r="BJ146" s="3170"/>
      <c r="BK146" s="3170"/>
      <c r="BL146" s="3170"/>
      <c r="BM146" s="3170"/>
      <c r="BN146" s="3170"/>
      <c r="BO146" s="3170"/>
      <c r="BP146" s="3170"/>
      <c r="BQ146" s="3170"/>
      <c r="BR146" s="3170"/>
      <c r="BS146" s="3170"/>
      <c r="BT146" s="3170"/>
      <c r="BU146" s="3170"/>
      <c r="BV146" s="3170"/>
      <c r="BW146" s="3170"/>
      <c r="BX146" s="3170"/>
      <c r="BY146" s="3170"/>
      <c r="BZ146" s="3170"/>
      <c r="CA146" s="3170"/>
      <c r="CB146" s="3170"/>
      <c r="CC146" s="3170"/>
      <c r="CD146" s="3170"/>
      <c r="CE146" s="3170"/>
      <c r="CF146" s="3170"/>
      <c r="CG146" s="3170"/>
      <c r="CH146" s="3170"/>
      <c r="CI146" s="3170"/>
      <c r="CJ146" s="3170"/>
      <c r="CK146" s="3170"/>
      <c r="CL146" s="3170"/>
      <c r="CM146" s="3170"/>
      <c r="CN146" s="3170"/>
      <c r="CO146" s="3170"/>
      <c r="CP146" s="3170"/>
      <c r="CQ146" s="3170"/>
      <c r="CR146" s="3170"/>
      <c r="CS146" s="3170"/>
      <c r="CT146" s="3170"/>
      <c r="CU146" s="3170"/>
      <c r="CV146" s="3170"/>
      <c r="CW146" s="3170"/>
      <c r="CX146" s="3170"/>
      <c r="CY146" s="3170"/>
      <c r="CZ146" s="3170"/>
      <c r="DA146" s="3170"/>
      <c r="DB146" s="3170"/>
      <c r="DC146" s="3170"/>
      <c r="DD146" s="3170"/>
      <c r="DE146" s="3170"/>
      <c r="DF146" s="3170"/>
      <c r="DG146" s="3170"/>
      <c r="DH146" s="3170"/>
      <c r="DI146" s="3170"/>
      <c r="DJ146" s="3170"/>
      <c r="DK146" s="3170"/>
      <c r="DL146" s="3170"/>
      <c r="DM146" s="3170"/>
      <c r="DN146" s="3170"/>
      <c r="DO146" s="3170"/>
      <c r="DP146" s="3170"/>
      <c r="DQ146" s="3170"/>
      <c r="DR146" s="3170"/>
      <c r="DS146" s="3170"/>
      <c r="DT146" s="3170"/>
      <c r="DU146" s="3170"/>
      <c r="DV146" s="3170"/>
      <c r="DW146" s="3170"/>
      <c r="DX146" s="3170"/>
      <c r="DY146" s="3170"/>
      <c r="DZ146" s="3170"/>
      <c r="EA146" s="3170"/>
      <c r="EB146" s="3170"/>
      <c r="EC146" s="3170"/>
      <c r="ED146" s="3170"/>
      <c r="EE146" s="3170"/>
      <c r="EF146" s="3170"/>
      <c r="EG146" s="3170"/>
      <c r="EH146" s="3170"/>
      <c r="EI146" s="3170"/>
      <c r="EJ146" s="3170"/>
      <c r="EK146" s="3170"/>
      <c r="EL146" s="3170"/>
      <c r="EM146" s="3170"/>
      <c r="EN146" s="3170"/>
      <c r="EO146" s="3170"/>
      <c r="EP146" s="3170"/>
      <c r="EQ146" s="3170"/>
      <c r="ER146" s="3170"/>
      <c r="ES146" s="3170"/>
      <c r="ET146" s="3170"/>
      <c r="EU146" s="3170"/>
      <c r="EV146" s="3170"/>
      <c r="EW146" s="3170"/>
      <c r="EX146" s="3170"/>
      <c r="EY146" s="3170"/>
      <c r="EZ146" s="3170"/>
      <c r="FA146" s="3170"/>
      <c r="FB146" s="3170"/>
      <c r="FC146" s="3170"/>
      <c r="FD146" s="3170"/>
      <c r="FE146" s="3170"/>
      <c r="FF146" s="3170"/>
      <c r="FG146" s="3170"/>
      <c r="FH146" s="3170"/>
      <c r="FI146" s="3170"/>
      <c r="FJ146" s="3170"/>
      <c r="FK146" s="3170"/>
      <c r="FL146" s="3170"/>
      <c r="FM146" s="3170"/>
      <c r="FN146" s="3170"/>
      <c r="FO146" s="3170"/>
      <c r="FP146" s="3170"/>
      <c r="FQ146" s="3170"/>
      <c r="FR146" s="3170"/>
      <c r="FS146" s="3170"/>
      <c r="FT146" s="3170"/>
      <c r="FU146" s="3170"/>
      <c r="FV146" s="3170"/>
      <c r="FW146" s="3170"/>
      <c r="FX146" s="3170"/>
      <c r="FY146" s="3170"/>
      <c r="FZ146" s="3170"/>
      <c r="GA146" s="3170"/>
      <c r="GB146" s="3170"/>
      <c r="GC146" s="3170"/>
      <c r="GD146" s="3170"/>
      <c r="GE146" s="3170"/>
      <c r="GF146" s="3170"/>
      <c r="GG146" s="3170"/>
      <c r="GH146" s="3170"/>
      <c r="GI146" s="3170"/>
      <c r="GJ146" s="3170"/>
      <c r="GK146" s="3170"/>
      <c r="GL146" s="3170"/>
      <c r="GM146" s="3170"/>
      <c r="GN146" s="3170"/>
      <c r="GO146" s="3170"/>
      <c r="GP146" s="3170"/>
      <c r="GQ146" s="3170"/>
      <c r="GR146" s="3170"/>
      <c r="GS146" s="3170"/>
      <c r="GT146" s="3170"/>
      <c r="GU146" s="3170"/>
      <c r="GV146" s="3170"/>
      <c r="GW146" s="3170"/>
      <c r="GX146" s="3170"/>
      <c r="GY146" s="3170"/>
      <c r="GZ146" s="3170"/>
      <c r="HA146" s="3170"/>
      <c r="HB146" s="3170"/>
      <c r="HC146" s="3170"/>
      <c r="HD146" s="3170"/>
      <c r="HE146" s="3170"/>
      <c r="HF146" s="3170"/>
      <c r="HG146" s="3170"/>
      <c r="HH146" s="3170"/>
      <c r="HI146" s="3170"/>
      <c r="HJ146" s="3170"/>
      <c r="HK146" s="3170"/>
      <c r="HL146" s="3170"/>
      <c r="HM146" s="3170"/>
      <c r="HN146" s="3170"/>
      <c r="HO146" s="3170"/>
      <c r="HP146" s="3170"/>
      <c r="HQ146" s="3170"/>
      <c r="HR146" s="3170"/>
      <c r="HS146" s="3170"/>
      <c r="HT146" s="3170"/>
      <c r="HU146" s="3170"/>
      <c r="HV146" s="3170"/>
      <c r="HW146" s="3170"/>
      <c r="HX146" s="3170"/>
      <c r="HY146" s="3170"/>
      <c r="HZ146" s="3170"/>
      <c r="IA146" s="3170"/>
      <c r="IB146" s="3170"/>
      <c r="IC146" s="3170"/>
      <c r="ID146" s="3170"/>
      <c r="IE146" s="3170"/>
      <c r="IF146" s="3170"/>
      <c r="IG146" s="3170"/>
      <c r="IH146" s="3170"/>
      <c r="II146" s="3170"/>
      <c r="IJ146" s="3170"/>
      <c r="IK146" s="3170"/>
      <c r="IL146" s="3170"/>
      <c r="IM146" s="3170"/>
      <c r="IN146" s="3170"/>
      <c r="IO146" s="3170"/>
      <c r="IP146" s="3170"/>
      <c r="IQ146" s="3170"/>
      <c r="IR146" s="3170"/>
      <c r="IS146" s="3170"/>
      <c r="IT146" s="3170"/>
      <c r="IU146" s="3170"/>
      <c r="IV146" s="3170"/>
      <c r="IW146" s="3170"/>
      <c r="IX146" s="3170"/>
      <c r="IY146" s="3170"/>
      <c r="IZ146" s="3170"/>
      <c r="JA146" s="3170"/>
      <c r="JB146" s="3170"/>
      <c r="JC146" s="3170"/>
      <c r="JD146" s="3170"/>
      <c r="JE146" s="3170"/>
      <c r="JF146" s="3170"/>
      <c r="JG146" s="3170"/>
      <c r="JH146" s="3170"/>
      <c r="JI146" s="3170"/>
      <c r="JJ146" s="3170"/>
      <c r="JK146" s="3170"/>
      <c r="JL146" s="3170"/>
      <c r="JM146" s="3170"/>
      <c r="JN146" s="3170"/>
      <c r="JO146" s="3170"/>
      <c r="JP146" s="3170"/>
      <c r="JQ146" s="3170"/>
      <c r="JR146" s="3170"/>
      <c r="JS146" s="3170"/>
      <c r="JT146" s="3170"/>
      <c r="JU146" s="3170"/>
      <c r="JV146" s="3170"/>
      <c r="JW146" s="3170"/>
      <c r="JX146" s="3170"/>
      <c r="JY146" s="3170"/>
      <c r="JZ146" s="3170"/>
      <c r="KA146" s="3170"/>
      <c r="KB146" s="3170"/>
      <c r="KC146" s="3170"/>
      <c r="KD146" s="3170"/>
      <c r="KE146" s="3170"/>
      <c r="KF146" s="3170"/>
      <c r="KG146" s="3170"/>
      <c r="KH146" s="3170"/>
      <c r="KI146" s="3170"/>
      <c r="KJ146" s="3170"/>
      <c r="KK146" s="3170"/>
      <c r="KL146" s="3170"/>
      <c r="KM146" s="3170"/>
      <c r="KN146" s="3170"/>
      <c r="KO146" s="3170"/>
      <c r="KP146" s="3170"/>
      <c r="KQ146" s="3170"/>
      <c r="KR146" s="3170"/>
      <c r="KS146" s="3170"/>
      <c r="KT146" s="3170"/>
      <c r="KU146" s="3170"/>
      <c r="KV146" s="3170"/>
      <c r="KW146" s="3170"/>
      <c r="KX146" s="3170"/>
      <c r="KY146" s="3170"/>
      <c r="KZ146" s="3170"/>
      <c r="LA146" s="3170"/>
      <c r="LB146" s="3170"/>
      <c r="LC146" s="3170"/>
      <c r="LD146" s="3170"/>
      <c r="LE146" s="3170"/>
      <c r="LF146" s="3170"/>
      <c r="LG146" s="3170"/>
      <c r="LH146" s="3170"/>
      <c r="LI146" s="3170"/>
      <c r="LJ146" s="3170"/>
      <c r="LK146" s="3170"/>
      <c r="LL146" s="3170"/>
      <c r="LM146" s="3170"/>
      <c r="LN146" s="3170"/>
      <c r="LO146" s="3170"/>
      <c r="LP146" s="3170"/>
      <c r="LQ146" s="3170"/>
      <c r="LR146" s="3170"/>
      <c r="LS146" s="3170"/>
      <c r="LT146" s="3170"/>
      <c r="LU146" s="3170"/>
      <c r="LV146" s="3170"/>
      <c r="LW146" s="3170"/>
      <c r="LX146" s="3170"/>
      <c r="LY146" s="3170"/>
      <c r="LZ146" s="3170"/>
      <c r="MA146" s="3170"/>
      <c r="MB146" s="3170"/>
      <c r="MC146" s="3170"/>
      <c r="MD146" s="3170"/>
      <c r="ME146" s="3170"/>
      <c r="MF146" s="3170"/>
      <c r="MG146" s="3170"/>
      <c r="MH146" s="3170"/>
      <c r="MI146" s="3170"/>
      <c r="MJ146" s="3170"/>
      <c r="MK146" s="3170"/>
      <c r="ML146" s="3170"/>
      <c r="MM146" s="3170"/>
      <c r="MN146" s="3170"/>
      <c r="MO146" s="3170"/>
      <c r="MP146" s="3170"/>
      <c r="MQ146" s="3170"/>
      <c r="MR146" s="3170"/>
      <c r="MS146" s="3170"/>
      <c r="MT146" s="3170"/>
      <c r="MU146" s="3170"/>
      <c r="MV146" s="3170"/>
      <c r="MW146" s="3170"/>
      <c r="MX146" s="3170"/>
      <c r="MY146" s="3170"/>
      <c r="MZ146" s="3170"/>
      <c r="NA146" s="3170"/>
      <c r="NB146" s="3170"/>
      <c r="NC146" s="3170"/>
      <c r="ND146" s="3170"/>
      <c r="NE146" s="3170"/>
      <c r="NF146" s="3170"/>
      <c r="NG146" s="3170"/>
      <c r="NH146" s="3170"/>
      <c r="NI146" s="3170"/>
      <c r="NJ146" s="3170"/>
      <c r="NK146" s="3170"/>
      <c r="NL146" s="3170"/>
      <c r="NM146" s="3170"/>
      <c r="NN146" s="3170"/>
      <c r="NO146" s="3170"/>
      <c r="NP146" s="3170"/>
      <c r="NQ146" s="3170"/>
      <c r="NR146" s="3170"/>
      <c r="NS146" s="3170"/>
      <c r="NT146" s="3170"/>
      <c r="NU146" s="3170"/>
      <c r="NV146" s="3170"/>
      <c r="NW146" s="3170"/>
      <c r="NX146" s="3170"/>
      <c r="NY146" s="3170"/>
      <c r="NZ146" s="3170"/>
      <c r="OA146" s="3170"/>
      <c r="OB146" s="3170"/>
      <c r="OC146" s="3170"/>
      <c r="OD146" s="3170"/>
      <c r="OE146" s="3170"/>
      <c r="OF146" s="3170"/>
      <c r="OG146" s="3170"/>
      <c r="OH146" s="3170"/>
      <c r="OI146" s="3170"/>
      <c r="OJ146" s="3170"/>
      <c r="OK146" s="3170"/>
      <c r="OL146" s="3170"/>
      <c r="OM146" s="3170"/>
      <c r="ON146" s="3170"/>
      <c r="OO146" s="3170"/>
      <c r="OP146" s="3170"/>
      <c r="OQ146" s="3170"/>
      <c r="OR146" s="3170"/>
      <c r="OS146" s="3170"/>
      <c r="OT146" s="3170"/>
      <c r="OU146" s="3170"/>
      <c r="OV146" s="3170"/>
      <c r="OW146" s="3170"/>
      <c r="OX146" s="3170"/>
      <c r="OY146" s="3170"/>
      <c r="OZ146" s="3170"/>
      <c r="PA146" s="3170"/>
      <c r="PB146" s="3170"/>
      <c r="PC146" s="3170"/>
      <c r="PD146" s="3170"/>
      <c r="PE146" s="3170"/>
      <c r="PF146" s="3170"/>
      <c r="PG146" s="3170"/>
      <c r="PH146" s="3170"/>
      <c r="PI146" s="3170"/>
      <c r="PJ146" s="3170"/>
      <c r="PK146" s="3170"/>
      <c r="PL146" s="3170"/>
      <c r="PM146" s="3170"/>
      <c r="PN146" s="3170"/>
      <c r="PO146" s="3170"/>
      <c r="PP146" s="3170"/>
      <c r="PQ146" s="3170"/>
      <c r="PR146" s="3170"/>
      <c r="PS146" s="3170"/>
      <c r="PT146" s="3170"/>
      <c r="PU146" s="3170"/>
      <c r="PV146" s="3170"/>
      <c r="PW146" s="3170"/>
      <c r="PX146" s="3170"/>
      <c r="PY146" s="3170"/>
      <c r="PZ146" s="3170"/>
      <c r="QA146" s="3170"/>
      <c r="QB146" s="3170"/>
      <c r="QC146" s="3170"/>
      <c r="QD146" s="3170"/>
      <c r="QE146" s="3170"/>
      <c r="QF146" s="3170"/>
      <c r="QG146" s="3170"/>
      <c r="QH146" s="3170"/>
      <c r="QI146" s="3170"/>
      <c r="QJ146" s="3170"/>
      <c r="QK146" s="3170"/>
      <c r="QL146" s="3170"/>
      <c r="QM146" s="3170"/>
      <c r="QN146" s="3170"/>
      <c r="QO146" s="3170"/>
      <c r="QP146" s="3170"/>
      <c r="QQ146" s="3170"/>
      <c r="QR146" s="3170"/>
      <c r="QS146" s="3170"/>
      <c r="QT146" s="3170"/>
      <c r="QU146" s="3170"/>
      <c r="QV146" s="3170"/>
      <c r="QW146" s="3170"/>
      <c r="QX146" s="3170"/>
      <c r="QY146" s="3170"/>
      <c r="QZ146" s="3170"/>
      <c r="RA146" s="3170"/>
      <c r="RB146" s="3170"/>
      <c r="RC146" s="3170"/>
      <c r="RD146" s="3170"/>
      <c r="RE146" s="3170"/>
      <c r="RF146" s="3170"/>
      <c r="RG146" s="3170"/>
      <c r="RH146" s="3170"/>
      <c r="RI146" s="3170"/>
      <c r="RJ146" s="3170"/>
      <c r="RK146" s="3170"/>
      <c r="RL146" s="3170"/>
      <c r="RM146" s="3170"/>
      <c r="RN146" s="3170"/>
      <c r="RO146" s="3170"/>
      <c r="RP146" s="3170"/>
      <c r="RQ146" s="3170"/>
      <c r="RR146" s="3170"/>
      <c r="RS146" s="3170"/>
      <c r="RT146" s="3170"/>
      <c r="RU146" s="3170"/>
      <c r="RV146" s="3170"/>
      <c r="RW146" s="3170"/>
      <c r="RX146" s="3170"/>
      <c r="RY146" s="3170"/>
      <c r="RZ146" s="3170"/>
      <c r="SA146" s="3170"/>
      <c r="SB146" s="3170"/>
      <c r="SC146" s="3170"/>
      <c r="SD146" s="3170"/>
      <c r="SE146" s="3170"/>
      <c r="SF146" s="3170"/>
      <c r="SG146" s="3170"/>
      <c r="SH146" s="3170"/>
      <c r="SI146" s="3170"/>
      <c r="SJ146" s="3170"/>
      <c r="SK146" s="3170"/>
      <c r="SL146" s="3170"/>
      <c r="SM146" s="3170"/>
      <c r="SN146" s="3170"/>
      <c r="SO146" s="3170"/>
      <c r="SP146" s="3170"/>
      <c r="SQ146" s="3170"/>
      <c r="SR146" s="3170"/>
      <c r="SS146" s="3170"/>
      <c r="ST146" s="3170"/>
      <c r="SU146" s="3170"/>
      <c r="SV146" s="3170"/>
      <c r="SW146" s="3170"/>
      <c r="SX146" s="3170"/>
      <c r="SY146" s="3170"/>
      <c r="SZ146" s="3170"/>
      <c r="TA146" s="3170"/>
      <c r="TB146" s="3170"/>
      <c r="TC146" s="3170"/>
      <c r="TD146" s="3170"/>
      <c r="TE146" s="3170"/>
      <c r="TF146" s="3170"/>
      <c r="TG146" s="3170"/>
      <c r="TH146" s="3170"/>
      <c r="TI146" s="3170"/>
      <c r="TJ146" s="3170"/>
      <c r="TK146" s="3170"/>
      <c r="TL146" s="3170"/>
      <c r="TM146" s="3170"/>
      <c r="TN146" s="3170"/>
      <c r="TO146" s="3170"/>
      <c r="TP146" s="3170"/>
      <c r="TQ146" s="3170"/>
      <c r="TR146" s="3170"/>
      <c r="TS146" s="3170"/>
      <c r="TT146" s="3170"/>
      <c r="TU146" s="3170"/>
      <c r="TV146" s="3170"/>
      <c r="TW146" s="3170"/>
      <c r="TX146" s="3170"/>
      <c r="TY146" s="3170"/>
      <c r="TZ146" s="3170"/>
      <c r="UA146" s="3170"/>
      <c r="UB146" s="3170"/>
      <c r="UC146" s="3170"/>
      <c r="UD146" s="3170"/>
      <c r="UE146" s="3170"/>
      <c r="UF146" s="3170"/>
      <c r="UG146" s="3170"/>
      <c r="UH146" s="3170"/>
      <c r="UI146" s="3170"/>
      <c r="UJ146" s="3170"/>
      <c r="UK146" s="3170"/>
      <c r="UL146" s="3170"/>
      <c r="UM146" s="3170"/>
      <c r="UN146" s="3170"/>
      <c r="UO146" s="3170"/>
      <c r="UP146" s="3170"/>
      <c r="UQ146" s="3170"/>
      <c r="UR146" s="3170"/>
      <c r="US146" s="3170"/>
      <c r="UT146" s="3170"/>
      <c r="UU146" s="3170"/>
      <c r="UV146" s="3170"/>
      <c r="UW146" s="3170"/>
      <c r="UX146" s="3170"/>
      <c r="UY146" s="3170"/>
      <c r="UZ146" s="3170"/>
      <c r="VA146" s="3170"/>
      <c r="VB146" s="3170"/>
      <c r="VC146" s="3170"/>
      <c r="VD146" s="3170"/>
      <c r="VE146" s="3170"/>
      <c r="VF146" s="3170"/>
      <c r="VG146" s="3170"/>
      <c r="VH146" s="3170"/>
      <c r="VI146" s="3170"/>
      <c r="VJ146" s="3170"/>
      <c r="VK146" s="3170"/>
      <c r="VL146" s="3170"/>
      <c r="VM146" s="3170"/>
      <c r="VN146" s="3170"/>
      <c r="VO146" s="3170"/>
      <c r="VP146" s="3170"/>
      <c r="VQ146" s="3170"/>
      <c r="VR146" s="3170"/>
      <c r="VS146" s="3170"/>
      <c r="VT146" s="3170"/>
      <c r="VU146" s="3170"/>
      <c r="VV146" s="3170"/>
      <c r="VW146" s="3170"/>
      <c r="VX146" s="3170"/>
      <c r="VY146" s="3170"/>
      <c r="VZ146" s="3170"/>
      <c r="WA146" s="3170"/>
      <c r="WB146" s="3170"/>
      <c r="WC146" s="3170"/>
      <c r="WD146" s="3170"/>
      <c r="WE146" s="3170"/>
      <c r="WF146" s="3170"/>
      <c r="WG146" s="3170"/>
      <c r="WH146" s="3170"/>
      <c r="WI146" s="3170"/>
      <c r="WJ146" s="3170"/>
      <c r="WK146" s="3170"/>
      <c r="WL146" s="3170"/>
      <c r="WM146" s="3170"/>
      <c r="WN146" s="3170"/>
      <c r="WO146" s="3170"/>
      <c r="WP146" s="3170"/>
      <c r="WQ146" s="3170"/>
      <c r="WR146" s="3170"/>
      <c r="WS146" s="3170"/>
      <c r="WT146" s="3170"/>
      <c r="WU146" s="3170"/>
      <c r="WV146" s="3170"/>
      <c r="WW146" s="3170"/>
      <c r="WX146" s="3170"/>
      <c r="WY146" s="3170"/>
      <c r="WZ146" s="3170"/>
      <c r="XA146" s="3170"/>
      <c r="XB146" s="3170"/>
      <c r="XC146" s="3170"/>
      <c r="XD146" s="3170"/>
      <c r="XE146" s="3170"/>
      <c r="XF146" s="3170"/>
      <c r="XG146" s="3170"/>
      <c r="XH146" s="3170"/>
      <c r="XI146" s="3170"/>
      <c r="XJ146" s="3170"/>
      <c r="XK146" s="3170"/>
      <c r="XL146" s="3170"/>
      <c r="XM146" s="3170"/>
      <c r="XN146" s="3170"/>
      <c r="XO146" s="3170"/>
      <c r="XP146" s="3170"/>
      <c r="XQ146" s="3170"/>
      <c r="XR146" s="3170"/>
      <c r="XS146" s="3170"/>
      <c r="XT146" s="3170"/>
      <c r="XU146" s="3170"/>
      <c r="XV146" s="3170"/>
      <c r="XW146" s="3170"/>
      <c r="XX146" s="3170"/>
      <c r="XY146" s="3170"/>
      <c r="XZ146" s="3170"/>
      <c r="YA146" s="3170"/>
      <c r="YB146" s="3170"/>
      <c r="YC146" s="3170"/>
      <c r="YD146" s="3170"/>
      <c r="YE146" s="3170"/>
      <c r="YF146" s="3170"/>
      <c r="YG146" s="3170"/>
      <c r="YH146" s="3170"/>
      <c r="YI146" s="3170"/>
      <c r="YJ146" s="3170"/>
      <c r="YK146" s="3170"/>
      <c r="YL146" s="3170"/>
      <c r="YM146" s="3170"/>
      <c r="YN146" s="3170"/>
      <c r="YO146" s="3170"/>
      <c r="YP146" s="3170"/>
      <c r="YQ146" s="3170"/>
      <c r="YR146" s="3170"/>
      <c r="YS146" s="3170"/>
      <c r="YT146" s="3170"/>
      <c r="YU146" s="3170"/>
      <c r="YV146" s="3170"/>
      <c r="YW146" s="3170"/>
      <c r="YX146" s="3170"/>
      <c r="YY146" s="3170"/>
      <c r="YZ146" s="3170"/>
      <c r="ZA146" s="3170"/>
      <c r="ZB146" s="3170"/>
      <c r="ZC146" s="3170"/>
      <c r="ZD146" s="3170"/>
      <c r="ZE146" s="3170"/>
      <c r="ZF146" s="3170"/>
      <c r="ZG146" s="3170"/>
      <c r="ZH146" s="3170"/>
      <c r="ZI146" s="3170"/>
      <c r="ZJ146" s="3170"/>
      <c r="ZK146" s="3170"/>
      <c r="ZL146" s="3170"/>
      <c r="ZM146" s="3170"/>
      <c r="ZN146" s="3170"/>
      <c r="ZO146" s="3170"/>
      <c r="ZP146" s="3170"/>
      <c r="ZQ146" s="3170"/>
      <c r="ZR146" s="3170"/>
      <c r="ZS146" s="3170"/>
      <c r="ZT146" s="3170"/>
      <c r="ZU146" s="3170"/>
      <c r="ZV146" s="3170"/>
      <c r="ZW146" s="3170"/>
      <c r="ZX146" s="3170"/>
      <c r="ZY146" s="3170"/>
      <c r="ZZ146" s="3170"/>
      <c r="AAA146" s="3170"/>
      <c r="AAB146" s="3170"/>
      <c r="AAC146" s="3170"/>
      <c r="AAD146" s="3170"/>
      <c r="AAE146" s="3170"/>
      <c r="AAF146" s="3170"/>
      <c r="AAG146" s="3170"/>
      <c r="AAH146" s="3170"/>
      <c r="AAI146" s="3170"/>
      <c r="AAJ146" s="3170"/>
      <c r="AAK146" s="3170"/>
      <c r="AAL146" s="3170"/>
      <c r="AAM146" s="3170"/>
      <c r="AAN146" s="3170"/>
      <c r="AAO146" s="3170"/>
      <c r="AAP146" s="3170"/>
      <c r="AAQ146" s="3170"/>
      <c r="AAR146" s="3170"/>
      <c r="AAS146" s="3170"/>
      <c r="AAT146" s="3170"/>
      <c r="AAU146" s="3170"/>
      <c r="AAV146" s="3170"/>
      <c r="AAW146" s="3170"/>
      <c r="AAX146" s="3170"/>
      <c r="AAY146" s="3170"/>
      <c r="AAZ146" s="3170"/>
      <c r="ABA146" s="3170"/>
      <c r="ABB146" s="3170"/>
      <c r="ABC146" s="3170"/>
      <c r="ABD146" s="3170"/>
      <c r="ABE146" s="3170"/>
      <c r="ABF146" s="3170"/>
      <c r="ABG146" s="3170"/>
      <c r="ABH146" s="3170"/>
      <c r="ABI146" s="3170"/>
      <c r="ABJ146" s="3170"/>
      <c r="ABK146" s="3170"/>
      <c r="ABL146" s="3170"/>
      <c r="ABM146" s="3170"/>
      <c r="ABN146" s="3170"/>
      <c r="ABO146" s="3170"/>
      <c r="ABP146" s="3170"/>
      <c r="ABQ146" s="3170"/>
      <c r="ABR146" s="3170"/>
      <c r="ABS146" s="3170"/>
      <c r="ABT146" s="3170"/>
      <c r="ABU146" s="3170"/>
      <c r="ABV146" s="3170"/>
      <c r="ABW146" s="3170"/>
      <c r="ABX146" s="3170"/>
      <c r="ABY146" s="3170"/>
      <c r="ABZ146" s="3170"/>
      <c r="ACA146" s="3170"/>
      <c r="ACB146" s="3170"/>
      <c r="ACC146" s="3170"/>
      <c r="ACD146" s="3170"/>
      <c r="ACE146" s="3170"/>
      <c r="ACF146" s="3170"/>
      <c r="ACG146" s="3170"/>
      <c r="ACH146" s="3170"/>
      <c r="ACI146" s="3170"/>
      <c r="ACJ146" s="3170"/>
      <c r="ACK146" s="3170"/>
      <c r="ACL146" s="3170"/>
      <c r="ACM146" s="3170"/>
      <c r="ACN146" s="3170"/>
      <c r="ACO146" s="3170"/>
      <c r="ACP146" s="3170"/>
      <c r="ACQ146" s="3170"/>
      <c r="ACR146" s="3170"/>
      <c r="ACS146" s="3170"/>
      <c r="ACT146" s="3170"/>
      <c r="ACU146" s="3170"/>
      <c r="ACV146" s="3170"/>
      <c r="ACW146" s="3170"/>
      <c r="ACX146" s="3170"/>
      <c r="ACY146" s="3170"/>
      <c r="ACZ146" s="3170"/>
      <c r="ADA146" s="3170"/>
      <c r="ADB146" s="3170"/>
      <c r="ADC146" s="3170"/>
      <c r="ADD146" s="3170"/>
      <c r="ADE146" s="3170"/>
      <c r="ADF146" s="3170"/>
      <c r="ADG146" s="3170"/>
      <c r="ADH146" s="3170"/>
      <c r="ADI146" s="3170"/>
      <c r="ADJ146" s="3170"/>
      <c r="ADK146" s="3170"/>
      <c r="ADL146" s="3170"/>
      <c r="ADM146" s="3170"/>
      <c r="ADN146" s="3170"/>
      <c r="ADO146" s="3170"/>
      <c r="ADP146" s="3170"/>
      <c r="ADQ146" s="3170"/>
      <c r="ADR146" s="3170"/>
      <c r="ADS146" s="3170"/>
      <c r="ADT146" s="3170"/>
      <c r="ADU146" s="3170"/>
      <c r="ADV146" s="3170"/>
      <c r="ADW146" s="3170"/>
      <c r="ADX146" s="3170"/>
      <c r="ADY146" s="3170"/>
      <c r="ADZ146" s="3170"/>
      <c r="AEA146" s="3170"/>
      <c r="AEB146" s="3170"/>
      <c r="AEC146" s="3170"/>
      <c r="AED146" s="3170"/>
      <c r="AEE146" s="3170"/>
      <c r="AEF146" s="3170"/>
      <c r="AEG146" s="3170"/>
      <c r="AEH146" s="3170"/>
      <c r="AEI146" s="3170"/>
      <c r="AEJ146" s="3170"/>
      <c r="AEK146" s="3170"/>
      <c r="AEL146" s="3170"/>
      <c r="AEM146" s="3170"/>
      <c r="AEN146" s="3170"/>
      <c r="AEO146" s="3170"/>
      <c r="AEP146" s="3170"/>
      <c r="AEQ146" s="3170"/>
      <c r="AER146" s="3170"/>
      <c r="AES146" s="3170"/>
      <c r="AET146" s="3170"/>
      <c r="AEU146" s="3170"/>
      <c r="AEV146" s="3170"/>
      <c r="AEW146" s="3170"/>
      <c r="AEX146" s="3170"/>
      <c r="AEY146" s="3170"/>
      <c r="AEZ146" s="3170"/>
      <c r="AFA146" s="3170"/>
      <c r="AFB146" s="3170"/>
      <c r="AFC146" s="3170"/>
      <c r="AFD146" s="3170"/>
      <c r="AFE146" s="3170"/>
      <c r="AFF146" s="3170"/>
      <c r="AFG146" s="3170"/>
      <c r="AFH146" s="3170"/>
      <c r="AFI146" s="3170"/>
      <c r="AFJ146" s="3170"/>
      <c r="AFK146" s="3170"/>
      <c r="AFL146" s="3170"/>
      <c r="AFM146" s="3170"/>
      <c r="AFN146" s="3170"/>
      <c r="AFO146" s="3170"/>
      <c r="AFP146" s="3170"/>
      <c r="AFQ146" s="3170"/>
      <c r="AFR146" s="3170"/>
      <c r="AFS146" s="3170"/>
      <c r="AFT146" s="3170"/>
      <c r="AFU146" s="3170"/>
      <c r="AFV146" s="3170"/>
      <c r="AFW146" s="3170"/>
      <c r="AFX146" s="3170"/>
      <c r="AFY146" s="3170"/>
      <c r="AFZ146" s="3170"/>
      <c r="AGA146" s="3170"/>
      <c r="AGB146" s="3170"/>
      <c r="AGC146" s="3170"/>
      <c r="AGD146" s="3170"/>
      <c r="AGE146" s="3170"/>
      <c r="AGF146" s="3170"/>
      <c r="AGG146" s="3170"/>
      <c r="AGH146" s="3170"/>
      <c r="AGI146" s="3170"/>
      <c r="AGJ146" s="3170"/>
      <c r="AGK146" s="3170"/>
      <c r="AGL146" s="3170"/>
      <c r="AGM146" s="3170"/>
      <c r="AGN146" s="3170"/>
      <c r="AGO146" s="3170"/>
      <c r="AGP146" s="3170"/>
      <c r="AGQ146" s="3170"/>
      <c r="AGR146" s="3170"/>
      <c r="AGS146" s="3170"/>
      <c r="AGT146" s="3170"/>
      <c r="AGU146" s="3170"/>
      <c r="AGV146" s="3170"/>
      <c r="AGW146" s="3170"/>
      <c r="AGX146" s="3170"/>
      <c r="AGY146" s="3170"/>
      <c r="AGZ146" s="3170"/>
      <c r="AHA146" s="3170"/>
      <c r="AHB146" s="3170"/>
      <c r="AHC146" s="3170"/>
      <c r="AHD146" s="3170"/>
      <c r="AHE146" s="3170"/>
      <c r="AHF146" s="3170"/>
      <c r="AHG146" s="3170"/>
      <c r="AHH146" s="3170"/>
      <c r="AHI146" s="3170"/>
      <c r="AHJ146" s="3170"/>
      <c r="AHK146" s="3170"/>
      <c r="AHL146" s="3170"/>
      <c r="AHM146" s="3170"/>
      <c r="AHN146" s="3170"/>
      <c r="AHO146" s="3170"/>
      <c r="AHP146" s="3170"/>
      <c r="AHQ146" s="3170"/>
      <c r="AHR146" s="3170"/>
      <c r="AHS146" s="3170"/>
      <c r="AHT146" s="3170"/>
      <c r="AHU146" s="3170"/>
      <c r="AHV146" s="3170"/>
      <c r="AHW146" s="3170"/>
      <c r="AHX146" s="3170"/>
      <c r="AHY146" s="3170"/>
      <c r="AHZ146" s="3170"/>
      <c r="AIA146" s="3170"/>
      <c r="AIB146" s="3170"/>
      <c r="AIC146" s="3170"/>
      <c r="AID146" s="3170"/>
      <c r="AIE146" s="3170"/>
      <c r="AIF146" s="3170"/>
      <c r="AIG146" s="3170"/>
      <c r="AIH146" s="3170"/>
      <c r="AII146" s="3170"/>
      <c r="AIJ146" s="3170"/>
      <c r="AIK146" s="3170"/>
      <c r="AIL146" s="3170"/>
      <c r="AIM146" s="3170"/>
      <c r="AIN146" s="3170"/>
      <c r="AIO146" s="3170"/>
      <c r="AIP146" s="3170"/>
      <c r="AIQ146" s="3170"/>
      <c r="AIR146" s="3170"/>
      <c r="AIS146" s="3170"/>
      <c r="AIT146" s="3170"/>
      <c r="AIU146" s="3170"/>
      <c r="AIV146" s="3170"/>
      <c r="AIW146" s="3170"/>
      <c r="AIX146" s="3170"/>
      <c r="AIY146" s="3170"/>
      <c r="AIZ146" s="3170"/>
      <c r="AJA146" s="3170"/>
      <c r="AJB146" s="3170"/>
      <c r="AJC146" s="3170"/>
      <c r="AJD146" s="3170"/>
      <c r="AJE146" s="3170"/>
      <c r="AJF146" s="3170"/>
      <c r="AJG146" s="3170"/>
      <c r="AJH146" s="3170"/>
      <c r="AJI146" s="3170"/>
      <c r="AJJ146" s="3170"/>
      <c r="AJK146" s="3170"/>
      <c r="AJL146" s="3170"/>
      <c r="AJM146" s="3170"/>
      <c r="AJN146" s="3170"/>
      <c r="AJO146" s="3170"/>
      <c r="AJP146" s="3170"/>
      <c r="AJQ146" s="3170"/>
      <c r="AJR146" s="3170"/>
      <c r="AJS146" s="3170"/>
      <c r="AJT146" s="3170"/>
      <c r="AJU146" s="3170"/>
      <c r="AJV146" s="3170"/>
      <c r="AJW146" s="3170"/>
      <c r="AJX146" s="3170"/>
      <c r="AJY146" s="3170"/>
      <c r="AJZ146" s="3170"/>
      <c r="AKA146" s="3170"/>
      <c r="AKB146" s="3170"/>
      <c r="AKC146" s="3170"/>
      <c r="AKD146" s="3170"/>
      <c r="AKE146" s="3170"/>
      <c r="AKF146" s="3170"/>
      <c r="AKG146" s="3170"/>
      <c r="AKH146" s="3170"/>
      <c r="AKI146" s="3170"/>
      <c r="AKJ146" s="3170"/>
      <c r="AKK146" s="3170"/>
      <c r="AKL146" s="3170"/>
      <c r="AKM146" s="3170"/>
      <c r="AKN146" s="3170"/>
      <c r="AKO146" s="3170"/>
      <c r="AKP146" s="3170"/>
      <c r="AKQ146" s="3170"/>
      <c r="AKR146" s="3170"/>
      <c r="AKS146" s="3170"/>
      <c r="AKT146" s="3170"/>
      <c r="AKU146" s="3170"/>
      <c r="AKV146" s="3170"/>
      <c r="AKW146" s="3170"/>
      <c r="AKX146" s="3170"/>
      <c r="AKY146" s="3170"/>
      <c r="AKZ146" s="3170"/>
      <c r="ALA146" s="3170"/>
      <c r="ALB146" s="3170"/>
      <c r="ALC146" s="3170"/>
      <c r="ALD146" s="3170"/>
      <c r="ALE146" s="3170"/>
      <c r="ALF146" s="3170"/>
      <c r="ALG146" s="3170"/>
      <c r="ALH146" s="3170"/>
      <c r="ALI146" s="3170"/>
      <c r="ALJ146" s="3170"/>
      <c r="ALK146" s="3170"/>
      <c r="ALL146" s="3170"/>
      <c r="ALM146" s="3170"/>
      <c r="ALN146" s="3170"/>
      <c r="ALO146" s="3170"/>
      <c r="ALP146" s="3170"/>
      <c r="ALQ146" s="3170"/>
      <c r="ALR146" s="3170"/>
      <c r="ALS146" s="3170"/>
      <c r="ALT146" s="3170"/>
      <c r="ALU146" s="3170"/>
      <c r="ALV146" s="3170"/>
      <c r="ALW146" s="3170"/>
      <c r="ALX146" s="3170"/>
      <c r="ALY146" s="3170"/>
      <c r="ALZ146" s="3170"/>
      <c r="AMA146" s="3170"/>
      <c r="AMB146" s="3170"/>
      <c r="AMC146" s="3170"/>
      <c r="AMD146" s="3170"/>
      <c r="AME146" s="3170"/>
      <c r="AMF146" s="3170"/>
      <c r="AMG146" s="3170"/>
      <c r="AMH146" s="3170"/>
      <c r="AMI146" s="3170"/>
      <c r="AMJ146" s="3170"/>
      <c r="AMK146" s="3170"/>
      <c r="AML146" s="3170"/>
      <c r="AMM146" s="3170"/>
      <c r="AMN146" s="3170"/>
      <c r="AMO146" s="3170"/>
      <c r="AMP146" s="3170"/>
      <c r="AMQ146" s="3170"/>
      <c r="AMR146" s="3170"/>
      <c r="AMS146" s="3170"/>
      <c r="AMT146" s="3170"/>
      <c r="AMU146" s="3170"/>
      <c r="AMV146" s="3170"/>
      <c r="AMW146" s="3170"/>
      <c r="AMX146" s="3170"/>
      <c r="AMY146" s="3170"/>
      <c r="AMZ146" s="3170"/>
      <c r="ANA146" s="3170"/>
      <c r="ANB146" s="3170"/>
      <c r="ANC146" s="3170"/>
      <c r="AND146" s="3170"/>
      <c r="ANE146" s="3170"/>
      <c r="ANF146" s="3170"/>
      <c r="ANG146" s="3170"/>
      <c r="ANH146" s="3170"/>
      <c r="ANI146" s="3170"/>
      <c r="ANJ146" s="3170"/>
      <c r="ANK146" s="3170"/>
      <c r="ANL146" s="3170"/>
      <c r="ANM146" s="3170"/>
      <c r="ANN146" s="3170"/>
      <c r="ANO146" s="3170"/>
      <c r="ANP146" s="3170"/>
      <c r="ANQ146" s="3170"/>
      <c r="ANR146" s="3170"/>
      <c r="ANS146" s="3170"/>
      <c r="ANT146" s="3170"/>
      <c r="ANU146" s="3170"/>
      <c r="ANV146" s="3170"/>
      <c r="ANW146" s="3170"/>
      <c r="ANX146" s="3170"/>
      <c r="ANY146" s="3170"/>
      <c r="ANZ146" s="3170"/>
      <c r="AOA146" s="3170"/>
      <c r="AOB146" s="3170"/>
      <c r="AOC146" s="3170"/>
      <c r="AOD146" s="3170"/>
      <c r="AOE146" s="3170"/>
      <c r="AOF146" s="3170"/>
      <c r="AOG146" s="3170"/>
      <c r="AOH146" s="3170"/>
      <c r="AOI146" s="3170"/>
      <c r="AOJ146" s="3170"/>
      <c r="AOK146" s="3170"/>
      <c r="AOL146" s="3170"/>
      <c r="AOM146" s="3170"/>
      <c r="AON146" s="3170"/>
      <c r="AOO146" s="3170"/>
      <c r="AOP146" s="3170"/>
      <c r="AOQ146" s="3170"/>
      <c r="AOR146" s="3170"/>
      <c r="AOS146" s="3170"/>
      <c r="AOT146" s="3170"/>
      <c r="AOU146" s="3170"/>
      <c r="AOV146" s="3170"/>
      <c r="AOW146" s="3170"/>
      <c r="AOX146" s="3170"/>
      <c r="AOY146" s="3170"/>
      <c r="AOZ146" s="3170"/>
      <c r="APA146" s="3170"/>
      <c r="APB146" s="3170"/>
      <c r="APC146" s="3170"/>
      <c r="APD146" s="3170"/>
      <c r="APE146" s="3170"/>
      <c r="APF146" s="3170"/>
      <c r="APG146" s="3170"/>
      <c r="APH146" s="3170"/>
      <c r="API146" s="3170"/>
      <c r="APJ146" s="3170"/>
      <c r="APK146" s="3170"/>
      <c r="APL146" s="3170"/>
      <c r="APM146" s="3170"/>
      <c r="APN146" s="3170"/>
      <c r="APO146" s="3170"/>
      <c r="APP146" s="3170"/>
      <c r="APQ146" s="3170"/>
      <c r="APR146" s="3170"/>
      <c r="APS146" s="3170"/>
      <c r="APT146" s="3170"/>
      <c r="APU146" s="3170"/>
      <c r="APV146" s="3170"/>
      <c r="APW146" s="3170"/>
      <c r="APX146" s="3170"/>
      <c r="APY146" s="3170"/>
      <c r="APZ146" s="3170"/>
      <c r="AQA146" s="3170"/>
      <c r="AQB146" s="3170"/>
      <c r="AQC146" s="3170"/>
      <c r="AQD146" s="3170"/>
      <c r="AQE146" s="3170"/>
      <c r="AQF146" s="3170"/>
      <c r="AQG146" s="3170"/>
      <c r="AQH146" s="3170"/>
      <c r="AQI146" s="3170"/>
      <c r="AQJ146" s="3170"/>
      <c r="AQK146" s="3170"/>
      <c r="AQL146" s="3170"/>
      <c r="AQM146" s="3170"/>
      <c r="AQN146" s="3170"/>
      <c r="AQO146" s="3170"/>
      <c r="AQP146" s="3170"/>
      <c r="AQQ146" s="3170"/>
      <c r="AQR146" s="3170"/>
      <c r="AQS146" s="3170"/>
      <c r="AQT146" s="3170"/>
      <c r="AQU146" s="3170"/>
      <c r="AQV146" s="3170"/>
      <c r="AQW146" s="3170"/>
      <c r="AQX146" s="3170"/>
      <c r="AQY146" s="3170"/>
      <c r="AQZ146" s="3170"/>
      <c r="ARA146" s="3170"/>
      <c r="ARB146" s="3170"/>
      <c r="ARC146" s="3170"/>
      <c r="ARD146" s="3170"/>
      <c r="ARE146" s="3170"/>
      <c r="ARF146" s="3170"/>
      <c r="ARG146" s="3170"/>
      <c r="ARH146" s="3170"/>
      <c r="ARI146" s="3170"/>
      <c r="ARJ146" s="3170"/>
      <c r="ARK146" s="3170"/>
      <c r="ARL146" s="3170"/>
      <c r="ARM146" s="3170"/>
      <c r="ARN146" s="3170"/>
      <c r="ARO146" s="3170"/>
      <c r="ARP146" s="3170"/>
      <c r="ARQ146" s="3170"/>
      <c r="ARR146" s="3170"/>
      <c r="ARS146" s="3170"/>
      <c r="ART146" s="3170"/>
      <c r="ARU146" s="3170"/>
      <c r="ARV146" s="3170"/>
      <c r="ARW146" s="3170"/>
      <c r="ARX146" s="3170"/>
      <c r="ARY146" s="3170"/>
      <c r="ARZ146" s="3170"/>
      <c r="ASA146" s="3170"/>
      <c r="ASB146" s="3170"/>
      <c r="ASC146" s="3170"/>
      <c r="ASD146" s="3170"/>
      <c r="ASE146" s="3170"/>
      <c r="ASF146" s="3170"/>
      <c r="ASG146" s="3170"/>
      <c r="ASH146" s="3170"/>
      <c r="ASI146" s="3170"/>
      <c r="ASJ146" s="3170"/>
      <c r="ASK146" s="3170"/>
      <c r="ASL146" s="3170"/>
      <c r="ASM146" s="3170"/>
      <c r="ASN146" s="3170"/>
      <c r="ASO146" s="3170"/>
      <c r="ASP146" s="3170"/>
      <c r="ASQ146" s="3170"/>
      <c r="ASR146" s="3170"/>
      <c r="ASS146" s="3170"/>
      <c r="AST146" s="3170"/>
      <c r="ASU146" s="3170"/>
      <c r="ASV146" s="3170"/>
      <c r="ASW146" s="3170"/>
      <c r="ASX146" s="3170"/>
      <c r="ASY146" s="3170"/>
      <c r="ASZ146" s="3170"/>
      <c r="ATA146" s="3170"/>
      <c r="ATB146" s="3170"/>
      <c r="ATC146" s="3170"/>
      <c r="ATD146" s="3170"/>
      <c r="ATE146" s="3170"/>
      <c r="ATF146" s="3170"/>
      <c r="ATG146" s="3170"/>
      <c r="ATH146" s="3170"/>
      <c r="ATI146" s="3170"/>
      <c r="ATJ146" s="3170"/>
      <c r="ATK146" s="3170"/>
      <c r="ATL146" s="3170"/>
      <c r="ATM146" s="3170"/>
      <c r="ATN146" s="3170"/>
      <c r="ATO146" s="3170"/>
      <c r="ATP146" s="3170"/>
      <c r="ATQ146" s="3170"/>
      <c r="ATR146" s="3170"/>
      <c r="ATS146" s="3170"/>
      <c r="ATT146" s="3170"/>
      <c r="ATU146" s="3170"/>
      <c r="ATV146" s="3170"/>
      <c r="ATW146" s="3170"/>
      <c r="ATX146" s="3170"/>
      <c r="ATY146" s="3170"/>
      <c r="ATZ146" s="3170"/>
      <c r="AUA146" s="3170"/>
      <c r="AUB146" s="3170"/>
      <c r="AUC146" s="3170"/>
      <c r="AUD146" s="3170"/>
      <c r="AUE146" s="3170"/>
      <c r="AUF146" s="3170"/>
      <c r="AUG146" s="3170"/>
      <c r="AUH146" s="3170"/>
      <c r="AUI146" s="3170"/>
      <c r="AUJ146" s="3170"/>
      <c r="AUK146" s="3170"/>
      <c r="AUL146" s="3170"/>
      <c r="AUM146" s="3170"/>
      <c r="AUN146" s="3170"/>
      <c r="AUO146" s="3170"/>
      <c r="AUP146" s="3170"/>
      <c r="AUQ146" s="3170"/>
      <c r="AUR146" s="3170"/>
      <c r="AUS146" s="3170"/>
      <c r="AUT146" s="3170"/>
      <c r="AUU146" s="3170"/>
      <c r="AUV146" s="3170"/>
      <c r="AUW146" s="3170"/>
      <c r="AUX146" s="3170"/>
      <c r="AUY146" s="3170"/>
      <c r="AUZ146" s="3170"/>
      <c r="AVA146" s="3170"/>
      <c r="AVB146" s="3170"/>
      <c r="AVC146" s="3170"/>
      <c r="AVD146" s="3170"/>
      <c r="AVE146" s="3170"/>
      <c r="AVF146" s="3170"/>
      <c r="AVG146" s="3170"/>
      <c r="AVH146" s="3170"/>
      <c r="AVI146" s="3170"/>
      <c r="AVJ146" s="3170"/>
      <c r="AVK146" s="3170"/>
      <c r="AVL146" s="3170"/>
      <c r="AVM146" s="3170"/>
      <c r="AVN146" s="3170"/>
      <c r="AVO146" s="3170"/>
      <c r="AVP146" s="3170"/>
      <c r="AVQ146" s="3170"/>
      <c r="AVR146" s="3170"/>
      <c r="AVS146" s="3170"/>
      <c r="AVT146" s="3170"/>
      <c r="AVU146" s="3170"/>
      <c r="AVV146" s="3170"/>
      <c r="AVW146" s="3170"/>
      <c r="AVX146" s="3170"/>
      <c r="AVY146" s="3170"/>
      <c r="AVZ146" s="3170"/>
      <c r="AWA146" s="3170"/>
      <c r="AWB146" s="3170"/>
      <c r="AWC146" s="3170"/>
      <c r="AWD146" s="3170"/>
      <c r="AWE146" s="3170"/>
      <c r="AWF146" s="3170"/>
      <c r="AWG146" s="3170"/>
      <c r="AWH146" s="3170"/>
      <c r="AWI146" s="3170"/>
      <c r="AWJ146" s="3170"/>
      <c r="AWK146" s="3170"/>
      <c r="AWL146" s="3170"/>
      <c r="AWM146" s="3170"/>
      <c r="AWN146" s="3170"/>
      <c r="AWO146" s="3170"/>
      <c r="AWP146" s="3170"/>
      <c r="AWQ146" s="3170"/>
      <c r="AWR146" s="3170"/>
      <c r="AWS146" s="3170"/>
      <c r="AWT146" s="3170"/>
      <c r="AWU146" s="3170"/>
      <c r="AWV146" s="3170"/>
      <c r="AWW146" s="3170"/>
      <c r="AWX146" s="3170"/>
      <c r="AWY146" s="3170"/>
      <c r="AWZ146" s="3170"/>
      <c r="AXA146" s="3170"/>
      <c r="AXB146" s="3170"/>
      <c r="AXC146" s="3170"/>
      <c r="AXD146" s="3170"/>
      <c r="AXE146" s="3170"/>
      <c r="AXF146" s="3170"/>
      <c r="AXG146" s="3170"/>
      <c r="AXH146" s="3170"/>
      <c r="AXI146" s="3170"/>
      <c r="AXJ146" s="3170"/>
      <c r="AXK146" s="3170"/>
      <c r="AXL146" s="3170"/>
      <c r="AXM146" s="3170"/>
      <c r="AXN146" s="3170"/>
      <c r="AXO146" s="3170"/>
      <c r="AXP146" s="3170"/>
      <c r="AXQ146" s="3170"/>
      <c r="AXR146" s="3170"/>
      <c r="AXS146" s="3170"/>
      <c r="AXT146" s="3170"/>
      <c r="AXU146" s="3170"/>
      <c r="AXV146" s="3170"/>
      <c r="AXW146" s="3170"/>
      <c r="AXX146" s="3170"/>
      <c r="AXY146" s="3170"/>
      <c r="AXZ146" s="3170"/>
      <c r="AYA146" s="3170"/>
      <c r="AYB146" s="3170"/>
      <c r="AYC146" s="3170"/>
      <c r="AYD146" s="3170"/>
      <c r="AYE146" s="3170"/>
      <c r="AYF146" s="3170"/>
      <c r="AYG146" s="3170"/>
      <c r="AYH146" s="3170"/>
      <c r="AYI146" s="3170"/>
      <c r="AYJ146" s="3170"/>
      <c r="AYK146" s="3170"/>
      <c r="AYL146" s="3170"/>
      <c r="AYM146" s="3170"/>
      <c r="AYN146" s="3170"/>
      <c r="AYO146" s="3170"/>
      <c r="AYP146" s="3170"/>
      <c r="AYQ146" s="3170"/>
      <c r="AYR146" s="3170"/>
      <c r="AYS146" s="3170"/>
      <c r="AYT146" s="3170"/>
      <c r="AYU146" s="3170"/>
      <c r="AYV146" s="3170"/>
      <c r="AYW146" s="3170"/>
      <c r="AYX146" s="3170"/>
      <c r="AYY146" s="3170"/>
      <c r="AYZ146" s="3170"/>
      <c r="AZA146" s="3170"/>
      <c r="AZB146" s="3170"/>
      <c r="AZC146" s="3170"/>
      <c r="AZD146" s="3170"/>
      <c r="AZE146" s="3170"/>
      <c r="AZF146" s="3170"/>
      <c r="AZG146" s="3170"/>
      <c r="AZH146" s="3170"/>
      <c r="AZI146" s="3170"/>
      <c r="AZJ146" s="3170"/>
      <c r="AZK146" s="3170"/>
      <c r="AZL146" s="3170"/>
      <c r="AZM146" s="3170"/>
      <c r="AZN146" s="3170"/>
      <c r="AZO146" s="3170"/>
      <c r="AZP146" s="3170"/>
      <c r="AZQ146" s="3170"/>
      <c r="AZR146" s="3170"/>
      <c r="AZS146" s="3170"/>
      <c r="AZT146" s="3170"/>
      <c r="AZU146" s="3170"/>
      <c r="AZV146" s="3170"/>
      <c r="AZW146" s="3170"/>
      <c r="AZX146" s="3170"/>
      <c r="AZY146" s="3170"/>
      <c r="AZZ146" s="3170"/>
      <c r="BAA146" s="3170"/>
      <c r="BAB146" s="3170"/>
      <c r="BAC146" s="3170"/>
      <c r="BAD146" s="3170"/>
      <c r="BAE146" s="3170"/>
      <c r="BAF146" s="3170"/>
      <c r="BAG146" s="3170"/>
      <c r="BAH146" s="3170"/>
      <c r="BAI146" s="3170"/>
      <c r="BAJ146" s="3170"/>
      <c r="BAK146" s="3170"/>
      <c r="BAL146" s="3170"/>
      <c r="BAM146" s="3170"/>
      <c r="BAN146" s="3170"/>
      <c r="BAO146" s="3170"/>
      <c r="BAP146" s="3170"/>
      <c r="BAQ146" s="3170"/>
      <c r="BAR146" s="3170"/>
      <c r="BAS146" s="3170"/>
      <c r="BAT146" s="3170"/>
      <c r="BAU146" s="3170"/>
      <c r="BAV146" s="3170"/>
      <c r="BAW146" s="3170"/>
      <c r="BAX146" s="3170"/>
      <c r="BAY146" s="3170"/>
      <c r="BAZ146" s="3170"/>
      <c r="BBA146" s="3170"/>
      <c r="BBB146" s="3170"/>
      <c r="BBC146" s="3170"/>
      <c r="BBD146" s="3170"/>
      <c r="BBE146" s="3170"/>
      <c r="BBF146" s="3170"/>
      <c r="BBG146" s="3170"/>
      <c r="BBH146" s="3170"/>
      <c r="BBI146" s="3170"/>
      <c r="BBJ146" s="3170"/>
      <c r="BBK146" s="3170"/>
      <c r="BBL146" s="3170"/>
      <c r="BBM146" s="3170"/>
      <c r="BBN146" s="3170"/>
      <c r="BBO146" s="3170"/>
      <c r="BBP146" s="3170"/>
      <c r="BBQ146" s="3170"/>
      <c r="BBR146" s="3170"/>
      <c r="BBS146" s="3170"/>
      <c r="BBT146" s="3170"/>
      <c r="BBU146" s="3170"/>
      <c r="BBV146" s="3170"/>
      <c r="BBW146" s="3170"/>
      <c r="BBX146" s="3170"/>
      <c r="BBY146" s="3170"/>
      <c r="BBZ146" s="3170"/>
      <c r="BCA146" s="3170"/>
      <c r="BCB146" s="3170"/>
      <c r="BCC146" s="3170"/>
      <c r="BCD146" s="3170"/>
      <c r="BCE146" s="3170"/>
      <c r="BCF146" s="3170"/>
      <c r="BCG146" s="3170"/>
      <c r="BCH146" s="3170"/>
      <c r="BCI146" s="3170"/>
      <c r="BCJ146" s="3170"/>
      <c r="BCK146" s="3170"/>
      <c r="BCL146" s="3170"/>
      <c r="BCM146" s="3170"/>
      <c r="BCN146" s="3170"/>
      <c r="BCO146" s="3170"/>
      <c r="BCP146" s="3170"/>
      <c r="BCQ146" s="3170"/>
      <c r="BCR146" s="3170"/>
      <c r="BCS146" s="3170"/>
      <c r="BCT146" s="3170"/>
      <c r="BCU146" s="3170"/>
      <c r="BCV146" s="3170"/>
      <c r="BCW146" s="3170"/>
      <c r="BCX146" s="3170"/>
      <c r="BCY146" s="3170"/>
      <c r="BCZ146" s="3170"/>
      <c r="BDA146" s="3170"/>
      <c r="BDB146" s="3170"/>
      <c r="BDC146" s="3170"/>
      <c r="BDD146" s="3170"/>
      <c r="BDE146" s="3170"/>
      <c r="BDF146" s="3170"/>
      <c r="BDG146" s="3170"/>
      <c r="BDH146" s="3170"/>
      <c r="BDI146" s="3170"/>
      <c r="BDJ146" s="3170"/>
      <c r="BDK146" s="3170"/>
      <c r="BDL146" s="3170"/>
      <c r="BDM146" s="3170"/>
      <c r="BDN146" s="3170"/>
      <c r="BDO146" s="3170"/>
      <c r="BDP146" s="3170"/>
      <c r="BDQ146" s="3170"/>
      <c r="BDR146" s="3170"/>
      <c r="BDS146" s="3170"/>
      <c r="BDT146" s="3170"/>
      <c r="BDU146" s="3170"/>
      <c r="BDV146" s="3170"/>
      <c r="BDW146" s="3170"/>
      <c r="BDX146" s="3170"/>
      <c r="BDY146" s="3170"/>
      <c r="BDZ146" s="3170"/>
      <c r="BEA146" s="3170"/>
      <c r="BEB146" s="3170"/>
      <c r="BEC146" s="3170"/>
      <c r="BED146" s="3170"/>
      <c r="BEE146" s="3170"/>
      <c r="BEF146" s="3170"/>
      <c r="BEG146" s="3170"/>
      <c r="BEH146" s="3170"/>
      <c r="BEI146" s="3170"/>
      <c r="BEJ146" s="3170"/>
      <c r="BEK146" s="3170"/>
      <c r="BEL146" s="3170"/>
      <c r="BEM146" s="3170"/>
      <c r="BEN146" s="3170"/>
      <c r="BEO146" s="3170"/>
      <c r="BEP146" s="3170"/>
      <c r="BEQ146" s="3170"/>
      <c r="BER146" s="3170"/>
      <c r="BES146" s="3170"/>
      <c r="BET146" s="3170"/>
      <c r="BEU146" s="3170"/>
      <c r="BEV146" s="3170"/>
      <c r="BEW146" s="3170"/>
      <c r="BEX146" s="3170"/>
      <c r="BEY146" s="3170"/>
      <c r="BEZ146" s="3170"/>
      <c r="BFA146" s="3170"/>
      <c r="BFB146" s="3170"/>
      <c r="BFC146" s="3170"/>
      <c r="BFD146" s="3170"/>
      <c r="BFE146" s="3170"/>
      <c r="BFF146" s="3170"/>
      <c r="BFG146" s="3170"/>
      <c r="BFH146" s="3170"/>
      <c r="BFI146" s="3170"/>
      <c r="BFJ146" s="3170"/>
      <c r="BFK146" s="3170"/>
      <c r="BFL146" s="3170"/>
      <c r="BFM146" s="3170"/>
      <c r="BFN146" s="3170"/>
      <c r="BFO146" s="3170"/>
      <c r="BFP146" s="3170"/>
      <c r="BFQ146" s="3170"/>
      <c r="BFR146" s="3170"/>
      <c r="BFS146" s="3170"/>
      <c r="BFT146" s="3170"/>
      <c r="BFU146" s="3170"/>
      <c r="BFV146" s="3170"/>
      <c r="BFW146" s="3170"/>
      <c r="BFX146" s="3170"/>
      <c r="BFY146" s="3170"/>
      <c r="BFZ146" s="3170"/>
      <c r="BGA146" s="3170"/>
      <c r="BGB146" s="3170"/>
      <c r="BGC146" s="3170"/>
      <c r="BGD146" s="3170"/>
      <c r="BGE146" s="3170"/>
      <c r="BGF146" s="3170"/>
      <c r="BGG146" s="3170"/>
      <c r="BGH146" s="3170"/>
      <c r="BGI146" s="3170"/>
      <c r="BGJ146" s="3170"/>
      <c r="BGK146" s="3170"/>
      <c r="BGL146" s="3170"/>
      <c r="BGM146" s="3170"/>
      <c r="BGN146" s="3170"/>
      <c r="BGO146" s="3170"/>
      <c r="BGP146" s="3170"/>
      <c r="BGQ146" s="3170"/>
      <c r="BGR146" s="3170"/>
      <c r="BGS146" s="3170"/>
      <c r="BGT146" s="3170"/>
      <c r="BGU146" s="3170"/>
      <c r="BGV146" s="3170"/>
      <c r="BGW146" s="3170"/>
      <c r="BGX146" s="3170"/>
      <c r="BGY146" s="3170"/>
      <c r="BGZ146" s="3170"/>
      <c r="BHA146" s="3170"/>
      <c r="BHB146" s="3170"/>
      <c r="BHC146" s="3170"/>
      <c r="BHD146" s="3170"/>
      <c r="BHE146" s="3170"/>
      <c r="BHF146" s="3170"/>
      <c r="BHG146" s="3170"/>
      <c r="BHH146" s="3170"/>
      <c r="BHI146" s="3170"/>
      <c r="BHJ146" s="3170"/>
      <c r="BHK146" s="3170"/>
      <c r="BHL146" s="3170"/>
      <c r="BHM146" s="3170"/>
      <c r="BHN146" s="3170"/>
      <c r="BHO146" s="3170"/>
      <c r="BHP146" s="3170"/>
      <c r="BHQ146" s="3170"/>
      <c r="BHR146" s="3170"/>
      <c r="BHS146" s="3170"/>
      <c r="BHT146" s="3170"/>
      <c r="BHU146" s="3170"/>
      <c r="BHV146" s="3170"/>
      <c r="BHW146" s="3170"/>
      <c r="BHX146" s="3170"/>
      <c r="BHY146" s="3170"/>
      <c r="BHZ146" s="3170"/>
      <c r="BIA146" s="3170"/>
      <c r="BIB146" s="3170"/>
      <c r="BIC146" s="3170"/>
      <c r="BID146" s="3170"/>
      <c r="BIE146" s="3170"/>
      <c r="BIF146" s="3170"/>
      <c r="BIG146" s="3170"/>
      <c r="BIH146" s="3170"/>
      <c r="BII146" s="3170"/>
      <c r="BIJ146" s="3170"/>
      <c r="BIK146" s="3170"/>
      <c r="BIL146" s="3170"/>
      <c r="BIM146" s="3170"/>
      <c r="BIN146" s="3170"/>
      <c r="BIO146" s="3170"/>
      <c r="BIP146" s="3170"/>
      <c r="BIQ146" s="3170"/>
      <c r="BIR146" s="3170"/>
      <c r="BIS146" s="3170"/>
      <c r="BIT146" s="3170"/>
      <c r="BIU146" s="3170"/>
      <c r="BIV146" s="3170"/>
      <c r="BIW146" s="3170"/>
      <c r="BIX146" s="3170"/>
      <c r="BIY146" s="3170"/>
      <c r="BIZ146" s="3170"/>
      <c r="BJA146" s="3170"/>
      <c r="BJB146" s="3170"/>
      <c r="BJC146" s="3170"/>
      <c r="BJD146" s="3170"/>
      <c r="BJE146" s="3170"/>
      <c r="BJF146" s="3170"/>
      <c r="BJG146" s="3170"/>
      <c r="BJH146" s="3170"/>
      <c r="BJI146" s="3170"/>
      <c r="BJJ146" s="3170"/>
      <c r="BJK146" s="3170"/>
      <c r="BJL146" s="3170"/>
      <c r="BJM146" s="3170"/>
      <c r="BJN146" s="3170"/>
      <c r="BJO146" s="3170"/>
      <c r="BJP146" s="3170"/>
      <c r="BJQ146" s="3170"/>
      <c r="BJR146" s="3170"/>
      <c r="BJS146" s="3170"/>
      <c r="BJT146" s="3170"/>
      <c r="BJU146" s="3170"/>
      <c r="BJV146" s="3170"/>
      <c r="BJW146" s="3170"/>
      <c r="BJX146" s="3170"/>
      <c r="BJY146" s="3170"/>
      <c r="BJZ146" s="3170"/>
      <c r="BKA146" s="3170"/>
      <c r="BKB146" s="3170"/>
      <c r="BKC146" s="3170"/>
      <c r="BKD146" s="3170"/>
      <c r="BKE146" s="3170"/>
      <c r="BKF146" s="3170"/>
      <c r="BKG146" s="3170"/>
      <c r="BKH146" s="3170"/>
      <c r="BKI146" s="3170"/>
      <c r="BKJ146" s="3170"/>
      <c r="BKK146" s="3170"/>
      <c r="BKL146" s="3170"/>
      <c r="BKM146" s="3170"/>
      <c r="BKN146" s="3170"/>
      <c r="BKO146" s="3170"/>
      <c r="BKP146" s="3170"/>
      <c r="BKQ146" s="3170"/>
      <c r="BKR146" s="3170"/>
      <c r="BKS146" s="3170"/>
      <c r="BKT146" s="3170"/>
      <c r="BKU146" s="3170"/>
      <c r="BKV146" s="3170"/>
      <c r="BKW146" s="3170"/>
      <c r="BKX146" s="3170"/>
      <c r="BKY146" s="3170"/>
      <c r="BKZ146" s="3170"/>
      <c r="BLA146" s="3170"/>
      <c r="BLB146" s="3170"/>
      <c r="BLC146" s="3170"/>
      <c r="BLD146" s="3170"/>
      <c r="BLE146" s="3170"/>
      <c r="BLF146" s="3170"/>
      <c r="BLG146" s="3170"/>
      <c r="BLH146" s="3170"/>
      <c r="BLI146" s="3170"/>
      <c r="BLJ146" s="3170"/>
      <c r="BLK146" s="3170"/>
      <c r="BLL146" s="3170"/>
      <c r="BLM146" s="3170"/>
      <c r="BLN146" s="3170"/>
      <c r="BLO146" s="3170"/>
      <c r="BLP146" s="3170"/>
      <c r="BLQ146" s="3170"/>
      <c r="BLR146" s="3170"/>
      <c r="BLS146" s="3170"/>
      <c r="BLT146" s="3170"/>
      <c r="BLU146" s="3170"/>
      <c r="BLV146" s="3170"/>
      <c r="BLW146" s="3170"/>
      <c r="BLX146" s="3170"/>
      <c r="BLY146" s="3170"/>
      <c r="BLZ146" s="3170"/>
      <c r="BMA146" s="3170"/>
      <c r="BMB146" s="3170"/>
      <c r="BMC146" s="3170"/>
      <c r="BMD146" s="3170"/>
      <c r="BME146" s="3170"/>
      <c r="BMF146" s="3170"/>
      <c r="BMG146" s="3170"/>
      <c r="BMH146" s="3170"/>
      <c r="BMI146" s="3170"/>
      <c r="BMJ146" s="3170"/>
      <c r="BMK146" s="3170"/>
      <c r="BML146" s="3170"/>
      <c r="BMM146" s="3170"/>
      <c r="BMN146" s="3170"/>
      <c r="BMO146" s="3170"/>
      <c r="BMP146" s="3170"/>
      <c r="BMQ146" s="3170"/>
      <c r="BMR146" s="3170"/>
      <c r="BMS146" s="3170"/>
      <c r="BMT146" s="3170"/>
      <c r="BMU146" s="3170"/>
      <c r="BMV146" s="3170"/>
      <c r="BMW146" s="3170"/>
      <c r="BMX146" s="3170"/>
      <c r="BMY146" s="3170"/>
      <c r="BMZ146" s="3170"/>
      <c r="BNA146" s="3170"/>
      <c r="BNB146" s="3170"/>
      <c r="BNC146" s="3170"/>
      <c r="BND146" s="3170"/>
      <c r="BNE146" s="3170"/>
      <c r="BNF146" s="3170"/>
      <c r="BNG146" s="3170"/>
      <c r="BNH146" s="3170"/>
      <c r="BNI146" s="3170"/>
      <c r="BNJ146" s="3170"/>
      <c r="BNK146" s="3170"/>
      <c r="BNL146" s="3170"/>
      <c r="BNM146" s="3170"/>
      <c r="BNN146" s="3170"/>
      <c r="BNO146" s="3170"/>
      <c r="BNP146" s="3170"/>
      <c r="BNQ146" s="3170"/>
      <c r="BNR146" s="3170"/>
      <c r="BNS146" s="3170"/>
      <c r="BNT146" s="3170"/>
      <c r="BNU146" s="3170"/>
      <c r="BNV146" s="3170"/>
      <c r="BNW146" s="3170"/>
      <c r="BNX146" s="3170"/>
      <c r="BNY146" s="3170"/>
      <c r="BNZ146" s="3170"/>
      <c r="BOA146" s="3170"/>
      <c r="BOB146" s="3170"/>
      <c r="BOC146" s="3170"/>
      <c r="BOD146" s="3170"/>
      <c r="BOE146" s="3170"/>
      <c r="BOF146" s="3170"/>
      <c r="BOG146" s="3170"/>
      <c r="BOH146" s="3170"/>
      <c r="BOI146" s="3170"/>
      <c r="BOJ146" s="3170"/>
      <c r="BOK146" s="3170"/>
      <c r="BOL146" s="3170"/>
      <c r="BOM146" s="3170"/>
      <c r="BON146" s="3170"/>
      <c r="BOO146" s="3170"/>
      <c r="BOP146" s="3170"/>
      <c r="BOQ146" s="3170"/>
      <c r="BOR146" s="3170"/>
      <c r="BOS146" s="3170"/>
      <c r="BOT146" s="3170"/>
      <c r="BOU146" s="3170"/>
      <c r="BOV146" s="3170"/>
      <c r="BOW146" s="3170"/>
      <c r="BOX146" s="3170"/>
      <c r="BOY146" s="3170"/>
      <c r="BOZ146" s="3170"/>
      <c r="BPA146" s="3170"/>
      <c r="BPB146" s="3170"/>
      <c r="BPC146" s="3170"/>
      <c r="BPD146" s="3170"/>
      <c r="BPE146" s="3170"/>
      <c r="BPF146" s="3170"/>
      <c r="BPG146" s="3170"/>
      <c r="BPH146" s="3170"/>
      <c r="BPI146" s="3170"/>
      <c r="BPJ146" s="3170"/>
      <c r="BPK146" s="3170"/>
      <c r="BPL146" s="3170"/>
      <c r="BPM146" s="3170"/>
      <c r="BPN146" s="3170"/>
      <c r="BPO146" s="3170"/>
      <c r="BPP146" s="3170"/>
      <c r="BPQ146" s="3170"/>
      <c r="BPR146" s="3170"/>
      <c r="BPS146" s="3170"/>
      <c r="BPT146" s="3170"/>
      <c r="BPU146" s="3170"/>
      <c r="BPV146" s="3170"/>
      <c r="BPW146" s="3170"/>
      <c r="BPX146" s="3170"/>
      <c r="BPY146" s="3170"/>
      <c r="BPZ146" s="3170"/>
      <c r="BQA146" s="3170"/>
      <c r="BQB146" s="3170"/>
      <c r="BQC146" s="3170"/>
      <c r="BQD146" s="3170"/>
      <c r="BQE146" s="3170"/>
      <c r="BQF146" s="3170"/>
      <c r="BQG146" s="3170"/>
      <c r="BQH146" s="3170"/>
      <c r="BQI146" s="3170"/>
      <c r="BQJ146" s="3170"/>
      <c r="BQK146" s="3170"/>
      <c r="BQL146" s="3170"/>
      <c r="BQM146" s="3170"/>
      <c r="BQN146" s="3170"/>
      <c r="BQO146" s="3170"/>
      <c r="BQP146" s="3170"/>
      <c r="BQQ146" s="3170"/>
      <c r="BQR146" s="3170"/>
      <c r="BQS146" s="3170"/>
      <c r="BQT146" s="3170"/>
      <c r="BQU146" s="3170"/>
      <c r="BQV146" s="3170"/>
      <c r="BQW146" s="3170"/>
      <c r="BQX146" s="3170"/>
      <c r="BQY146" s="3170"/>
      <c r="BQZ146" s="3170"/>
      <c r="BRA146" s="3170"/>
      <c r="BRB146" s="3170"/>
      <c r="BRC146" s="3170"/>
      <c r="BRD146" s="3170"/>
      <c r="BRE146" s="3170"/>
      <c r="BRF146" s="3170"/>
      <c r="BRG146" s="3170"/>
      <c r="BRH146" s="3170"/>
      <c r="BRI146" s="3170"/>
      <c r="BRJ146" s="3170"/>
      <c r="BRK146" s="3170"/>
      <c r="BRL146" s="3170"/>
      <c r="BRM146" s="3170"/>
      <c r="BRN146" s="3170"/>
      <c r="BRO146" s="3170"/>
      <c r="BRP146" s="3170"/>
      <c r="BRQ146" s="3170"/>
      <c r="BRR146" s="3170"/>
      <c r="BRS146" s="3170"/>
      <c r="BRT146" s="3170"/>
      <c r="BRU146" s="3170"/>
      <c r="BRV146" s="3170"/>
      <c r="BRW146" s="3170"/>
      <c r="BRX146" s="3170"/>
      <c r="BRY146" s="3170"/>
      <c r="BRZ146" s="3170"/>
      <c r="BSA146" s="3170"/>
      <c r="BSB146" s="3170"/>
      <c r="BSC146" s="3170"/>
      <c r="BSD146" s="3170"/>
      <c r="BSE146" s="3170"/>
      <c r="BSF146" s="3170"/>
      <c r="BSG146" s="3170"/>
      <c r="BSH146" s="3170"/>
      <c r="BSI146" s="3170"/>
      <c r="BSJ146" s="3170"/>
      <c r="BSK146" s="3170"/>
      <c r="BSL146" s="3170"/>
      <c r="BSM146" s="3170"/>
      <c r="BSN146" s="3170"/>
      <c r="BSO146" s="3170"/>
      <c r="BSP146" s="3170"/>
      <c r="BSQ146" s="3170"/>
      <c r="BSR146" s="3170"/>
      <c r="BSS146" s="3170"/>
      <c r="BST146" s="3170"/>
      <c r="BSU146" s="3170"/>
      <c r="BSV146" s="3170"/>
      <c r="BSW146" s="3170"/>
      <c r="BSX146" s="3170"/>
      <c r="BSY146" s="3170"/>
      <c r="BSZ146" s="3170"/>
      <c r="BTA146" s="3170"/>
      <c r="BTB146" s="3170"/>
      <c r="BTC146" s="3170"/>
      <c r="BTD146" s="3170"/>
      <c r="BTE146" s="3170"/>
      <c r="BTF146" s="3170"/>
      <c r="BTG146" s="3170"/>
      <c r="BTH146" s="3170"/>
      <c r="BTI146" s="3170"/>
      <c r="BTJ146" s="3170"/>
      <c r="BTK146" s="3170"/>
      <c r="BTL146" s="3170"/>
      <c r="BTM146" s="3170"/>
      <c r="BTN146" s="3170"/>
      <c r="BTO146" s="3170"/>
      <c r="BTP146" s="3170"/>
      <c r="BTQ146" s="3170"/>
      <c r="BTR146" s="3170"/>
      <c r="BTS146" s="3170"/>
      <c r="BTT146" s="3170"/>
      <c r="BTU146" s="3170"/>
      <c r="BTV146" s="3170"/>
      <c r="BTW146" s="3170"/>
      <c r="BTX146" s="3170"/>
      <c r="BTY146" s="3170"/>
      <c r="BTZ146" s="3170"/>
      <c r="BUA146" s="3170"/>
      <c r="BUB146" s="3170"/>
      <c r="BUC146" s="3170"/>
      <c r="BUD146" s="3170"/>
      <c r="BUE146" s="3170"/>
      <c r="BUF146" s="3170"/>
      <c r="BUG146" s="3170"/>
      <c r="BUH146" s="3170"/>
      <c r="BUI146" s="3170"/>
      <c r="BUJ146" s="3170"/>
      <c r="BUK146" s="3170"/>
      <c r="BUL146" s="3170"/>
      <c r="BUM146" s="3170"/>
      <c r="BUN146" s="3170"/>
      <c r="BUO146" s="3170"/>
      <c r="BUP146" s="3170"/>
      <c r="BUQ146" s="3170"/>
      <c r="BUR146" s="3170"/>
      <c r="BUS146" s="3170"/>
      <c r="BUT146" s="3170"/>
      <c r="BUU146" s="3170"/>
      <c r="BUV146" s="3170"/>
      <c r="BUW146" s="3170"/>
      <c r="BUX146" s="3170"/>
      <c r="BUY146" s="3170"/>
      <c r="BUZ146" s="3170"/>
      <c r="BVA146" s="3170"/>
      <c r="BVB146" s="3170"/>
      <c r="BVC146" s="3170"/>
      <c r="BVD146" s="3170"/>
      <c r="BVE146" s="3170"/>
      <c r="BVF146" s="3170"/>
      <c r="BVG146" s="3170"/>
      <c r="BVH146" s="3170"/>
      <c r="BVI146" s="3170"/>
      <c r="BVJ146" s="3170"/>
      <c r="BVK146" s="3170"/>
      <c r="BVL146" s="3170"/>
      <c r="BVM146" s="3170"/>
      <c r="BVN146" s="3170"/>
      <c r="BVO146" s="3170"/>
      <c r="BVP146" s="3170"/>
      <c r="BVQ146" s="3170"/>
      <c r="BVR146" s="3170"/>
      <c r="BVS146" s="3170"/>
      <c r="BVT146" s="3170"/>
      <c r="BVU146" s="3170"/>
      <c r="BVV146" s="3170"/>
      <c r="BVW146" s="3170"/>
      <c r="BVX146" s="3170"/>
      <c r="BVY146" s="3170"/>
      <c r="BVZ146" s="3170"/>
      <c r="BWA146" s="3170"/>
      <c r="BWB146" s="3170"/>
      <c r="BWC146" s="3170"/>
      <c r="BWD146" s="3170"/>
      <c r="BWE146" s="3170"/>
      <c r="BWF146" s="3170"/>
      <c r="BWG146" s="3170"/>
      <c r="BWH146" s="3170"/>
      <c r="BWI146" s="3170"/>
      <c r="BWJ146" s="3170"/>
      <c r="BWK146" s="3170"/>
      <c r="BWL146" s="3170"/>
      <c r="BWM146" s="3170"/>
      <c r="BWN146" s="3170"/>
      <c r="BWO146" s="3170"/>
      <c r="BWP146" s="3170"/>
      <c r="BWQ146" s="3170"/>
      <c r="BWR146" s="3170"/>
      <c r="BWS146" s="3170"/>
      <c r="BWT146" s="3170"/>
      <c r="BWU146" s="3170"/>
      <c r="BWV146" s="3170"/>
      <c r="BWW146" s="3170"/>
      <c r="BWX146" s="3170"/>
      <c r="BWY146" s="3170"/>
      <c r="BWZ146" s="3170"/>
      <c r="BXA146" s="3170"/>
      <c r="BXB146" s="3170"/>
      <c r="BXC146" s="3170"/>
      <c r="BXD146" s="3170"/>
      <c r="BXE146" s="3170"/>
      <c r="BXF146" s="3170"/>
      <c r="BXG146" s="3170"/>
      <c r="BXH146" s="3170"/>
      <c r="BXI146" s="3170"/>
      <c r="BXJ146" s="3170"/>
      <c r="BXK146" s="3170"/>
      <c r="BXL146" s="3170"/>
      <c r="BXM146" s="3170"/>
      <c r="BXN146" s="3170"/>
      <c r="BXO146" s="3170"/>
      <c r="BXP146" s="3170"/>
      <c r="BXQ146" s="3170"/>
      <c r="BXR146" s="3170"/>
      <c r="BXS146" s="3170"/>
      <c r="BXT146" s="3170"/>
      <c r="BXU146" s="3170"/>
      <c r="BXV146" s="3170"/>
      <c r="BXW146" s="3170"/>
      <c r="BXX146" s="3170"/>
      <c r="BXY146" s="3170"/>
      <c r="BXZ146" s="3170"/>
      <c r="BYA146" s="3170"/>
      <c r="BYB146" s="3170"/>
      <c r="BYC146" s="3170"/>
      <c r="BYD146" s="3170"/>
      <c r="BYE146" s="3170"/>
      <c r="BYF146" s="3170"/>
      <c r="BYG146" s="3170"/>
      <c r="BYH146" s="3170"/>
      <c r="BYI146" s="3170"/>
      <c r="BYJ146" s="3170"/>
      <c r="BYK146" s="3170"/>
      <c r="BYL146" s="3170"/>
      <c r="BYM146" s="3170"/>
      <c r="BYN146" s="3170"/>
      <c r="BYO146" s="3170"/>
      <c r="BYP146" s="3170"/>
      <c r="BYQ146" s="3170"/>
      <c r="BYR146" s="3170"/>
      <c r="BYS146" s="3170"/>
      <c r="BYT146" s="3170"/>
      <c r="BYU146" s="3170"/>
      <c r="BYV146" s="3170"/>
      <c r="BYW146" s="3170"/>
      <c r="BYX146" s="3170"/>
      <c r="BYY146" s="3170"/>
      <c r="BYZ146" s="3170"/>
      <c r="BZA146" s="3170"/>
      <c r="BZB146" s="3170"/>
      <c r="BZC146" s="3170"/>
      <c r="BZD146" s="3170"/>
      <c r="BZE146" s="3170"/>
      <c r="BZF146" s="3170"/>
      <c r="BZG146" s="3170"/>
      <c r="BZH146" s="3170"/>
      <c r="BZI146" s="3170"/>
      <c r="BZJ146" s="3170"/>
      <c r="BZK146" s="3170"/>
      <c r="BZL146" s="3170"/>
      <c r="BZM146" s="3170"/>
      <c r="BZN146" s="3170"/>
      <c r="BZO146" s="3170"/>
      <c r="BZP146" s="3170"/>
      <c r="BZQ146" s="3170"/>
      <c r="BZR146" s="3170"/>
      <c r="BZS146" s="3170"/>
      <c r="BZT146" s="3170"/>
      <c r="BZU146" s="3170"/>
      <c r="BZV146" s="3170"/>
      <c r="BZW146" s="3170"/>
      <c r="BZX146" s="3170"/>
      <c r="BZY146" s="3170"/>
      <c r="BZZ146" s="3170"/>
      <c r="CAA146" s="3170"/>
      <c r="CAB146" s="3170"/>
      <c r="CAC146" s="3170"/>
      <c r="CAD146" s="3170"/>
      <c r="CAE146" s="3170"/>
      <c r="CAF146" s="3170"/>
      <c r="CAG146" s="3170"/>
      <c r="CAH146" s="3170"/>
      <c r="CAI146" s="3170"/>
      <c r="CAJ146" s="3170"/>
      <c r="CAK146" s="3170"/>
      <c r="CAL146" s="3170"/>
      <c r="CAM146" s="3170"/>
      <c r="CAN146" s="3170"/>
      <c r="CAO146" s="3170"/>
      <c r="CAP146" s="3170"/>
      <c r="CAQ146" s="3170"/>
      <c r="CAR146" s="3170"/>
      <c r="CAS146" s="3170"/>
      <c r="CAT146" s="3170"/>
      <c r="CAU146" s="3170"/>
      <c r="CAV146" s="3170"/>
      <c r="CAW146" s="3170"/>
      <c r="CAX146" s="3170"/>
      <c r="CAY146" s="3170"/>
      <c r="CAZ146" s="3170"/>
      <c r="CBA146" s="3170"/>
      <c r="CBB146" s="3170"/>
      <c r="CBC146" s="3170"/>
      <c r="CBD146" s="3170"/>
      <c r="CBE146" s="3170"/>
      <c r="CBF146" s="3170"/>
      <c r="CBG146" s="3170"/>
      <c r="CBH146" s="3170"/>
      <c r="CBI146" s="3170"/>
      <c r="CBJ146" s="3170"/>
      <c r="CBK146" s="3170"/>
      <c r="CBL146" s="3170"/>
      <c r="CBM146" s="3170"/>
      <c r="CBN146" s="3170"/>
      <c r="CBO146" s="3170"/>
      <c r="CBP146" s="3170"/>
      <c r="CBQ146" s="3170"/>
      <c r="CBR146" s="3170"/>
      <c r="CBS146" s="3170"/>
      <c r="CBT146" s="3170"/>
      <c r="CBU146" s="3170"/>
      <c r="CBV146" s="3170"/>
      <c r="CBW146" s="3170"/>
      <c r="CBX146" s="3170"/>
      <c r="CBY146" s="3170"/>
      <c r="CBZ146" s="3170"/>
      <c r="CCA146" s="3170"/>
      <c r="CCB146" s="3170"/>
      <c r="CCC146" s="3170"/>
      <c r="CCD146" s="3170"/>
      <c r="CCE146" s="3170"/>
      <c r="CCF146" s="3170"/>
      <c r="CCG146" s="3170"/>
      <c r="CCH146" s="3170"/>
      <c r="CCI146" s="3170"/>
      <c r="CCJ146" s="3170"/>
      <c r="CCK146" s="3170"/>
      <c r="CCL146" s="3170"/>
      <c r="CCM146" s="3170"/>
      <c r="CCN146" s="3170"/>
      <c r="CCO146" s="3170"/>
      <c r="CCP146" s="3170"/>
      <c r="CCQ146" s="3170"/>
      <c r="CCR146" s="3170"/>
      <c r="CCS146" s="3170"/>
      <c r="CCT146" s="3170"/>
      <c r="CCU146" s="3170"/>
      <c r="CCV146" s="3170"/>
      <c r="CCW146" s="3170"/>
      <c r="CCX146" s="3170"/>
      <c r="CCY146" s="3170"/>
      <c r="CCZ146" s="3170"/>
      <c r="CDA146" s="3170"/>
      <c r="CDB146" s="3170"/>
      <c r="CDC146" s="3170"/>
      <c r="CDD146" s="3170"/>
      <c r="CDE146" s="3170"/>
      <c r="CDF146" s="3170"/>
      <c r="CDG146" s="3170"/>
      <c r="CDH146" s="3170"/>
      <c r="CDI146" s="3170"/>
      <c r="CDJ146" s="3170"/>
      <c r="CDK146" s="3170"/>
      <c r="CDL146" s="3170"/>
      <c r="CDM146" s="3170"/>
      <c r="CDN146" s="3170"/>
      <c r="CDO146" s="3170"/>
      <c r="CDP146" s="3170"/>
      <c r="CDQ146" s="3170"/>
      <c r="CDR146" s="3170"/>
      <c r="CDS146" s="3170"/>
      <c r="CDT146" s="3170"/>
      <c r="CDU146" s="3170"/>
      <c r="CDV146" s="3170"/>
      <c r="CDW146" s="3170"/>
      <c r="CDX146" s="3170"/>
      <c r="CDY146" s="3170"/>
      <c r="CDZ146" s="3170"/>
      <c r="CEA146" s="3170"/>
      <c r="CEB146" s="3170"/>
      <c r="CEC146" s="3170"/>
      <c r="CED146" s="3170"/>
      <c r="CEE146" s="3170"/>
      <c r="CEF146" s="3170"/>
      <c r="CEG146" s="3170"/>
      <c r="CEH146" s="3170"/>
      <c r="CEI146" s="3170"/>
      <c r="CEJ146" s="3170"/>
      <c r="CEK146" s="3170"/>
      <c r="CEL146" s="3170"/>
      <c r="CEM146" s="3170"/>
      <c r="CEN146" s="3170"/>
      <c r="CEO146" s="3170"/>
      <c r="CEP146" s="3170"/>
      <c r="CEQ146" s="3170"/>
      <c r="CER146" s="3170"/>
      <c r="CES146" s="3170"/>
      <c r="CET146" s="3170"/>
      <c r="CEU146" s="3170"/>
      <c r="CEV146" s="3170"/>
      <c r="CEW146" s="3170"/>
      <c r="CEX146" s="3170"/>
      <c r="CEY146" s="3170"/>
      <c r="CEZ146" s="3170"/>
      <c r="CFA146" s="3170"/>
      <c r="CFB146" s="3170"/>
      <c r="CFC146" s="3170"/>
      <c r="CFD146" s="3170"/>
      <c r="CFE146" s="3170"/>
      <c r="CFF146" s="3170"/>
      <c r="CFG146" s="3170"/>
      <c r="CFH146" s="3170"/>
      <c r="CFI146" s="3170"/>
      <c r="CFJ146" s="3170"/>
      <c r="CFK146" s="3170"/>
      <c r="CFL146" s="3170"/>
      <c r="CFM146" s="3170"/>
      <c r="CFN146" s="3170"/>
      <c r="CFO146" s="3170"/>
      <c r="CFP146" s="3170"/>
      <c r="CFQ146" s="3170"/>
      <c r="CFR146" s="3170"/>
      <c r="CFS146" s="3170"/>
      <c r="CFT146" s="3170"/>
      <c r="CFU146" s="3170"/>
      <c r="CFV146" s="3170"/>
      <c r="CFW146" s="3170"/>
      <c r="CFX146" s="3170"/>
      <c r="CFY146" s="3170"/>
      <c r="CFZ146" s="3170"/>
      <c r="CGA146" s="3170"/>
      <c r="CGB146" s="3170"/>
      <c r="CGC146" s="3170"/>
      <c r="CGD146" s="3170"/>
      <c r="CGE146" s="3170"/>
      <c r="CGF146" s="3170"/>
      <c r="CGG146" s="3170"/>
      <c r="CGH146" s="3170"/>
      <c r="CGI146" s="3170"/>
      <c r="CGJ146" s="3170"/>
      <c r="CGK146" s="3170"/>
      <c r="CGL146" s="3170"/>
      <c r="CGM146" s="3170"/>
      <c r="CGN146" s="3170"/>
      <c r="CGO146" s="3170"/>
      <c r="CGP146" s="3170"/>
      <c r="CGQ146" s="3170"/>
      <c r="CGR146" s="3170"/>
      <c r="CGS146" s="3170"/>
      <c r="CGT146" s="3170"/>
      <c r="CGU146" s="3170"/>
      <c r="CGV146" s="3170"/>
      <c r="CGW146" s="3170"/>
      <c r="CGX146" s="3170"/>
      <c r="CGY146" s="3170"/>
      <c r="CGZ146" s="3170"/>
      <c r="CHA146" s="3170"/>
      <c r="CHB146" s="3170"/>
      <c r="CHC146" s="3170"/>
      <c r="CHD146" s="3170"/>
      <c r="CHE146" s="3170"/>
      <c r="CHF146" s="3170"/>
      <c r="CHG146" s="3170"/>
      <c r="CHH146" s="3170"/>
      <c r="CHI146" s="3170"/>
      <c r="CHJ146" s="3170"/>
      <c r="CHK146" s="3170"/>
      <c r="CHL146" s="3170"/>
      <c r="CHM146" s="3170"/>
      <c r="CHN146" s="3170"/>
      <c r="CHO146" s="3170"/>
      <c r="CHP146" s="3170"/>
      <c r="CHQ146" s="3170"/>
      <c r="CHR146" s="3170"/>
      <c r="CHS146" s="3170"/>
      <c r="CHT146" s="3170"/>
      <c r="CHU146" s="3170"/>
      <c r="CHV146" s="3170"/>
      <c r="CHW146" s="3170"/>
      <c r="CHX146" s="3170"/>
      <c r="CHY146" s="3170"/>
      <c r="CHZ146" s="3170"/>
      <c r="CIA146" s="3170"/>
      <c r="CIB146" s="3170"/>
      <c r="CIC146" s="3170"/>
      <c r="CID146" s="3170"/>
      <c r="CIE146" s="3170"/>
      <c r="CIF146" s="3170"/>
      <c r="CIG146" s="3170"/>
      <c r="CIH146" s="3170"/>
      <c r="CII146" s="3170"/>
      <c r="CIJ146" s="3170"/>
      <c r="CIK146" s="3170"/>
      <c r="CIL146" s="3170"/>
      <c r="CIM146" s="3170"/>
      <c r="CIN146" s="3170"/>
      <c r="CIO146" s="3170"/>
      <c r="CIP146" s="3170"/>
      <c r="CIQ146" s="3170"/>
      <c r="CIR146" s="3170"/>
      <c r="CIS146" s="3170"/>
      <c r="CIT146" s="3170"/>
      <c r="CIU146" s="3170"/>
      <c r="CIV146" s="3170"/>
      <c r="CIW146" s="3170"/>
      <c r="CIX146" s="3170"/>
      <c r="CIY146" s="3170"/>
      <c r="CIZ146" s="3170"/>
      <c r="CJA146" s="3170"/>
      <c r="CJB146" s="3170"/>
      <c r="CJC146" s="3170"/>
      <c r="CJD146" s="3170"/>
      <c r="CJE146" s="3170"/>
      <c r="CJF146" s="3170"/>
      <c r="CJG146" s="3170"/>
      <c r="CJH146" s="3170"/>
      <c r="CJI146" s="3170"/>
      <c r="CJJ146" s="3170"/>
      <c r="CJK146" s="3170"/>
      <c r="CJL146" s="3170"/>
      <c r="CJM146" s="3170"/>
      <c r="CJN146" s="3170"/>
      <c r="CJO146" s="3170"/>
      <c r="CJP146" s="3170"/>
      <c r="CJQ146" s="3170"/>
      <c r="CJR146" s="3170"/>
      <c r="CJS146" s="3170"/>
      <c r="CJT146" s="3170"/>
      <c r="CJU146" s="3170"/>
      <c r="CJV146" s="3170"/>
      <c r="CJW146" s="3170"/>
      <c r="CJX146" s="3170"/>
      <c r="CJY146" s="3170"/>
      <c r="CJZ146" s="3170"/>
      <c r="CKA146" s="3170"/>
      <c r="CKB146" s="3170"/>
      <c r="CKC146" s="3170"/>
      <c r="CKD146" s="3170"/>
      <c r="CKE146" s="3170"/>
      <c r="CKF146" s="3170"/>
      <c r="CKG146" s="3170"/>
      <c r="CKH146" s="3170"/>
      <c r="CKI146" s="3170"/>
      <c r="CKJ146" s="3170"/>
      <c r="CKK146" s="3170"/>
      <c r="CKL146" s="3170"/>
      <c r="CKM146" s="3170"/>
      <c r="CKN146" s="3170"/>
      <c r="CKO146" s="3170"/>
      <c r="CKP146" s="3170"/>
      <c r="CKQ146" s="3170"/>
      <c r="CKR146" s="3170"/>
      <c r="CKS146" s="3170"/>
      <c r="CKT146" s="3170"/>
      <c r="CKU146" s="3170"/>
      <c r="CKV146" s="3170"/>
      <c r="CKW146" s="3170"/>
      <c r="CKX146" s="3170"/>
      <c r="CKY146" s="3170"/>
      <c r="CKZ146" s="3170"/>
      <c r="CLA146" s="3170"/>
      <c r="CLB146" s="3170"/>
      <c r="CLC146" s="3170"/>
      <c r="CLD146" s="3170"/>
      <c r="CLE146" s="3170"/>
      <c r="CLF146" s="3170"/>
      <c r="CLG146" s="3170"/>
      <c r="CLH146" s="3170"/>
      <c r="CLI146" s="3170"/>
      <c r="CLJ146" s="3170"/>
      <c r="CLK146" s="3170"/>
      <c r="CLL146" s="3170"/>
      <c r="CLM146" s="3170"/>
      <c r="CLN146" s="3170"/>
      <c r="CLO146" s="3170"/>
      <c r="CLP146" s="3170"/>
      <c r="CLQ146" s="3170"/>
      <c r="CLR146" s="3170"/>
      <c r="CLS146" s="3170"/>
      <c r="CLT146" s="3170"/>
      <c r="CLU146" s="3170"/>
      <c r="CLV146" s="3170"/>
      <c r="CLW146" s="3170"/>
      <c r="CLX146" s="3170"/>
      <c r="CLY146" s="3170"/>
      <c r="CLZ146" s="3170"/>
      <c r="CMA146" s="3170"/>
      <c r="CMB146" s="3170"/>
      <c r="CMC146" s="3170"/>
      <c r="CMD146" s="3170"/>
      <c r="CME146" s="3170"/>
      <c r="CMF146" s="3170"/>
      <c r="CMG146" s="3170"/>
      <c r="CMH146" s="3170"/>
      <c r="CMI146" s="3170"/>
      <c r="CMJ146" s="3170"/>
      <c r="CMK146" s="3170"/>
      <c r="CML146" s="3170"/>
      <c r="CMM146" s="3170"/>
      <c r="CMN146" s="3170"/>
      <c r="CMO146" s="3170"/>
      <c r="CMP146" s="3170"/>
      <c r="CMQ146" s="3170"/>
      <c r="CMR146" s="3170"/>
      <c r="CMS146" s="3170"/>
      <c r="CMT146" s="3170"/>
      <c r="CMU146" s="3170"/>
      <c r="CMV146" s="3170"/>
      <c r="CMW146" s="3170"/>
      <c r="CMX146" s="3170"/>
      <c r="CMY146" s="3170"/>
      <c r="CMZ146" s="3170"/>
      <c r="CNA146" s="3170"/>
      <c r="CNB146" s="3170"/>
      <c r="CNC146" s="3170"/>
      <c r="CND146" s="3170"/>
      <c r="CNE146" s="3170"/>
      <c r="CNF146" s="3170"/>
      <c r="CNG146" s="3170"/>
      <c r="CNH146" s="3170"/>
      <c r="CNI146" s="3170"/>
      <c r="CNJ146" s="3170"/>
      <c r="CNK146" s="3170"/>
      <c r="CNL146" s="3170"/>
      <c r="CNM146" s="3170"/>
      <c r="CNN146" s="3170"/>
      <c r="CNO146" s="3170"/>
      <c r="CNP146" s="3170"/>
      <c r="CNQ146" s="3170"/>
      <c r="CNR146" s="3170"/>
      <c r="CNS146" s="3170"/>
      <c r="CNT146" s="3170"/>
      <c r="CNU146" s="3170"/>
      <c r="CNV146" s="3170"/>
      <c r="CNW146" s="3170"/>
      <c r="CNX146" s="3170"/>
      <c r="CNY146" s="3170"/>
      <c r="CNZ146" s="3170"/>
      <c r="COA146" s="3170"/>
      <c r="COB146" s="3170"/>
      <c r="COC146" s="3170"/>
      <c r="COD146" s="3170"/>
      <c r="COE146" s="3170"/>
      <c r="COF146" s="3170"/>
      <c r="COG146" s="3170"/>
      <c r="COH146" s="3170"/>
      <c r="COI146" s="3170"/>
      <c r="COJ146" s="3170"/>
      <c r="COK146" s="3170"/>
      <c r="COL146" s="3170"/>
      <c r="COM146" s="3170"/>
      <c r="CON146" s="3170"/>
      <c r="COO146" s="3170"/>
      <c r="COP146" s="3170"/>
      <c r="COQ146" s="3170"/>
      <c r="COR146" s="3170"/>
      <c r="COS146" s="3170"/>
      <c r="COT146" s="3170"/>
      <c r="COU146" s="3170"/>
      <c r="COV146" s="3170"/>
      <c r="COW146" s="3170"/>
      <c r="COX146" s="3170"/>
      <c r="COY146" s="3170"/>
      <c r="COZ146" s="3170"/>
      <c r="CPA146" s="3170"/>
      <c r="CPB146" s="3170"/>
      <c r="CPC146" s="3170"/>
      <c r="CPD146" s="3170"/>
      <c r="CPE146" s="3170"/>
      <c r="CPF146" s="3170"/>
      <c r="CPG146" s="3170"/>
      <c r="CPH146" s="3170"/>
      <c r="CPI146" s="3170"/>
      <c r="CPJ146" s="3170"/>
      <c r="CPK146" s="3170"/>
      <c r="CPL146" s="3170"/>
      <c r="CPM146" s="3170"/>
      <c r="CPN146" s="3170"/>
      <c r="CPO146" s="3170"/>
      <c r="CPP146" s="3170"/>
      <c r="CPQ146" s="3170"/>
      <c r="CPR146" s="3170"/>
      <c r="CPS146" s="3170"/>
      <c r="CPT146" s="3170"/>
      <c r="CPU146" s="3170"/>
      <c r="CPV146" s="3170"/>
      <c r="CPW146" s="3170"/>
      <c r="CPX146" s="3170"/>
      <c r="CPY146" s="3170"/>
      <c r="CPZ146" s="3170"/>
      <c r="CQA146" s="3170"/>
      <c r="CQB146" s="3170"/>
      <c r="CQC146" s="3170"/>
      <c r="CQD146" s="3170"/>
      <c r="CQE146" s="3170"/>
      <c r="CQF146" s="3170"/>
      <c r="CQG146" s="3170"/>
      <c r="CQH146" s="3170"/>
      <c r="CQI146" s="3170"/>
      <c r="CQJ146" s="3170"/>
      <c r="CQK146" s="3170"/>
      <c r="CQL146" s="3170"/>
      <c r="CQM146" s="3170"/>
      <c r="CQN146" s="3170"/>
      <c r="CQO146" s="3170"/>
      <c r="CQP146" s="3170"/>
      <c r="CQQ146" s="3170"/>
      <c r="CQR146" s="3170"/>
      <c r="CQS146" s="3170"/>
      <c r="CQT146" s="3170"/>
      <c r="CQU146" s="3170"/>
      <c r="CQV146" s="3170"/>
      <c r="CQW146" s="3170"/>
      <c r="CQX146" s="3170"/>
      <c r="CQY146" s="3170"/>
      <c r="CQZ146" s="3170"/>
      <c r="CRA146" s="3170"/>
      <c r="CRB146" s="3170"/>
      <c r="CRC146" s="3170"/>
      <c r="CRD146" s="3170"/>
      <c r="CRE146" s="3170"/>
      <c r="CRF146" s="3170"/>
      <c r="CRG146" s="3170"/>
      <c r="CRH146" s="3170"/>
      <c r="CRI146" s="3170"/>
      <c r="CRJ146" s="3170"/>
      <c r="CRK146" s="3170"/>
      <c r="CRL146" s="3170"/>
      <c r="CRM146" s="3170"/>
      <c r="CRN146" s="3170"/>
      <c r="CRO146" s="3170"/>
      <c r="CRP146" s="3170"/>
      <c r="CRQ146" s="3170"/>
      <c r="CRR146" s="3170"/>
      <c r="CRS146" s="3170"/>
      <c r="CRT146" s="3170"/>
      <c r="CRU146" s="3170"/>
      <c r="CRV146" s="3170"/>
      <c r="CRW146" s="3170"/>
      <c r="CRX146" s="3170"/>
      <c r="CRY146" s="3170"/>
      <c r="CRZ146" s="3170"/>
      <c r="CSA146" s="3170"/>
      <c r="CSB146" s="3170"/>
      <c r="CSC146" s="3170"/>
      <c r="CSD146" s="3170"/>
      <c r="CSE146" s="3170"/>
      <c r="CSF146" s="3170"/>
      <c r="CSG146" s="3170"/>
      <c r="CSH146" s="3170"/>
      <c r="CSI146" s="3170"/>
      <c r="CSJ146" s="3170"/>
      <c r="CSK146" s="3170"/>
      <c r="CSL146" s="3170"/>
      <c r="CSM146" s="3170"/>
      <c r="CSN146" s="3170"/>
      <c r="CSO146" s="3170"/>
      <c r="CSP146" s="3170"/>
      <c r="CSQ146" s="3170"/>
      <c r="CSR146" s="3170"/>
      <c r="CSS146" s="3170"/>
      <c r="CST146" s="3170"/>
      <c r="CSU146" s="3170"/>
      <c r="CSV146" s="3170"/>
      <c r="CSW146" s="3170"/>
      <c r="CSX146" s="3170"/>
      <c r="CSY146" s="3170"/>
      <c r="CSZ146" s="3170"/>
      <c r="CTA146" s="3170"/>
      <c r="CTB146" s="3170"/>
      <c r="CTC146" s="3170"/>
      <c r="CTD146" s="3170"/>
      <c r="CTE146" s="3170"/>
      <c r="CTF146" s="3170"/>
      <c r="CTG146" s="3170"/>
      <c r="CTH146" s="3170"/>
      <c r="CTI146" s="3170"/>
      <c r="CTJ146" s="3170"/>
      <c r="CTK146" s="3170"/>
      <c r="CTL146" s="3170"/>
      <c r="CTM146" s="3170"/>
      <c r="CTN146" s="3170"/>
      <c r="CTO146" s="3170"/>
      <c r="CTP146" s="3170"/>
      <c r="CTQ146" s="3170"/>
      <c r="CTR146" s="3170"/>
      <c r="CTS146" s="3170"/>
      <c r="CTT146" s="3170"/>
      <c r="CTU146" s="3170"/>
      <c r="CTV146" s="3170"/>
      <c r="CTW146" s="3170"/>
      <c r="CTX146" s="3170"/>
      <c r="CTY146" s="3170"/>
      <c r="CTZ146" s="3170"/>
      <c r="CUA146" s="3170"/>
      <c r="CUB146" s="3170"/>
      <c r="CUC146" s="3170"/>
      <c r="CUD146" s="3170"/>
      <c r="CUE146" s="3170"/>
      <c r="CUF146" s="3170"/>
      <c r="CUG146" s="3170"/>
      <c r="CUH146" s="3170"/>
      <c r="CUI146" s="3170"/>
      <c r="CUJ146" s="3170"/>
      <c r="CUK146" s="3170"/>
      <c r="CUL146" s="3170"/>
      <c r="CUM146" s="3170"/>
      <c r="CUN146" s="3170"/>
      <c r="CUO146" s="3170"/>
      <c r="CUP146" s="3170"/>
      <c r="CUQ146" s="3170"/>
      <c r="CUR146" s="3170"/>
      <c r="CUS146" s="3170"/>
      <c r="CUT146" s="3170"/>
      <c r="CUU146" s="3170"/>
      <c r="CUV146" s="3170"/>
      <c r="CUW146" s="3170"/>
      <c r="CUX146" s="3170"/>
      <c r="CUY146" s="3170"/>
      <c r="CUZ146" s="3170"/>
      <c r="CVA146" s="3170"/>
      <c r="CVB146" s="3170"/>
      <c r="CVC146" s="3170"/>
      <c r="CVD146" s="3170"/>
      <c r="CVE146" s="3170"/>
      <c r="CVF146" s="3170"/>
      <c r="CVG146" s="3170"/>
      <c r="CVH146" s="3170"/>
      <c r="CVI146" s="3170"/>
      <c r="CVJ146" s="3170"/>
      <c r="CVK146" s="3170"/>
      <c r="CVL146" s="3170"/>
      <c r="CVM146" s="3170"/>
      <c r="CVN146" s="3170"/>
      <c r="CVO146" s="3170"/>
      <c r="CVP146" s="3170"/>
      <c r="CVQ146" s="3170"/>
      <c r="CVR146" s="3170"/>
      <c r="CVS146" s="3170"/>
      <c r="CVT146" s="3170"/>
      <c r="CVU146" s="3170"/>
      <c r="CVV146" s="3170"/>
      <c r="CVW146" s="3170"/>
      <c r="CVX146" s="3170"/>
      <c r="CVY146" s="3170"/>
      <c r="CVZ146" s="3170"/>
      <c r="CWA146" s="3170"/>
      <c r="CWB146" s="3170"/>
      <c r="CWC146" s="3170"/>
      <c r="CWD146" s="3170"/>
      <c r="CWE146" s="3170"/>
      <c r="CWF146" s="3170"/>
      <c r="CWG146" s="3170"/>
      <c r="CWH146" s="3170"/>
      <c r="CWI146" s="3170"/>
      <c r="CWJ146" s="3170"/>
      <c r="CWK146" s="3170"/>
      <c r="CWL146" s="3170"/>
      <c r="CWM146" s="3170"/>
      <c r="CWN146" s="3170"/>
      <c r="CWO146" s="3170"/>
      <c r="CWP146" s="3170"/>
      <c r="CWQ146" s="3170"/>
      <c r="CWR146" s="3170"/>
      <c r="CWS146" s="3170"/>
      <c r="CWT146" s="3170"/>
      <c r="CWU146" s="3170"/>
      <c r="CWV146" s="3170"/>
      <c r="CWW146" s="3170"/>
      <c r="CWX146" s="3170"/>
      <c r="CWY146" s="3170"/>
      <c r="CWZ146" s="3170"/>
      <c r="CXA146" s="3170"/>
      <c r="CXB146" s="3170"/>
      <c r="CXC146" s="3170"/>
      <c r="CXD146" s="3170"/>
      <c r="CXE146" s="3170"/>
      <c r="CXF146" s="3170"/>
      <c r="CXG146" s="3170"/>
      <c r="CXH146" s="3170"/>
      <c r="CXI146" s="3170"/>
      <c r="CXJ146" s="3170"/>
      <c r="CXK146" s="3170"/>
      <c r="CXL146" s="3170"/>
      <c r="CXM146" s="3170"/>
      <c r="CXN146" s="3170"/>
      <c r="CXO146" s="3170"/>
      <c r="CXP146" s="3170"/>
      <c r="CXQ146" s="3170"/>
      <c r="CXR146" s="3170"/>
      <c r="CXS146" s="3170"/>
      <c r="CXT146" s="3170"/>
      <c r="CXU146" s="3170"/>
      <c r="CXV146" s="3170"/>
      <c r="CXW146" s="3170"/>
      <c r="CXX146" s="3170"/>
      <c r="CXY146" s="3170"/>
      <c r="CXZ146" s="3170"/>
      <c r="CYA146" s="3170"/>
      <c r="CYB146" s="3170"/>
      <c r="CYC146" s="3170"/>
      <c r="CYD146" s="3170"/>
      <c r="CYE146" s="3170"/>
      <c r="CYF146" s="3170"/>
      <c r="CYG146" s="3170"/>
      <c r="CYH146" s="3170"/>
      <c r="CYI146" s="3170"/>
      <c r="CYJ146" s="3170"/>
      <c r="CYK146" s="3170"/>
      <c r="CYL146" s="3170"/>
      <c r="CYM146" s="3170"/>
      <c r="CYN146" s="3170"/>
      <c r="CYO146" s="3170"/>
      <c r="CYP146" s="3170"/>
      <c r="CYQ146" s="3170"/>
      <c r="CYR146" s="3170"/>
      <c r="CYS146" s="3170"/>
      <c r="CYT146" s="3170"/>
      <c r="CYU146" s="3170"/>
      <c r="CYV146" s="3170"/>
      <c r="CYW146" s="3170"/>
      <c r="CYX146" s="3170"/>
      <c r="CYY146" s="3170"/>
      <c r="CYZ146" s="3170"/>
      <c r="CZA146" s="3170"/>
      <c r="CZB146" s="3170"/>
      <c r="CZC146" s="3170"/>
      <c r="CZD146" s="3170"/>
      <c r="CZE146" s="3170"/>
      <c r="CZF146" s="3170"/>
      <c r="CZG146" s="3170"/>
      <c r="CZH146" s="3170"/>
      <c r="CZI146" s="3170"/>
      <c r="CZJ146" s="3170"/>
      <c r="CZK146" s="3170"/>
      <c r="CZL146" s="3170"/>
      <c r="CZM146" s="3170"/>
      <c r="CZN146" s="3170"/>
      <c r="CZO146" s="3170"/>
      <c r="CZP146" s="3170"/>
      <c r="CZQ146" s="3170"/>
      <c r="CZR146" s="3170"/>
      <c r="CZS146" s="3170"/>
      <c r="CZT146" s="3170"/>
      <c r="CZU146" s="3170"/>
      <c r="CZV146" s="3170"/>
      <c r="CZW146" s="3170"/>
      <c r="CZX146" s="3170"/>
      <c r="CZY146" s="3170"/>
      <c r="CZZ146" s="3170"/>
      <c r="DAA146" s="3170"/>
      <c r="DAB146" s="3170"/>
      <c r="DAC146" s="3170"/>
      <c r="DAD146" s="3170"/>
      <c r="DAE146" s="3170"/>
      <c r="DAF146" s="3170"/>
      <c r="DAG146" s="3170"/>
      <c r="DAH146" s="3170"/>
      <c r="DAI146" s="3170"/>
      <c r="DAJ146" s="3170"/>
      <c r="DAK146" s="3170"/>
      <c r="DAL146" s="3170"/>
      <c r="DAM146" s="3170"/>
      <c r="DAN146" s="3170"/>
      <c r="DAO146" s="3170"/>
      <c r="DAP146" s="3170"/>
      <c r="DAQ146" s="3170"/>
      <c r="DAR146" s="3170"/>
      <c r="DAS146" s="3170"/>
      <c r="DAT146" s="3170"/>
      <c r="DAU146" s="3170"/>
      <c r="DAV146" s="3170"/>
      <c r="DAW146" s="3170"/>
      <c r="DAX146" s="3170"/>
      <c r="DAY146" s="3170"/>
      <c r="DAZ146" s="3170"/>
      <c r="DBA146" s="3170"/>
      <c r="DBB146" s="3170"/>
      <c r="DBC146" s="3170"/>
      <c r="DBD146" s="3170"/>
      <c r="DBE146" s="3170"/>
      <c r="DBF146" s="3170"/>
      <c r="DBG146" s="3170"/>
      <c r="DBH146" s="3170"/>
      <c r="DBI146" s="3170"/>
      <c r="DBJ146" s="3170"/>
      <c r="DBK146" s="3170"/>
      <c r="DBL146" s="3170"/>
      <c r="DBM146" s="3170"/>
      <c r="DBN146" s="3170"/>
      <c r="DBO146" s="3170"/>
      <c r="DBP146" s="3170"/>
      <c r="DBQ146" s="3170"/>
      <c r="DBR146" s="3170"/>
      <c r="DBS146" s="3170"/>
      <c r="DBT146" s="3170"/>
      <c r="DBU146" s="3170"/>
      <c r="DBV146" s="3170"/>
      <c r="DBW146" s="3170"/>
      <c r="DBX146" s="3170"/>
      <c r="DBY146" s="3170"/>
      <c r="DBZ146" s="3170"/>
      <c r="DCA146" s="3170"/>
      <c r="DCB146" s="3170"/>
      <c r="DCC146" s="3170"/>
      <c r="DCD146" s="3170"/>
      <c r="DCE146" s="3170"/>
      <c r="DCF146" s="3170"/>
      <c r="DCG146" s="3170"/>
      <c r="DCH146" s="3170"/>
      <c r="DCI146" s="3170"/>
      <c r="DCJ146" s="3170"/>
      <c r="DCK146" s="3170"/>
      <c r="DCL146" s="3170"/>
      <c r="DCM146" s="3170"/>
      <c r="DCN146" s="3170"/>
      <c r="DCO146" s="3170"/>
      <c r="DCP146" s="3170"/>
      <c r="DCQ146" s="3170"/>
      <c r="DCR146" s="3170"/>
      <c r="DCS146" s="3170"/>
      <c r="DCT146" s="3170"/>
      <c r="DCU146" s="3170"/>
      <c r="DCV146" s="3170"/>
      <c r="DCW146" s="3170"/>
      <c r="DCX146" s="3170"/>
      <c r="DCY146" s="3170"/>
      <c r="DCZ146" s="3170"/>
      <c r="DDA146" s="3170"/>
      <c r="DDB146" s="3170"/>
      <c r="DDC146" s="3170"/>
      <c r="DDD146" s="3170"/>
      <c r="DDE146" s="3170"/>
      <c r="DDF146" s="3170"/>
      <c r="DDG146" s="3170"/>
      <c r="DDH146" s="3170"/>
      <c r="DDI146" s="3170"/>
      <c r="DDJ146" s="3170"/>
      <c r="DDK146" s="3170"/>
      <c r="DDL146" s="3170"/>
      <c r="DDM146" s="3170"/>
      <c r="DDN146" s="3170"/>
      <c r="DDO146" s="3170"/>
      <c r="DDP146" s="3170"/>
      <c r="DDQ146" s="3170"/>
      <c r="DDR146" s="3170"/>
      <c r="DDS146" s="3170"/>
      <c r="DDT146" s="3170"/>
      <c r="DDU146" s="3170"/>
      <c r="DDV146" s="3170"/>
      <c r="DDW146" s="3170"/>
      <c r="DDX146" s="3170"/>
      <c r="DDY146" s="3170"/>
      <c r="DDZ146" s="3170"/>
      <c r="DEA146" s="3170"/>
      <c r="DEB146" s="3170"/>
      <c r="DEC146" s="3170"/>
      <c r="DED146" s="3170"/>
      <c r="DEE146" s="3170"/>
      <c r="DEF146" s="3170"/>
      <c r="DEG146" s="3170"/>
      <c r="DEH146" s="3170"/>
      <c r="DEI146" s="3170"/>
      <c r="DEJ146" s="3170"/>
      <c r="DEK146" s="3170"/>
      <c r="DEL146" s="3170"/>
      <c r="DEM146" s="3170"/>
      <c r="DEN146" s="3170"/>
      <c r="DEO146" s="3170"/>
      <c r="DEP146" s="3170"/>
      <c r="DEQ146" s="3170"/>
      <c r="DER146" s="3170"/>
      <c r="DES146" s="3170"/>
      <c r="DET146" s="3170"/>
      <c r="DEU146" s="3170"/>
      <c r="DEV146" s="3170"/>
      <c r="DEW146" s="3170"/>
      <c r="DEX146" s="3170"/>
      <c r="DEY146" s="3170"/>
      <c r="DEZ146" s="3170"/>
      <c r="DFA146" s="3170"/>
      <c r="DFB146" s="3170"/>
      <c r="DFC146" s="3170"/>
      <c r="DFD146" s="3170"/>
      <c r="DFE146" s="3170"/>
      <c r="DFF146" s="3170"/>
      <c r="DFG146" s="3170"/>
      <c r="DFH146" s="3170"/>
      <c r="DFI146" s="3170"/>
      <c r="DFJ146" s="3170"/>
      <c r="DFK146" s="3170"/>
      <c r="DFL146" s="3170"/>
      <c r="DFM146" s="3170"/>
      <c r="DFN146" s="3170"/>
      <c r="DFO146" s="3170"/>
      <c r="DFP146" s="3170"/>
      <c r="DFQ146" s="3170"/>
      <c r="DFR146" s="3170"/>
      <c r="DFS146" s="3170"/>
      <c r="DFT146" s="3170"/>
      <c r="DFU146" s="3170"/>
      <c r="DFV146" s="3170"/>
      <c r="DFW146" s="3170"/>
      <c r="DFX146" s="3170"/>
      <c r="DFY146" s="3170"/>
      <c r="DFZ146" s="3170"/>
      <c r="DGA146" s="3170"/>
      <c r="DGB146" s="3170"/>
      <c r="DGC146" s="3170"/>
      <c r="DGD146" s="3170"/>
      <c r="DGE146" s="3170"/>
      <c r="DGF146" s="3170"/>
      <c r="DGG146" s="3170"/>
      <c r="DGH146" s="3170"/>
      <c r="DGI146" s="3170"/>
      <c r="DGJ146" s="3170"/>
      <c r="DGK146" s="3170"/>
      <c r="DGL146" s="3170"/>
      <c r="DGM146" s="3170"/>
      <c r="DGN146" s="3170"/>
      <c r="DGO146" s="3170"/>
      <c r="DGP146" s="3170"/>
      <c r="DGQ146" s="3170"/>
      <c r="DGR146" s="3170"/>
      <c r="DGS146" s="3170"/>
      <c r="DGT146" s="3170"/>
      <c r="DGU146" s="3170"/>
      <c r="DGV146" s="3170"/>
      <c r="DGW146" s="3170"/>
      <c r="DGX146" s="3170"/>
      <c r="DGY146" s="3170"/>
      <c r="DGZ146" s="3170"/>
      <c r="DHA146" s="3170"/>
      <c r="DHB146" s="3170"/>
      <c r="DHC146" s="3170"/>
      <c r="DHD146" s="3170"/>
      <c r="DHE146" s="3170"/>
      <c r="DHF146" s="3170"/>
      <c r="DHG146" s="3170"/>
      <c r="DHH146" s="3170"/>
      <c r="DHI146" s="3170"/>
      <c r="DHJ146" s="3170"/>
      <c r="DHK146" s="3170"/>
      <c r="DHL146" s="3170"/>
      <c r="DHM146" s="3170"/>
      <c r="DHN146" s="3170"/>
      <c r="DHO146" s="3170"/>
      <c r="DHP146" s="3170"/>
      <c r="DHQ146" s="3170"/>
      <c r="DHR146" s="3170"/>
      <c r="DHS146" s="3170"/>
      <c r="DHT146" s="3170"/>
      <c r="DHU146" s="3170"/>
      <c r="DHV146" s="3170"/>
      <c r="DHW146" s="3170"/>
      <c r="DHX146" s="3170"/>
      <c r="DHY146" s="3170"/>
      <c r="DHZ146" s="3170"/>
      <c r="DIA146" s="3170"/>
      <c r="DIB146" s="3170"/>
      <c r="DIC146" s="3170"/>
      <c r="DID146" s="3170"/>
      <c r="DIE146" s="3170"/>
      <c r="DIF146" s="3170"/>
      <c r="DIG146" s="3170"/>
      <c r="DIH146" s="3170"/>
      <c r="DII146" s="3170"/>
      <c r="DIJ146" s="3170"/>
      <c r="DIK146" s="3170"/>
      <c r="DIL146" s="3170"/>
      <c r="DIM146" s="3170"/>
      <c r="DIN146" s="3170"/>
      <c r="DIO146" s="3170"/>
      <c r="DIP146" s="3170"/>
      <c r="DIQ146" s="3170"/>
      <c r="DIR146" s="3170"/>
      <c r="DIS146" s="3170"/>
      <c r="DIT146" s="3170"/>
      <c r="DIU146" s="3170"/>
      <c r="DIV146" s="3170"/>
      <c r="DIW146" s="3170"/>
      <c r="DIX146" s="3170"/>
      <c r="DIY146" s="3170"/>
      <c r="DIZ146" s="3170"/>
      <c r="DJA146" s="3170"/>
      <c r="DJB146" s="3170"/>
      <c r="DJC146" s="3170"/>
      <c r="DJD146" s="3170"/>
      <c r="DJE146" s="3170"/>
      <c r="DJF146" s="3170"/>
      <c r="DJG146" s="3170"/>
      <c r="DJH146" s="3170"/>
      <c r="DJI146" s="3170"/>
      <c r="DJJ146" s="3170"/>
      <c r="DJK146" s="3170"/>
      <c r="DJL146" s="3170"/>
      <c r="DJM146" s="3170"/>
      <c r="DJN146" s="3170"/>
      <c r="DJO146" s="3170"/>
      <c r="DJP146" s="3170"/>
      <c r="DJQ146" s="3170"/>
      <c r="DJR146" s="3170"/>
      <c r="DJS146" s="3170"/>
      <c r="DJT146" s="3170"/>
      <c r="DJU146" s="3170"/>
      <c r="DJV146" s="3170"/>
      <c r="DJW146" s="3170"/>
      <c r="DJX146" s="3170"/>
      <c r="DJY146" s="3170"/>
      <c r="DJZ146" s="3170"/>
      <c r="DKA146" s="3170"/>
      <c r="DKB146" s="3170"/>
      <c r="DKC146" s="3170"/>
      <c r="DKD146" s="3170"/>
      <c r="DKE146" s="3170"/>
      <c r="DKF146" s="3170"/>
      <c r="DKG146" s="3170"/>
      <c r="DKH146" s="3170"/>
      <c r="DKI146" s="3170"/>
      <c r="DKJ146" s="3170"/>
      <c r="DKK146" s="3170"/>
      <c r="DKL146" s="3170"/>
      <c r="DKM146" s="3170"/>
      <c r="DKN146" s="3170"/>
      <c r="DKO146" s="3170"/>
      <c r="DKP146" s="3170"/>
      <c r="DKQ146" s="3170"/>
      <c r="DKR146" s="3170"/>
      <c r="DKS146" s="3170"/>
      <c r="DKT146" s="3170"/>
      <c r="DKU146" s="3170"/>
      <c r="DKV146" s="3170"/>
      <c r="DKW146" s="3170"/>
      <c r="DKX146" s="3170"/>
      <c r="DKY146" s="3170"/>
      <c r="DKZ146" s="3170"/>
      <c r="DLA146" s="3170"/>
      <c r="DLB146" s="3170"/>
      <c r="DLC146" s="3170"/>
      <c r="DLD146" s="3170"/>
      <c r="DLE146" s="3170"/>
      <c r="DLF146" s="3170"/>
      <c r="DLG146" s="3170"/>
      <c r="DLH146" s="3170"/>
      <c r="DLI146" s="3170"/>
      <c r="DLJ146" s="3170"/>
      <c r="DLK146" s="3170"/>
      <c r="DLL146" s="3170"/>
      <c r="DLM146" s="3170"/>
      <c r="DLN146" s="3170"/>
      <c r="DLO146" s="3170"/>
      <c r="DLP146" s="3170"/>
      <c r="DLQ146" s="3170"/>
      <c r="DLR146" s="3170"/>
      <c r="DLS146" s="3170"/>
      <c r="DLT146" s="3170"/>
      <c r="DLU146" s="3170"/>
      <c r="DLV146" s="3170"/>
      <c r="DLW146" s="3170"/>
      <c r="DLX146" s="3170"/>
      <c r="DLY146" s="3170"/>
      <c r="DLZ146" s="3170"/>
      <c r="DMA146" s="3170"/>
      <c r="DMB146" s="3170"/>
      <c r="DMC146" s="3170"/>
      <c r="DMD146" s="3170"/>
      <c r="DME146" s="3170"/>
      <c r="DMF146" s="3170"/>
      <c r="DMG146" s="3170"/>
      <c r="DMH146" s="3170"/>
      <c r="DMI146" s="3170"/>
      <c r="DMJ146" s="3170"/>
      <c r="DMK146" s="3170"/>
      <c r="DML146" s="3170"/>
      <c r="DMM146" s="3170"/>
      <c r="DMN146" s="3170"/>
      <c r="DMO146" s="3170"/>
      <c r="DMP146" s="3170"/>
      <c r="DMQ146" s="3170"/>
      <c r="DMR146" s="3170"/>
      <c r="DMS146" s="3170"/>
      <c r="DMT146" s="3170"/>
      <c r="DMU146" s="3170"/>
      <c r="DMV146" s="3170"/>
      <c r="DMW146" s="3170"/>
      <c r="DMX146" s="3170"/>
      <c r="DMY146" s="3170"/>
      <c r="DMZ146" s="3170"/>
      <c r="DNA146" s="3170"/>
      <c r="DNB146" s="3170"/>
      <c r="DNC146" s="3170"/>
      <c r="DND146" s="3170"/>
      <c r="DNE146" s="3170"/>
      <c r="DNF146" s="3170"/>
      <c r="DNG146" s="3170"/>
      <c r="DNH146" s="3170"/>
      <c r="DNI146" s="3170"/>
      <c r="DNJ146" s="3170"/>
      <c r="DNK146" s="3170"/>
      <c r="DNL146" s="3170"/>
      <c r="DNM146" s="3170"/>
      <c r="DNN146" s="3170"/>
      <c r="DNO146" s="3170"/>
      <c r="DNP146" s="3170"/>
      <c r="DNQ146" s="3170"/>
      <c r="DNR146" s="3170"/>
      <c r="DNS146" s="3170"/>
      <c r="DNT146" s="3170"/>
      <c r="DNU146" s="3170"/>
      <c r="DNV146" s="3170"/>
      <c r="DNW146" s="3170"/>
      <c r="DNX146" s="3170"/>
      <c r="DNY146" s="3170"/>
      <c r="DNZ146" s="3170"/>
      <c r="DOA146" s="3170"/>
      <c r="DOB146" s="3170"/>
      <c r="DOC146" s="3170"/>
      <c r="DOD146" s="3170"/>
      <c r="DOE146" s="3170"/>
      <c r="DOF146" s="3170"/>
      <c r="DOG146" s="3170"/>
      <c r="DOH146" s="3170"/>
      <c r="DOI146" s="3170"/>
      <c r="DOJ146" s="3170"/>
      <c r="DOK146" s="3170"/>
      <c r="DOL146" s="3170"/>
      <c r="DOM146" s="3170"/>
      <c r="DON146" s="3170"/>
      <c r="DOO146" s="3170"/>
      <c r="DOP146" s="3170"/>
      <c r="DOQ146" s="3170"/>
      <c r="DOR146" s="3170"/>
      <c r="DOS146" s="3170"/>
      <c r="DOT146" s="3170"/>
      <c r="DOU146" s="3170"/>
      <c r="DOV146" s="3170"/>
      <c r="DOW146" s="3170"/>
      <c r="DOX146" s="3170"/>
      <c r="DOY146" s="3170"/>
      <c r="DOZ146" s="3170"/>
      <c r="DPA146" s="3170"/>
      <c r="DPB146" s="3170"/>
      <c r="DPC146" s="3170"/>
      <c r="DPD146" s="3170"/>
      <c r="DPE146" s="3170"/>
      <c r="DPF146" s="3170"/>
      <c r="DPG146" s="3170"/>
      <c r="DPH146" s="3170"/>
      <c r="DPI146" s="3170"/>
      <c r="DPJ146" s="3170"/>
      <c r="DPK146" s="3170"/>
      <c r="DPL146" s="3170"/>
      <c r="DPM146" s="3170"/>
      <c r="DPN146" s="3170"/>
      <c r="DPO146" s="3170"/>
      <c r="DPP146" s="3170"/>
      <c r="DPQ146" s="3170"/>
      <c r="DPR146" s="3170"/>
      <c r="DPS146" s="3170"/>
      <c r="DPT146" s="3170"/>
      <c r="DPU146" s="3170"/>
      <c r="DPV146" s="3170"/>
      <c r="DPW146" s="3170"/>
      <c r="DPX146" s="3170"/>
      <c r="DPY146" s="3170"/>
      <c r="DPZ146" s="3170"/>
      <c r="DQA146" s="3170"/>
      <c r="DQB146" s="3170"/>
      <c r="DQC146" s="3170"/>
      <c r="DQD146" s="3170"/>
      <c r="DQE146" s="3170"/>
      <c r="DQF146" s="3170"/>
      <c r="DQG146" s="3170"/>
      <c r="DQH146" s="3170"/>
      <c r="DQI146" s="3170"/>
      <c r="DQJ146" s="3170"/>
      <c r="DQK146" s="3170"/>
      <c r="DQL146" s="3170"/>
      <c r="DQM146" s="3170"/>
      <c r="DQN146" s="3170"/>
      <c r="DQO146" s="3170"/>
      <c r="DQP146" s="3170"/>
      <c r="DQQ146" s="3170"/>
      <c r="DQR146" s="3170"/>
      <c r="DQS146" s="3170"/>
      <c r="DQT146" s="3170"/>
      <c r="DQU146" s="3170"/>
      <c r="DQV146" s="3170"/>
      <c r="DQW146" s="3170"/>
      <c r="DQX146" s="3170"/>
      <c r="DQY146" s="3170"/>
      <c r="DQZ146" s="3170"/>
      <c r="DRA146" s="3170"/>
      <c r="DRB146" s="3170"/>
      <c r="DRC146" s="3170"/>
      <c r="DRD146" s="3170"/>
      <c r="DRE146" s="3170"/>
      <c r="DRF146" s="3170"/>
      <c r="DRG146" s="3170"/>
      <c r="DRH146" s="3170"/>
      <c r="DRI146" s="3170"/>
      <c r="DRJ146" s="3170"/>
      <c r="DRK146" s="3170"/>
      <c r="DRL146" s="3170"/>
      <c r="DRM146" s="3170"/>
      <c r="DRN146" s="3170"/>
      <c r="DRO146" s="3170"/>
      <c r="DRP146" s="3170"/>
      <c r="DRQ146" s="3170"/>
      <c r="DRR146" s="3170"/>
      <c r="DRS146" s="3170"/>
      <c r="DRT146" s="3170"/>
      <c r="DRU146" s="3170"/>
      <c r="DRV146" s="3170"/>
      <c r="DRW146" s="3170"/>
      <c r="DRX146" s="3170"/>
      <c r="DRY146" s="3170"/>
      <c r="DRZ146" s="3170"/>
      <c r="DSA146" s="3170"/>
      <c r="DSB146" s="3170"/>
      <c r="DSC146" s="3170"/>
      <c r="DSD146" s="3170"/>
      <c r="DSE146" s="3170"/>
      <c r="DSF146" s="3170"/>
      <c r="DSG146" s="3170"/>
      <c r="DSH146" s="3170"/>
      <c r="DSI146" s="3170"/>
      <c r="DSJ146" s="3170"/>
      <c r="DSK146" s="3170"/>
      <c r="DSL146" s="3170"/>
      <c r="DSM146" s="3170"/>
      <c r="DSN146" s="3170"/>
      <c r="DSO146" s="3170"/>
      <c r="DSP146" s="3170"/>
      <c r="DSQ146" s="3170"/>
      <c r="DSR146" s="3170"/>
      <c r="DSS146" s="3170"/>
      <c r="DST146" s="3170"/>
      <c r="DSU146" s="3170"/>
      <c r="DSV146" s="3170"/>
      <c r="DSW146" s="3170"/>
      <c r="DSX146" s="3170"/>
      <c r="DSY146" s="3170"/>
      <c r="DSZ146" s="3170"/>
      <c r="DTA146" s="3170"/>
      <c r="DTB146" s="3170"/>
      <c r="DTC146" s="3170"/>
      <c r="DTD146" s="3170"/>
      <c r="DTE146" s="3170"/>
      <c r="DTF146" s="3170"/>
      <c r="DTG146" s="3170"/>
      <c r="DTH146" s="3170"/>
      <c r="DTI146" s="3170"/>
      <c r="DTJ146" s="3170"/>
      <c r="DTK146" s="3170"/>
      <c r="DTL146" s="3170"/>
      <c r="DTM146" s="3170"/>
      <c r="DTN146" s="3170"/>
      <c r="DTO146" s="3170"/>
      <c r="DTP146" s="3170"/>
      <c r="DTQ146" s="3170"/>
      <c r="DTR146" s="3170"/>
      <c r="DTS146" s="3170"/>
      <c r="DTT146" s="3170"/>
      <c r="DTU146" s="3170"/>
      <c r="DTV146" s="3170"/>
      <c r="DTW146" s="3170"/>
      <c r="DTX146" s="3170"/>
      <c r="DTY146" s="3170"/>
      <c r="DTZ146" s="3170"/>
      <c r="DUA146" s="3170"/>
      <c r="DUB146" s="3170"/>
      <c r="DUC146" s="3170"/>
      <c r="DUD146" s="3170"/>
      <c r="DUE146" s="3170"/>
      <c r="DUF146" s="3170"/>
      <c r="DUG146" s="3170"/>
      <c r="DUH146" s="3170"/>
      <c r="DUI146" s="3170"/>
      <c r="DUJ146" s="3170"/>
      <c r="DUK146" s="3170"/>
      <c r="DUL146" s="3170"/>
      <c r="DUM146" s="3170"/>
      <c r="DUN146" s="3170"/>
      <c r="DUO146" s="3170"/>
      <c r="DUP146" s="3170"/>
      <c r="DUQ146" s="3170"/>
      <c r="DUR146" s="3170"/>
      <c r="DUS146" s="3170"/>
      <c r="DUT146" s="3170"/>
      <c r="DUU146" s="3170"/>
      <c r="DUV146" s="3170"/>
      <c r="DUW146" s="3170"/>
      <c r="DUX146" s="3170"/>
      <c r="DUY146" s="3170"/>
      <c r="DUZ146" s="3170"/>
      <c r="DVA146" s="3170"/>
      <c r="DVB146" s="3170"/>
      <c r="DVC146" s="3170"/>
      <c r="DVD146" s="3170"/>
      <c r="DVE146" s="3170"/>
      <c r="DVF146" s="3170"/>
      <c r="DVG146" s="3170"/>
      <c r="DVH146" s="3170"/>
      <c r="DVI146" s="3170"/>
      <c r="DVJ146" s="3170"/>
      <c r="DVK146" s="3170"/>
      <c r="DVL146" s="3170"/>
      <c r="DVM146" s="3170"/>
      <c r="DVN146" s="3170"/>
      <c r="DVO146" s="3170"/>
      <c r="DVP146" s="3170"/>
      <c r="DVQ146" s="3170"/>
      <c r="DVR146" s="3170"/>
      <c r="DVS146" s="3170"/>
      <c r="DVT146" s="3170"/>
      <c r="DVU146" s="3170"/>
      <c r="DVV146" s="3170"/>
      <c r="DVW146" s="3170"/>
      <c r="DVX146" s="3170"/>
      <c r="DVY146" s="3170"/>
      <c r="DVZ146" s="3170"/>
      <c r="DWA146" s="3170"/>
      <c r="DWB146" s="3170"/>
      <c r="DWC146" s="3170"/>
      <c r="DWD146" s="3170"/>
      <c r="DWE146" s="3170"/>
      <c r="DWF146" s="3170"/>
      <c r="DWG146" s="3170"/>
      <c r="DWH146" s="3170"/>
      <c r="DWI146" s="3170"/>
      <c r="DWJ146" s="3170"/>
      <c r="DWK146" s="3170"/>
      <c r="DWL146" s="3170"/>
      <c r="DWM146" s="3170"/>
      <c r="DWN146" s="3170"/>
      <c r="DWO146" s="3170"/>
      <c r="DWP146" s="3170"/>
      <c r="DWQ146" s="3170"/>
      <c r="DWR146" s="3170"/>
      <c r="DWS146" s="3170"/>
      <c r="DWT146" s="3170"/>
      <c r="DWU146" s="3170"/>
      <c r="DWV146" s="3170"/>
      <c r="DWW146" s="3170"/>
      <c r="DWX146" s="3170"/>
      <c r="DWY146" s="3170"/>
      <c r="DWZ146" s="3170"/>
      <c r="DXA146" s="3170"/>
      <c r="DXB146" s="3170"/>
      <c r="DXC146" s="3170"/>
      <c r="DXD146" s="3170"/>
      <c r="DXE146" s="3170"/>
      <c r="DXF146" s="3170"/>
      <c r="DXG146" s="3170"/>
      <c r="DXH146" s="3170"/>
      <c r="DXI146" s="3170"/>
      <c r="DXJ146" s="3170"/>
      <c r="DXK146" s="3170"/>
      <c r="DXL146" s="3170"/>
      <c r="DXM146" s="3170"/>
      <c r="DXN146" s="3170"/>
      <c r="DXO146" s="3170"/>
      <c r="DXP146" s="3170"/>
      <c r="DXQ146" s="3170"/>
      <c r="DXR146" s="3170"/>
      <c r="DXS146" s="3170"/>
      <c r="DXT146" s="3170"/>
      <c r="DXU146" s="3170"/>
      <c r="DXV146" s="3170"/>
      <c r="DXW146" s="3170"/>
      <c r="DXX146" s="3170"/>
      <c r="DXY146" s="3170"/>
      <c r="DXZ146" s="3170"/>
      <c r="DYA146" s="3170"/>
      <c r="DYB146" s="3170"/>
      <c r="DYC146" s="3170"/>
      <c r="DYD146" s="3170"/>
      <c r="DYE146" s="3170"/>
      <c r="DYF146" s="3170"/>
      <c r="DYG146" s="3170"/>
      <c r="DYH146" s="3170"/>
      <c r="DYI146" s="3170"/>
      <c r="DYJ146" s="3170"/>
      <c r="DYK146" s="3170"/>
      <c r="DYL146" s="3170"/>
      <c r="DYM146" s="3170"/>
      <c r="DYN146" s="3170"/>
      <c r="DYO146" s="3170"/>
      <c r="DYP146" s="3170"/>
      <c r="DYQ146" s="3170"/>
      <c r="DYR146" s="3170"/>
      <c r="DYS146" s="3170"/>
      <c r="DYT146" s="3170"/>
      <c r="DYU146" s="3170"/>
      <c r="DYV146" s="3170"/>
      <c r="DYW146" s="3170"/>
      <c r="DYX146" s="3170"/>
      <c r="DYY146" s="3170"/>
      <c r="DYZ146" s="3170"/>
      <c r="DZA146" s="3170"/>
      <c r="DZB146" s="3170"/>
      <c r="DZC146" s="3170"/>
      <c r="DZD146" s="3170"/>
      <c r="DZE146" s="3170"/>
      <c r="DZF146" s="3170"/>
      <c r="DZG146" s="3170"/>
      <c r="DZH146" s="3170"/>
      <c r="DZI146" s="3170"/>
      <c r="DZJ146" s="3170"/>
      <c r="DZK146" s="3170"/>
      <c r="DZL146" s="3170"/>
      <c r="DZM146" s="3170"/>
      <c r="DZN146" s="3170"/>
      <c r="DZO146" s="3170"/>
      <c r="DZP146" s="3170"/>
      <c r="DZQ146" s="3170"/>
      <c r="DZR146" s="3170"/>
      <c r="DZS146" s="3170"/>
      <c r="DZT146" s="3170"/>
      <c r="DZU146" s="3170"/>
      <c r="DZV146" s="3170"/>
      <c r="DZW146" s="3170"/>
      <c r="DZX146" s="3170"/>
      <c r="DZY146" s="3170"/>
      <c r="DZZ146" s="3170"/>
      <c r="EAA146" s="3170"/>
      <c r="EAB146" s="3170"/>
      <c r="EAC146" s="3170"/>
      <c r="EAD146" s="3170"/>
      <c r="EAE146" s="3170"/>
      <c r="EAF146" s="3170"/>
      <c r="EAG146" s="3170"/>
      <c r="EAH146" s="3170"/>
      <c r="EAI146" s="3170"/>
      <c r="EAJ146" s="3170"/>
      <c r="EAK146" s="3170"/>
      <c r="EAL146" s="3170"/>
      <c r="EAM146" s="3170"/>
      <c r="EAN146" s="3170"/>
      <c r="EAO146" s="3170"/>
      <c r="EAP146" s="3170"/>
      <c r="EAQ146" s="3170"/>
      <c r="EAR146" s="3170"/>
      <c r="EAS146" s="3170"/>
      <c r="EAT146" s="3170"/>
      <c r="EAU146" s="3170"/>
      <c r="EAV146" s="3170"/>
      <c r="EAW146" s="3170"/>
      <c r="EAX146" s="3170"/>
      <c r="EAY146" s="3170"/>
      <c r="EAZ146" s="3170"/>
      <c r="EBA146" s="3170"/>
      <c r="EBB146" s="3170"/>
      <c r="EBC146" s="3170"/>
      <c r="EBD146" s="3170"/>
      <c r="EBE146" s="3170"/>
      <c r="EBF146" s="3170"/>
      <c r="EBG146" s="3170"/>
      <c r="EBH146" s="3170"/>
      <c r="EBI146" s="3170"/>
      <c r="EBJ146" s="3170"/>
      <c r="EBK146" s="3170"/>
      <c r="EBL146" s="3170"/>
      <c r="EBM146" s="3170"/>
      <c r="EBN146" s="3170"/>
      <c r="EBO146" s="3170"/>
      <c r="EBP146" s="3170"/>
      <c r="EBQ146" s="3170"/>
      <c r="EBR146" s="3170"/>
      <c r="EBS146" s="3170"/>
      <c r="EBT146" s="3170"/>
      <c r="EBU146" s="3170"/>
      <c r="EBV146" s="3170"/>
      <c r="EBW146" s="3170"/>
      <c r="EBX146" s="3170"/>
      <c r="EBY146" s="3170"/>
      <c r="EBZ146" s="3170"/>
      <c r="ECA146" s="3170"/>
      <c r="ECB146" s="3170"/>
      <c r="ECC146" s="3170"/>
      <c r="ECD146" s="3170"/>
      <c r="ECE146" s="3170"/>
      <c r="ECF146" s="3170"/>
      <c r="ECG146" s="3170"/>
      <c r="ECH146" s="3170"/>
      <c r="ECI146" s="3170"/>
      <c r="ECJ146" s="3170"/>
      <c r="ECK146" s="3170"/>
      <c r="ECL146" s="3170"/>
      <c r="ECM146" s="3170"/>
      <c r="ECN146" s="3170"/>
      <c r="ECO146" s="3170"/>
      <c r="ECP146" s="3170"/>
      <c r="ECQ146" s="3170"/>
      <c r="ECR146" s="3170"/>
      <c r="ECS146" s="3170"/>
      <c r="ECT146" s="3170"/>
      <c r="ECU146" s="3170"/>
      <c r="ECV146" s="3170"/>
      <c r="ECW146" s="3170"/>
      <c r="ECX146" s="3170"/>
      <c r="ECY146" s="3170"/>
      <c r="ECZ146" s="3170"/>
      <c r="EDA146" s="3170"/>
      <c r="EDB146" s="3170"/>
      <c r="EDC146" s="3170"/>
      <c r="EDD146" s="3170"/>
      <c r="EDE146" s="3170"/>
      <c r="EDF146" s="3170"/>
      <c r="EDG146" s="3170"/>
      <c r="EDH146" s="3170"/>
      <c r="EDI146" s="3170"/>
      <c r="EDJ146" s="3170"/>
      <c r="EDK146" s="3170"/>
      <c r="EDL146" s="3170"/>
      <c r="EDM146" s="3170"/>
      <c r="EDN146" s="3170"/>
      <c r="EDO146" s="3170"/>
      <c r="EDP146" s="3170"/>
      <c r="EDQ146" s="3170"/>
      <c r="EDR146" s="3170"/>
      <c r="EDS146" s="3170"/>
      <c r="EDT146" s="3170"/>
      <c r="EDU146" s="3170"/>
      <c r="EDV146" s="3170"/>
      <c r="EDW146" s="3170"/>
      <c r="EDX146" s="3170"/>
      <c r="EDY146" s="3170"/>
      <c r="EDZ146" s="3170"/>
      <c r="EEA146" s="3170"/>
      <c r="EEB146" s="3170"/>
      <c r="EEC146" s="3170"/>
      <c r="EED146" s="3170"/>
      <c r="EEE146" s="3170"/>
      <c r="EEF146" s="3170"/>
      <c r="EEG146" s="3170"/>
      <c r="EEH146" s="3170"/>
      <c r="EEI146" s="3170"/>
      <c r="EEJ146" s="3170"/>
      <c r="EEK146" s="3170"/>
      <c r="EEL146" s="3170"/>
      <c r="EEM146" s="3170"/>
      <c r="EEN146" s="3170"/>
      <c r="EEO146" s="3170"/>
      <c r="EEP146" s="3170"/>
      <c r="EEQ146" s="3170"/>
      <c r="EER146" s="3170"/>
      <c r="EES146" s="3170"/>
      <c r="EET146" s="3170"/>
      <c r="EEU146" s="3170"/>
      <c r="EEV146" s="3170"/>
      <c r="EEW146" s="3170"/>
      <c r="EEX146" s="3170"/>
      <c r="EEY146" s="3170"/>
      <c r="EEZ146" s="3170"/>
      <c r="EFA146" s="3170"/>
      <c r="EFB146" s="3170"/>
      <c r="EFC146" s="3170"/>
      <c r="EFD146" s="3170"/>
      <c r="EFE146" s="3170"/>
      <c r="EFF146" s="3170"/>
      <c r="EFG146" s="3170"/>
      <c r="EFH146" s="3170"/>
      <c r="EFI146" s="3170"/>
      <c r="EFJ146" s="3170"/>
      <c r="EFK146" s="3170"/>
      <c r="EFL146" s="3170"/>
      <c r="EFM146" s="3170"/>
      <c r="EFN146" s="3170"/>
      <c r="EFO146" s="3170"/>
      <c r="EFP146" s="3170"/>
      <c r="EFQ146" s="3170"/>
      <c r="EFR146" s="3170"/>
      <c r="EFS146" s="3170"/>
      <c r="EFT146" s="3170"/>
      <c r="EFU146" s="3170"/>
      <c r="EFV146" s="3170"/>
      <c r="EFW146" s="3170"/>
      <c r="EFX146" s="3170"/>
      <c r="EFY146" s="3170"/>
      <c r="EFZ146" s="3170"/>
      <c r="EGA146" s="3170"/>
      <c r="EGB146" s="3170"/>
      <c r="EGC146" s="3170"/>
      <c r="EGD146" s="3170"/>
      <c r="EGE146" s="3170"/>
      <c r="EGF146" s="3170"/>
      <c r="EGG146" s="3170"/>
      <c r="EGH146" s="3170"/>
      <c r="EGI146" s="3170"/>
      <c r="EGJ146" s="3170"/>
      <c r="EGK146" s="3170"/>
      <c r="EGL146" s="3170"/>
      <c r="EGM146" s="3170"/>
      <c r="EGN146" s="3170"/>
      <c r="EGO146" s="3170"/>
      <c r="EGP146" s="3170"/>
      <c r="EGQ146" s="3170"/>
      <c r="EGR146" s="3170"/>
      <c r="EGS146" s="3170"/>
      <c r="EGT146" s="3170"/>
      <c r="EGU146" s="3170"/>
      <c r="EGV146" s="3170"/>
      <c r="EGW146" s="3170"/>
      <c r="EGX146" s="3170"/>
      <c r="EGY146" s="3170"/>
      <c r="EGZ146" s="3170"/>
      <c r="EHA146" s="3170"/>
      <c r="EHB146" s="3170"/>
      <c r="EHC146" s="3170"/>
      <c r="EHD146" s="3170"/>
      <c r="EHE146" s="3170"/>
      <c r="EHF146" s="3170"/>
      <c r="EHG146" s="3170"/>
      <c r="EHH146" s="3170"/>
      <c r="EHI146" s="3170"/>
      <c r="EHJ146" s="3170"/>
      <c r="EHK146" s="3170"/>
      <c r="EHL146" s="3170"/>
      <c r="EHM146" s="3170"/>
      <c r="EHN146" s="3170"/>
      <c r="EHO146" s="3170"/>
      <c r="EHP146" s="3170"/>
      <c r="EHQ146" s="3170"/>
      <c r="EHR146" s="3170"/>
      <c r="EHS146" s="3170"/>
      <c r="EHT146" s="3170"/>
      <c r="EHU146" s="3170"/>
      <c r="EHV146" s="3170"/>
      <c r="EHW146" s="3170"/>
      <c r="EHX146" s="3170"/>
      <c r="EHY146" s="3170"/>
      <c r="EHZ146" s="3170"/>
      <c r="EIA146" s="3170"/>
      <c r="EIB146" s="3170"/>
      <c r="EIC146" s="3170"/>
      <c r="EID146" s="3170"/>
      <c r="EIE146" s="3170"/>
      <c r="EIF146" s="3170"/>
      <c r="EIG146" s="3170"/>
      <c r="EIH146" s="3170"/>
      <c r="EII146" s="3170"/>
      <c r="EIJ146" s="3170"/>
      <c r="EIK146" s="3170"/>
      <c r="EIL146" s="3170"/>
      <c r="EIM146" s="3170"/>
      <c r="EIN146" s="3170"/>
      <c r="EIO146" s="3170"/>
      <c r="EIP146" s="3170"/>
      <c r="EIQ146" s="3170"/>
      <c r="EIR146" s="3170"/>
      <c r="EIS146" s="3170"/>
      <c r="EIT146" s="3170"/>
      <c r="EIU146" s="3170"/>
      <c r="EIV146" s="3170"/>
      <c r="EIW146" s="3170"/>
      <c r="EIX146" s="3170"/>
      <c r="EIY146" s="3170"/>
      <c r="EIZ146" s="3170"/>
      <c r="EJA146" s="3170"/>
      <c r="EJB146" s="3170"/>
      <c r="EJC146" s="3170"/>
      <c r="EJD146" s="3170"/>
      <c r="EJE146" s="3170"/>
      <c r="EJF146" s="3170"/>
      <c r="EJG146" s="3170"/>
      <c r="EJH146" s="3170"/>
      <c r="EJI146" s="3170"/>
      <c r="EJJ146" s="3170"/>
      <c r="EJK146" s="3170"/>
      <c r="EJL146" s="3170"/>
      <c r="EJM146" s="3170"/>
      <c r="EJN146" s="3170"/>
      <c r="EJO146" s="3170"/>
      <c r="EJP146" s="3170"/>
      <c r="EJQ146" s="3170"/>
      <c r="EJR146" s="3170"/>
      <c r="EJS146" s="3170"/>
      <c r="EJT146" s="3170"/>
      <c r="EJU146" s="3170"/>
      <c r="EJV146" s="3170"/>
      <c r="EJW146" s="3170"/>
      <c r="EJX146" s="3170"/>
      <c r="EJY146" s="3170"/>
      <c r="EJZ146" s="3170"/>
      <c r="EKA146" s="3170"/>
      <c r="EKB146" s="3170"/>
      <c r="EKC146" s="3170"/>
      <c r="EKD146" s="3170"/>
      <c r="EKE146" s="3170"/>
      <c r="EKF146" s="3170"/>
      <c r="EKG146" s="3170"/>
      <c r="EKH146" s="3170"/>
      <c r="EKI146" s="3170"/>
      <c r="EKJ146" s="3170"/>
      <c r="EKK146" s="3170"/>
      <c r="EKL146" s="3170"/>
      <c r="EKM146" s="3170"/>
      <c r="EKN146" s="3170"/>
      <c r="EKO146" s="3170"/>
      <c r="EKP146" s="3170"/>
      <c r="EKQ146" s="3170"/>
      <c r="EKR146" s="3170"/>
      <c r="EKS146" s="3170"/>
      <c r="EKT146" s="3170"/>
      <c r="EKU146" s="3170"/>
      <c r="EKV146" s="3170"/>
      <c r="EKW146" s="3170"/>
      <c r="EKX146" s="3170"/>
      <c r="EKY146" s="3170"/>
      <c r="EKZ146" s="3170"/>
      <c r="ELA146" s="3170"/>
      <c r="ELB146" s="3170"/>
      <c r="ELC146" s="3170"/>
      <c r="ELD146" s="3170"/>
      <c r="ELE146" s="3170"/>
      <c r="ELF146" s="3170"/>
      <c r="ELG146" s="3170"/>
      <c r="ELH146" s="3170"/>
      <c r="ELI146" s="3170"/>
      <c r="ELJ146" s="3170"/>
      <c r="ELK146" s="3170"/>
      <c r="ELL146" s="3170"/>
      <c r="ELM146" s="3170"/>
      <c r="ELN146" s="3170"/>
      <c r="ELO146" s="3170"/>
      <c r="ELP146" s="3170"/>
      <c r="ELQ146" s="3170"/>
      <c r="ELR146" s="3170"/>
      <c r="ELS146" s="3170"/>
      <c r="ELT146" s="3170"/>
      <c r="ELU146" s="3170"/>
      <c r="ELV146" s="3170"/>
      <c r="ELW146" s="3170"/>
      <c r="ELX146" s="3170"/>
      <c r="ELY146" s="3170"/>
      <c r="ELZ146" s="3170"/>
      <c r="EMA146" s="3170"/>
      <c r="EMB146" s="3170"/>
      <c r="EMC146" s="3170"/>
      <c r="EMD146" s="3170"/>
      <c r="EME146" s="3170"/>
      <c r="EMF146" s="3170"/>
      <c r="EMG146" s="3170"/>
      <c r="EMH146" s="3170"/>
      <c r="EMI146" s="3170"/>
      <c r="EMJ146" s="3170"/>
      <c r="EMK146" s="3170"/>
      <c r="EML146" s="3170"/>
      <c r="EMM146" s="3170"/>
      <c r="EMN146" s="3170"/>
      <c r="EMO146" s="3170"/>
      <c r="EMP146" s="3170"/>
      <c r="EMQ146" s="3170"/>
      <c r="EMR146" s="3170"/>
      <c r="EMS146" s="3170"/>
      <c r="EMT146" s="3170"/>
      <c r="EMU146" s="3170"/>
      <c r="EMV146" s="3170"/>
      <c r="EMW146" s="3170"/>
      <c r="EMX146" s="3170"/>
      <c r="EMY146" s="3170"/>
      <c r="EMZ146" s="3170"/>
      <c r="ENA146" s="3170"/>
      <c r="ENB146" s="3170"/>
      <c r="ENC146" s="3170"/>
      <c r="END146" s="3170"/>
      <c r="ENE146" s="3170"/>
      <c r="ENF146" s="3170"/>
      <c r="ENG146" s="3170"/>
      <c r="ENH146" s="3170"/>
      <c r="ENI146" s="3170"/>
      <c r="ENJ146" s="3170"/>
      <c r="ENK146" s="3170"/>
      <c r="ENL146" s="3170"/>
      <c r="ENM146" s="3170"/>
      <c r="ENN146" s="3170"/>
      <c r="ENO146" s="3170"/>
      <c r="ENP146" s="3170"/>
      <c r="ENQ146" s="3170"/>
      <c r="ENR146" s="3170"/>
      <c r="ENS146" s="3170"/>
      <c r="ENT146" s="3170"/>
      <c r="ENU146" s="3170"/>
      <c r="ENV146" s="3170"/>
      <c r="ENW146" s="3170"/>
      <c r="ENX146" s="3170"/>
      <c r="ENY146" s="3170"/>
      <c r="ENZ146" s="3170"/>
      <c r="EOA146" s="3170"/>
      <c r="EOB146" s="3170"/>
      <c r="EOC146" s="3170"/>
      <c r="EOD146" s="3170"/>
      <c r="EOE146" s="3170"/>
      <c r="EOF146" s="3170"/>
      <c r="EOG146" s="3170"/>
      <c r="EOH146" s="3170"/>
      <c r="EOI146" s="3170"/>
      <c r="EOJ146" s="3170"/>
      <c r="EOK146" s="3170"/>
      <c r="EOL146" s="3170"/>
      <c r="EOM146" s="3170"/>
      <c r="EON146" s="3170"/>
      <c r="EOO146" s="3170"/>
      <c r="EOP146" s="3170"/>
      <c r="EOQ146" s="3170"/>
      <c r="EOR146" s="3170"/>
      <c r="EOS146" s="3170"/>
      <c r="EOT146" s="3170"/>
      <c r="EOU146" s="3170"/>
      <c r="EOV146" s="3170"/>
      <c r="EOW146" s="3170"/>
      <c r="EOX146" s="3170"/>
      <c r="EOY146" s="3170"/>
      <c r="EOZ146" s="3170"/>
      <c r="EPA146" s="3170"/>
      <c r="EPB146" s="3170"/>
      <c r="EPC146" s="3170"/>
      <c r="EPD146" s="3170"/>
      <c r="EPE146" s="3170"/>
      <c r="EPF146" s="3170"/>
      <c r="EPG146" s="3170"/>
      <c r="EPH146" s="3170"/>
      <c r="EPI146" s="3170"/>
      <c r="EPJ146" s="3170"/>
      <c r="EPK146" s="3170"/>
      <c r="EPL146" s="3170"/>
      <c r="EPM146" s="3170"/>
      <c r="EPN146" s="3170"/>
      <c r="EPO146" s="3170"/>
      <c r="EPP146" s="3170"/>
      <c r="EPQ146" s="3170"/>
      <c r="EPR146" s="3170"/>
      <c r="EPS146" s="3170"/>
      <c r="EPT146" s="3170"/>
      <c r="EPU146" s="3170"/>
      <c r="EPV146" s="3170"/>
      <c r="EPW146" s="3170"/>
      <c r="EPX146" s="3170"/>
      <c r="EPY146" s="3170"/>
      <c r="EPZ146" s="3170"/>
      <c r="EQA146" s="3170"/>
      <c r="EQB146" s="3170"/>
      <c r="EQC146" s="3170"/>
      <c r="EQD146" s="3170"/>
      <c r="EQE146" s="3170"/>
      <c r="EQF146" s="3170"/>
      <c r="EQG146" s="3170"/>
      <c r="EQH146" s="3170"/>
      <c r="EQI146" s="3170"/>
      <c r="EQJ146" s="3170"/>
      <c r="EQK146" s="3170"/>
      <c r="EQL146" s="3170"/>
      <c r="EQM146" s="3170"/>
      <c r="EQN146" s="3170"/>
      <c r="EQO146" s="3170"/>
      <c r="EQP146" s="3170"/>
      <c r="EQQ146" s="3170"/>
      <c r="EQR146" s="3170"/>
      <c r="EQS146" s="3170"/>
      <c r="EQT146" s="3170"/>
      <c r="EQU146" s="3170"/>
      <c r="EQV146" s="3170"/>
      <c r="EQW146" s="3170"/>
      <c r="EQX146" s="3170"/>
      <c r="EQY146" s="3170"/>
      <c r="EQZ146" s="3170"/>
      <c r="ERA146" s="3170"/>
      <c r="ERB146" s="3170"/>
      <c r="ERC146" s="3170"/>
      <c r="ERD146" s="3170"/>
      <c r="ERE146" s="3170"/>
      <c r="ERF146" s="3170"/>
      <c r="ERG146" s="3170"/>
      <c r="ERH146" s="3170"/>
      <c r="ERI146" s="3170"/>
      <c r="ERJ146" s="3170"/>
      <c r="ERK146" s="3170"/>
      <c r="ERL146" s="3170"/>
      <c r="ERM146" s="3170"/>
      <c r="ERN146" s="3170"/>
      <c r="ERO146" s="3170"/>
      <c r="ERP146" s="3170"/>
      <c r="ERQ146" s="3170"/>
      <c r="ERR146" s="3170"/>
      <c r="ERS146" s="3170"/>
      <c r="ERT146" s="3170"/>
      <c r="ERU146" s="3170"/>
      <c r="ERV146" s="3170"/>
      <c r="ERW146" s="3170"/>
      <c r="ERX146" s="3170"/>
      <c r="ERY146" s="3170"/>
      <c r="ERZ146" s="3170"/>
      <c r="ESA146" s="3170"/>
      <c r="ESB146" s="3170"/>
      <c r="ESC146" s="3170"/>
      <c r="ESD146" s="3170"/>
      <c r="ESE146" s="3170"/>
      <c r="ESF146" s="3170"/>
      <c r="ESG146" s="3170"/>
      <c r="ESH146" s="3170"/>
      <c r="ESI146" s="3170"/>
      <c r="ESJ146" s="3170"/>
      <c r="ESK146" s="3170"/>
      <c r="ESL146" s="3170"/>
      <c r="ESM146" s="3170"/>
      <c r="ESN146" s="3170"/>
      <c r="ESO146" s="3170"/>
      <c r="ESP146" s="3170"/>
      <c r="ESQ146" s="3170"/>
      <c r="ESR146" s="3170"/>
      <c r="ESS146" s="3170"/>
      <c r="EST146" s="3170"/>
      <c r="ESU146" s="3170"/>
      <c r="ESV146" s="3170"/>
      <c r="ESW146" s="3170"/>
      <c r="ESX146" s="3170"/>
      <c r="ESY146" s="3170"/>
      <c r="ESZ146" s="3170"/>
      <c r="ETA146" s="3170"/>
      <c r="ETB146" s="3170"/>
      <c r="ETC146" s="3170"/>
      <c r="ETD146" s="3170"/>
      <c r="ETE146" s="3170"/>
      <c r="ETF146" s="3170"/>
      <c r="ETG146" s="3170"/>
      <c r="ETH146" s="3170"/>
      <c r="ETI146" s="3170"/>
      <c r="ETJ146" s="3170"/>
      <c r="ETK146" s="3170"/>
      <c r="ETL146" s="3170"/>
      <c r="ETM146" s="3170"/>
      <c r="ETN146" s="3170"/>
      <c r="ETO146" s="3170"/>
      <c r="ETP146" s="3170"/>
      <c r="ETQ146" s="3170"/>
      <c r="ETR146" s="3170"/>
      <c r="ETS146" s="3170"/>
      <c r="ETT146" s="3170"/>
      <c r="ETU146" s="3170"/>
      <c r="ETV146" s="3170"/>
      <c r="ETW146" s="3170"/>
      <c r="ETX146" s="3170"/>
      <c r="ETY146" s="3170"/>
      <c r="ETZ146" s="3170"/>
      <c r="EUA146" s="3170"/>
      <c r="EUB146" s="3170"/>
      <c r="EUC146" s="3170"/>
      <c r="EUD146" s="3170"/>
      <c r="EUE146" s="3170"/>
      <c r="EUF146" s="3170"/>
      <c r="EUG146" s="3170"/>
      <c r="EUH146" s="3170"/>
      <c r="EUI146" s="3170"/>
      <c r="EUJ146" s="3170"/>
      <c r="EUK146" s="3170"/>
      <c r="EUL146" s="3170"/>
      <c r="EUM146" s="3170"/>
      <c r="EUN146" s="3170"/>
      <c r="EUO146" s="3170"/>
      <c r="EUP146" s="3170"/>
      <c r="EUQ146" s="3170"/>
      <c r="EUR146" s="3170"/>
      <c r="EUS146" s="3170"/>
      <c r="EUT146" s="3170"/>
      <c r="EUU146" s="3170"/>
      <c r="EUV146" s="3170"/>
      <c r="EUW146" s="3170"/>
      <c r="EUX146" s="3170"/>
      <c r="EUY146" s="3170"/>
      <c r="EUZ146" s="3170"/>
      <c r="EVA146" s="3170"/>
      <c r="EVB146" s="3170"/>
      <c r="EVC146" s="3170"/>
      <c r="EVD146" s="3170"/>
      <c r="EVE146" s="3170"/>
      <c r="EVF146" s="3170"/>
      <c r="EVG146" s="3170"/>
      <c r="EVH146" s="3170"/>
      <c r="EVI146" s="3170"/>
      <c r="EVJ146" s="3170"/>
      <c r="EVK146" s="3170"/>
      <c r="EVL146" s="3170"/>
      <c r="EVM146" s="3170"/>
      <c r="EVN146" s="3170"/>
      <c r="EVO146" s="3170"/>
      <c r="EVP146" s="3170"/>
      <c r="EVQ146" s="3170"/>
      <c r="EVR146" s="3170"/>
      <c r="EVS146" s="3170"/>
      <c r="EVT146" s="3170"/>
      <c r="EVU146" s="3170"/>
      <c r="EVV146" s="3170"/>
      <c r="EVW146" s="3170"/>
      <c r="EVX146" s="3170"/>
      <c r="EVY146" s="3170"/>
      <c r="EVZ146" s="3170"/>
      <c r="EWA146" s="3170"/>
      <c r="EWB146" s="3170"/>
      <c r="EWC146" s="3170"/>
      <c r="EWD146" s="3170"/>
      <c r="EWE146" s="3170"/>
      <c r="EWF146" s="3170"/>
      <c r="EWG146" s="3170"/>
      <c r="EWH146" s="3170"/>
      <c r="EWI146" s="3170"/>
      <c r="EWJ146" s="3170"/>
      <c r="EWK146" s="3170"/>
      <c r="EWL146" s="3170"/>
      <c r="EWM146" s="3170"/>
      <c r="EWN146" s="3170"/>
      <c r="EWO146" s="3170"/>
      <c r="EWP146" s="3170"/>
      <c r="EWQ146" s="3170"/>
      <c r="EWR146" s="3170"/>
      <c r="EWS146" s="3170"/>
      <c r="EWT146" s="3170"/>
      <c r="EWU146" s="3170"/>
      <c r="EWV146" s="3170"/>
      <c r="EWW146" s="3170"/>
      <c r="EWX146" s="3170"/>
      <c r="EWY146" s="3170"/>
      <c r="EWZ146" s="3170"/>
      <c r="EXA146" s="3170"/>
      <c r="EXB146" s="3170"/>
      <c r="EXC146" s="3170"/>
      <c r="EXD146" s="3170"/>
      <c r="EXE146" s="3170"/>
      <c r="EXF146" s="3170"/>
      <c r="EXG146" s="3170"/>
      <c r="EXH146" s="3170"/>
      <c r="EXI146" s="3170"/>
      <c r="EXJ146" s="3170"/>
      <c r="EXK146" s="3170"/>
      <c r="EXL146" s="3170"/>
      <c r="EXM146" s="3170"/>
      <c r="EXN146" s="3170"/>
      <c r="EXO146" s="3170"/>
      <c r="EXP146" s="3170"/>
      <c r="EXQ146" s="3170"/>
      <c r="EXR146" s="3170"/>
      <c r="EXS146" s="3170"/>
      <c r="EXT146" s="3170"/>
      <c r="EXU146" s="3170"/>
      <c r="EXV146" s="3170"/>
      <c r="EXW146" s="3170"/>
      <c r="EXX146" s="3170"/>
      <c r="EXY146" s="3170"/>
      <c r="EXZ146" s="3170"/>
      <c r="EYA146" s="3170"/>
      <c r="EYB146" s="3170"/>
      <c r="EYC146" s="3170"/>
      <c r="EYD146" s="3170"/>
      <c r="EYE146" s="3170"/>
      <c r="EYF146" s="3170"/>
      <c r="EYG146" s="3170"/>
      <c r="EYH146" s="3170"/>
      <c r="EYI146" s="3170"/>
      <c r="EYJ146" s="3170"/>
      <c r="EYK146" s="3170"/>
      <c r="EYL146" s="3170"/>
      <c r="EYM146" s="3170"/>
      <c r="EYN146" s="3170"/>
      <c r="EYO146" s="3170"/>
      <c r="EYP146" s="3170"/>
      <c r="EYQ146" s="3170"/>
      <c r="EYR146" s="3170"/>
      <c r="EYS146" s="3170"/>
      <c r="EYT146" s="3170"/>
      <c r="EYU146" s="3170"/>
      <c r="EYV146" s="3170"/>
      <c r="EYW146" s="3170"/>
      <c r="EYX146" s="3170"/>
      <c r="EYY146" s="3170"/>
      <c r="EYZ146" s="3170"/>
      <c r="EZA146" s="3170"/>
      <c r="EZB146" s="3170"/>
      <c r="EZC146" s="3170"/>
      <c r="EZD146" s="3170"/>
      <c r="EZE146" s="3170"/>
      <c r="EZF146" s="3170"/>
      <c r="EZG146" s="3170"/>
      <c r="EZH146" s="3170"/>
      <c r="EZI146" s="3170"/>
      <c r="EZJ146" s="3170"/>
      <c r="EZK146" s="3170"/>
      <c r="EZL146" s="3170"/>
      <c r="EZM146" s="3170"/>
      <c r="EZN146" s="3170"/>
      <c r="EZO146" s="3170"/>
      <c r="EZP146" s="3170"/>
      <c r="EZQ146" s="3170"/>
      <c r="EZR146" s="3170"/>
      <c r="EZS146" s="3170"/>
      <c r="EZT146" s="3170"/>
      <c r="EZU146" s="3170"/>
      <c r="EZV146" s="3170"/>
      <c r="EZW146" s="3170"/>
      <c r="EZX146" s="3170"/>
      <c r="EZY146" s="3170"/>
      <c r="EZZ146" s="3170"/>
      <c r="FAA146" s="3170"/>
      <c r="FAB146" s="3170"/>
      <c r="FAC146" s="3170"/>
      <c r="FAD146" s="3170"/>
      <c r="FAE146" s="3170"/>
      <c r="FAF146" s="3170"/>
      <c r="FAG146" s="3170"/>
      <c r="FAH146" s="3170"/>
      <c r="FAI146" s="3170"/>
      <c r="FAJ146" s="3170"/>
      <c r="FAK146" s="3170"/>
      <c r="FAL146" s="3170"/>
      <c r="FAM146" s="3170"/>
      <c r="FAN146" s="3170"/>
      <c r="FAO146" s="3170"/>
      <c r="FAP146" s="3170"/>
      <c r="FAQ146" s="3170"/>
      <c r="FAR146" s="3170"/>
      <c r="FAS146" s="3170"/>
      <c r="FAT146" s="3170"/>
      <c r="FAU146" s="3170"/>
      <c r="FAV146" s="3170"/>
      <c r="FAW146" s="3170"/>
      <c r="FAX146" s="3170"/>
      <c r="FAY146" s="3170"/>
      <c r="FAZ146" s="3170"/>
      <c r="FBA146" s="3170"/>
      <c r="FBB146" s="3170"/>
      <c r="FBC146" s="3170"/>
      <c r="FBD146" s="3170"/>
      <c r="FBE146" s="3170"/>
      <c r="FBF146" s="3170"/>
      <c r="FBG146" s="3170"/>
      <c r="FBH146" s="3170"/>
      <c r="FBI146" s="3170"/>
      <c r="FBJ146" s="3170"/>
      <c r="FBK146" s="3170"/>
      <c r="FBL146" s="3170"/>
      <c r="FBM146" s="3170"/>
      <c r="FBN146" s="3170"/>
      <c r="FBO146" s="3170"/>
      <c r="FBP146" s="3170"/>
      <c r="FBQ146" s="3170"/>
      <c r="FBR146" s="3170"/>
      <c r="FBS146" s="3170"/>
      <c r="FBT146" s="3170"/>
      <c r="FBU146" s="3170"/>
      <c r="FBV146" s="3170"/>
      <c r="FBW146" s="3170"/>
      <c r="FBX146" s="3170"/>
      <c r="FBY146" s="3170"/>
      <c r="FBZ146" s="3170"/>
      <c r="FCA146" s="3170"/>
      <c r="FCB146" s="3170"/>
      <c r="FCC146" s="3170"/>
      <c r="FCD146" s="3170"/>
      <c r="FCE146" s="3170"/>
      <c r="FCF146" s="3170"/>
      <c r="FCG146" s="3170"/>
      <c r="FCH146" s="3170"/>
      <c r="FCI146" s="3170"/>
      <c r="FCJ146" s="3170"/>
      <c r="FCK146" s="3170"/>
      <c r="FCL146" s="3170"/>
      <c r="FCM146" s="3170"/>
      <c r="FCN146" s="3170"/>
      <c r="FCO146" s="3170"/>
      <c r="FCP146" s="3170"/>
      <c r="FCQ146" s="3170"/>
      <c r="FCR146" s="3170"/>
      <c r="FCS146" s="3170"/>
      <c r="FCT146" s="3170"/>
      <c r="FCU146" s="3170"/>
      <c r="FCV146" s="3170"/>
      <c r="FCW146" s="3170"/>
      <c r="FCX146" s="3170"/>
      <c r="FCY146" s="3170"/>
      <c r="FCZ146" s="3170"/>
      <c r="FDA146" s="3170"/>
      <c r="FDB146" s="3170"/>
      <c r="FDC146" s="3170"/>
      <c r="FDD146" s="3170"/>
      <c r="FDE146" s="3170"/>
      <c r="FDF146" s="3170"/>
      <c r="FDG146" s="3170"/>
      <c r="FDH146" s="3170"/>
      <c r="FDI146" s="3170"/>
      <c r="FDJ146" s="3170"/>
      <c r="FDK146" s="3170"/>
      <c r="FDL146" s="3170"/>
      <c r="FDM146" s="3170"/>
      <c r="FDN146" s="3170"/>
      <c r="FDO146" s="3170"/>
      <c r="FDP146" s="3170"/>
      <c r="FDQ146" s="3170"/>
      <c r="FDR146" s="3170"/>
      <c r="FDS146" s="3170"/>
      <c r="FDT146" s="3170"/>
      <c r="FDU146" s="3170"/>
      <c r="FDV146" s="3170"/>
      <c r="FDW146" s="3170"/>
      <c r="FDX146" s="3170"/>
      <c r="FDY146" s="3170"/>
      <c r="FDZ146" s="3170"/>
      <c r="FEA146" s="3170"/>
      <c r="FEB146" s="3170"/>
      <c r="FEC146" s="3170"/>
      <c r="FED146" s="3170"/>
      <c r="FEE146" s="3170"/>
      <c r="FEF146" s="3170"/>
      <c r="FEG146" s="3170"/>
      <c r="FEH146" s="3170"/>
      <c r="FEI146" s="3170"/>
      <c r="FEJ146" s="3170"/>
      <c r="FEK146" s="3170"/>
      <c r="FEL146" s="3170"/>
      <c r="FEM146" s="3170"/>
      <c r="FEN146" s="3170"/>
      <c r="FEO146" s="3170"/>
      <c r="FEP146" s="3170"/>
      <c r="FEQ146" s="3170"/>
      <c r="FER146" s="3170"/>
      <c r="FES146" s="3170"/>
      <c r="FET146" s="3170"/>
      <c r="FEU146" s="3170"/>
      <c r="FEV146" s="3170"/>
      <c r="FEW146" s="3170"/>
      <c r="FEX146" s="3170"/>
      <c r="FEY146" s="3170"/>
      <c r="FEZ146" s="3170"/>
      <c r="FFA146" s="3170"/>
      <c r="FFB146" s="3170"/>
      <c r="FFC146" s="3170"/>
      <c r="FFD146" s="3170"/>
      <c r="FFE146" s="3170"/>
      <c r="FFF146" s="3170"/>
      <c r="FFG146" s="3170"/>
      <c r="FFH146" s="3170"/>
      <c r="FFI146" s="3170"/>
      <c r="FFJ146" s="3170"/>
      <c r="FFK146" s="3170"/>
      <c r="FFL146" s="3170"/>
      <c r="FFM146" s="3170"/>
      <c r="FFN146" s="3170"/>
      <c r="FFO146" s="3170"/>
      <c r="FFP146" s="3170"/>
      <c r="FFQ146" s="3170"/>
      <c r="FFR146" s="3170"/>
      <c r="FFS146" s="3170"/>
      <c r="FFT146" s="3170"/>
      <c r="FFU146" s="3170"/>
      <c r="FFV146" s="3170"/>
      <c r="FFW146" s="3170"/>
      <c r="FFX146" s="3170"/>
      <c r="FFY146" s="3170"/>
      <c r="FFZ146" s="3170"/>
      <c r="FGA146" s="3170"/>
      <c r="FGB146" s="3170"/>
      <c r="FGC146" s="3170"/>
      <c r="FGD146" s="3170"/>
      <c r="FGE146" s="3170"/>
      <c r="FGF146" s="3170"/>
      <c r="FGG146" s="3170"/>
      <c r="FGH146" s="3170"/>
      <c r="FGI146" s="3170"/>
      <c r="FGJ146" s="3170"/>
      <c r="FGK146" s="3170"/>
      <c r="FGL146" s="3170"/>
      <c r="FGM146" s="3170"/>
      <c r="FGN146" s="3170"/>
      <c r="FGO146" s="3170"/>
      <c r="FGP146" s="3170"/>
      <c r="FGQ146" s="3170"/>
      <c r="FGR146" s="3170"/>
      <c r="FGS146" s="3170"/>
      <c r="FGT146" s="3170"/>
      <c r="FGU146" s="3170"/>
      <c r="FGV146" s="3170"/>
      <c r="FGW146" s="3170"/>
      <c r="FGX146" s="3170"/>
      <c r="FGY146" s="3170"/>
      <c r="FGZ146" s="3170"/>
      <c r="FHA146" s="3170"/>
      <c r="FHB146" s="3170"/>
      <c r="FHC146" s="3170"/>
      <c r="FHD146" s="3170"/>
      <c r="FHE146" s="3170"/>
      <c r="FHF146" s="3170"/>
      <c r="FHG146" s="3170"/>
      <c r="FHH146" s="3170"/>
      <c r="FHI146" s="3170"/>
      <c r="FHJ146" s="3170"/>
      <c r="FHK146" s="3170"/>
      <c r="FHL146" s="3170"/>
      <c r="FHM146" s="3170"/>
      <c r="FHN146" s="3170"/>
      <c r="FHO146" s="3170"/>
      <c r="FHP146" s="3170"/>
      <c r="FHQ146" s="3170"/>
      <c r="FHR146" s="3170"/>
      <c r="FHS146" s="3170"/>
      <c r="FHT146" s="3170"/>
      <c r="FHU146" s="3170"/>
      <c r="FHV146" s="3170"/>
      <c r="FHW146" s="3170"/>
      <c r="FHX146" s="3170"/>
      <c r="FHY146" s="3170"/>
      <c r="FHZ146" s="3170"/>
      <c r="FIA146" s="3170"/>
      <c r="FIB146" s="3170"/>
      <c r="FIC146" s="3170"/>
      <c r="FID146" s="3170"/>
      <c r="FIE146" s="3170"/>
      <c r="FIF146" s="3170"/>
      <c r="FIG146" s="3170"/>
      <c r="FIH146" s="3170"/>
      <c r="FII146" s="3170"/>
      <c r="FIJ146" s="3170"/>
      <c r="FIK146" s="3170"/>
      <c r="FIL146" s="3170"/>
      <c r="FIM146" s="3170"/>
      <c r="FIN146" s="3170"/>
      <c r="FIO146" s="3170"/>
      <c r="FIP146" s="3170"/>
      <c r="FIQ146" s="3170"/>
      <c r="FIR146" s="3170"/>
      <c r="FIS146" s="3170"/>
      <c r="FIT146" s="3170"/>
      <c r="FIU146" s="3170"/>
      <c r="FIV146" s="3170"/>
      <c r="FIW146" s="3170"/>
      <c r="FIX146" s="3170"/>
      <c r="FIY146" s="3170"/>
      <c r="FIZ146" s="3170"/>
      <c r="FJA146" s="3170"/>
      <c r="FJB146" s="3170"/>
      <c r="FJC146" s="3170"/>
      <c r="FJD146" s="3170"/>
      <c r="FJE146" s="3170"/>
      <c r="FJF146" s="3170"/>
      <c r="FJG146" s="3170"/>
      <c r="FJH146" s="3170"/>
      <c r="FJI146" s="3170"/>
      <c r="FJJ146" s="3170"/>
      <c r="FJK146" s="3170"/>
      <c r="FJL146" s="3170"/>
      <c r="FJM146" s="3170"/>
      <c r="FJN146" s="3170"/>
      <c r="FJO146" s="3170"/>
      <c r="FJP146" s="3170"/>
      <c r="FJQ146" s="3170"/>
      <c r="FJR146" s="3170"/>
      <c r="FJS146" s="3170"/>
      <c r="FJT146" s="3170"/>
      <c r="FJU146" s="3170"/>
      <c r="FJV146" s="3170"/>
      <c r="FJW146" s="3170"/>
      <c r="FJX146" s="3170"/>
      <c r="FJY146" s="3170"/>
      <c r="FJZ146" s="3170"/>
      <c r="FKA146" s="3170"/>
      <c r="FKB146" s="3170"/>
      <c r="FKC146" s="3170"/>
      <c r="FKD146" s="3170"/>
      <c r="FKE146" s="3170"/>
      <c r="FKF146" s="3170"/>
      <c r="FKG146" s="3170"/>
      <c r="FKH146" s="3170"/>
      <c r="FKI146" s="3170"/>
      <c r="FKJ146" s="3170"/>
      <c r="FKK146" s="3170"/>
      <c r="FKL146" s="3170"/>
      <c r="FKM146" s="3170"/>
      <c r="FKN146" s="3170"/>
      <c r="FKO146" s="3170"/>
      <c r="FKP146" s="3170"/>
      <c r="FKQ146" s="3170"/>
      <c r="FKR146" s="3170"/>
      <c r="FKS146" s="3170"/>
      <c r="FKT146" s="3170"/>
      <c r="FKU146" s="3170"/>
      <c r="FKV146" s="3170"/>
      <c r="FKW146" s="3170"/>
      <c r="FKX146" s="3170"/>
      <c r="FKY146" s="3170"/>
      <c r="FKZ146" s="3170"/>
      <c r="FLA146" s="3170"/>
      <c r="FLB146" s="3170"/>
      <c r="FLC146" s="3170"/>
      <c r="FLD146" s="3170"/>
      <c r="FLE146" s="3170"/>
      <c r="FLF146" s="3170"/>
      <c r="FLG146" s="3170"/>
      <c r="FLH146" s="3170"/>
      <c r="FLI146" s="3170"/>
      <c r="FLJ146" s="3170"/>
      <c r="FLK146" s="3170"/>
      <c r="FLL146" s="3170"/>
      <c r="FLM146" s="3170"/>
      <c r="FLN146" s="3170"/>
      <c r="FLO146" s="3170"/>
      <c r="FLP146" s="3170"/>
      <c r="FLQ146" s="3170"/>
      <c r="FLR146" s="3170"/>
      <c r="FLS146" s="3170"/>
      <c r="FLT146" s="3170"/>
      <c r="FLU146" s="3170"/>
      <c r="FLV146" s="3170"/>
      <c r="FLW146" s="3170"/>
      <c r="FLX146" s="3170"/>
      <c r="FLY146" s="3170"/>
      <c r="FLZ146" s="3170"/>
      <c r="FMA146" s="3170"/>
      <c r="FMB146" s="3170"/>
      <c r="FMC146" s="3170"/>
      <c r="FMD146" s="3170"/>
      <c r="FME146" s="3170"/>
      <c r="FMF146" s="3170"/>
      <c r="FMG146" s="3170"/>
      <c r="FMH146" s="3170"/>
      <c r="FMI146" s="3170"/>
      <c r="FMJ146" s="3170"/>
      <c r="FMK146" s="3170"/>
      <c r="FML146" s="3170"/>
      <c r="FMM146" s="3170"/>
      <c r="FMN146" s="3170"/>
      <c r="FMO146" s="3170"/>
      <c r="FMP146" s="3170"/>
      <c r="FMQ146" s="3170"/>
      <c r="FMR146" s="3170"/>
      <c r="FMS146" s="3170"/>
      <c r="FMT146" s="3170"/>
      <c r="FMU146" s="3170"/>
      <c r="FMV146" s="3170"/>
      <c r="FMW146" s="3170"/>
      <c r="FMX146" s="3170"/>
      <c r="FMY146" s="3170"/>
      <c r="FMZ146" s="3170"/>
      <c r="FNA146" s="3170"/>
      <c r="FNB146" s="3170"/>
      <c r="FNC146" s="3170"/>
      <c r="FND146" s="3170"/>
      <c r="FNE146" s="3170"/>
      <c r="FNF146" s="3170"/>
      <c r="FNG146" s="3170"/>
      <c r="FNH146" s="3170"/>
      <c r="FNI146" s="3170"/>
      <c r="FNJ146" s="3170"/>
      <c r="FNK146" s="3170"/>
      <c r="FNL146" s="3170"/>
      <c r="FNM146" s="3170"/>
      <c r="FNN146" s="3170"/>
      <c r="FNO146" s="3170"/>
      <c r="FNP146" s="3170"/>
      <c r="FNQ146" s="3170"/>
      <c r="FNR146" s="3170"/>
      <c r="FNS146" s="3170"/>
      <c r="FNT146" s="3170"/>
      <c r="FNU146" s="3170"/>
      <c r="FNV146" s="3170"/>
      <c r="FNW146" s="3170"/>
      <c r="FNX146" s="3170"/>
      <c r="FNY146" s="3170"/>
      <c r="FNZ146" s="3170"/>
      <c r="FOA146" s="3170"/>
      <c r="FOB146" s="3170"/>
      <c r="FOC146" s="3170"/>
      <c r="FOD146" s="3170"/>
      <c r="FOE146" s="3170"/>
      <c r="FOF146" s="3170"/>
      <c r="FOG146" s="3170"/>
      <c r="FOH146" s="3170"/>
      <c r="FOI146" s="3170"/>
      <c r="FOJ146" s="3170"/>
      <c r="FOK146" s="3170"/>
      <c r="FOL146" s="3170"/>
      <c r="FOM146" s="3170"/>
      <c r="FON146" s="3170"/>
      <c r="FOO146" s="3170"/>
      <c r="FOP146" s="3170"/>
      <c r="FOQ146" s="3170"/>
      <c r="FOR146" s="3170"/>
      <c r="FOS146" s="3170"/>
      <c r="FOT146" s="3170"/>
      <c r="FOU146" s="3170"/>
      <c r="FOV146" s="3170"/>
      <c r="FOW146" s="3170"/>
      <c r="FOX146" s="3170"/>
      <c r="FOY146" s="3170"/>
      <c r="FOZ146" s="3170"/>
      <c r="FPA146" s="3170"/>
      <c r="FPB146" s="3170"/>
      <c r="FPC146" s="3170"/>
      <c r="FPD146" s="3170"/>
      <c r="FPE146" s="3170"/>
      <c r="FPF146" s="3170"/>
      <c r="FPG146" s="3170"/>
      <c r="FPH146" s="3170"/>
      <c r="FPI146" s="3170"/>
      <c r="FPJ146" s="3170"/>
      <c r="FPK146" s="3170"/>
      <c r="FPL146" s="3170"/>
      <c r="FPM146" s="3170"/>
      <c r="FPN146" s="3170"/>
      <c r="FPO146" s="3170"/>
      <c r="FPP146" s="3170"/>
      <c r="FPQ146" s="3170"/>
      <c r="FPR146" s="3170"/>
      <c r="FPS146" s="3170"/>
      <c r="FPT146" s="3170"/>
      <c r="FPU146" s="3170"/>
      <c r="FPV146" s="3170"/>
      <c r="FPW146" s="3170"/>
      <c r="FPX146" s="3170"/>
      <c r="FPY146" s="3170"/>
      <c r="FPZ146" s="3170"/>
      <c r="FQA146" s="3170"/>
      <c r="FQB146" s="3170"/>
      <c r="FQC146" s="3170"/>
      <c r="FQD146" s="3170"/>
      <c r="FQE146" s="3170"/>
      <c r="FQF146" s="3170"/>
      <c r="FQG146" s="3170"/>
      <c r="FQH146" s="3170"/>
      <c r="FQI146" s="3170"/>
      <c r="FQJ146" s="3170"/>
      <c r="FQK146" s="3170"/>
      <c r="FQL146" s="3170"/>
      <c r="FQM146" s="3170"/>
      <c r="FQN146" s="3170"/>
      <c r="FQO146" s="3170"/>
      <c r="FQP146" s="3170"/>
      <c r="FQQ146" s="3170"/>
      <c r="FQR146" s="3170"/>
      <c r="FQS146" s="3170"/>
      <c r="FQT146" s="3170"/>
      <c r="FQU146" s="3170"/>
      <c r="FQV146" s="3170"/>
      <c r="FQW146" s="3170"/>
      <c r="FQX146" s="3170"/>
      <c r="FQY146" s="3170"/>
      <c r="FQZ146" s="3170"/>
      <c r="FRA146" s="3170"/>
      <c r="FRB146" s="3170"/>
      <c r="FRC146" s="3170"/>
      <c r="FRD146" s="3170"/>
      <c r="FRE146" s="3170"/>
      <c r="FRF146" s="3170"/>
      <c r="FRG146" s="3170"/>
      <c r="FRH146" s="3170"/>
      <c r="FRI146" s="3170"/>
      <c r="FRJ146" s="3170"/>
      <c r="FRK146" s="3170"/>
      <c r="FRL146" s="3170"/>
      <c r="FRM146" s="3170"/>
      <c r="FRN146" s="3170"/>
      <c r="FRO146" s="3170"/>
      <c r="FRP146" s="3170"/>
      <c r="FRQ146" s="3170"/>
      <c r="FRR146" s="3170"/>
      <c r="FRS146" s="3170"/>
      <c r="FRT146" s="3170"/>
      <c r="FRU146" s="3170"/>
      <c r="FRV146" s="3170"/>
      <c r="FRW146" s="3170"/>
      <c r="FRX146" s="3170"/>
      <c r="FRY146" s="3170"/>
      <c r="FRZ146" s="3170"/>
      <c r="FSA146" s="3170"/>
      <c r="FSB146" s="3170"/>
      <c r="FSC146" s="3170"/>
      <c r="FSD146" s="3170"/>
      <c r="FSE146" s="3170"/>
      <c r="FSF146" s="3170"/>
      <c r="FSG146" s="3170"/>
      <c r="FSH146" s="3170"/>
      <c r="FSI146" s="3170"/>
      <c r="FSJ146" s="3170"/>
      <c r="FSK146" s="3170"/>
      <c r="FSL146" s="3170"/>
      <c r="FSM146" s="3170"/>
      <c r="FSN146" s="3170"/>
      <c r="FSO146" s="3170"/>
      <c r="FSP146" s="3170"/>
      <c r="FSQ146" s="3170"/>
      <c r="FSR146" s="3170"/>
      <c r="FSS146" s="3170"/>
      <c r="FST146" s="3170"/>
      <c r="FSU146" s="3170"/>
      <c r="FSV146" s="3170"/>
      <c r="FSW146" s="3170"/>
      <c r="FSX146" s="3170"/>
      <c r="FSY146" s="3170"/>
      <c r="FSZ146" s="3170"/>
      <c r="FTA146" s="3170"/>
      <c r="FTB146" s="3170"/>
      <c r="FTC146" s="3170"/>
      <c r="FTD146" s="3170"/>
      <c r="FTE146" s="3170"/>
      <c r="FTF146" s="3170"/>
      <c r="FTG146" s="3170"/>
      <c r="FTH146" s="3170"/>
      <c r="FTI146" s="3170"/>
      <c r="FTJ146" s="3170"/>
      <c r="FTK146" s="3170"/>
      <c r="FTL146" s="3170"/>
      <c r="FTM146" s="3170"/>
      <c r="FTN146" s="3170"/>
      <c r="FTO146" s="3170"/>
      <c r="FTP146" s="3170"/>
      <c r="FTQ146" s="3170"/>
      <c r="FTR146" s="3170"/>
      <c r="FTS146" s="3170"/>
      <c r="FTT146" s="3170"/>
      <c r="FTU146" s="3170"/>
      <c r="FTV146" s="3170"/>
      <c r="FTW146" s="3170"/>
      <c r="FTX146" s="3170"/>
      <c r="FTY146" s="3170"/>
      <c r="FTZ146" s="3170"/>
      <c r="FUA146" s="3170"/>
      <c r="FUB146" s="3170"/>
      <c r="FUC146" s="3170"/>
      <c r="FUD146" s="3170"/>
      <c r="FUE146" s="3170"/>
      <c r="FUF146" s="3170"/>
      <c r="FUG146" s="3170"/>
      <c r="FUH146" s="3170"/>
      <c r="FUI146" s="3170"/>
      <c r="FUJ146" s="3170"/>
      <c r="FUK146" s="3170"/>
      <c r="FUL146" s="3170"/>
      <c r="FUM146" s="3170"/>
      <c r="FUN146" s="3170"/>
      <c r="FUO146" s="3170"/>
      <c r="FUP146" s="3170"/>
      <c r="FUQ146" s="3170"/>
      <c r="FUR146" s="3170"/>
      <c r="FUS146" s="3170"/>
      <c r="FUT146" s="3170"/>
      <c r="FUU146" s="3170"/>
      <c r="FUV146" s="3170"/>
      <c r="FUW146" s="3170"/>
      <c r="FUX146" s="3170"/>
      <c r="FUY146" s="3170"/>
      <c r="FUZ146" s="3170"/>
      <c r="FVA146" s="3170"/>
      <c r="FVB146" s="3170"/>
      <c r="FVC146" s="3170"/>
      <c r="FVD146" s="3170"/>
      <c r="FVE146" s="3170"/>
      <c r="FVF146" s="3170"/>
      <c r="FVG146" s="3170"/>
      <c r="FVH146" s="3170"/>
      <c r="FVI146" s="3170"/>
      <c r="FVJ146" s="3170"/>
      <c r="FVK146" s="3170"/>
      <c r="FVL146" s="3170"/>
      <c r="FVM146" s="3170"/>
      <c r="FVN146" s="3170"/>
      <c r="FVO146" s="3170"/>
      <c r="FVP146" s="3170"/>
      <c r="FVQ146" s="3170"/>
      <c r="FVR146" s="3170"/>
      <c r="FVS146" s="3170"/>
      <c r="FVT146" s="3170"/>
      <c r="FVU146" s="3170"/>
      <c r="FVV146" s="3170"/>
      <c r="FVW146" s="3170"/>
      <c r="FVX146" s="3170"/>
      <c r="FVY146" s="3170"/>
      <c r="FVZ146" s="3170"/>
      <c r="FWA146" s="3170"/>
      <c r="FWB146" s="3170"/>
      <c r="FWC146" s="3170"/>
      <c r="FWD146" s="3170"/>
      <c r="FWE146" s="3170"/>
      <c r="FWF146" s="3170"/>
      <c r="FWG146" s="3170"/>
      <c r="FWH146" s="3170"/>
      <c r="FWI146" s="3170"/>
      <c r="FWJ146" s="3170"/>
      <c r="FWK146" s="3170"/>
      <c r="FWL146" s="3170"/>
      <c r="FWM146" s="3170"/>
      <c r="FWN146" s="3170"/>
      <c r="FWO146" s="3170"/>
      <c r="FWP146" s="3170"/>
      <c r="FWQ146" s="3170"/>
      <c r="FWR146" s="3170"/>
      <c r="FWS146" s="3170"/>
      <c r="FWT146" s="3170"/>
      <c r="FWU146" s="3170"/>
      <c r="FWV146" s="3170"/>
      <c r="FWW146" s="3170"/>
      <c r="FWX146" s="3170"/>
      <c r="FWY146" s="3170"/>
      <c r="FWZ146" s="3170"/>
      <c r="FXA146" s="3170"/>
      <c r="FXB146" s="3170"/>
      <c r="FXC146" s="3170"/>
      <c r="FXD146" s="3170"/>
      <c r="FXE146" s="3170"/>
      <c r="FXF146" s="3170"/>
      <c r="FXG146" s="3170"/>
      <c r="FXH146" s="3170"/>
      <c r="FXI146" s="3170"/>
      <c r="FXJ146" s="3170"/>
      <c r="FXK146" s="3170"/>
      <c r="FXL146" s="3170"/>
      <c r="FXM146" s="3170"/>
      <c r="FXN146" s="3170"/>
      <c r="FXO146" s="3170"/>
      <c r="FXP146" s="3170"/>
      <c r="FXQ146" s="3170"/>
      <c r="FXR146" s="3170"/>
      <c r="FXS146" s="3170"/>
      <c r="FXT146" s="3170"/>
      <c r="FXU146" s="3170"/>
      <c r="FXV146" s="3170"/>
      <c r="FXW146" s="3170"/>
      <c r="FXX146" s="3170"/>
      <c r="FXY146" s="3170"/>
      <c r="FXZ146" s="3170"/>
      <c r="FYA146" s="3170"/>
      <c r="FYB146" s="3170"/>
      <c r="FYC146" s="3170"/>
      <c r="FYD146" s="3170"/>
      <c r="FYE146" s="3170"/>
      <c r="FYF146" s="3170"/>
      <c r="FYG146" s="3170"/>
      <c r="FYH146" s="3170"/>
      <c r="FYI146" s="3170"/>
      <c r="FYJ146" s="3170"/>
      <c r="FYK146" s="3170"/>
      <c r="FYL146" s="3170"/>
      <c r="FYM146" s="3170"/>
      <c r="FYN146" s="3170"/>
      <c r="FYO146" s="3170"/>
      <c r="FYP146" s="3170"/>
      <c r="FYQ146" s="3170"/>
      <c r="FYR146" s="3170"/>
      <c r="FYS146" s="3170"/>
      <c r="FYT146" s="3170"/>
      <c r="FYU146" s="3170"/>
      <c r="FYV146" s="3170"/>
      <c r="FYW146" s="3170"/>
      <c r="FYX146" s="3170"/>
      <c r="FYY146" s="3170"/>
      <c r="FYZ146" s="3170"/>
      <c r="FZA146" s="3170"/>
      <c r="FZB146" s="3170"/>
      <c r="FZC146" s="3170"/>
      <c r="FZD146" s="3170"/>
      <c r="FZE146" s="3170"/>
      <c r="FZF146" s="3170"/>
      <c r="FZG146" s="3170"/>
      <c r="FZH146" s="3170"/>
      <c r="FZI146" s="3170"/>
      <c r="FZJ146" s="3170"/>
      <c r="FZK146" s="3170"/>
      <c r="FZL146" s="3170"/>
      <c r="FZM146" s="3170"/>
      <c r="FZN146" s="3170"/>
      <c r="FZO146" s="3170"/>
      <c r="FZP146" s="3170"/>
      <c r="FZQ146" s="3170"/>
      <c r="FZR146" s="3170"/>
      <c r="FZS146" s="3170"/>
      <c r="FZT146" s="3170"/>
      <c r="FZU146" s="3170"/>
      <c r="FZV146" s="3170"/>
      <c r="FZW146" s="3170"/>
      <c r="FZX146" s="3170"/>
      <c r="FZY146" s="3170"/>
      <c r="FZZ146" s="3170"/>
      <c r="GAA146" s="3170"/>
      <c r="GAB146" s="3170"/>
      <c r="GAC146" s="3170"/>
      <c r="GAD146" s="3170"/>
      <c r="GAE146" s="3170"/>
      <c r="GAF146" s="3170"/>
      <c r="GAG146" s="3170"/>
      <c r="GAH146" s="3170"/>
      <c r="GAI146" s="3170"/>
      <c r="GAJ146" s="3170"/>
      <c r="GAK146" s="3170"/>
      <c r="GAL146" s="3170"/>
      <c r="GAM146" s="3170"/>
      <c r="GAN146" s="3170"/>
      <c r="GAO146" s="3170"/>
      <c r="GAP146" s="3170"/>
      <c r="GAQ146" s="3170"/>
      <c r="GAR146" s="3170"/>
      <c r="GAS146" s="3170"/>
      <c r="GAT146" s="3170"/>
      <c r="GAU146" s="3170"/>
      <c r="GAV146" s="3170"/>
      <c r="GAW146" s="3170"/>
      <c r="GAX146" s="3170"/>
      <c r="GAY146" s="3170"/>
      <c r="GAZ146" s="3170"/>
      <c r="GBA146" s="3170"/>
      <c r="GBB146" s="3170"/>
      <c r="GBC146" s="3170"/>
      <c r="GBD146" s="3170"/>
      <c r="GBE146" s="3170"/>
      <c r="GBF146" s="3170"/>
      <c r="GBG146" s="3170"/>
      <c r="GBH146" s="3170"/>
      <c r="GBI146" s="3170"/>
      <c r="GBJ146" s="3170"/>
      <c r="GBK146" s="3170"/>
      <c r="GBL146" s="3170"/>
      <c r="GBM146" s="3170"/>
      <c r="GBN146" s="3170"/>
      <c r="GBO146" s="3170"/>
      <c r="GBP146" s="3170"/>
      <c r="GBQ146" s="3170"/>
      <c r="GBR146" s="3170"/>
      <c r="GBS146" s="3170"/>
      <c r="GBT146" s="3170"/>
      <c r="GBU146" s="3170"/>
      <c r="GBV146" s="3170"/>
      <c r="GBW146" s="3170"/>
      <c r="GBX146" s="3170"/>
      <c r="GBY146" s="3170"/>
      <c r="GBZ146" s="3170"/>
      <c r="GCA146" s="3170"/>
      <c r="GCB146" s="3170"/>
      <c r="GCC146" s="3170"/>
      <c r="GCD146" s="3170"/>
      <c r="GCE146" s="3170"/>
      <c r="GCF146" s="3170"/>
      <c r="GCG146" s="3170"/>
      <c r="GCH146" s="3170"/>
      <c r="GCI146" s="3170"/>
      <c r="GCJ146" s="3170"/>
      <c r="GCK146" s="3170"/>
      <c r="GCL146" s="3170"/>
      <c r="GCM146" s="3170"/>
      <c r="GCN146" s="3170"/>
      <c r="GCO146" s="3170"/>
      <c r="GCP146" s="3170"/>
      <c r="GCQ146" s="3170"/>
      <c r="GCR146" s="3170"/>
      <c r="GCS146" s="3170"/>
      <c r="GCT146" s="3170"/>
      <c r="GCU146" s="3170"/>
      <c r="GCV146" s="3170"/>
      <c r="GCW146" s="3170"/>
      <c r="GCX146" s="3170"/>
      <c r="GCY146" s="3170"/>
      <c r="GCZ146" s="3170"/>
      <c r="GDA146" s="3170"/>
      <c r="GDB146" s="3170"/>
      <c r="GDC146" s="3170"/>
      <c r="GDD146" s="3170"/>
      <c r="GDE146" s="3170"/>
      <c r="GDF146" s="3170"/>
      <c r="GDG146" s="3170"/>
      <c r="GDH146" s="3170"/>
      <c r="GDI146" s="3170"/>
      <c r="GDJ146" s="3170"/>
      <c r="GDK146" s="3170"/>
      <c r="GDL146" s="3170"/>
      <c r="GDM146" s="3170"/>
      <c r="GDN146" s="3170"/>
      <c r="GDO146" s="3170"/>
      <c r="GDP146" s="3170"/>
      <c r="GDQ146" s="3170"/>
      <c r="GDR146" s="3170"/>
      <c r="GDS146" s="3170"/>
      <c r="GDT146" s="3170"/>
      <c r="GDU146" s="3170"/>
      <c r="GDV146" s="3170"/>
      <c r="GDW146" s="3170"/>
      <c r="GDX146" s="3170"/>
      <c r="GDY146" s="3170"/>
      <c r="GDZ146" s="3170"/>
      <c r="GEA146" s="3170"/>
      <c r="GEB146" s="3170"/>
      <c r="GEC146" s="3170"/>
      <c r="GED146" s="3170"/>
      <c r="GEE146" s="3170"/>
      <c r="GEF146" s="3170"/>
      <c r="GEG146" s="3170"/>
      <c r="GEH146" s="3170"/>
      <c r="GEI146" s="3170"/>
      <c r="GEJ146" s="3170"/>
      <c r="GEK146" s="3170"/>
      <c r="GEL146" s="3170"/>
      <c r="GEM146" s="3170"/>
      <c r="GEN146" s="3170"/>
      <c r="GEO146" s="3170"/>
      <c r="GEP146" s="3170"/>
      <c r="GEQ146" s="3170"/>
      <c r="GER146" s="3170"/>
      <c r="GES146" s="3170"/>
      <c r="GET146" s="3170"/>
      <c r="GEU146" s="3170"/>
      <c r="GEV146" s="3170"/>
      <c r="GEW146" s="3170"/>
      <c r="GEX146" s="3170"/>
      <c r="GEY146" s="3170"/>
      <c r="GEZ146" s="3170"/>
      <c r="GFA146" s="3170"/>
      <c r="GFB146" s="3170"/>
      <c r="GFC146" s="3170"/>
      <c r="GFD146" s="3170"/>
      <c r="GFE146" s="3170"/>
      <c r="GFF146" s="3170"/>
      <c r="GFG146" s="3170"/>
      <c r="GFH146" s="3170"/>
      <c r="GFI146" s="3170"/>
      <c r="GFJ146" s="3170"/>
      <c r="GFK146" s="3170"/>
      <c r="GFL146" s="3170"/>
      <c r="GFM146" s="3170"/>
      <c r="GFN146" s="3170"/>
      <c r="GFO146" s="3170"/>
      <c r="GFP146" s="3170"/>
      <c r="GFQ146" s="3170"/>
      <c r="GFR146" s="3170"/>
      <c r="GFS146" s="3170"/>
      <c r="GFT146" s="3170"/>
      <c r="GFU146" s="3170"/>
      <c r="GFV146" s="3170"/>
      <c r="GFW146" s="3170"/>
      <c r="GFX146" s="3170"/>
      <c r="GFY146" s="3170"/>
      <c r="GFZ146" s="3170"/>
      <c r="GGA146" s="3170"/>
      <c r="GGB146" s="3170"/>
      <c r="GGC146" s="3170"/>
      <c r="GGD146" s="3170"/>
      <c r="GGE146" s="3170"/>
      <c r="GGF146" s="3170"/>
      <c r="GGG146" s="3170"/>
      <c r="GGH146" s="3170"/>
      <c r="GGI146" s="3170"/>
      <c r="GGJ146" s="3170"/>
      <c r="GGK146" s="3170"/>
      <c r="GGL146" s="3170"/>
      <c r="GGM146" s="3170"/>
      <c r="GGN146" s="3170"/>
      <c r="GGO146" s="3170"/>
      <c r="GGP146" s="3170"/>
      <c r="GGQ146" s="3170"/>
      <c r="GGR146" s="3170"/>
      <c r="GGS146" s="3170"/>
      <c r="GGT146" s="3170"/>
      <c r="GGU146" s="3170"/>
      <c r="GGV146" s="3170"/>
      <c r="GGW146" s="3170"/>
      <c r="GGX146" s="3170"/>
      <c r="GGY146" s="3170"/>
      <c r="GGZ146" s="3170"/>
      <c r="GHA146" s="3170"/>
      <c r="GHB146" s="3170"/>
      <c r="GHC146" s="3170"/>
      <c r="GHD146" s="3170"/>
      <c r="GHE146" s="3170"/>
      <c r="GHF146" s="3170"/>
      <c r="GHG146" s="3170"/>
      <c r="GHH146" s="3170"/>
      <c r="GHI146" s="3170"/>
      <c r="GHJ146" s="3170"/>
      <c r="GHK146" s="3170"/>
      <c r="GHL146" s="3170"/>
      <c r="GHM146" s="3170"/>
      <c r="GHN146" s="3170"/>
      <c r="GHO146" s="3170"/>
      <c r="GHP146" s="3170"/>
      <c r="GHQ146" s="3170"/>
      <c r="GHR146" s="3170"/>
      <c r="GHS146" s="3170"/>
      <c r="GHT146" s="3170"/>
      <c r="GHU146" s="3170"/>
      <c r="GHV146" s="3170"/>
      <c r="GHW146" s="3170"/>
      <c r="GHX146" s="3170"/>
      <c r="GHY146" s="3170"/>
      <c r="GHZ146" s="3170"/>
      <c r="GIA146" s="3170"/>
      <c r="GIB146" s="3170"/>
      <c r="GIC146" s="3170"/>
      <c r="GID146" s="3170"/>
      <c r="GIE146" s="3170"/>
      <c r="GIF146" s="3170"/>
      <c r="GIG146" s="3170"/>
      <c r="GIH146" s="3170"/>
      <c r="GII146" s="3170"/>
      <c r="GIJ146" s="3170"/>
      <c r="GIK146" s="3170"/>
      <c r="GIL146" s="3170"/>
      <c r="GIM146" s="3170"/>
      <c r="GIN146" s="3170"/>
      <c r="GIO146" s="3170"/>
      <c r="GIP146" s="3170"/>
      <c r="GIQ146" s="3170"/>
      <c r="GIR146" s="3170"/>
      <c r="GIS146" s="3170"/>
      <c r="GIT146" s="3170"/>
      <c r="GIU146" s="3170"/>
      <c r="GIV146" s="3170"/>
      <c r="GIW146" s="3170"/>
      <c r="GIX146" s="3170"/>
      <c r="GIY146" s="3170"/>
      <c r="GIZ146" s="3170"/>
      <c r="GJA146" s="3170"/>
      <c r="GJB146" s="3170"/>
      <c r="GJC146" s="3170"/>
      <c r="GJD146" s="3170"/>
      <c r="GJE146" s="3170"/>
      <c r="GJF146" s="3170"/>
      <c r="GJG146" s="3170"/>
      <c r="GJH146" s="3170"/>
      <c r="GJI146" s="3170"/>
      <c r="GJJ146" s="3170"/>
      <c r="GJK146" s="3170"/>
      <c r="GJL146" s="3170"/>
      <c r="GJM146" s="3170"/>
      <c r="GJN146" s="3170"/>
      <c r="GJO146" s="3170"/>
      <c r="GJP146" s="3170"/>
      <c r="GJQ146" s="3170"/>
      <c r="GJR146" s="3170"/>
      <c r="GJS146" s="3170"/>
      <c r="GJT146" s="3170"/>
      <c r="GJU146" s="3170"/>
      <c r="GJV146" s="3170"/>
      <c r="GJW146" s="3170"/>
      <c r="GJX146" s="3170"/>
      <c r="GJY146" s="3170"/>
      <c r="GJZ146" s="3170"/>
      <c r="GKA146" s="3170"/>
      <c r="GKB146" s="3170"/>
      <c r="GKC146" s="3170"/>
      <c r="GKD146" s="3170"/>
      <c r="GKE146" s="3170"/>
      <c r="GKF146" s="3170"/>
      <c r="GKG146" s="3170"/>
      <c r="GKH146" s="3170"/>
      <c r="GKI146" s="3170"/>
      <c r="GKJ146" s="3170"/>
      <c r="GKK146" s="3170"/>
      <c r="GKL146" s="3170"/>
      <c r="GKM146" s="3170"/>
      <c r="GKN146" s="3170"/>
      <c r="GKO146" s="3170"/>
      <c r="GKP146" s="3170"/>
      <c r="GKQ146" s="3170"/>
      <c r="GKR146" s="3170"/>
      <c r="GKS146" s="3170"/>
      <c r="GKT146" s="3170"/>
      <c r="GKU146" s="3170"/>
      <c r="GKV146" s="3170"/>
      <c r="GKW146" s="3170"/>
      <c r="GKX146" s="3170"/>
      <c r="GKY146" s="3170"/>
      <c r="GKZ146" s="3170"/>
      <c r="GLA146" s="3170"/>
      <c r="GLB146" s="3170"/>
      <c r="GLC146" s="3170"/>
      <c r="GLD146" s="3170"/>
      <c r="GLE146" s="3170"/>
      <c r="GLF146" s="3170"/>
      <c r="GLG146" s="3170"/>
      <c r="GLH146" s="3170"/>
      <c r="GLI146" s="3170"/>
      <c r="GLJ146" s="3170"/>
      <c r="GLK146" s="3170"/>
      <c r="GLL146" s="3170"/>
      <c r="GLM146" s="3170"/>
      <c r="GLN146" s="3170"/>
      <c r="GLO146" s="3170"/>
      <c r="GLP146" s="3170"/>
      <c r="GLQ146" s="3170"/>
      <c r="GLR146" s="3170"/>
      <c r="GLS146" s="3170"/>
      <c r="GLT146" s="3170"/>
      <c r="GLU146" s="3170"/>
      <c r="GLV146" s="3170"/>
      <c r="GLW146" s="3170"/>
      <c r="GLX146" s="3170"/>
      <c r="GLY146" s="3170"/>
      <c r="GLZ146" s="3170"/>
      <c r="GMA146" s="3170"/>
      <c r="GMB146" s="3170"/>
      <c r="GMC146" s="3170"/>
      <c r="GMD146" s="3170"/>
      <c r="GME146" s="3170"/>
      <c r="GMF146" s="3170"/>
      <c r="GMG146" s="3170"/>
      <c r="GMH146" s="3170"/>
      <c r="GMI146" s="3170"/>
      <c r="GMJ146" s="3170"/>
      <c r="GMK146" s="3170"/>
      <c r="GML146" s="3170"/>
      <c r="GMM146" s="3170"/>
      <c r="GMN146" s="3170"/>
      <c r="GMO146" s="3170"/>
      <c r="GMP146" s="3170"/>
      <c r="GMQ146" s="3170"/>
      <c r="GMR146" s="3170"/>
      <c r="GMS146" s="3170"/>
      <c r="GMT146" s="3170"/>
      <c r="GMU146" s="3170"/>
      <c r="GMV146" s="3170"/>
      <c r="GMW146" s="3170"/>
      <c r="GMX146" s="3170"/>
      <c r="GMY146" s="3170"/>
      <c r="GMZ146" s="3170"/>
      <c r="GNA146" s="3170"/>
      <c r="GNB146" s="3170"/>
      <c r="GNC146" s="3170"/>
      <c r="GND146" s="3170"/>
      <c r="GNE146" s="3170"/>
      <c r="GNF146" s="3170"/>
      <c r="GNG146" s="3170"/>
      <c r="GNH146" s="3170"/>
      <c r="GNI146" s="3170"/>
      <c r="GNJ146" s="3170"/>
      <c r="GNK146" s="3170"/>
      <c r="GNL146" s="3170"/>
      <c r="GNM146" s="3170"/>
      <c r="GNN146" s="3170"/>
      <c r="GNO146" s="3170"/>
      <c r="GNP146" s="3170"/>
      <c r="GNQ146" s="3170"/>
      <c r="GNR146" s="3170"/>
      <c r="GNS146" s="3170"/>
      <c r="GNT146" s="3170"/>
      <c r="GNU146" s="3170"/>
      <c r="GNV146" s="3170"/>
      <c r="GNW146" s="3170"/>
      <c r="GNX146" s="3170"/>
      <c r="GNY146" s="3170"/>
      <c r="GNZ146" s="3170"/>
      <c r="GOA146" s="3170"/>
      <c r="GOB146" s="3170"/>
      <c r="GOC146" s="3170"/>
      <c r="GOD146" s="3170"/>
      <c r="GOE146" s="3170"/>
      <c r="GOF146" s="3170"/>
      <c r="GOG146" s="3170"/>
      <c r="GOH146" s="3170"/>
      <c r="GOI146" s="3170"/>
      <c r="GOJ146" s="3170"/>
      <c r="GOK146" s="3170"/>
      <c r="GOL146" s="3170"/>
      <c r="GOM146" s="3170"/>
      <c r="GON146" s="3170"/>
      <c r="GOO146" s="3170"/>
      <c r="GOP146" s="3170"/>
      <c r="GOQ146" s="3170"/>
      <c r="GOR146" s="3170"/>
      <c r="GOS146" s="3170"/>
      <c r="GOT146" s="3170"/>
      <c r="GOU146" s="3170"/>
      <c r="GOV146" s="3170"/>
      <c r="GOW146" s="3170"/>
      <c r="GOX146" s="3170"/>
      <c r="GOY146" s="3170"/>
      <c r="GOZ146" s="3170"/>
      <c r="GPA146" s="3170"/>
      <c r="GPB146" s="3170"/>
      <c r="GPC146" s="3170"/>
      <c r="GPD146" s="3170"/>
      <c r="GPE146" s="3170"/>
      <c r="GPF146" s="3170"/>
      <c r="GPG146" s="3170"/>
      <c r="GPH146" s="3170"/>
      <c r="GPI146" s="3170"/>
      <c r="GPJ146" s="3170"/>
      <c r="GPK146" s="3170"/>
      <c r="GPL146" s="3170"/>
      <c r="GPM146" s="3170"/>
      <c r="GPN146" s="3170"/>
      <c r="GPO146" s="3170"/>
      <c r="GPP146" s="3170"/>
      <c r="GPQ146" s="3170"/>
      <c r="GPR146" s="3170"/>
      <c r="GPS146" s="3170"/>
      <c r="GPT146" s="3170"/>
      <c r="GPU146" s="3170"/>
      <c r="GPV146" s="3170"/>
      <c r="GPW146" s="3170"/>
      <c r="GPX146" s="3170"/>
      <c r="GPY146" s="3170"/>
      <c r="GPZ146" s="3170"/>
      <c r="GQA146" s="3170"/>
      <c r="GQB146" s="3170"/>
      <c r="GQC146" s="3170"/>
      <c r="GQD146" s="3170"/>
      <c r="GQE146" s="3170"/>
      <c r="GQF146" s="3170"/>
      <c r="GQG146" s="3170"/>
      <c r="GQH146" s="3170"/>
      <c r="GQI146" s="3170"/>
      <c r="GQJ146" s="3170"/>
      <c r="GQK146" s="3170"/>
      <c r="GQL146" s="3170"/>
      <c r="GQM146" s="3170"/>
      <c r="GQN146" s="3170"/>
      <c r="GQO146" s="3170"/>
      <c r="GQP146" s="3170"/>
      <c r="GQQ146" s="3170"/>
      <c r="GQR146" s="3170"/>
      <c r="GQS146" s="3170"/>
      <c r="GQT146" s="3170"/>
      <c r="GQU146" s="3170"/>
      <c r="GQV146" s="3170"/>
      <c r="GQW146" s="3170"/>
      <c r="GQX146" s="3170"/>
      <c r="GQY146" s="3170"/>
      <c r="GQZ146" s="3170"/>
      <c r="GRA146" s="3170"/>
      <c r="GRB146" s="3170"/>
      <c r="GRC146" s="3170"/>
      <c r="GRD146" s="3170"/>
      <c r="GRE146" s="3170"/>
      <c r="GRF146" s="3170"/>
      <c r="GRG146" s="3170"/>
      <c r="GRH146" s="3170"/>
      <c r="GRI146" s="3170"/>
      <c r="GRJ146" s="3170"/>
      <c r="GRK146" s="3170"/>
      <c r="GRL146" s="3170"/>
      <c r="GRM146" s="3170"/>
      <c r="GRN146" s="3170"/>
      <c r="GRO146" s="3170"/>
      <c r="GRP146" s="3170"/>
      <c r="GRQ146" s="3170"/>
      <c r="GRR146" s="3170"/>
      <c r="GRS146" s="3170"/>
      <c r="GRT146" s="3170"/>
      <c r="GRU146" s="3170"/>
      <c r="GRV146" s="3170"/>
      <c r="GRW146" s="3170"/>
      <c r="GRX146" s="3170"/>
      <c r="GRY146" s="3170"/>
      <c r="GRZ146" s="3170"/>
      <c r="GSA146" s="3170"/>
      <c r="GSB146" s="3170"/>
      <c r="GSC146" s="3170"/>
      <c r="GSD146" s="3170"/>
      <c r="GSE146" s="3170"/>
      <c r="GSF146" s="3170"/>
      <c r="GSG146" s="3170"/>
      <c r="GSH146" s="3170"/>
      <c r="GSI146" s="3170"/>
      <c r="GSJ146" s="3170"/>
      <c r="GSK146" s="3170"/>
      <c r="GSL146" s="3170"/>
      <c r="GSM146" s="3170"/>
      <c r="GSN146" s="3170"/>
      <c r="GSO146" s="3170"/>
      <c r="GSP146" s="3170"/>
      <c r="GSQ146" s="3170"/>
      <c r="GSR146" s="3170"/>
      <c r="GSS146" s="3170"/>
      <c r="GST146" s="3170"/>
      <c r="GSU146" s="3170"/>
      <c r="GSV146" s="3170"/>
      <c r="GSW146" s="3170"/>
      <c r="GSX146" s="3170"/>
      <c r="GSY146" s="3170"/>
      <c r="GSZ146" s="3170"/>
      <c r="GTA146" s="3170"/>
      <c r="GTB146" s="3170"/>
      <c r="GTC146" s="3170"/>
      <c r="GTD146" s="3170"/>
      <c r="GTE146" s="3170"/>
      <c r="GTF146" s="3170"/>
      <c r="GTG146" s="3170"/>
      <c r="GTH146" s="3170"/>
      <c r="GTI146" s="3170"/>
      <c r="GTJ146" s="3170"/>
      <c r="GTK146" s="3170"/>
      <c r="GTL146" s="3170"/>
      <c r="GTM146" s="3170"/>
      <c r="GTN146" s="3170"/>
      <c r="GTO146" s="3170"/>
      <c r="GTP146" s="3170"/>
      <c r="GTQ146" s="3170"/>
      <c r="GTR146" s="3170"/>
      <c r="GTS146" s="3170"/>
      <c r="GTT146" s="3170"/>
      <c r="GTU146" s="3170"/>
      <c r="GTV146" s="3170"/>
      <c r="GTW146" s="3170"/>
      <c r="GTX146" s="3170"/>
      <c r="GTY146" s="3170"/>
      <c r="GTZ146" s="3170"/>
      <c r="GUA146" s="3170"/>
      <c r="GUB146" s="3170"/>
      <c r="GUC146" s="3170"/>
      <c r="GUD146" s="3170"/>
      <c r="GUE146" s="3170"/>
      <c r="GUF146" s="3170"/>
      <c r="GUG146" s="3170"/>
      <c r="GUH146" s="3170"/>
      <c r="GUI146" s="3170"/>
      <c r="GUJ146" s="3170"/>
      <c r="GUK146" s="3170"/>
      <c r="GUL146" s="3170"/>
      <c r="GUM146" s="3170"/>
      <c r="GUN146" s="3170"/>
      <c r="GUO146" s="3170"/>
      <c r="GUP146" s="3170"/>
      <c r="GUQ146" s="3170"/>
      <c r="GUR146" s="3170"/>
      <c r="GUS146" s="3170"/>
      <c r="GUT146" s="3170"/>
      <c r="GUU146" s="3170"/>
      <c r="GUV146" s="3170"/>
      <c r="GUW146" s="3170"/>
      <c r="GUX146" s="3170"/>
      <c r="GUY146" s="3170"/>
      <c r="GUZ146" s="3170"/>
      <c r="GVA146" s="3170"/>
      <c r="GVB146" s="3170"/>
      <c r="GVC146" s="3170"/>
      <c r="GVD146" s="3170"/>
      <c r="GVE146" s="3170"/>
      <c r="GVF146" s="3170"/>
      <c r="GVG146" s="3170"/>
      <c r="GVH146" s="3170"/>
      <c r="GVI146" s="3170"/>
      <c r="GVJ146" s="3170"/>
      <c r="GVK146" s="3170"/>
      <c r="GVL146" s="3170"/>
      <c r="GVM146" s="3170"/>
      <c r="GVN146" s="3170"/>
      <c r="GVO146" s="3170"/>
      <c r="GVP146" s="3170"/>
      <c r="GVQ146" s="3170"/>
      <c r="GVR146" s="3170"/>
      <c r="GVS146" s="3170"/>
      <c r="GVT146" s="3170"/>
      <c r="GVU146" s="3170"/>
      <c r="GVV146" s="3170"/>
      <c r="GVW146" s="3170"/>
      <c r="GVX146" s="3170"/>
      <c r="GVY146" s="3170"/>
      <c r="GVZ146" s="3170"/>
      <c r="GWA146" s="3170"/>
      <c r="GWB146" s="3170"/>
      <c r="GWC146" s="3170"/>
      <c r="GWD146" s="3170"/>
      <c r="GWE146" s="3170"/>
      <c r="GWF146" s="3170"/>
      <c r="GWG146" s="3170"/>
      <c r="GWH146" s="3170"/>
      <c r="GWI146" s="3170"/>
      <c r="GWJ146" s="3170"/>
      <c r="GWK146" s="3170"/>
      <c r="GWL146" s="3170"/>
      <c r="GWM146" s="3170"/>
      <c r="GWN146" s="3170"/>
      <c r="GWO146" s="3170"/>
      <c r="GWP146" s="3170"/>
      <c r="GWQ146" s="3170"/>
      <c r="GWR146" s="3170"/>
      <c r="GWS146" s="3170"/>
      <c r="GWT146" s="3170"/>
      <c r="GWU146" s="3170"/>
      <c r="GWV146" s="3170"/>
      <c r="GWW146" s="3170"/>
      <c r="GWX146" s="3170"/>
      <c r="GWY146" s="3170"/>
      <c r="GWZ146" s="3170"/>
      <c r="GXA146" s="3170"/>
      <c r="GXB146" s="3170"/>
      <c r="GXC146" s="3170"/>
      <c r="GXD146" s="3170"/>
      <c r="GXE146" s="3170"/>
      <c r="GXF146" s="3170"/>
      <c r="GXG146" s="3170"/>
      <c r="GXH146" s="3170"/>
      <c r="GXI146" s="3170"/>
      <c r="GXJ146" s="3170"/>
      <c r="GXK146" s="3170"/>
      <c r="GXL146" s="3170"/>
      <c r="GXM146" s="3170"/>
      <c r="GXN146" s="3170"/>
      <c r="GXO146" s="3170"/>
      <c r="GXP146" s="3170"/>
      <c r="GXQ146" s="3170"/>
      <c r="GXR146" s="3170"/>
      <c r="GXS146" s="3170"/>
      <c r="GXT146" s="3170"/>
      <c r="GXU146" s="3170"/>
      <c r="GXV146" s="3170"/>
      <c r="GXW146" s="3170"/>
      <c r="GXX146" s="3170"/>
      <c r="GXY146" s="3170"/>
      <c r="GXZ146" s="3170"/>
      <c r="GYA146" s="3170"/>
      <c r="GYB146" s="3170"/>
      <c r="GYC146" s="3170"/>
      <c r="GYD146" s="3170"/>
      <c r="GYE146" s="3170"/>
      <c r="GYF146" s="3170"/>
      <c r="GYG146" s="3170"/>
      <c r="GYH146" s="3170"/>
      <c r="GYI146" s="3170"/>
      <c r="GYJ146" s="3170"/>
      <c r="GYK146" s="3170"/>
      <c r="GYL146" s="3170"/>
      <c r="GYM146" s="3170"/>
      <c r="GYN146" s="3170"/>
      <c r="GYO146" s="3170"/>
      <c r="GYP146" s="3170"/>
      <c r="GYQ146" s="3170"/>
      <c r="GYR146" s="3170"/>
      <c r="GYS146" s="3170"/>
      <c r="GYT146" s="3170"/>
      <c r="GYU146" s="3170"/>
      <c r="GYV146" s="3170"/>
      <c r="GYW146" s="3170"/>
      <c r="GYX146" s="3170"/>
      <c r="GYY146" s="3170"/>
      <c r="GYZ146" s="3170"/>
      <c r="GZA146" s="3170"/>
      <c r="GZB146" s="3170"/>
      <c r="GZC146" s="3170"/>
      <c r="GZD146" s="3170"/>
      <c r="GZE146" s="3170"/>
      <c r="GZF146" s="3170"/>
      <c r="GZG146" s="3170"/>
      <c r="GZH146" s="3170"/>
      <c r="GZI146" s="3170"/>
      <c r="GZJ146" s="3170"/>
      <c r="GZK146" s="3170"/>
      <c r="GZL146" s="3170"/>
      <c r="GZM146" s="3170"/>
      <c r="GZN146" s="3170"/>
      <c r="GZO146" s="3170"/>
      <c r="GZP146" s="3170"/>
      <c r="GZQ146" s="3170"/>
      <c r="GZR146" s="3170"/>
      <c r="GZS146" s="3170"/>
      <c r="GZT146" s="3170"/>
      <c r="GZU146" s="3170"/>
      <c r="GZV146" s="3170"/>
      <c r="GZW146" s="3170"/>
      <c r="GZX146" s="3170"/>
      <c r="GZY146" s="3170"/>
      <c r="GZZ146" s="3170"/>
      <c r="HAA146" s="3170"/>
      <c r="HAB146" s="3170"/>
      <c r="HAC146" s="3170"/>
      <c r="HAD146" s="3170"/>
      <c r="HAE146" s="3170"/>
      <c r="HAF146" s="3170"/>
      <c r="HAG146" s="3170"/>
      <c r="HAH146" s="3170"/>
      <c r="HAI146" s="3170"/>
      <c r="HAJ146" s="3170"/>
      <c r="HAK146" s="3170"/>
      <c r="HAL146" s="3170"/>
      <c r="HAM146" s="3170"/>
      <c r="HAN146" s="3170"/>
      <c r="HAO146" s="3170"/>
      <c r="HAP146" s="3170"/>
      <c r="HAQ146" s="3170"/>
      <c r="HAR146" s="3170"/>
      <c r="HAS146" s="3170"/>
      <c r="HAT146" s="3170"/>
      <c r="HAU146" s="3170"/>
      <c r="HAV146" s="3170"/>
      <c r="HAW146" s="3170"/>
      <c r="HAX146" s="3170"/>
      <c r="HAY146" s="3170"/>
      <c r="HAZ146" s="3170"/>
      <c r="HBA146" s="3170"/>
      <c r="HBB146" s="3170"/>
      <c r="HBC146" s="3170"/>
      <c r="HBD146" s="3170"/>
      <c r="HBE146" s="3170"/>
      <c r="HBF146" s="3170"/>
      <c r="HBG146" s="3170"/>
      <c r="HBH146" s="3170"/>
      <c r="HBI146" s="3170"/>
      <c r="HBJ146" s="3170"/>
      <c r="HBK146" s="3170"/>
      <c r="HBL146" s="3170"/>
      <c r="HBM146" s="3170"/>
      <c r="HBN146" s="3170"/>
      <c r="HBO146" s="3170"/>
      <c r="HBP146" s="3170"/>
      <c r="HBQ146" s="3170"/>
      <c r="HBR146" s="3170"/>
      <c r="HBS146" s="3170"/>
      <c r="HBT146" s="3170"/>
      <c r="HBU146" s="3170"/>
      <c r="HBV146" s="3170"/>
      <c r="HBW146" s="3170"/>
      <c r="HBX146" s="3170"/>
      <c r="HBY146" s="3170"/>
      <c r="HBZ146" s="3170"/>
      <c r="HCA146" s="3170"/>
      <c r="HCB146" s="3170"/>
      <c r="HCC146" s="3170"/>
      <c r="HCD146" s="3170"/>
      <c r="HCE146" s="3170"/>
      <c r="HCF146" s="3170"/>
      <c r="HCG146" s="3170"/>
      <c r="HCH146" s="3170"/>
      <c r="HCI146" s="3170"/>
      <c r="HCJ146" s="3170"/>
      <c r="HCK146" s="3170"/>
      <c r="HCL146" s="3170"/>
      <c r="HCM146" s="3170"/>
      <c r="HCN146" s="3170"/>
      <c r="HCO146" s="3170"/>
      <c r="HCP146" s="3170"/>
      <c r="HCQ146" s="3170"/>
      <c r="HCR146" s="3170"/>
      <c r="HCS146" s="3170"/>
      <c r="HCT146" s="3170"/>
      <c r="HCU146" s="3170"/>
      <c r="HCV146" s="3170"/>
      <c r="HCW146" s="3170"/>
      <c r="HCX146" s="3170"/>
      <c r="HCY146" s="3170"/>
      <c r="HCZ146" s="3170"/>
      <c r="HDA146" s="3170"/>
      <c r="HDB146" s="3170"/>
      <c r="HDC146" s="3170"/>
      <c r="HDD146" s="3170"/>
      <c r="HDE146" s="3170"/>
      <c r="HDF146" s="3170"/>
      <c r="HDG146" s="3170"/>
      <c r="HDH146" s="3170"/>
      <c r="HDI146" s="3170"/>
      <c r="HDJ146" s="3170"/>
      <c r="HDK146" s="3170"/>
      <c r="HDL146" s="3170"/>
      <c r="HDM146" s="3170"/>
      <c r="HDN146" s="3170"/>
      <c r="HDO146" s="3170"/>
      <c r="HDP146" s="3170"/>
      <c r="HDQ146" s="3170"/>
      <c r="HDR146" s="3170"/>
      <c r="HDS146" s="3170"/>
      <c r="HDT146" s="3170"/>
      <c r="HDU146" s="3170"/>
      <c r="HDV146" s="3170"/>
      <c r="HDW146" s="3170"/>
      <c r="HDX146" s="3170"/>
      <c r="HDY146" s="3170"/>
      <c r="HDZ146" s="3170"/>
      <c r="HEA146" s="3170"/>
      <c r="HEB146" s="3170"/>
      <c r="HEC146" s="3170"/>
      <c r="HED146" s="3170"/>
      <c r="HEE146" s="3170"/>
      <c r="HEF146" s="3170"/>
      <c r="HEG146" s="3170"/>
      <c r="HEH146" s="3170"/>
      <c r="HEI146" s="3170"/>
      <c r="HEJ146" s="3170"/>
      <c r="HEK146" s="3170"/>
      <c r="HEL146" s="3170"/>
      <c r="HEM146" s="3170"/>
      <c r="HEN146" s="3170"/>
      <c r="HEO146" s="3170"/>
      <c r="HEP146" s="3170"/>
      <c r="HEQ146" s="3170"/>
      <c r="HER146" s="3170"/>
      <c r="HES146" s="3170"/>
      <c r="HET146" s="3170"/>
      <c r="HEU146" s="3170"/>
      <c r="HEV146" s="3170"/>
      <c r="HEW146" s="3170"/>
      <c r="HEX146" s="3170"/>
      <c r="HEY146" s="3170"/>
      <c r="HEZ146" s="3170"/>
      <c r="HFA146" s="3170"/>
      <c r="HFB146" s="3170"/>
      <c r="HFC146" s="3170"/>
      <c r="HFD146" s="3170"/>
      <c r="HFE146" s="3170"/>
      <c r="HFF146" s="3170"/>
      <c r="HFG146" s="3170"/>
      <c r="HFH146" s="3170"/>
      <c r="HFI146" s="3170"/>
      <c r="HFJ146" s="3170"/>
      <c r="HFK146" s="3170"/>
      <c r="HFL146" s="3170"/>
      <c r="HFM146" s="3170"/>
      <c r="HFN146" s="3170"/>
      <c r="HFO146" s="3170"/>
      <c r="HFP146" s="3170"/>
      <c r="HFQ146" s="3170"/>
      <c r="HFR146" s="3170"/>
      <c r="HFS146" s="3170"/>
      <c r="HFT146" s="3170"/>
      <c r="HFU146" s="3170"/>
      <c r="HFV146" s="3170"/>
      <c r="HFW146" s="3170"/>
      <c r="HFX146" s="3170"/>
      <c r="HFY146" s="3170"/>
      <c r="HFZ146" s="3170"/>
      <c r="HGA146" s="3170"/>
      <c r="HGB146" s="3170"/>
      <c r="HGC146" s="3170"/>
      <c r="HGD146" s="3170"/>
      <c r="HGE146" s="3170"/>
      <c r="HGF146" s="3170"/>
      <c r="HGG146" s="3170"/>
      <c r="HGH146" s="3170"/>
      <c r="HGI146" s="3170"/>
      <c r="HGJ146" s="3170"/>
      <c r="HGK146" s="3170"/>
      <c r="HGL146" s="3170"/>
      <c r="HGM146" s="3170"/>
      <c r="HGN146" s="3170"/>
      <c r="HGO146" s="3170"/>
      <c r="HGP146" s="3170"/>
      <c r="HGQ146" s="3170"/>
      <c r="HGR146" s="3170"/>
      <c r="HGS146" s="3170"/>
      <c r="HGT146" s="3170"/>
      <c r="HGU146" s="3170"/>
      <c r="HGV146" s="3170"/>
      <c r="HGW146" s="3170"/>
      <c r="HGX146" s="3170"/>
      <c r="HGY146" s="3170"/>
      <c r="HGZ146" s="3170"/>
      <c r="HHA146" s="3170"/>
      <c r="HHB146" s="3170"/>
      <c r="HHC146" s="3170"/>
      <c r="HHD146" s="3170"/>
      <c r="HHE146" s="3170"/>
      <c r="HHF146" s="3170"/>
      <c r="HHG146" s="3170"/>
      <c r="HHH146" s="3170"/>
      <c r="HHI146" s="3170"/>
      <c r="HHJ146" s="3170"/>
      <c r="HHK146" s="3170"/>
      <c r="HHL146" s="3170"/>
      <c r="HHM146" s="3170"/>
      <c r="HHN146" s="3170"/>
      <c r="HHO146" s="3170"/>
      <c r="HHP146" s="3170"/>
      <c r="HHQ146" s="3170"/>
      <c r="HHR146" s="3170"/>
      <c r="HHS146" s="3170"/>
      <c r="HHT146" s="3170"/>
      <c r="HHU146" s="3170"/>
      <c r="HHV146" s="3170"/>
      <c r="HHW146" s="3170"/>
      <c r="HHX146" s="3170"/>
      <c r="HHY146" s="3170"/>
      <c r="HHZ146" s="3170"/>
      <c r="HIA146" s="3170"/>
      <c r="HIB146" s="3170"/>
      <c r="HIC146" s="3170"/>
      <c r="HID146" s="3170"/>
      <c r="HIE146" s="3170"/>
      <c r="HIF146" s="3170"/>
      <c r="HIG146" s="3170"/>
      <c r="HIH146" s="3170"/>
      <c r="HII146" s="3170"/>
      <c r="HIJ146" s="3170"/>
      <c r="HIK146" s="3170"/>
      <c r="HIL146" s="3170"/>
      <c r="HIM146" s="3170"/>
      <c r="HIN146" s="3170"/>
      <c r="HIO146" s="3170"/>
      <c r="HIP146" s="3170"/>
      <c r="HIQ146" s="3170"/>
      <c r="HIR146" s="3170"/>
      <c r="HIS146" s="3170"/>
      <c r="HIT146" s="3170"/>
      <c r="HIU146" s="3170"/>
      <c r="HIV146" s="3170"/>
      <c r="HIW146" s="3170"/>
      <c r="HIX146" s="3170"/>
      <c r="HIY146" s="3170"/>
      <c r="HIZ146" s="3170"/>
      <c r="HJA146" s="3170"/>
      <c r="HJB146" s="3170"/>
      <c r="HJC146" s="3170"/>
      <c r="HJD146" s="3170"/>
      <c r="HJE146" s="3170"/>
      <c r="HJF146" s="3170"/>
      <c r="HJG146" s="3170"/>
      <c r="HJH146" s="3170"/>
      <c r="HJI146" s="3170"/>
      <c r="HJJ146" s="3170"/>
      <c r="HJK146" s="3170"/>
      <c r="HJL146" s="3170"/>
      <c r="HJM146" s="3170"/>
      <c r="HJN146" s="3170"/>
      <c r="HJO146" s="3170"/>
      <c r="HJP146" s="3170"/>
      <c r="HJQ146" s="3170"/>
      <c r="HJR146" s="3170"/>
      <c r="HJS146" s="3170"/>
      <c r="HJT146" s="3170"/>
      <c r="HJU146" s="3170"/>
      <c r="HJV146" s="3170"/>
      <c r="HJW146" s="3170"/>
      <c r="HJX146" s="3170"/>
      <c r="HJY146" s="3170"/>
      <c r="HJZ146" s="3170"/>
      <c r="HKA146" s="3170"/>
      <c r="HKB146" s="3170"/>
      <c r="HKC146" s="3170"/>
      <c r="HKD146" s="3170"/>
      <c r="HKE146" s="3170"/>
      <c r="HKF146" s="3170"/>
      <c r="HKG146" s="3170"/>
      <c r="HKH146" s="3170"/>
      <c r="HKI146" s="3170"/>
      <c r="HKJ146" s="3170"/>
      <c r="HKK146" s="3170"/>
      <c r="HKL146" s="3170"/>
      <c r="HKM146" s="3170"/>
      <c r="HKN146" s="3170"/>
      <c r="HKO146" s="3170"/>
      <c r="HKP146" s="3170"/>
      <c r="HKQ146" s="3170"/>
      <c r="HKR146" s="3170"/>
      <c r="HKS146" s="3170"/>
      <c r="HKT146" s="3170"/>
      <c r="HKU146" s="3170"/>
      <c r="HKV146" s="3170"/>
      <c r="HKW146" s="3170"/>
      <c r="HKX146" s="3170"/>
      <c r="HKY146" s="3170"/>
      <c r="HKZ146" s="3170"/>
      <c r="HLA146" s="3170"/>
      <c r="HLB146" s="3170"/>
      <c r="HLC146" s="3170"/>
      <c r="HLD146" s="3170"/>
      <c r="HLE146" s="3170"/>
      <c r="HLF146" s="3170"/>
      <c r="HLG146" s="3170"/>
      <c r="HLH146" s="3170"/>
      <c r="HLI146" s="3170"/>
      <c r="HLJ146" s="3170"/>
      <c r="HLK146" s="3170"/>
      <c r="HLL146" s="3170"/>
      <c r="HLM146" s="3170"/>
      <c r="HLN146" s="3170"/>
      <c r="HLO146" s="3170"/>
      <c r="HLP146" s="3170"/>
      <c r="HLQ146" s="3170"/>
      <c r="HLR146" s="3170"/>
      <c r="HLS146" s="3170"/>
      <c r="HLT146" s="3170"/>
      <c r="HLU146" s="3170"/>
      <c r="HLV146" s="3170"/>
      <c r="HLW146" s="3170"/>
      <c r="HLX146" s="3170"/>
      <c r="HLY146" s="3170"/>
      <c r="HLZ146" s="3170"/>
      <c r="HMA146" s="3170"/>
      <c r="HMB146" s="3170"/>
      <c r="HMC146" s="3170"/>
      <c r="HMD146" s="3170"/>
      <c r="HME146" s="3170"/>
      <c r="HMF146" s="3170"/>
      <c r="HMG146" s="3170"/>
      <c r="HMH146" s="3170"/>
      <c r="HMI146" s="3170"/>
      <c r="HMJ146" s="3170"/>
      <c r="HMK146" s="3170"/>
      <c r="HML146" s="3170"/>
      <c r="HMM146" s="3170"/>
      <c r="HMN146" s="3170"/>
      <c r="HMO146" s="3170"/>
      <c r="HMP146" s="3170"/>
      <c r="HMQ146" s="3170"/>
      <c r="HMR146" s="3170"/>
      <c r="HMS146" s="3170"/>
      <c r="HMT146" s="3170"/>
      <c r="HMU146" s="3170"/>
      <c r="HMV146" s="3170"/>
      <c r="HMW146" s="3170"/>
      <c r="HMX146" s="3170"/>
      <c r="HMY146" s="3170"/>
      <c r="HMZ146" s="3170"/>
      <c r="HNA146" s="3170"/>
      <c r="HNB146" s="3170"/>
      <c r="HNC146" s="3170"/>
      <c r="HND146" s="3170"/>
      <c r="HNE146" s="3170"/>
      <c r="HNF146" s="3170"/>
      <c r="HNG146" s="3170"/>
      <c r="HNH146" s="3170"/>
      <c r="HNI146" s="3170"/>
      <c r="HNJ146" s="3170"/>
      <c r="HNK146" s="3170"/>
      <c r="HNL146" s="3170"/>
      <c r="HNM146" s="3170"/>
      <c r="HNN146" s="3170"/>
      <c r="HNO146" s="3170"/>
      <c r="HNP146" s="3170"/>
      <c r="HNQ146" s="3170"/>
      <c r="HNR146" s="3170"/>
      <c r="HNS146" s="3170"/>
      <c r="HNT146" s="3170"/>
      <c r="HNU146" s="3170"/>
      <c r="HNV146" s="3170"/>
      <c r="HNW146" s="3170"/>
      <c r="HNX146" s="3170"/>
      <c r="HNY146" s="3170"/>
      <c r="HNZ146" s="3170"/>
      <c r="HOA146" s="3170"/>
      <c r="HOB146" s="3170"/>
      <c r="HOC146" s="3170"/>
      <c r="HOD146" s="3170"/>
      <c r="HOE146" s="3170"/>
      <c r="HOF146" s="3170"/>
      <c r="HOG146" s="3170"/>
      <c r="HOH146" s="3170"/>
      <c r="HOI146" s="3170"/>
      <c r="HOJ146" s="3170"/>
      <c r="HOK146" s="3170"/>
      <c r="HOL146" s="3170"/>
      <c r="HOM146" s="3170"/>
      <c r="HON146" s="3170"/>
      <c r="HOO146" s="3170"/>
      <c r="HOP146" s="3170"/>
      <c r="HOQ146" s="3170"/>
      <c r="HOR146" s="3170"/>
      <c r="HOS146" s="3170"/>
      <c r="HOT146" s="3170"/>
      <c r="HOU146" s="3170"/>
      <c r="HOV146" s="3170"/>
      <c r="HOW146" s="3170"/>
      <c r="HOX146" s="3170"/>
      <c r="HOY146" s="3170"/>
      <c r="HOZ146" s="3170"/>
      <c r="HPA146" s="3170"/>
      <c r="HPB146" s="3170"/>
      <c r="HPC146" s="3170"/>
      <c r="HPD146" s="3170"/>
      <c r="HPE146" s="3170"/>
      <c r="HPF146" s="3170"/>
      <c r="HPG146" s="3170"/>
      <c r="HPH146" s="3170"/>
      <c r="HPI146" s="3170"/>
      <c r="HPJ146" s="3170"/>
      <c r="HPK146" s="3170"/>
      <c r="HPL146" s="3170"/>
      <c r="HPM146" s="3170"/>
      <c r="HPN146" s="3170"/>
      <c r="HPO146" s="3170"/>
      <c r="HPP146" s="3170"/>
      <c r="HPQ146" s="3170"/>
      <c r="HPR146" s="3170"/>
      <c r="HPS146" s="3170"/>
      <c r="HPT146" s="3170"/>
      <c r="HPU146" s="3170"/>
      <c r="HPV146" s="3170"/>
      <c r="HPW146" s="3170"/>
      <c r="HPX146" s="3170"/>
      <c r="HPY146" s="3170"/>
      <c r="HPZ146" s="3170"/>
      <c r="HQA146" s="3170"/>
      <c r="HQB146" s="3170"/>
      <c r="HQC146" s="3170"/>
      <c r="HQD146" s="3170"/>
      <c r="HQE146" s="3170"/>
      <c r="HQF146" s="3170"/>
      <c r="HQG146" s="3170"/>
      <c r="HQH146" s="3170"/>
      <c r="HQI146" s="3170"/>
      <c r="HQJ146" s="3170"/>
      <c r="HQK146" s="3170"/>
      <c r="HQL146" s="3170"/>
      <c r="HQM146" s="3170"/>
      <c r="HQN146" s="3170"/>
      <c r="HQO146" s="3170"/>
      <c r="HQP146" s="3170"/>
      <c r="HQQ146" s="3170"/>
      <c r="HQR146" s="3170"/>
      <c r="HQS146" s="3170"/>
      <c r="HQT146" s="3170"/>
      <c r="HQU146" s="3170"/>
      <c r="HQV146" s="3170"/>
      <c r="HQW146" s="3170"/>
      <c r="HQX146" s="3170"/>
      <c r="HQY146" s="3170"/>
      <c r="HQZ146" s="3170"/>
      <c r="HRA146" s="3170"/>
      <c r="HRB146" s="3170"/>
      <c r="HRC146" s="3170"/>
      <c r="HRD146" s="3170"/>
      <c r="HRE146" s="3170"/>
      <c r="HRF146" s="3170"/>
      <c r="HRG146" s="3170"/>
      <c r="HRH146" s="3170"/>
      <c r="HRI146" s="3170"/>
      <c r="HRJ146" s="3170"/>
      <c r="HRK146" s="3170"/>
      <c r="HRL146" s="3170"/>
      <c r="HRM146" s="3170"/>
      <c r="HRN146" s="3170"/>
      <c r="HRO146" s="3170"/>
      <c r="HRP146" s="3170"/>
      <c r="HRQ146" s="3170"/>
      <c r="HRR146" s="3170"/>
      <c r="HRS146" s="3170"/>
      <c r="HRT146" s="3170"/>
      <c r="HRU146" s="3170"/>
      <c r="HRV146" s="3170"/>
      <c r="HRW146" s="3170"/>
      <c r="HRX146" s="3170"/>
      <c r="HRY146" s="3170"/>
      <c r="HRZ146" s="3170"/>
      <c r="HSA146" s="3170"/>
      <c r="HSB146" s="3170"/>
      <c r="HSC146" s="3170"/>
      <c r="HSD146" s="3170"/>
      <c r="HSE146" s="3170"/>
      <c r="HSF146" s="3170"/>
      <c r="HSG146" s="3170"/>
      <c r="HSH146" s="3170"/>
      <c r="HSI146" s="3170"/>
      <c r="HSJ146" s="3170"/>
      <c r="HSK146" s="3170"/>
      <c r="HSL146" s="3170"/>
      <c r="HSM146" s="3170"/>
      <c r="HSN146" s="3170"/>
      <c r="HSO146" s="3170"/>
      <c r="HSP146" s="3170"/>
      <c r="HSQ146" s="3170"/>
      <c r="HSR146" s="3170"/>
      <c r="HSS146" s="3170"/>
      <c r="HST146" s="3170"/>
      <c r="HSU146" s="3170"/>
      <c r="HSV146" s="3170"/>
      <c r="HSW146" s="3170"/>
      <c r="HSX146" s="3170"/>
      <c r="HSY146" s="3170"/>
      <c r="HSZ146" s="3170"/>
      <c r="HTA146" s="3170"/>
      <c r="HTB146" s="3170"/>
      <c r="HTC146" s="3170"/>
      <c r="HTD146" s="3170"/>
      <c r="HTE146" s="3170"/>
      <c r="HTF146" s="3170"/>
      <c r="HTG146" s="3170"/>
      <c r="HTH146" s="3170"/>
      <c r="HTI146" s="3170"/>
      <c r="HTJ146" s="3170"/>
      <c r="HTK146" s="3170"/>
      <c r="HTL146" s="3170"/>
      <c r="HTM146" s="3170"/>
      <c r="HTN146" s="3170"/>
      <c r="HTO146" s="3170"/>
      <c r="HTP146" s="3170"/>
      <c r="HTQ146" s="3170"/>
      <c r="HTR146" s="3170"/>
      <c r="HTS146" s="3170"/>
      <c r="HTT146" s="3170"/>
      <c r="HTU146" s="3170"/>
      <c r="HTV146" s="3170"/>
      <c r="HTW146" s="3170"/>
      <c r="HTX146" s="3170"/>
      <c r="HTY146" s="3170"/>
      <c r="HTZ146" s="3170"/>
      <c r="HUA146" s="3170"/>
      <c r="HUB146" s="3170"/>
      <c r="HUC146" s="3170"/>
      <c r="HUD146" s="3170"/>
      <c r="HUE146" s="3170"/>
      <c r="HUF146" s="3170"/>
      <c r="HUG146" s="3170"/>
      <c r="HUH146" s="3170"/>
      <c r="HUI146" s="3170"/>
      <c r="HUJ146" s="3170"/>
      <c r="HUK146" s="3170"/>
      <c r="HUL146" s="3170"/>
      <c r="HUM146" s="3170"/>
      <c r="HUN146" s="3170"/>
      <c r="HUO146" s="3170"/>
      <c r="HUP146" s="3170"/>
      <c r="HUQ146" s="3170"/>
      <c r="HUR146" s="3170"/>
      <c r="HUS146" s="3170"/>
      <c r="HUT146" s="3170"/>
      <c r="HUU146" s="3170"/>
      <c r="HUV146" s="3170"/>
      <c r="HUW146" s="3170"/>
      <c r="HUX146" s="3170"/>
      <c r="HUY146" s="3170"/>
      <c r="HUZ146" s="3170"/>
      <c r="HVA146" s="3170"/>
      <c r="HVB146" s="3170"/>
      <c r="HVC146" s="3170"/>
      <c r="HVD146" s="3170"/>
      <c r="HVE146" s="3170"/>
      <c r="HVF146" s="3170"/>
      <c r="HVG146" s="3170"/>
      <c r="HVH146" s="3170"/>
      <c r="HVI146" s="3170"/>
      <c r="HVJ146" s="3170"/>
      <c r="HVK146" s="3170"/>
      <c r="HVL146" s="3170"/>
      <c r="HVM146" s="3170"/>
      <c r="HVN146" s="3170"/>
      <c r="HVO146" s="3170"/>
      <c r="HVP146" s="3170"/>
      <c r="HVQ146" s="3170"/>
      <c r="HVR146" s="3170"/>
      <c r="HVS146" s="3170"/>
      <c r="HVT146" s="3170"/>
      <c r="HVU146" s="3170"/>
      <c r="HVV146" s="3170"/>
      <c r="HVW146" s="3170"/>
      <c r="HVX146" s="3170"/>
      <c r="HVY146" s="3170"/>
      <c r="HVZ146" s="3170"/>
      <c r="HWA146" s="3170"/>
      <c r="HWB146" s="3170"/>
      <c r="HWC146" s="3170"/>
      <c r="HWD146" s="3170"/>
      <c r="HWE146" s="3170"/>
      <c r="HWF146" s="3170"/>
      <c r="HWG146" s="3170"/>
      <c r="HWH146" s="3170"/>
      <c r="HWI146" s="3170"/>
      <c r="HWJ146" s="3170"/>
      <c r="HWK146" s="3170"/>
      <c r="HWL146" s="3170"/>
      <c r="HWM146" s="3170"/>
      <c r="HWN146" s="3170"/>
      <c r="HWO146" s="3170"/>
      <c r="HWP146" s="3170"/>
      <c r="HWQ146" s="3170"/>
      <c r="HWR146" s="3170"/>
      <c r="HWS146" s="3170"/>
      <c r="HWT146" s="3170"/>
      <c r="HWU146" s="3170"/>
      <c r="HWV146" s="3170"/>
      <c r="HWW146" s="3170"/>
      <c r="HWX146" s="3170"/>
      <c r="HWY146" s="3170"/>
      <c r="HWZ146" s="3170"/>
      <c r="HXA146" s="3170"/>
      <c r="HXB146" s="3170"/>
      <c r="HXC146" s="3170"/>
      <c r="HXD146" s="3170"/>
      <c r="HXE146" s="3170"/>
      <c r="HXF146" s="3170"/>
      <c r="HXG146" s="3170"/>
      <c r="HXH146" s="3170"/>
      <c r="HXI146" s="3170"/>
      <c r="HXJ146" s="3170"/>
      <c r="HXK146" s="3170"/>
      <c r="HXL146" s="3170"/>
      <c r="HXM146" s="3170"/>
      <c r="HXN146" s="3170"/>
      <c r="HXO146" s="3170"/>
      <c r="HXP146" s="3170"/>
      <c r="HXQ146" s="3170"/>
      <c r="HXR146" s="3170"/>
      <c r="HXS146" s="3170"/>
      <c r="HXT146" s="3170"/>
      <c r="HXU146" s="3170"/>
      <c r="HXV146" s="3170"/>
      <c r="HXW146" s="3170"/>
      <c r="HXX146" s="3170"/>
      <c r="HXY146" s="3170"/>
      <c r="HXZ146" s="3170"/>
      <c r="HYA146" s="3170"/>
      <c r="HYB146" s="3170"/>
      <c r="HYC146" s="3170"/>
      <c r="HYD146" s="3170"/>
      <c r="HYE146" s="3170"/>
      <c r="HYF146" s="3170"/>
      <c r="HYG146" s="3170"/>
      <c r="HYH146" s="3170"/>
      <c r="HYI146" s="3170"/>
      <c r="HYJ146" s="3170"/>
      <c r="HYK146" s="3170"/>
      <c r="HYL146" s="3170"/>
      <c r="HYM146" s="3170"/>
      <c r="HYN146" s="3170"/>
      <c r="HYO146" s="3170"/>
      <c r="HYP146" s="3170"/>
      <c r="HYQ146" s="3170"/>
      <c r="HYR146" s="3170"/>
      <c r="HYS146" s="3170"/>
      <c r="HYT146" s="3170"/>
      <c r="HYU146" s="3170"/>
      <c r="HYV146" s="3170"/>
      <c r="HYW146" s="3170"/>
      <c r="HYX146" s="3170"/>
      <c r="HYY146" s="3170"/>
      <c r="HYZ146" s="3170"/>
      <c r="HZA146" s="3170"/>
      <c r="HZB146" s="3170"/>
      <c r="HZC146" s="3170"/>
      <c r="HZD146" s="3170"/>
      <c r="HZE146" s="3170"/>
      <c r="HZF146" s="3170"/>
      <c r="HZG146" s="3170"/>
      <c r="HZH146" s="3170"/>
      <c r="HZI146" s="3170"/>
      <c r="HZJ146" s="3170"/>
      <c r="HZK146" s="3170"/>
      <c r="HZL146" s="3170"/>
      <c r="HZM146" s="3170"/>
      <c r="HZN146" s="3170"/>
      <c r="HZO146" s="3170"/>
      <c r="HZP146" s="3170"/>
      <c r="HZQ146" s="3170"/>
      <c r="HZR146" s="3170"/>
      <c r="HZS146" s="3170"/>
      <c r="HZT146" s="3170"/>
      <c r="HZU146" s="3170"/>
      <c r="HZV146" s="3170"/>
      <c r="HZW146" s="3170"/>
      <c r="HZX146" s="3170"/>
      <c r="HZY146" s="3170"/>
      <c r="HZZ146" s="3170"/>
      <c r="IAA146" s="3170"/>
      <c r="IAB146" s="3170"/>
      <c r="IAC146" s="3170"/>
      <c r="IAD146" s="3170"/>
      <c r="IAE146" s="3170"/>
      <c r="IAF146" s="3170"/>
      <c r="IAG146" s="3170"/>
      <c r="IAH146" s="3170"/>
      <c r="IAI146" s="3170"/>
      <c r="IAJ146" s="3170"/>
      <c r="IAK146" s="3170"/>
      <c r="IAL146" s="3170"/>
      <c r="IAM146" s="3170"/>
      <c r="IAN146" s="3170"/>
      <c r="IAO146" s="3170"/>
      <c r="IAP146" s="3170"/>
      <c r="IAQ146" s="3170"/>
      <c r="IAR146" s="3170"/>
      <c r="IAS146" s="3170"/>
      <c r="IAT146" s="3170"/>
      <c r="IAU146" s="3170"/>
      <c r="IAV146" s="3170"/>
      <c r="IAW146" s="3170"/>
      <c r="IAX146" s="3170"/>
      <c r="IAY146" s="3170"/>
      <c r="IAZ146" s="3170"/>
      <c r="IBA146" s="3170"/>
      <c r="IBB146" s="3170"/>
      <c r="IBC146" s="3170"/>
      <c r="IBD146" s="3170"/>
      <c r="IBE146" s="3170"/>
      <c r="IBF146" s="3170"/>
      <c r="IBG146" s="3170"/>
      <c r="IBH146" s="3170"/>
      <c r="IBI146" s="3170"/>
      <c r="IBJ146" s="3170"/>
      <c r="IBK146" s="3170"/>
      <c r="IBL146" s="3170"/>
      <c r="IBM146" s="3170"/>
      <c r="IBN146" s="3170"/>
      <c r="IBO146" s="3170"/>
      <c r="IBP146" s="3170"/>
      <c r="IBQ146" s="3170"/>
      <c r="IBR146" s="3170"/>
      <c r="IBS146" s="3170"/>
      <c r="IBT146" s="3170"/>
      <c r="IBU146" s="3170"/>
      <c r="IBV146" s="3170"/>
      <c r="IBW146" s="3170"/>
      <c r="IBX146" s="3170"/>
      <c r="IBY146" s="3170"/>
      <c r="IBZ146" s="3170"/>
      <c r="ICA146" s="3170"/>
      <c r="ICB146" s="3170"/>
      <c r="ICC146" s="3170"/>
      <c r="ICD146" s="3170"/>
      <c r="ICE146" s="3170"/>
      <c r="ICF146" s="3170"/>
      <c r="ICG146" s="3170"/>
      <c r="ICH146" s="3170"/>
      <c r="ICI146" s="3170"/>
      <c r="ICJ146" s="3170"/>
      <c r="ICK146" s="3170"/>
      <c r="ICL146" s="3170"/>
      <c r="ICM146" s="3170"/>
      <c r="ICN146" s="3170"/>
      <c r="ICO146" s="3170"/>
      <c r="ICP146" s="3170"/>
      <c r="ICQ146" s="3170"/>
      <c r="ICR146" s="3170"/>
      <c r="ICS146" s="3170"/>
      <c r="ICT146" s="3170"/>
      <c r="ICU146" s="3170"/>
      <c r="ICV146" s="3170"/>
      <c r="ICW146" s="3170"/>
      <c r="ICX146" s="3170"/>
      <c r="ICY146" s="3170"/>
      <c r="ICZ146" s="3170"/>
      <c r="IDA146" s="3170"/>
      <c r="IDB146" s="3170"/>
      <c r="IDC146" s="3170"/>
      <c r="IDD146" s="3170"/>
      <c r="IDE146" s="3170"/>
      <c r="IDF146" s="3170"/>
      <c r="IDG146" s="3170"/>
      <c r="IDH146" s="3170"/>
      <c r="IDI146" s="3170"/>
      <c r="IDJ146" s="3170"/>
      <c r="IDK146" s="3170"/>
      <c r="IDL146" s="3170"/>
      <c r="IDM146" s="3170"/>
      <c r="IDN146" s="3170"/>
      <c r="IDO146" s="3170"/>
      <c r="IDP146" s="3170"/>
      <c r="IDQ146" s="3170"/>
      <c r="IDR146" s="3170"/>
      <c r="IDS146" s="3170"/>
      <c r="IDT146" s="3170"/>
      <c r="IDU146" s="3170"/>
      <c r="IDV146" s="3170"/>
      <c r="IDW146" s="3170"/>
      <c r="IDX146" s="3170"/>
      <c r="IDY146" s="3170"/>
      <c r="IDZ146" s="3170"/>
      <c r="IEA146" s="3170"/>
      <c r="IEB146" s="3170"/>
      <c r="IEC146" s="3170"/>
      <c r="IED146" s="3170"/>
      <c r="IEE146" s="3170"/>
      <c r="IEF146" s="3170"/>
      <c r="IEG146" s="3170"/>
      <c r="IEH146" s="3170"/>
      <c r="IEI146" s="3170"/>
      <c r="IEJ146" s="3170"/>
      <c r="IEK146" s="3170"/>
      <c r="IEL146" s="3170"/>
      <c r="IEM146" s="3170"/>
      <c r="IEN146" s="3170"/>
      <c r="IEO146" s="3170"/>
      <c r="IEP146" s="3170"/>
      <c r="IEQ146" s="3170"/>
      <c r="IER146" s="3170"/>
      <c r="IES146" s="3170"/>
      <c r="IET146" s="3170"/>
      <c r="IEU146" s="3170"/>
      <c r="IEV146" s="3170"/>
      <c r="IEW146" s="3170"/>
      <c r="IEX146" s="3170"/>
      <c r="IEY146" s="3170"/>
      <c r="IEZ146" s="3170"/>
      <c r="IFA146" s="3170"/>
      <c r="IFB146" s="3170"/>
      <c r="IFC146" s="3170"/>
      <c r="IFD146" s="3170"/>
      <c r="IFE146" s="3170"/>
      <c r="IFF146" s="3170"/>
      <c r="IFG146" s="3170"/>
      <c r="IFH146" s="3170"/>
      <c r="IFI146" s="3170"/>
      <c r="IFJ146" s="3170"/>
      <c r="IFK146" s="3170"/>
      <c r="IFL146" s="3170"/>
      <c r="IFM146" s="3170"/>
      <c r="IFN146" s="3170"/>
      <c r="IFO146" s="3170"/>
      <c r="IFP146" s="3170"/>
      <c r="IFQ146" s="3170"/>
      <c r="IFR146" s="3170"/>
      <c r="IFS146" s="3170"/>
      <c r="IFT146" s="3170"/>
      <c r="IFU146" s="3170"/>
      <c r="IFV146" s="3170"/>
      <c r="IFW146" s="3170"/>
      <c r="IFX146" s="3170"/>
      <c r="IFY146" s="3170"/>
      <c r="IFZ146" s="3170"/>
      <c r="IGA146" s="3170"/>
      <c r="IGB146" s="3170"/>
      <c r="IGC146" s="3170"/>
      <c r="IGD146" s="3170"/>
      <c r="IGE146" s="3170"/>
      <c r="IGF146" s="3170"/>
      <c r="IGG146" s="3170"/>
      <c r="IGH146" s="3170"/>
      <c r="IGI146" s="3170"/>
      <c r="IGJ146" s="3170"/>
      <c r="IGK146" s="3170"/>
      <c r="IGL146" s="3170"/>
      <c r="IGM146" s="3170"/>
      <c r="IGN146" s="3170"/>
      <c r="IGO146" s="3170"/>
      <c r="IGP146" s="3170"/>
      <c r="IGQ146" s="3170"/>
      <c r="IGR146" s="3170"/>
      <c r="IGS146" s="3170"/>
      <c r="IGT146" s="3170"/>
      <c r="IGU146" s="3170"/>
      <c r="IGV146" s="3170"/>
      <c r="IGW146" s="3170"/>
      <c r="IGX146" s="3170"/>
      <c r="IGY146" s="3170"/>
      <c r="IGZ146" s="3170"/>
      <c r="IHA146" s="3170"/>
      <c r="IHB146" s="3170"/>
      <c r="IHC146" s="3170"/>
      <c r="IHD146" s="3170"/>
      <c r="IHE146" s="3170"/>
      <c r="IHF146" s="3170"/>
      <c r="IHG146" s="3170"/>
      <c r="IHH146" s="3170"/>
      <c r="IHI146" s="3170"/>
      <c r="IHJ146" s="3170"/>
      <c r="IHK146" s="3170"/>
      <c r="IHL146" s="3170"/>
      <c r="IHM146" s="3170"/>
      <c r="IHN146" s="3170"/>
      <c r="IHO146" s="3170"/>
      <c r="IHP146" s="3170"/>
      <c r="IHQ146" s="3170"/>
      <c r="IHR146" s="3170"/>
      <c r="IHS146" s="3170"/>
      <c r="IHT146" s="3170"/>
      <c r="IHU146" s="3170"/>
      <c r="IHV146" s="3170"/>
      <c r="IHW146" s="3170"/>
      <c r="IHX146" s="3170"/>
      <c r="IHY146" s="3170"/>
      <c r="IHZ146" s="3170"/>
      <c r="IIA146" s="3170"/>
      <c r="IIB146" s="3170"/>
      <c r="IIC146" s="3170"/>
      <c r="IID146" s="3170"/>
      <c r="IIE146" s="3170"/>
      <c r="IIF146" s="3170"/>
      <c r="IIG146" s="3170"/>
      <c r="IIH146" s="3170"/>
      <c r="III146" s="3170"/>
      <c r="IIJ146" s="3170"/>
      <c r="IIK146" s="3170"/>
      <c r="IIL146" s="3170"/>
      <c r="IIM146" s="3170"/>
      <c r="IIN146" s="3170"/>
      <c r="IIO146" s="3170"/>
      <c r="IIP146" s="3170"/>
      <c r="IIQ146" s="3170"/>
      <c r="IIR146" s="3170"/>
      <c r="IIS146" s="3170"/>
      <c r="IIT146" s="3170"/>
      <c r="IIU146" s="3170"/>
      <c r="IIV146" s="3170"/>
      <c r="IIW146" s="3170"/>
      <c r="IIX146" s="3170"/>
      <c r="IIY146" s="3170"/>
      <c r="IIZ146" s="3170"/>
      <c r="IJA146" s="3170"/>
      <c r="IJB146" s="3170"/>
      <c r="IJC146" s="3170"/>
      <c r="IJD146" s="3170"/>
      <c r="IJE146" s="3170"/>
      <c r="IJF146" s="3170"/>
      <c r="IJG146" s="3170"/>
      <c r="IJH146" s="3170"/>
      <c r="IJI146" s="3170"/>
      <c r="IJJ146" s="3170"/>
      <c r="IJK146" s="3170"/>
      <c r="IJL146" s="3170"/>
      <c r="IJM146" s="3170"/>
      <c r="IJN146" s="3170"/>
      <c r="IJO146" s="3170"/>
      <c r="IJP146" s="3170"/>
      <c r="IJQ146" s="3170"/>
      <c r="IJR146" s="3170"/>
      <c r="IJS146" s="3170"/>
      <c r="IJT146" s="3170"/>
      <c r="IJU146" s="3170"/>
      <c r="IJV146" s="3170"/>
      <c r="IJW146" s="3170"/>
      <c r="IJX146" s="3170"/>
      <c r="IJY146" s="3170"/>
      <c r="IJZ146" s="3170"/>
      <c r="IKA146" s="3170"/>
      <c r="IKB146" s="3170"/>
      <c r="IKC146" s="3170"/>
      <c r="IKD146" s="3170"/>
      <c r="IKE146" s="3170"/>
      <c r="IKF146" s="3170"/>
      <c r="IKG146" s="3170"/>
      <c r="IKH146" s="3170"/>
      <c r="IKI146" s="3170"/>
      <c r="IKJ146" s="3170"/>
      <c r="IKK146" s="3170"/>
      <c r="IKL146" s="3170"/>
      <c r="IKM146" s="3170"/>
      <c r="IKN146" s="3170"/>
      <c r="IKO146" s="3170"/>
      <c r="IKP146" s="3170"/>
      <c r="IKQ146" s="3170"/>
      <c r="IKR146" s="3170"/>
      <c r="IKS146" s="3170"/>
      <c r="IKT146" s="3170"/>
      <c r="IKU146" s="3170"/>
      <c r="IKV146" s="3170"/>
      <c r="IKW146" s="3170"/>
      <c r="IKX146" s="3170"/>
      <c r="IKY146" s="3170"/>
      <c r="IKZ146" s="3170"/>
      <c r="ILA146" s="3170"/>
      <c r="ILB146" s="3170"/>
      <c r="ILC146" s="3170"/>
      <c r="ILD146" s="3170"/>
      <c r="ILE146" s="3170"/>
      <c r="ILF146" s="3170"/>
      <c r="ILG146" s="3170"/>
      <c r="ILH146" s="3170"/>
      <c r="ILI146" s="3170"/>
      <c r="ILJ146" s="3170"/>
      <c r="ILK146" s="3170"/>
      <c r="ILL146" s="3170"/>
      <c r="ILM146" s="3170"/>
      <c r="ILN146" s="3170"/>
      <c r="ILO146" s="3170"/>
      <c r="ILP146" s="3170"/>
      <c r="ILQ146" s="3170"/>
      <c r="ILR146" s="3170"/>
      <c r="ILS146" s="3170"/>
      <c r="ILT146" s="3170"/>
      <c r="ILU146" s="3170"/>
      <c r="ILV146" s="3170"/>
      <c r="ILW146" s="3170"/>
      <c r="ILX146" s="3170"/>
      <c r="ILY146" s="3170"/>
      <c r="ILZ146" s="3170"/>
      <c r="IMA146" s="3170"/>
      <c r="IMB146" s="3170"/>
      <c r="IMC146" s="3170"/>
      <c r="IMD146" s="3170"/>
      <c r="IME146" s="3170"/>
      <c r="IMF146" s="3170"/>
      <c r="IMG146" s="3170"/>
      <c r="IMH146" s="3170"/>
      <c r="IMI146" s="3170"/>
      <c r="IMJ146" s="3170"/>
      <c r="IMK146" s="3170"/>
      <c r="IML146" s="3170"/>
      <c r="IMM146" s="3170"/>
      <c r="IMN146" s="3170"/>
      <c r="IMO146" s="3170"/>
      <c r="IMP146" s="3170"/>
      <c r="IMQ146" s="3170"/>
      <c r="IMR146" s="3170"/>
      <c r="IMS146" s="3170"/>
      <c r="IMT146" s="3170"/>
      <c r="IMU146" s="3170"/>
      <c r="IMV146" s="3170"/>
      <c r="IMW146" s="3170"/>
      <c r="IMX146" s="3170"/>
      <c r="IMY146" s="3170"/>
      <c r="IMZ146" s="3170"/>
      <c r="INA146" s="3170"/>
      <c r="INB146" s="3170"/>
      <c r="INC146" s="3170"/>
      <c r="IND146" s="3170"/>
      <c r="INE146" s="3170"/>
      <c r="INF146" s="3170"/>
      <c r="ING146" s="3170"/>
      <c r="INH146" s="3170"/>
      <c r="INI146" s="3170"/>
      <c r="INJ146" s="3170"/>
      <c r="INK146" s="3170"/>
      <c r="INL146" s="3170"/>
      <c r="INM146" s="3170"/>
      <c r="INN146" s="3170"/>
      <c r="INO146" s="3170"/>
      <c r="INP146" s="3170"/>
      <c r="INQ146" s="3170"/>
      <c r="INR146" s="3170"/>
      <c r="INS146" s="3170"/>
      <c r="INT146" s="3170"/>
      <c r="INU146" s="3170"/>
      <c r="INV146" s="3170"/>
      <c r="INW146" s="3170"/>
      <c r="INX146" s="3170"/>
      <c r="INY146" s="3170"/>
      <c r="INZ146" s="3170"/>
      <c r="IOA146" s="3170"/>
      <c r="IOB146" s="3170"/>
      <c r="IOC146" s="3170"/>
      <c r="IOD146" s="3170"/>
      <c r="IOE146" s="3170"/>
      <c r="IOF146" s="3170"/>
      <c r="IOG146" s="3170"/>
      <c r="IOH146" s="3170"/>
      <c r="IOI146" s="3170"/>
      <c r="IOJ146" s="3170"/>
      <c r="IOK146" s="3170"/>
      <c r="IOL146" s="3170"/>
      <c r="IOM146" s="3170"/>
      <c r="ION146" s="3170"/>
      <c r="IOO146" s="3170"/>
      <c r="IOP146" s="3170"/>
      <c r="IOQ146" s="3170"/>
      <c r="IOR146" s="3170"/>
      <c r="IOS146" s="3170"/>
      <c r="IOT146" s="3170"/>
      <c r="IOU146" s="3170"/>
      <c r="IOV146" s="3170"/>
      <c r="IOW146" s="3170"/>
      <c r="IOX146" s="3170"/>
      <c r="IOY146" s="3170"/>
      <c r="IOZ146" s="3170"/>
      <c r="IPA146" s="3170"/>
      <c r="IPB146" s="3170"/>
      <c r="IPC146" s="3170"/>
      <c r="IPD146" s="3170"/>
      <c r="IPE146" s="3170"/>
      <c r="IPF146" s="3170"/>
      <c r="IPG146" s="3170"/>
      <c r="IPH146" s="3170"/>
      <c r="IPI146" s="3170"/>
      <c r="IPJ146" s="3170"/>
      <c r="IPK146" s="3170"/>
      <c r="IPL146" s="3170"/>
      <c r="IPM146" s="3170"/>
      <c r="IPN146" s="3170"/>
      <c r="IPO146" s="3170"/>
      <c r="IPP146" s="3170"/>
      <c r="IPQ146" s="3170"/>
      <c r="IPR146" s="3170"/>
      <c r="IPS146" s="3170"/>
      <c r="IPT146" s="3170"/>
      <c r="IPU146" s="3170"/>
      <c r="IPV146" s="3170"/>
      <c r="IPW146" s="3170"/>
      <c r="IPX146" s="3170"/>
      <c r="IPY146" s="3170"/>
      <c r="IPZ146" s="3170"/>
      <c r="IQA146" s="3170"/>
      <c r="IQB146" s="3170"/>
      <c r="IQC146" s="3170"/>
      <c r="IQD146" s="3170"/>
      <c r="IQE146" s="3170"/>
      <c r="IQF146" s="3170"/>
      <c r="IQG146" s="3170"/>
      <c r="IQH146" s="3170"/>
      <c r="IQI146" s="3170"/>
      <c r="IQJ146" s="3170"/>
      <c r="IQK146" s="3170"/>
      <c r="IQL146" s="3170"/>
      <c r="IQM146" s="3170"/>
      <c r="IQN146" s="3170"/>
      <c r="IQO146" s="3170"/>
      <c r="IQP146" s="3170"/>
      <c r="IQQ146" s="3170"/>
      <c r="IQR146" s="3170"/>
      <c r="IQS146" s="3170"/>
      <c r="IQT146" s="3170"/>
      <c r="IQU146" s="3170"/>
      <c r="IQV146" s="3170"/>
      <c r="IQW146" s="3170"/>
      <c r="IQX146" s="3170"/>
      <c r="IQY146" s="3170"/>
      <c r="IQZ146" s="3170"/>
      <c r="IRA146" s="3170"/>
      <c r="IRB146" s="3170"/>
      <c r="IRC146" s="3170"/>
      <c r="IRD146" s="3170"/>
      <c r="IRE146" s="3170"/>
      <c r="IRF146" s="3170"/>
      <c r="IRG146" s="3170"/>
      <c r="IRH146" s="3170"/>
      <c r="IRI146" s="3170"/>
      <c r="IRJ146" s="3170"/>
      <c r="IRK146" s="3170"/>
      <c r="IRL146" s="3170"/>
      <c r="IRM146" s="3170"/>
      <c r="IRN146" s="3170"/>
      <c r="IRO146" s="3170"/>
      <c r="IRP146" s="3170"/>
      <c r="IRQ146" s="3170"/>
      <c r="IRR146" s="3170"/>
      <c r="IRS146" s="3170"/>
      <c r="IRT146" s="3170"/>
      <c r="IRU146" s="3170"/>
      <c r="IRV146" s="3170"/>
      <c r="IRW146" s="3170"/>
      <c r="IRX146" s="3170"/>
      <c r="IRY146" s="3170"/>
      <c r="IRZ146" s="3170"/>
      <c r="ISA146" s="3170"/>
      <c r="ISB146" s="3170"/>
      <c r="ISC146" s="3170"/>
      <c r="ISD146" s="3170"/>
      <c r="ISE146" s="3170"/>
      <c r="ISF146" s="3170"/>
      <c r="ISG146" s="3170"/>
      <c r="ISH146" s="3170"/>
      <c r="ISI146" s="3170"/>
      <c r="ISJ146" s="3170"/>
      <c r="ISK146" s="3170"/>
      <c r="ISL146" s="3170"/>
      <c r="ISM146" s="3170"/>
      <c r="ISN146" s="3170"/>
      <c r="ISO146" s="3170"/>
      <c r="ISP146" s="3170"/>
      <c r="ISQ146" s="3170"/>
      <c r="ISR146" s="3170"/>
      <c r="ISS146" s="3170"/>
      <c r="IST146" s="3170"/>
      <c r="ISU146" s="3170"/>
      <c r="ISV146" s="3170"/>
      <c r="ISW146" s="3170"/>
      <c r="ISX146" s="3170"/>
      <c r="ISY146" s="3170"/>
      <c r="ISZ146" s="3170"/>
      <c r="ITA146" s="3170"/>
      <c r="ITB146" s="3170"/>
      <c r="ITC146" s="3170"/>
      <c r="ITD146" s="3170"/>
      <c r="ITE146" s="3170"/>
      <c r="ITF146" s="3170"/>
      <c r="ITG146" s="3170"/>
      <c r="ITH146" s="3170"/>
      <c r="ITI146" s="3170"/>
      <c r="ITJ146" s="3170"/>
      <c r="ITK146" s="3170"/>
      <c r="ITL146" s="3170"/>
      <c r="ITM146" s="3170"/>
      <c r="ITN146" s="3170"/>
      <c r="ITO146" s="3170"/>
      <c r="ITP146" s="3170"/>
      <c r="ITQ146" s="3170"/>
      <c r="ITR146" s="3170"/>
      <c r="ITS146" s="3170"/>
      <c r="ITT146" s="3170"/>
      <c r="ITU146" s="3170"/>
      <c r="ITV146" s="3170"/>
      <c r="ITW146" s="3170"/>
      <c r="ITX146" s="3170"/>
      <c r="ITY146" s="3170"/>
      <c r="ITZ146" s="3170"/>
      <c r="IUA146" s="3170"/>
      <c r="IUB146" s="3170"/>
      <c r="IUC146" s="3170"/>
      <c r="IUD146" s="3170"/>
      <c r="IUE146" s="3170"/>
      <c r="IUF146" s="3170"/>
      <c r="IUG146" s="3170"/>
      <c r="IUH146" s="3170"/>
      <c r="IUI146" s="3170"/>
      <c r="IUJ146" s="3170"/>
      <c r="IUK146" s="3170"/>
      <c r="IUL146" s="3170"/>
      <c r="IUM146" s="3170"/>
      <c r="IUN146" s="3170"/>
      <c r="IUO146" s="3170"/>
      <c r="IUP146" s="3170"/>
      <c r="IUQ146" s="3170"/>
      <c r="IUR146" s="3170"/>
      <c r="IUS146" s="3170"/>
      <c r="IUT146" s="3170"/>
      <c r="IUU146" s="3170"/>
      <c r="IUV146" s="3170"/>
      <c r="IUW146" s="3170"/>
      <c r="IUX146" s="3170"/>
      <c r="IUY146" s="3170"/>
      <c r="IUZ146" s="3170"/>
      <c r="IVA146" s="3170"/>
      <c r="IVB146" s="3170"/>
      <c r="IVC146" s="3170"/>
      <c r="IVD146" s="3170"/>
      <c r="IVE146" s="3170"/>
      <c r="IVF146" s="3170"/>
      <c r="IVG146" s="3170"/>
      <c r="IVH146" s="3170"/>
      <c r="IVI146" s="3170"/>
      <c r="IVJ146" s="3170"/>
      <c r="IVK146" s="3170"/>
      <c r="IVL146" s="3170"/>
      <c r="IVM146" s="3170"/>
      <c r="IVN146" s="3170"/>
      <c r="IVO146" s="3170"/>
      <c r="IVP146" s="3170"/>
      <c r="IVQ146" s="3170"/>
      <c r="IVR146" s="3170"/>
      <c r="IVS146" s="3170"/>
      <c r="IVT146" s="3170"/>
      <c r="IVU146" s="3170"/>
      <c r="IVV146" s="3170"/>
      <c r="IVW146" s="3170"/>
      <c r="IVX146" s="3170"/>
      <c r="IVY146" s="3170"/>
      <c r="IVZ146" s="3170"/>
      <c r="IWA146" s="3170"/>
      <c r="IWB146" s="3170"/>
      <c r="IWC146" s="3170"/>
      <c r="IWD146" s="3170"/>
      <c r="IWE146" s="3170"/>
      <c r="IWF146" s="3170"/>
      <c r="IWG146" s="3170"/>
      <c r="IWH146" s="3170"/>
      <c r="IWI146" s="3170"/>
      <c r="IWJ146" s="3170"/>
      <c r="IWK146" s="3170"/>
      <c r="IWL146" s="3170"/>
      <c r="IWM146" s="3170"/>
      <c r="IWN146" s="3170"/>
      <c r="IWO146" s="3170"/>
      <c r="IWP146" s="3170"/>
      <c r="IWQ146" s="3170"/>
      <c r="IWR146" s="3170"/>
      <c r="IWS146" s="3170"/>
      <c r="IWT146" s="3170"/>
      <c r="IWU146" s="3170"/>
      <c r="IWV146" s="3170"/>
      <c r="IWW146" s="3170"/>
      <c r="IWX146" s="3170"/>
      <c r="IWY146" s="3170"/>
      <c r="IWZ146" s="3170"/>
      <c r="IXA146" s="3170"/>
      <c r="IXB146" s="3170"/>
      <c r="IXC146" s="3170"/>
      <c r="IXD146" s="3170"/>
      <c r="IXE146" s="3170"/>
      <c r="IXF146" s="3170"/>
      <c r="IXG146" s="3170"/>
      <c r="IXH146" s="3170"/>
      <c r="IXI146" s="3170"/>
      <c r="IXJ146" s="3170"/>
      <c r="IXK146" s="3170"/>
      <c r="IXL146" s="3170"/>
      <c r="IXM146" s="3170"/>
      <c r="IXN146" s="3170"/>
      <c r="IXO146" s="3170"/>
      <c r="IXP146" s="3170"/>
      <c r="IXQ146" s="3170"/>
      <c r="IXR146" s="3170"/>
      <c r="IXS146" s="3170"/>
      <c r="IXT146" s="3170"/>
      <c r="IXU146" s="3170"/>
      <c r="IXV146" s="3170"/>
      <c r="IXW146" s="3170"/>
      <c r="IXX146" s="3170"/>
      <c r="IXY146" s="3170"/>
      <c r="IXZ146" s="3170"/>
      <c r="IYA146" s="3170"/>
      <c r="IYB146" s="3170"/>
      <c r="IYC146" s="3170"/>
      <c r="IYD146" s="3170"/>
      <c r="IYE146" s="3170"/>
      <c r="IYF146" s="3170"/>
      <c r="IYG146" s="3170"/>
      <c r="IYH146" s="3170"/>
      <c r="IYI146" s="3170"/>
      <c r="IYJ146" s="3170"/>
      <c r="IYK146" s="3170"/>
      <c r="IYL146" s="3170"/>
      <c r="IYM146" s="3170"/>
      <c r="IYN146" s="3170"/>
      <c r="IYO146" s="3170"/>
      <c r="IYP146" s="3170"/>
      <c r="IYQ146" s="3170"/>
      <c r="IYR146" s="3170"/>
      <c r="IYS146" s="3170"/>
      <c r="IYT146" s="3170"/>
      <c r="IYU146" s="3170"/>
      <c r="IYV146" s="3170"/>
      <c r="IYW146" s="3170"/>
      <c r="IYX146" s="3170"/>
      <c r="IYY146" s="3170"/>
      <c r="IYZ146" s="3170"/>
      <c r="IZA146" s="3170"/>
      <c r="IZB146" s="3170"/>
      <c r="IZC146" s="3170"/>
      <c r="IZD146" s="3170"/>
      <c r="IZE146" s="3170"/>
      <c r="IZF146" s="3170"/>
      <c r="IZG146" s="3170"/>
      <c r="IZH146" s="3170"/>
      <c r="IZI146" s="3170"/>
      <c r="IZJ146" s="3170"/>
      <c r="IZK146" s="3170"/>
      <c r="IZL146" s="3170"/>
      <c r="IZM146" s="3170"/>
      <c r="IZN146" s="3170"/>
      <c r="IZO146" s="3170"/>
      <c r="IZP146" s="3170"/>
      <c r="IZQ146" s="3170"/>
      <c r="IZR146" s="3170"/>
      <c r="IZS146" s="3170"/>
      <c r="IZT146" s="3170"/>
      <c r="IZU146" s="3170"/>
      <c r="IZV146" s="3170"/>
      <c r="IZW146" s="3170"/>
      <c r="IZX146" s="3170"/>
      <c r="IZY146" s="3170"/>
      <c r="IZZ146" s="3170"/>
      <c r="JAA146" s="3170"/>
      <c r="JAB146" s="3170"/>
      <c r="JAC146" s="3170"/>
      <c r="JAD146" s="3170"/>
      <c r="JAE146" s="3170"/>
      <c r="JAF146" s="3170"/>
      <c r="JAG146" s="3170"/>
      <c r="JAH146" s="3170"/>
      <c r="JAI146" s="3170"/>
      <c r="JAJ146" s="3170"/>
      <c r="JAK146" s="3170"/>
      <c r="JAL146" s="3170"/>
      <c r="JAM146" s="3170"/>
      <c r="JAN146" s="3170"/>
      <c r="JAO146" s="3170"/>
      <c r="JAP146" s="3170"/>
      <c r="JAQ146" s="3170"/>
      <c r="JAR146" s="3170"/>
      <c r="JAS146" s="3170"/>
      <c r="JAT146" s="3170"/>
      <c r="JAU146" s="3170"/>
      <c r="JAV146" s="3170"/>
      <c r="JAW146" s="3170"/>
      <c r="JAX146" s="3170"/>
      <c r="JAY146" s="3170"/>
      <c r="JAZ146" s="3170"/>
      <c r="JBA146" s="3170"/>
      <c r="JBB146" s="3170"/>
      <c r="JBC146" s="3170"/>
      <c r="JBD146" s="3170"/>
      <c r="JBE146" s="3170"/>
      <c r="JBF146" s="3170"/>
      <c r="JBG146" s="3170"/>
      <c r="JBH146" s="3170"/>
      <c r="JBI146" s="3170"/>
      <c r="JBJ146" s="3170"/>
      <c r="JBK146" s="3170"/>
      <c r="JBL146" s="3170"/>
      <c r="JBM146" s="3170"/>
      <c r="JBN146" s="3170"/>
      <c r="JBO146" s="3170"/>
      <c r="JBP146" s="3170"/>
      <c r="JBQ146" s="3170"/>
      <c r="JBR146" s="3170"/>
      <c r="JBS146" s="3170"/>
      <c r="JBT146" s="3170"/>
      <c r="JBU146" s="3170"/>
      <c r="JBV146" s="3170"/>
      <c r="JBW146" s="3170"/>
      <c r="JBX146" s="3170"/>
      <c r="JBY146" s="3170"/>
      <c r="JBZ146" s="3170"/>
      <c r="JCA146" s="3170"/>
      <c r="JCB146" s="3170"/>
      <c r="JCC146" s="3170"/>
      <c r="JCD146" s="3170"/>
      <c r="JCE146" s="3170"/>
      <c r="JCF146" s="3170"/>
      <c r="JCG146" s="3170"/>
      <c r="JCH146" s="3170"/>
      <c r="JCI146" s="3170"/>
      <c r="JCJ146" s="3170"/>
      <c r="JCK146" s="3170"/>
      <c r="JCL146" s="3170"/>
      <c r="JCM146" s="3170"/>
      <c r="JCN146" s="3170"/>
      <c r="JCO146" s="3170"/>
      <c r="JCP146" s="3170"/>
      <c r="JCQ146" s="3170"/>
      <c r="JCR146" s="3170"/>
      <c r="JCS146" s="3170"/>
      <c r="JCT146" s="3170"/>
      <c r="JCU146" s="3170"/>
      <c r="JCV146" s="3170"/>
      <c r="JCW146" s="3170"/>
      <c r="JCX146" s="3170"/>
      <c r="JCY146" s="3170"/>
      <c r="JCZ146" s="3170"/>
      <c r="JDA146" s="3170"/>
      <c r="JDB146" s="3170"/>
      <c r="JDC146" s="3170"/>
      <c r="JDD146" s="3170"/>
      <c r="JDE146" s="3170"/>
      <c r="JDF146" s="3170"/>
      <c r="JDG146" s="3170"/>
      <c r="JDH146" s="3170"/>
      <c r="JDI146" s="3170"/>
      <c r="JDJ146" s="3170"/>
      <c r="JDK146" s="3170"/>
      <c r="JDL146" s="3170"/>
      <c r="JDM146" s="3170"/>
      <c r="JDN146" s="3170"/>
      <c r="JDO146" s="3170"/>
      <c r="JDP146" s="3170"/>
      <c r="JDQ146" s="3170"/>
      <c r="JDR146" s="3170"/>
      <c r="JDS146" s="3170"/>
      <c r="JDT146" s="3170"/>
      <c r="JDU146" s="3170"/>
      <c r="JDV146" s="3170"/>
      <c r="JDW146" s="3170"/>
      <c r="JDX146" s="3170"/>
      <c r="JDY146" s="3170"/>
      <c r="JDZ146" s="3170"/>
      <c r="JEA146" s="3170"/>
      <c r="JEB146" s="3170"/>
      <c r="JEC146" s="3170"/>
      <c r="JED146" s="3170"/>
      <c r="JEE146" s="3170"/>
      <c r="JEF146" s="3170"/>
      <c r="JEG146" s="3170"/>
      <c r="JEH146" s="3170"/>
      <c r="JEI146" s="3170"/>
      <c r="JEJ146" s="3170"/>
      <c r="JEK146" s="3170"/>
      <c r="JEL146" s="3170"/>
      <c r="JEM146" s="3170"/>
      <c r="JEN146" s="3170"/>
      <c r="JEO146" s="3170"/>
      <c r="JEP146" s="3170"/>
      <c r="JEQ146" s="3170"/>
      <c r="JER146" s="3170"/>
      <c r="JES146" s="3170"/>
      <c r="JET146" s="3170"/>
      <c r="JEU146" s="3170"/>
      <c r="JEV146" s="3170"/>
      <c r="JEW146" s="3170"/>
      <c r="JEX146" s="3170"/>
      <c r="JEY146" s="3170"/>
      <c r="JEZ146" s="3170"/>
      <c r="JFA146" s="3170"/>
      <c r="JFB146" s="3170"/>
      <c r="JFC146" s="3170"/>
      <c r="JFD146" s="3170"/>
      <c r="JFE146" s="3170"/>
      <c r="JFF146" s="3170"/>
      <c r="JFG146" s="3170"/>
      <c r="JFH146" s="3170"/>
      <c r="JFI146" s="3170"/>
      <c r="JFJ146" s="3170"/>
      <c r="JFK146" s="3170"/>
      <c r="JFL146" s="3170"/>
      <c r="JFM146" s="3170"/>
      <c r="JFN146" s="3170"/>
      <c r="JFO146" s="3170"/>
      <c r="JFP146" s="3170"/>
      <c r="JFQ146" s="3170"/>
      <c r="JFR146" s="3170"/>
      <c r="JFS146" s="3170"/>
      <c r="JFT146" s="3170"/>
      <c r="JFU146" s="3170"/>
      <c r="JFV146" s="3170"/>
      <c r="JFW146" s="3170"/>
      <c r="JFX146" s="3170"/>
      <c r="JFY146" s="3170"/>
      <c r="JFZ146" s="3170"/>
      <c r="JGA146" s="3170"/>
      <c r="JGB146" s="3170"/>
      <c r="JGC146" s="3170"/>
      <c r="JGD146" s="3170"/>
      <c r="JGE146" s="3170"/>
      <c r="JGF146" s="3170"/>
      <c r="JGG146" s="3170"/>
      <c r="JGH146" s="3170"/>
      <c r="JGI146" s="3170"/>
      <c r="JGJ146" s="3170"/>
      <c r="JGK146" s="3170"/>
      <c r="JGL146" s="3170"/>
      <c r="JGM146" s="3170"/>
      <c r="JGN146" s="3170"/>
      <c r="JGO146" s="3170"/>
      <c r="JGP146" s="3170"/>
      <c r="JGQ146" s="3170"/>
      <c r="JGR146" s="3170"/>
      <c r="JGS146" s="3170"/>
      <c r="JGT146" s="3170"/>
      <c r="JGU146" s="3170"/>
      <c r="JGV146" s="3170"/>
      <c r="JGW146" s="3170"/>
      <c r="JGX146" s="3170"/>
      <c r="JGY146" s="3170"/>
      <c r="JGZ146" s="3170"/>
      <c r="JHA146" s="3170"/>
      <c r="JHB146" s="3170"/>
      <c r="JHC146" s="3170"/>
      <c r="JHD146" s="3170"/>
      <c r="JHE146" s="3170"/>
      <c r="JHF146" s="3170"/>
      <c r="JHG146" s="3170"/>
      <c r="JHH146" s="3170"/>
      <c r="JHI146" s="3170"/>
      <c r="JHJ146" s="3170"/>
      <c r="JHK146" s="3170"/>
      <c r="JHL146" s="3170"/>
      <c r="JHM146" s="3170"/>
      <c r="JHN146" s="3170"/>
      <c r="JHO146" s="3170"/>
      <c r="JHP146" s="3170"/>
      <c r="JHQ146" s="3170"/>
      <c r="JHR146" s="3170"/>
      <c r="JHS146" s="3170"/>
      <c r="JHT146" s="3170"/>
      <c r="JHU146" s="3170"/>
      <c r="JHV146" s="3170"/>
      <c r="JHW146" s="3170"/>
      <c r="JHX146" s="3170"/>
      <c r="JHY146" s="3170"/>
      <c r="JHZ146" s="3170"/>
      <c r="JIA146" s="3170"/>
      <c r="JIB146" s="3170"/>
      <c r="JIC146" s="3170"/>
      <c r="JID146" s="3170"/>
      <c r="JIE146" s="3170"/>
      <c r="JIF146" s="3170"/>
      <c r="JIG146" s="3170"/>
      <c r="JIH146" s="3170"/>
      <c r="JII146" s="3170"/>
      <c r="JIJ146" s="3170"/>
      <c r="JIK146" s="3170"/>
      <c r="JIL146" s="3170"/>
      <c r="JIM146" s="3170"/>
      <c r="JIN146" s="3170"/>
      <c r="JIO146" s="3170"/>
      <c r="JIP146" s="3170"/>
      <c r="JIQ146" s="3170"/>
      <c r="JIR146" s="3170"/>
      <c r="JIS146" s="3170"/>
      <c r="JIT146" s="3170"/>
      <c r="JIU146" s="3170"/>
      <c r="JIV146" s="3170"/>
      <c r="JIW146" s="3170"/>
      <c r="JIX146" s="3170"/>
      <c r="JIY146" s="3170"/>
      <c r="JIZ146" s="3170"/>
      <c r="JJA146" s="3170"/>
      <c r="JJB146" s="3170"/>
      <c r="JJC146" s="3170"/>
      <c r="JJD146" s="3170"/>
      <c r="JJE146" s="3170"/>
      <c r="JJF146" s="3170"/>
      <c r="JJG146" s="3170"/>
      <c r="JJH146" s="3170"/>
      <c r="JJI146" s="3170"/>
      <c r="JJJ146" s="3170"/>
      <c r="JJK146" s="3170"/>
      <c r="JJL146" s="3170"/>
      <c r="JJM146" s="3170"/>
      <c r="JJN146" s="3170"/>
      <c r="JJO146" s="3170"/>
      <c r="JJP146" s="3170"/>
      <c r="JJQ146" s="3170"/>
      <c r="JJR146" s="3170"/>
      <c r="JJS146" s="3170"/>
      <c r="JJT146" s="3170"/>
      <c r="JJU146" s="3170"/>
      <c r="JJV146" s="3170"/>
      <c r="JJW146" s="3170"/>
      <c r="JJX146" s="3170"/>
      <c r="JJY146" s="3170"/>
      <c r="JJZ146" s="3170"/>
      <c r="JKA146" s="3170"/>
      <c r="JKB146" s="3170"/>
      <c r="JKC146" s="3170"/>
      <c r="JKD146" s="3170"/>
      <c r="JKE146" s="3170"/>
      <c r="JKF146" s="3170"/>
      <c r="JKG146" s="3170"/>
      <c r="JKH146" s="3170"/>
      <c r="JKI146" s="3170"/>
      <c r="JKJ146" s="3170"/>
      <c r="JKK146" s="3170"/>
      <c r="JKL146" s="3170"/>
      <c r="JKM146" s="3170"/>
      <c r="JKN146" s="3170"/>
      <c r="JKO146" s="3170"/>
      <c r="JKP146" s="3170"/>
      <c r="JKQ146" s="3170"/>
      <c r="JKR146" s="3170"/>
      <c r="JKS146" s="3170"/>
      <c r="JKT146" s="3170"/>
      <c r="JKU146" s="3170"/>
      <c r="JKV146" s="3170"/>
      <c r="JKW146" s="3170"/>
      <c r="JKX146" s="3170"/>
      <c r="JKY146" s="3170"/>
      <c r="JKZ146" s="3170"/>
      <c r="JLA146" s="3170"/>
      <c r="JLB146" s="3170"/>
      <c r="JLC146" s="3170"/>
      <c r="JLD146" s="3170"/>
      <c r="JLE146" s="3170"/>
      <c r="JLF146" s="3170"/>
      <c r="JLG146" s="3170"/>
      <c r="JLH146" s="3170"/>
      <c r="JLI146" s="3170"/>
      <c r="JLJ146" s="3170"/>
      <c r="JLK146" s="3170"/>
      <c r="JLL146" s="3170"/>
      <c r="JLM146" s="3170"/>
      <c r="JLN146" s="3170"/>
      <c r="JLO146" s="3170"/>
      <c r="JLP146" s="3170"/>
      <c r="JLQ146" s="3170"/>
      <c r="JLR146" s="3170"/>
      <c r="JLS146" s="3170"/>
      <c r="JLT146" s="3170"/>
      <c r="JLU146" s="3170"/>
      <c r="JLV146" s="3170"/>
      <c r="JLW146" s="3170"/>
      <c r="JLX146" s="3170"/>
      <c r="JLY146" s="3170"/>
      <c r="JLZ146" s="3170"/>
      <c r="JMA146" s="3170"/>
      <c r="JMB146" s="3170"/>
      <c r="JMC146" s="3170"/>
      <c r="JMD146" s="3170"/>
      <c r="JME146" s="3170"/>
      <c r="JMF146" s="3170"/>
      <c r="JMG146" s="3170"/>
      <c r="JMH146" s="3170"/>
      <c r="JMI146" s="3170"/>
      <c r="JMJ146" s="3170"/>
      <c r="JMK146" s="3170"/>
      <c r="JML146" s="3170"/>
      <c r="JMM146" s="3170"/>
      <c r="JMN146" s="3170"/>
      <c r="JMO146" s="3170"/>
      <c r="JMP146" s="3170"/>
      <c r="JMQ146" s="3170"/>
      <c r="JMR146" s="3170"/>
      <c r="JMS146" s="3170"/>
      <c r="JMT146" s="3170"/>
      <c r="JMU146" s="3170"/>
      <c r="JMV146" s="3170"/>
      <c r="JMW146" s="3170"/>
      <c r="JMX146" s="3170"/>
      <c r="JMY146" s="3170"/>
      <c r="JMZ146" s="3170"/>
      <c r="JNA146" s="3170"/>
      <c r="JNB146" s="3170"/>
      <c r="JNC146" s="3170"/>
      <c r="JND146" s="3170"/>
      <c r="JNE146" s="3170"/>
      <c r="JNF146" s="3170"/>
      <c r="JNG146" s="3170"/>
      <c r="JNH146" s="3170"/>
      <c r="JNI146" s="3170"/>
      <c r="JNJ146" s="3170"/>
      <c r="JNK146" s="3170"/>
      <c r="JNL146" s="3170"/>
      <c r="JNM146" s="3170"/>
      <c r="JNN146" s="3170"/>
      <c r="JNO146" s="3170"/>
      <c r="JNP146" s="3170"/>
      <c r="JNQ146" s="3170"/>
      <c r="JNR146" s="3170"/>
      <c r="JNS146" s="3170"/>
      <c r="JNT146" s="3170"/>
      <c r="JNU146" s="3170"/>
      <c r="JNV146" s="3170"/>
      <c r="JNW146" s="3170"/>
      <c r="JNX146" s="3170"/>
      <c r="JNY146" s="3170"/>
      <c r="JNZ146" s="3170"/>
      <c r="JOA146" s="3170"/>
      <c r="JOB146" s="3170"/>
      <c r="JOC146" s="3170"/>
      <c r="JOD146" s="3170"/>
      <c r="JOE146" s="3170"/>
      <c r="JOF146" s="3170"/>
      <c r="JOG146" s="3170"/>
      <c r="JOH146" s="3170"/>
      <c r="JOI146" s="3170"/>
      <c r="JOJ146" s="3170"/>
      <c r="JOK146" s="3170"/>
      <c r="JOL146" s="3170"/>
      <c r="JOM146" s="3170"/>
      <c r="JON146" s="3170"/>
      <c r="JOO146" s="3170"/>
      <c r="JOP146" s="3170"/>
      <c r="JOQ146" s="3170"/>
      <c r="JOR146" s="3170"/>
      <c r="JOS146" s="3170"/>
      <c r="JOT146" s="3170"/>
      <c r="JOU146" s="3170"/>
      <c r="JOV146" s="3170"/>
      <c r="JOW146" s="3170"/>
      <c r="JOX146" s="3170"/>
      <c r="JOY146" s="3170"/>
      <c r="JOZ146" s="3170"/>
      <c r="JPA146" s="3170"/>
      <c r="JPB146" s="3170"/>
      <c r="JPC146" s="3170"/>
      <c r="JPD146" s="3170"/>
      <c r="JPE146" s="3170"/>
      <c r="JPF146" s="3170"/>
      <c r="JPG146" s="3170"/>
      <c r="JPH146" s="3170"/>
      <c r="JPI146" s="3170"/>
      <c r="JPJ146" s="3170"/>
      <c r="JPK146" s="3170"/>
      <c r="JPL146" s="3170"/>
      <c r="JPM146" s="3170"/>
      <c r="JPN146" s="3170"/>
      <c r="JPO146" s="3170"/>
      <c r="JPP146" s="3170"/>
      <c r="JPQ146" s="3170"/>
      <c r="JPR146" s="3170"/>
      <c r="JPS146" s="3170"/>
      <c r="JPT146" s="3170"/>
      <c r="JPU146" s="3170"/>
      <c r="JPV146" s="3170"/>
      <c r="JPW146" s="3170"/>
      <c r="JPX146" s="3170"/>
      <c r="JPY146" s="3170"/>
      <c r="JPZ146" s="3170"/>
      <c r="JQA146" s="3170"/>
      <c r="JQB146" s="3170"/>
      <c r="JQC146" s="3170"/>
      <c r="JQD146" s="3170"/>
      <c r="JQE146" s="3170"/>
      <c r="JQF146" s="3170"/>
      <c r="JQG146" s="3170"/>
      <c r="JQH146" s="3170"/>
      <c r="JQI146" s="3170"/>
      <c r="JQJ146" s="3170"/>
      <c r="JQK146" s="3170"/>
      <c r="JQL146" s="3170"/>
      <c r="JQM146" s="3170"/>
      <c r="JQN146" s="3170"/>
      <c r="JQO146" s="3170"/>
      <c r="JQP146" s="3170"/>
      <c r="JQQ146" s="3170"/>
      <c r="JQR146" s="3170"/>
      <c r="JQS146" s="3170"/>
      <c r="JQT146" s="3170"/>
      <c r="JQU146" s="3170"/>
      <c r="JQV146" s="3170"/>
      <c r="JQW146" s="3170"/>
      <c r="JQX146" s="3170"/>
      <c r="JQY146" s="3170"/>
      <c r="JQZ146" s="3170"/>
      <c r="JRA146" s="3170"/>
      <c r="JRB146" s="3170"/>
      <c r="JRC146" s="3170"/>
      <c r="JRD146" s="3170"/>
      <c r="JRE146" s="3170"/>
      <c r="JRF146" s="3170"/>
      <c r="JRG146" s="3170"/>
      <c r="JRH146" s="3170"/>
      <c r="JRI146" s="3170"/>
      <c r="JRJ146" s="3170"/>
      <c r="JRK146" s="3170"/>
      <c r="JRL146" s="3170"/>
      <c r="JRM146" s="3170"/>
      <c r="JRN146" s="3170"/>
      <c r="JRO146" s="3170"/>
      <c r="JRP146" s="3170"/>
      <c r="JRQ146" s="3170"/>
      <c r="JRR146" s="3170"/>
      <c r="JRS146" s="3170"/>
      <c r="JRT146" s="3170"/>
      <c r="JRU146" s="3170"/>
      <c r="JRV146" s="3170"/>
      <c r="JRW146" s="3170"/>
      <c r="JRX146" s="3170"/>
      <c r="JRY146" s="3170"/>
      <c r="JRZ146" s="3170"/>
      <c r="JSA146" s="3170"/>
      <c r="JSB146" s="3170"/>
      <c r="JSC146" s="3170"/>
      <c r="JSD146" s="3170"/>
      <c r="JSE146" s="3170"/>
      <c r="JSF146" s="3170"/>
      <c r="JSG146" s="3170"/>
      <c r="JSH146" s="3170"/>
      <c r="JSI146" s="3170"/>
      <c r="JSJ146" s="3170"/>
      <c r="JSK146" s="3170"/>
      <c r="JSL146" s="3170"/>
      <c r="JSM146" s="3170"/>
      <c r="JSN146" s="3170"/>
      <c r="JSO146" s="3170"/>
      <c r="JSP146" s="3170"/>
      <c r="JSQ146" s="3170"/>
      <c r="JSR146" s="3170"/>
      <c r="JSS146" s="3170"/>
      <c r="JST146" s="3170"/>
      <c r="JSU146" s="3170"/>
      <c r="JSV146" s="3170"/>
      <c r="JSW146" s="3170"/>
      <c r="JSX146" s="3170"/>
      <c r="JSY146" s="3170"/>
      <c r="JSZ146" s="3170"/>
      <c r="JTA146" s="3170"/>
      <c r="JTB146" s="3170"/>
      <c r="JTC146" s="3170"/>
      <c r="JTD146" s="3170"/>
      <c r="JTE146" s="3170"/>
      <c r="JTF146" s="3170"/>
      <c r="JTG146" s="3170"/>
      <c r="JTH146" s="3170"/>
      <c r="JTI146" s="3170"/>
      <c r="JTJ146" s="3170"/>
      <c r="JTK146" s="3170"/>
      <c r="JTL146" s="3170"/>
      <c r="JTM146" s="3170"/>
      <c r="JTN146" s="3170"/>
      <c r="JTO146" s="3170"/>
      <c r="JTP146" s="3170"/>
      <c r="JTQ146" s="3170"/>
      <c r="JTR146" s="3170"/>
      <c r="JTS146" s="3170"/>
      <c r="JTT146" s="3170"/>
      <c r="JTU146" s="3170"/>
      <c r="JTV146" s="3170"/>
      <c r="JTW146" s="3170"/>
      <c r="JTX146" s="3170"/>
      <c r="JTY146" s="3170"/>
      <c r="JTZ146" s="3170"/>
      <c r="JUA146" s="3170"/>
      <c r="JUB146" s="3170"/>
      <c r="JUC146" s="3170"/>
      <c r="JUD146" s="3170"/>
      <c r="JUE146" s="3170"/>
      <c r="JUF146" s="3170"/>
      <c r="JUG146" s="3170"/>
      <c r="JUH146" s="3170"/>
      <c r="JUI146" s="3170"/>
      <c r="JUJ146" s="3170"/>
      <c r="JUK146" s="3170"/>
      <c r="JUL146" s="3170"/>
      <c r="JUM146" s="3170"/>
      <c r="JUN146" s="3170"/>
      <c r="JUO146" s="3170"/>
      <c r="JUP146" s="3170"/>
      <c r="JUQ146" s="3170"/>
      <c r="JUR146" s="3170"/>
      <c r="JUS146" s="3170"/>
      <c r="JUT146" s="3170"/>
      <c r="JUU146" s="3170"/>
      <c r="JUV146" s="3170"/>
      <c r="JUW146" s="3170"/>
      <c r="JUX146" s="3170"/>
      <c r="JUY146" s="3170"/>
      <c r="JUZ146" s="3170"/>
      <c r="JVA146" s="3170"/>
      <c r="JVB146" s="3170"/>
      <c r="JVC146" s="3170"/>
      <c r="JVD146" s="3170"/>
      <c r="JVE146" s="3170"/>
      <c r="JVF146" s="3170"/>
      <c r="JVG146" s="3170"/>
      <c r="JVH146" s="3170"/>
      <c r="JVI146" s="3170"/>
      <c r="JVJ146" s="3170"/>
      <c r="JVK146" s="3170"/>
      <c r="JVL146" s="3170"/>
      <c r="JVM146" s="3170"/>
      <c r="JVN146" s="3170"/>
      <c r="JVO146" s="3170"/>
      <c r="JVP146" s="3170"/>
      <c r="JVQ146" s="3170"/>
      <c r="JVR146" s="3170"/>
      <c r="JVS146" s="3170"/>
      <c r="JVT146" s="3170"/>
      <c r="JVU146" s="3170"/>
      <c r="JVV146" s="3170"/>
      <c r="JVW146" s="3170"/>
      <c r="JVX146" s="3170"/>
      <c r="JVY146" s="3170"/>
      <c r="JVZ146" s="3170"/>
      <c r="JWA146" s="3170"/>
      <c r="JWB146" s="3170"/>
      <c r="JWC146" s="3170"/>
      <c r="JWD146" s="3170"/>
      <c r="JWE146" s="3170"/>
      <c r="JWF146" s="3170"/>
      <c r="JWG146" s="3170"/>
      <c r="JWH146" s="3170"/>
      <c r="JWI146" s="3170"/>
      <c r="JWJ146" s="3170"/>
      <c r="JWK146" s="3170"/>
      <c r="JWL146" s="3170"/>
      <c r="JWM146" s="3170"/>
      <c r="JWN146" s="3170"/>
      <c r="JWO146" s="3170"/>
      <c r="JWP146" s="3170"/>
      <c r="JWQ146" s="3170"/>
      <c r="JWR146" s="3170"/>
      <c r="JWS146" s="3170"/>
      <c r="JWT146" s="3170"/>
      <c r="JWU146" s="3170"/>
      <c r="JWV146" s="3170"/>
      <c r="JWW146" s="3170"/>
      <c r="JWX146" s="3170"/>
      <c r="JWY146" s="3170"/>
      <c r="JWZ146" s="3170"/>
      <c r="JXA146" s="3170"/>
      <c r="JXB146" s="3170"/>
      <c r="JXC146" s="3170"/>
      <c r="JXD146" s="3170"/>
      <c r="JXE146" s="3170"/>
      <c r="JXF146" s="3170"/>
      <c r="JXG146" s="3170"/>
      <c r="JXH146" s="3170"/>
      <c r="JXI146" s="3170"/>
      <c r="JXJ146" s="3170"/>
      <c r="JXK146" s="3170"/>
      <c r="JXL146" s="3170"/>
      <c r="JXM146" s="3170"/>
      <c r="JXN146" s="3170"/>
      <c r="JXO146" s="3170"/>
      <c r="JXP146" s="3170"/>
      <c r="JXQ146" s="3170"/>
      <c r="JXR146" s="3170"/>
      <c r="JXS146" s="3170"/>
      <c r="JXT146" s="3170"/>
      <c r="JXU146" s="3170"/>
      <c r="JXV146" s="3170"/>
      <c r="JXW146" s="3170"/>
      <c r="JXX146" s="3170"/>
      <c r="JXY146" s="3170"/>
      <c r="JXZ146" s="3170"/>
      <c r="JYA146" s="3170"/>
      <c r="JYB146" s="3170"/>
      <c r="JYC146" s="3170"/>
      <c r="JYD146" s="3170"/>
      <c r="JYE146" s="3170"/>
      <c r="JYF146" s="3170"/>
      <c r="JYG146" s="3170"/>
      <c r="JYH146" s="3170"/>
      <c r="JYI146" s="3170"/>
      <c r="JYJ146" s="3170"/>
      <c r="JYK146" s="3170"/>
      <c r="JYL146" s="3170"/>
      <c r="JYM146" s="3170"/>
      <c r="JYN146" s="3170"/>
      <c r="JYO146" s="3170"/>
      <c r="JYP146" s="3170"/>
      <c r="JYQ146" s="3170"/>
      <c r="JYR146" s="3170"/>
      <c r="JYS146" s="3170"/>
      <c r="JYT146" s="3170"/>
      <c r="JYU146" s="3170"/>
      <c r="JYV146" s="3170"/>
      <c r="JYW146" s="3170"/>
      <c r="JYX146" s="3170"/>
      <c r="JYY146" s="3170"/>
      <c r="JYZ146" s="3170"/>
      <c r="JZA146" s="3170"/>
      <c r="JZB146" s="3170"/>
      <c r="JZC146" s="3170"/>
      <c r="JZD146" s="3170"/>
      <c r="JZE146" s="3170"/>
      <c r="JZF146" s="3170"/>
      <c r="JZG146" s="3170"/>
      <c r="JZH146" s="3170"/>
      <c r="JZI146" s="3170"/>
      <c r="JZJ146" s="3170"/>
      <c r="JZK146" s="3170"/>
      <c r="JZL146" s="3170"/>
      <c r="JZM146" s="3170"/>
      <c r="JZN146" s="3170"/>
      <c r="JZO146" s="3170"/>
      <c r="JZP146" s="3170"/>
      <c r="JZQ146" s="3170"/>
      <c r="JZR146" s="3170"/>
      <c r="JZS146" s="3170"/>
      <c r="JZT146" s="3170"/>
      <c r="JZU146" s="3170"/>
      <c r="JZV146" s="3170"/>
      <c r="JZW146" s="3170"/>
      <c r="JZX146" s="3170"/>
      <c r="JZY146" s="3170"/>
      <c r="JZZ146" s="3170"/>
      <c r="KAA146" s="3170"/>
      <c r="KAB146" s="3170"/>
      <c r="KAC146" s="3170"/>
      <c r="KAD146" s="3170"/>
      <c r="KAE146" s="3170"/>
      <c r="KAF146" s="3170"/>
      <c r="KAG146" s="3170"/>
      <c r="KAH146" s="3170"/>
      <c r="KAI146" s="3170"/>
      <c r="KAJ146" s="3170"/>
      <c r="KAK146" s="3170"/>
      <c r="KAL146" s="3170"/>
      <c r="KAM146" s="3170"/>
      <c r="KAN146" s="3170"/>
      <c r="KAO146" s="3170"/>
      <c r="KAP146" s="3170"/>
      <c r="KAQ146" s="3170"/>
      <c r="KAR146" s="3170"/>
      <c r="KAS146" s="3170"/>
      <c r="KAT146" s="3170"/>
      <c r="KAU146" s="3170"/>
      <c r="KAV146" s="3170"/>
      <c r="KAW146" s="3170"/>
      <c r="KAX146" s="3170"/>
      <c r="KAY146" s="3170"/>
      <c r="KAZ146" s="3170"/>
      <c r="KBA146" s="3170"/>
      <c r="KBB146" s="3170"/>
      <c r="KBC146" s="3170"/>
      <c r="KBD146" s="3170"/>
      <c r="KBE146" s="3170"/>
      <c r="KBF146" s="3170"/>
      <c r="KBG146" s="3170"/>
      <c r="KBH146" s="3170"/>
      <c r="KBI146" s="3170"/>
      <c r="KBJ146" s="3170"/>
      <c r="KBK146" s="3170"/>
      <c r="KBL146" s="3170"/>
      <c r="KBM146" s="3170"/>
      <c r="KBN146" s="3170"/>
      <c r="KBO146" s="3170"/>
      <c r="KBP146" s="3170"/>
      <c r="KBQ146" s="3170"/>
      <c r="KBR146" s="3170"/>
      <c r="KBS146" s="3170"/>
      <c r="KBT146" s="3170"/>
      <c r="KBU146" s="3170"/>
      <c r="KBV146" s="3170"/>
      <c r="KBW146" s="3170"/>
      <c r="KBX146" s="3170"/>
      <c r="KBY146" s="3170"/>
      <c r="KBZ146" s="3170"/>
      <c r="KCA146" s="3170"/>
      <c r="KCB146" s="3170"/>
      <c r="KCC146" s="3170"/>
      <c r="KCD146" s="3170"/>
      <c r="KCE146" s="3170"/>
      <c r="KCF146" s="3170"/>
      <c r="KCG146" s="3170"/>
      <c r="KCH146" s="3170"/>
      <c r="KCI146" s="3170"/>
      <c r="KCJ146" s="3170"/>
      <c r="KCK146" s="3170"/>
      <c r="KCL146" s="3170"/>
      <c r="KCM146" s="3170"/>
      <c r="KCN146" s="3170"/>
      <c r="KCO146" s="3170"/>
      <c r="KCP146" s="3170"/>
      <c r="KCQ146" s="3170"/>
      <c r="KCR146" s="3170"/>
      <c r="KCS146" s="3170"/>
      <c r="KCT146" s="3170"/>
      <c r="KCU146" s="3170"/>
      <c r="KCV146" s="3170"/>
      <c r="KCW146" s="3170"/>
      <c r="KCX146" s="3170"/>
      <c r="KCY146" s="3170"/>
      <c r="KCZ146" s="3170"/>
      <c r="KDA146" s="3170"/>
      <c r="KDB146" s="3170"/>
      <c r="KDC146" s="3170"/>
      <c r="KDD146" s="3170"/>
      <c r="KDE146" s="3170"/>
      <c r="KDF146" s="3170"/>
      <c r="KDG146" s="3170"/>
      <c r="KDH146" s="3170"/>
      <c r="KDI146" s="3170"/>
      <c r="KDJ146" s="3170"/>
      <c r="KDK146" s="3170"/>
      <c r="KDL146" s="3170"/>
      <c r="KDM146" s="3170"/>
      <c r="KDN146" s="3170"/>
      <c r="KDO146" s="3170"/>
      <c r="KDP146" s="3170"/>
      <c r="KDQ146" s="3170"/>
      <c r="KDR146" s="3170"/>
      <c r="KDS146" s="3170"/>
      <c r="KDT146" s="3170"/>
      <c r="KDU146" s="3170"/>
      <c r="KDV146" s="3170"/>
      <c r="KDW146" s="3170"/>
      <c r="KDX146" s="3170"/>
      <c r="KDY146" s="3170"/>
      <c r="KDZ146" s="3170"/>
      <c r="KEA146" s="3170"/>
      <c r="KEB146" s="3170"/>
      <c r="KEC146" s="3170"/>
      <c r="KED146" s="3170"/>
      <c r="KEE146" s="3170"/>
      <c r="KEF146" s="3170"/>
      <c r="KEG146" s="3170"/>
      <c r="KEH146" s="3170"/>
      <c r="KEI146" s="3170"/>
      <c r="KEJ146" s="3170"/>
      <c r="KEK146" s="3170"/>
      <c r="KEL146" s="3170"/>
      <c r="KEM146" s="3170"/>
      <c r="KEN146" s="3170"/>
      <c r="KEO146" s="3170"/>
      <c r="KEP146" s="3170"/>
      <c r="KEQ146" s="3170"/>
      <c r="KER146" s="3170"/>
      <c r="KES146" s="3170"/>
      <c r="KET146" s="3170"/>
      <c r="KEU146" s="3170"/>
      <c r="KEV146" s="3170"/>
      <c r="KEW146" s="3170"/>
      <c r="KEX146" s="3170"/>
      <c r="KEY146" s="3170"/>
      <c r="KEZ146" s="3170"/>
      <c r="KFA146" s="3170"/>
      <c r="KFB146" s="3170"/>
      <c r="KFC146" s="3170"/>
      <c r="KFD146" s="3170"/>
      <c r="KFE146" s="3170"/>
      <c r="KFF146" s="3170"/>
      <c r="KFG146" s="3170"/>
      <c r="KFH146" s="3170"/>
      <c r="KFI146" s="3170"/>
      <c r="KFJ146" s="3170"/>
      <c r="KFK146" s="3170"/>
      <c r="KFL146" s="3170"/>
      <c r="KFM146" s="3170"/>
      <c r="KFN146" s="3170"/>
      <c r="KFO146" s="3170"/>
      <c r="KFP146" s="3170"/>
      <c r="KFQ146" s="3170"/>
      <c r="KFR146" s="3170"/>
      <c r="KFS146" s="3170"/>
      <c r="KFT146" s="3170"/>
      <c r="KFU146" s="3170"/>
      <c r="KFV146" s="3170"/>
      <c r="KFW146" s="3170"/>
      <c r="KFX146" s="3170"/>
      <c r="KFY146" s="3170"/>
      <c r="KFZ146" s="3170"/>
      <c r="KGA146" s="3170"/>
      <c r="KGB146" s="3170"/>
      <c r="KGC146" s="3170"/>
      <c r="KGD146" s="3170"/>
      <c r="KGE146" s="3170"/>
      <c r="KGF146" s="3170"/>
      <c r="KGG146" s="3170"/>
      <c r="KGH146" s="3170"/>
      <c r="KGI146" s="3170"/>
      <c r="KGJ146" s="3170"/>
      <c r="KGK146" s="3170"/>
      <c r="KGL146" s="3170"/>
      <c r="KGM146" s="3170"/>
      <c r="KGN146" s="3170"/>
      <c r="KGO146" s="3170"/>
      <c r="KGP146" s="3170"/>
      <c r="KGQ146" s="3170"/>
      <c r="KGR146" s="3170"/>
      <c r="KGS146" s="3170"/>
      <c r="KGT146" s="3170"/>
      <c r="KGU146" s="3170"/>
      <c r="KGV146" s="3170"/>
      <c r="KGW146" s="3170"/>
      <c r="KGX146" s="3170"/>
      <c r="KGY146" s="3170"/>
      <c r="KGZ146" s="3170"/>
      <c r="KHA146" s="3170"/>
      <c r="KHB146" s="3170"/>
      <c r="KHC146" s="3170"/>
      <c r="KHD146" s="3170"/>
      <c r="KHE146" s="3170"/>
      <c r="KHF146" s="3170"/>
      <c r="KHG146" s="3170"/>
      <c r="KHH146" s="3170"/>
      <c r="KHI146" s="3170"/>
      <c r="KHJ146" s="3170"/>
      <c r="KHK146" s="3170"/>
      <c r="KHL146" s="3170"/>
      <c r="KHM146" s="3170"/>
      <c r="KHN146" s="3170"/>
      <c r="KHO146" s="3170"/>
      <c r="KHP146" s="3170"/>
      <c r="KHQ146" s="3170"/>
      <c r="KHR146" s="3170"/>
      <c r="KHS146" s="3170"/>
      <c r="KHT146" s="3170"/>
      <c r="KHU146" s="3170"/>
      <c r="KHV146" s="3170"/>
      <c r="KHW146" s="3170"/>
      <c r="KHX146" s="3170"/>
      <c r="KHY146" s="3170"/>
      <c r="KHZ146" s="3170"/>
      <c r="KIA146" s="3170"/>
      <c r="KIB146" s="3170"/>
      <c r="KIC146" s="3170"/>
      <c r="KID146" s="3170"/>
      <c r="KIE146" s="3170"/>
      <c r="KIF146" s="3170"/>
      <c r="KIG146" s="3170"/>
      <c r="KIH146" s="3170"/>
      <c r="KII146" s="3170"/>
      <c r="KIJ146" s="3170"/>
      <c r="KIK146" s="3170"/>
      <c r="KIL146" s="3170"/>
      <c r="KIM146" s="3170"/>
      <c r="KIN146" s="3170"/>
      <c r="KIO146" s="3170"/>
      <c r="KIP146" s="3170"/>
      <c r="KIQ146" s="3170"/>
      <c r="KIR146" s="3170"/>
      <c r="KIS146" s="3170"/>
      <c r="KIT146" s="3170"/>
      <c r="KIU146" s="3170"/>
      <c r="KIV146" s="3170"/>
      <c r="KIW146" s="3170"/>
      <c r="KIX146" s="3170"/>
      <c r="KIY146" s="3170"/>
      <c r="KIZ146" s="3170"/>
      <c r="KJA146" s="3170"/>
      <c r="KJB146" s="3170"/>
      <c r="KJC146" s="3170"/>
      <c r="KJD146" s="3170"/>
      <c r="KJE146" s="3170"/>
      <c r="KJF146" s="3170"/>
      <c r="KJG146" s="3170"/>
      <c r="KJH146" s="3170"/>
      <c r="KJI146" s="3170"/>
      <c r="KJJ146" s="3170"/>
      <c r="KJK146" s="3170"/>
      <c r="KJL146" s="3170"/>
      <c r="KJM146" s="3170"/>
      <c r="KJN146" s="3170"/>
      <c r="KJO146" s="3170"/>
      <c r="KJP146" s="3170"/>
      <c r="KJQ146" s="3170"/>
      <c r="KJR146" s="3170"/>
      <c r="KJS146" s="3170"/>
      <c r="KJT146" s="3170"/>
      <c r="KJU146" s="3170"/>
      <c r="KJV146" s="3170"/>
      <c r="KJW146" s="3170"/>
      <c r="KJX146" s="3170"/>
      <c r="KJY146" s="3170"/>
      <c r="KJZ146" s="3170"/>
      <c r="KKA146" s="3170"/>
      <c r="KKB146" s="3170"/>
      <c r="KKC146" s="3170"/>
      <c r="KKD146" s="3170"/>
      <c r="KKE146" s="3170"/>
      <c r="KKF146" s="3170"/>
      <c r="KKG146" s="3170"/>
      <c r="KKH146" s="3170"/>
      <c r="KKI146" s="3170"/>
      <c r="KKJ146" s="3170"/>
      <c r="KKK146" s="3170"/>
      <c r="KKL146" s="3170"/>
      <c r="KKM146" s="3170"/>
      <c r="KKN146" s="3170"/>
      <c r="KKO146" s="3170"/>
      <c r="KKP146" s="3170"/>
      <c r="KKQ146" s="3170"/>
      <c r="KKR146" s="3170"/>
      <c r="KKS146" s="3170"/>
      <c r="KKT146" s="3170"/>
      <c r="KKU146" s="3170"/>
      <c r="KKV146" s="3170"/>
      <c r="KKW146" s="3170"/>
      <c r="KKX146" s="3170"/>
      <c r="KKY146" s="3170"/>
      <c r="KKZ146" s="3170"/>
      <c r="KLA146" s="3170"/>
      <c r="KLB146" s="3170"/>
      <c r="KLC146" s="3170"/>
      <c r="KLD146" s="3170"/>
      <c r="KLE146" s="3170"/>
      <c r="KLF146" s="3170"/>
      <c r="KLG146" s="3170"/>
      <c r="KLH146" s="3170"/>
      <c r="KLI146" s="3170"/>
      <c r="KLJ146" s="3170"/>
      <c r="KLK146" s="3170"/>
      <c r="KLL146" s="3170"/>
      <c r="KLM146" s="3170"/>
      <c r="KLN146" s="3170"/>
      <c r="KLO146" s="3170"/>
      <c r="KLP146" s="3170"/>
      <c r="KLQ146" s="3170"/>
      <c r="KLR146" s="3170"/>
      <c r="KLS146" s="3170"/>
      <c r="KLT146" s="3170"/>
      <c r="KLU146" s="3170"/>
      <c r="KLV146" s="3170"/>
      <c r="KLW146" s="3170"/>
      <c r="KLX146" s="3170"/>
      <c r="KLY146" s="3170"/>
      <c r="KLZ146" s="3170"/>
      <c r="KMA146" s="3170"/>
      <c r="KMB146" s="3170"/>
      <c r="KMC146" s="3170"/>
      <c r="KMD146" s="3170"/>
      <c r="KME146" s="3170"/>
      <c r="KMF146" s="3170"/>
      <c r="KMG146" s="3170"/>
      <c r="KMH146" s="3170"/>
      <c r="KMI146" s="3170"/>
      <c r="KMJ146" s="3170"/>
      <c r="KMK146" s="3170"/>
      <c r="KML146" s="3170"/>
      <c r="KMM146" s="3170"/>
      <c r="KMN146" s="3170"/>
      <c r="KMO146" s="3170"/>
      <c r="KMP146" s="3170"/>
      <c r="KMQ146" s="3170"/>
      <c r="KMR146" s="3170"/>
      <c r="KMS146" s="3170"/>
      <c r="KMT146" s="3170"/>
      <c r="KMU146" s="3170"/>
      <c r="KMV146" s="3170"/>
      <c r="KMW146" s="3170"/>
      <c r="KMX146" s="3170"/>
      <c r="KMY146" s="3170"/>
      <c r="KMZ146" s="3170"/>
      <c r="KNA146" s="3170"/>
      <c r="KNB146" s="3170"/>
      <c r="KNC146" s="3170"/>
      <c r="KND146" s="3170"/>
      <c r="KNE146" s="3170"/>
      <c r="KNF146" s="3170"/>
      <c r="KNG146" s="3170"/>
      <c r="KNH146" s="3170"/>
      <c r="KNI146" s="3170"/>
      <c r="KNJ146" s="3170"/>
      <c r="KNK146" s="3170"/>
      <c r="KNL146" s="3170"/>
      <c r="KNM146" s="3170"/>
      <c r="KNN146" s="3170"/>
      <c r="KNO146" s="3170"/>
      <c r="KNP146" s="3170"/>
      <c r="KNQ146" s="3170"/>
      <c r="KNR146" s="3170"/>
      <c r="KNS146" s="3170"/>
      <c r="KNT146" s="3170"/>
      <c r="KNU146" s="3170"/>
      <c r="KNV146" s="3170"/>
      <c r="KNW146" s="3170"/>
      <c r="KNX146" s="3170"/>
      <c r="KNY146" s="3170"/>
      <c r="KNZ146" s="3170"/>
      <c r="KOA146" s="3170"/>
      <c r="KOB146" s="3170"/>
      <c r="KOC146" s="3170"/>
      <c r="KOD146" s="3170"/>
      <c r="KOE146" s="3170"/>
      <c r="KOF146" s="3170"/>
      <c r="KOG146" s="3170"/>
      <c r="KOH146" s="3170"/>
      <c r="KOI146" s="3170"/>
      <c r="KOJ146" s="3170"/>
      <c r="KOK146" s="3170"/>
      <c r="KOL146" s="3170"/>
      <c r="KOM146" s="3170"/>
      <c r="KON146" s="3170"/>
      <c r="KOO146" s="3170"/>
      <c r="KOP146" s="3170"/>
      <c r="KOQ146" s="3170"/>
      <c r="KOR146" s="3170"/>
      <c r="KOS146" s="3170"/>
      <c r="KOT146" s="3170"/>
      <c r="KOU146" s="3170"/>
      <c r="KOV146" s="3170"/>
      <c r="KOW146" s="3170"/>
      <c r="KOX146" s="3170"/>
      <c r="KOY146" s="3170"/>
      <c r="KOZ146" s="3170"/>
      <c r="KPA146" s="3170"/>
      <c r="KPB146" s="3170"/>
      <c r="KPC146" s="3170"/>
      <c r="KPD146" s="3170"/>
      <c r="KPE146" s="3170"/>
      <c r="KPF146" s="3170"/>
      <c r="KPG146" s="3170"/>
      <c r="KPH146" s="3170"/>
      <c r="KPI146" s="3170"/>
      <c r="KPJ146" s="3170"/>
      <c r="KPK146" s="3170"/>
      <c r="KPL146" s="3170"/>
      <c r="KPM146" s="3170"/>
      <c r="KPN146" s="3170"/>
      <c r="KPO146" s="3170"/>
      <c r="KPP146" s="3170"/>
      <c r="KPQ146" s="3170"/>
      <c r="KPR146" s="3170"/>
      <c r="KPS146" s="3170"/>
      <c r="KPT146" s="3170"/>
      <c r="KPU146" s="3170"/>
      <c r="KPV146" s="3170"/>
      <c r="KPW146" s="3170"/>
      <c r="KPX146" s="3170"/>
      <c r="KPY146" s="3170"/>
      <c r="KPZ146" s="3170"/>
      <c r="KQA146" s="3170"/>
      <c r="KQB146" s="3170"/>
      <c r="KQC146" s="3170"/>
      <c r="KQD146" s="3170"/>
      <c r="KQE146" s="3170"/>
      <c r="KQF146" s="3170"/>
      <c r="KQG146" s="3170"/>
      <c r="KQH146" s="3170"/>
      <c r="KQI146" s="3170"/>
      <c r="KQJ146" s="3170"/>
      <c r="KQK146" s="3170"/>
      <c r="KQL146" s="3170"/>
      <c r="KQM146" s="3170"/>
      <c r="KQN146" s="3170"/>
      <c r="KQO146" s="3170"/>
      <c r="KQP146" s="3170"/>
      <c r="KQQ146" s="3170"/>
      <c r="KQR146" s="3170"/>
      <c r="KQS146" s="3170"/>
      <c r="KQT146" s="3170"/>
      <c r="KQU146" s="3170"/>
      <c r="KQV146" s="3170"/>
      <c r="KQW146" s="3170"/>
      <c r="KQX146" s="3170"/>
      <c r="KQY146" s="3170"/>
      <c r="KQZ146" s="3170"/>
      <c r="KRA146" s="3170"/>
      <c r="KRB146" s="3170"/>
      <c r="KRC146" s="3170"/>
      <c r="KRD146" s="3170"/>
      <c r="KRE146" s="3170"/>
      <c r="KRF146" s="3170"/>
      <c r="KRG146" s="3170"/>
      <c r="KRH146" s="3170"/>
      <c r="KRI146" s="3170"/>
      <c r="KRJ146" s="3170"/>
      <c r="KRK146" s="3170"/>
      <c r="KRL146" s="3170"/>
      <c r="KRM146" s="3170"/>
      <c r="KRN146" s="3170"/>
      <c r="KRO146" s="3170"/>
      <c r="KRP146" s="3170"/>
      <c r="KRQ146" s="3170"/>
      <c r="KRR146" s="3170"/>
      <c r="KRS146" s="3170"/>
      <c r="KRT146" s="3170"/>
      <c r="KRU146" s="3170"/>
      <c r="KRV146" s="3170"/>
      <c r="KRW146" s="3170"/>
      <c r="KRX146" s="3170"/>
      <c r="KRY146" s="3170"/>
      <c r="KRZ146" s="3170"/>
      <c r="KSA146" s="3170"/>
      <c r="KSB146" s="3170"/>
      <c r="KSC146" s="3170"/>
      <c r="KSD146" s="3170"/>
      <c r="KSE146" s="3170"/>
      <c r="KSF146" s="3170"/>
      <c r="KSG146" s="3170"/>
      <c r="KSH146" s="3170"/>
      <c r="KSI146" s="3170"/>
      <c r="KSJ146" s="3170"/>
      <c r="KSK146" s="3170"/>
      <c r="KSL146" s="3170"/>
      <c r="KSM146" s="3170"/>
      <c r="KSN146" s="3170"/>
      <c r="KSO146" s="3170"/>
      <c r="KSP146" s="3170"/>
      <c r="KSQ146" s="3170"/>
      <c r="KSR146" s="3170"/>
      <c r="KSS146" s="3170"/>
      <c r="KST146" s="3170"/>
      <c r="KSU146" s="3170"/>
      <c r="KSV146" s="3170"/>
      <c r="KSW146" s="3170"/>
      <c r="KSX146" s="3170"/>
      <c r="KSY146" s="3170"/>
      <c r="KSZ146" s="3170"/>
      <c r="KTA146" s="3170"/>
      <c r="KTB146" s="3170"/>
      <c r="KTC146" s="3170"/>
      <c r="KTD146" s="3170"/>
      <c r="KTE146" s="3170"/>
      <c r="KTF146" s="3170"/>
      <c r="KTG146" s="3170"/>
      <c r="KTH146" s="3170"/>
      <c r="KTI146" s="3170"/>
      <c r="KTJ146" s="3170"/>
      <c r="KTK146" s="3170"/>
      <c r="KTL146" s="3170"/>
      <c r="KTM146" s="3170"/>
      <c r="KTN146" s="3170"/>
      <c r="KTO146" s="3170"/>
      <c r="KTP146" s="3170"/>
      <c r="KTQ146" s="3170"/>
      <c r="KTR146" s="3170"/>
      <c r="KTS146" s="3170"/>
      <c r="KTT146" s="3170"/>
      <c r="KTU146" s="3170"/>
      <c r="KTV146" s="3170"/>
      <c r="KTW146" s="3170"/>
      <c r="KTX146" s="3170"/>
      <c r="KTY146" s="3170"/>
      <c r="KTZ146" s="3170"/>
      <c r="KUA146" s="3170"/>
      <c r="KUB146" s="3170"/>
      <c r="KUC146" s="3170"/>
      <c r="KUD146" s="3170"/>
      <c r="KUE146" s="3170"/>
      <c r="KUF146" s="3170"/>
      <c r="KUG146" s="3170"/>
      <c r="KUH146" s="3170"/>
      <c r="KUI146" s="3170"/>
      <c r="KUJ146" s="3170"/>
      <c r="KUK146" s="3170"/>
      <c r="KUL146" s="3170"/>
      <c r="KUM146" s="3170"/>
      <c r="KUN146" s="3170"/>
      <c r="KUO146" s="3170"/>
      <c r="KUP146" s="3170"/>
      <c r="KUQ146" s="3170"/>
      <c r="KUR146" s="3170"/>
      <c r="KUS146" s="3170"/>
      <c r="KUT146" s="3170"/>
      <c r="KUU146" s="3170"/>
      <c r="KUV146" s="3170"/>
      <c r="KUW146" s="3170"/>
      <c r="KUX146" s="3170"/>
      <c r="KUY146" s="3170"/>
      <c r="KUZ146" s="3170"/>
      <c r="KVA146" s="3170"/>
      <c r="KVB146" s="3170"/>
      <c r="KVC146" s="3170"/>
      <c r="KVD146" s="3170"/>
      <c r="KVE146" s="3170"/>
      <c r="KVF146" s="3170"/>
      <c r="KVG146" s="3170"/>
      <c r="KVH146" s="3170"/>
      <c r="KVI146" s="3170"/>
      <c r="KVJ146" s="3170"/>
      <c r="KVK146" s="3170"/>
      <c r="KVL146" s="3170"/>
      <c r="KVM146" s="3170"/>
      <c r="KVN146" s="3170"/>
      <c r="KVO146" s="3170"/>
      <c r="KVP146" s="3170"/>
      <c r="KVQ146" s="3170"/>
      <c r="KVR146" s="3170"/>
      <c r="KVS146" s="3170"/>
      <c r="KVT146" s="3170"/>
      <c r="KVU146" s="3170"/>
      <c r="KVV146" s="3170"/>
      <c r="KVW146" s="3170"/>
      <c r="KVX146" s="3170"/>
      <c r="KVY146" s="3170"/>
      <c r="KVZ146" s="3170"/>
      <c r="KWA146" s="3170"/>
      <c r="KWB146" s="3170"/>
      <c r="KWC146" s="3170"/>
      <c r="KWD146" s="3170"/>
      <c r="KWE146" s="3170"/>
      <c r="KWF146" s="3170"/>
      <c r="KWG146" s="3170"/>
      <c r="KWH146" s="3170"/>
      <c r="KWI146" s="3170"/>
      <c r="KWJ146" s="3170"/>
      <c r="KWK146" s="3170"/>
      <c r="KWL146" s="3170"/>
      <c r="KWM146" s="3170"/>
      <c r="KWN146" s="3170"/>
      <c r="KWO146" s="3170"/>
      <c r="KWP146" s="3170"/>
      <c r="KWQ146" s="3170"/>
      <c r="KWR146" s="3170"/>
      <c r="KWS146" s="3170"/>
      <c r="KWT146" s="3170"/>
      <c r="KWU146" s="3170"/>
      <c r="KWV146" s="3170"/>
      <c r="KWW146" s="3170"/>
      <c r="KWX146" s="3170"/>
      <c r="KWY146" s="3170"/>
      <c r="KWZ146" s="3170"/>
      <c r="KXA146" s="3170"/>
      <c r="KXB146" s="3170"/>
      <c r="KXC146" s="3170"/>
      <c r="KXD146" s="3170"/>
      <c r="KXE146" s="3170"/>
      <c r="KXF146" s="3170"/>
      <c r="KXG146" s="3170"/>
      <c r="KXH146" s="3170"/>
      <c r="KXI146" s="3170"/>
      <c r="KXJ146" s="3170"/>
      <c r="KXK146" s="3170"/>
      <c r="KXL146" s="3170"/>
      <c r="KXM146" s="3170"/>
      <c r="KXN146" s="3170"/>
      <c r="KXO146" s="3170"/>
      <c r="KXP146" s="3170"/>
      <c r="KXQ146" s="3170"/>
      <c r="KXR146" s="3170"/>
      <c r="KXS146" s="3170"/>
      <c r="KXT146" s="3170"/>
      <c r="KXU146" s="3170"/>
      <c r="KXV146" s="3170"/>
      <c r="KXW146" s="3170"/>
      <c r="KXX146" s="3170"/>
      <c r="KXY146" s="3170"/>
      <c r="KXZ146" s="3170"/>
      <c r="KYA146" s="3170"/>
      <c r="KYB146" s="3170"/>
      <c r="KYC146" s="3170"/>
      <c r="KYD146" s="3170"/>
      <c r="KYE146" s="3170"/>
      <c r="KYF146" s="3170"/>
      <c r="KYG146" s="3170"/>
      <c r="KYH146" s="3170"/>
      <c r="KYI146" s="3170"/>
      <c r="KYJ146" s="3170"/>
      <c r="KYK146" s="3170"/>
      <c r="KYL146" s="3170"/>
      <c r="KYM146" s="3170"/>
      <c r="KYN146" s="3170"/>
      <c r="KYO146" s="3170"/>
      <c r="KYP146" s="3170"/>
      <c r="KYQ146" s="3170"/>
      <c r="KYR146" s="3170"/>
      <c r="KYS146" s="3170"/>
      <c r="KYT146" s="3170"/>
      <c r="KYU146" s="3170"/>
      <c r="KYV146" s="3170"/>
      <c r="KYW146" s="3170"/>
      <c r="KYX146" s="3170"/>
      <c r="KYY146" s="3170"/>
      <c r="KYZ146" s="3170"/>
      <c r="KZA146" s="3170"/>
      <c r="KZB146" s="3170"/>
      <c r="KZC146" s="3170"/>
      <c r="KZD146" s="3170"/>
      <c r="KZE146" s="3170"/>
      <c r="KZF146" s="3170"/>
      <c r="KZG146" s="3170"/>
      <c r="KZH146" s="3170"/>
      <c r="KZI146" s="3170"/>
      <c r="KZJ146" s="3170"/>
      <c r="KZK146" s="3170"/>
      <c r="KZL146" s="3170"/>
      <c r="KZM146" s="3170"/>
      <c r="KZN146" s="3170"/>
      <c r="KZO146" s="3170"/>
      <c r="KZP146" s="3170"/>
      <c r="KZQ146" s="3170"/>
      <c r="KZR146" s="3170"/>
      <c r="KZS146" s="3170"/>
      <c r="KZT146" s="3170"/>
      <c r="KZU146" s="3170"/>
      <c r="KZV146" s="3170"/>
      <c r="KZW146" s="3170"/>
      <c r="KZX146" s="3170"/>
      <c r="KZY146" s="3170"/>
      <c r="KZZ146" s="3170"/>
      <c r="LAA146" s="3170"/>
      <c r="LAB146" s="3170"/>
      <c r="LAC146" s="3170"/>
      <c r="LAD146" s="3170"/>
      <c r="LAE146" s="3170"/>
      <c r="LAF146" s="3170"/>
      <c r="LAG146" s="3170"/>
      <c r="LAH146" s="3170"/>
      <c r="LAI146" s="3170"/>
      <c r="LAJ146" s="3170"/>
      <c r="LAK146" s="3170"/>
      <c r="LAL146" s="3170"/>
      <c r="LAM146" s="3170"/>
      <c r="LAN146" s="3170"/>
      <c r="LAO146" s="3170"/>
      <c r="LAP146" s="3170"/>
      <c r="LAQ146" s="3170"/>
      <c r="LAR146" s="3170"/>
      <c r="LAS146" s="3170"/>
      <c r="LAT146" s="3170"/>
      <c r="LAU146" s="3170"/>
      <c r="LAV146" s="3170"/>
      <c r="LAW146" s="3170"/>
      <c r="LAX146" s="3170"/>
      <c r="LAY146" s="3170"/>
      <c r="LAZ146" s="3170"/>
      <c r="LBA146" s="3170"/>
      <c r="LBB146" s="3170"/>
      <c r="LBC146" s="3170"/>
      <c r="LBD146" s="3170"/>
      <c r="LBE146" s="3170"/>
      <c r="LBF146" s="3170"/>
      <c r="LBG146" s="3170"/>
      <c r="LBH146" s="3170"/>
      <c r="LBI146" s="3170"/>
      <c r="LBJ146" s="3170"/>
      <c r="LBK146" s="3170"/>
      <c r="LBL146" s="3170"/>
      <c r="LBM146" s="3170"/>
      <c r="LBN146" s="3170"/>
      <c r="LBO146" s="3170"/>
      <c r="LBP146" s="3170"/>
      <c r="LBQ146" s="3170"/>
      <c r="LBR146" s="3170"/>
      <c r="LBS146" s="3170"/>
      <c r="LBT146" s="3170"/>
      <c r="LBU146" s="3170"/>
      <c r="LBV146" s="3170"/>
      <c r="LBW146" s="3170"/>
      <c r="LBX146" s="3170"/>
      <c r="LBY146" s="3170"/>
      <c r="LBZ146" s="3170"/>
      <c r="LCA146" s="3170"/>
      <c r="LCB146" s="3170"/>
      <c r="LCC146" s="3170"/>
      <c r="LCD146" s="3170"/>
      <c r="LCE146" s="3170"/>
      <c r="LCF146" s="3170"/>
      <c r="LCG146" s="3170"/>
      <c r="LCH146" s="3170"/>
      <c r="LCI146" s="3170"/>
      <c r="LCJ146" s="3170"/>
      <c r="LCK146" s="3170"/>
      <c r="LCL146" s="3170"/>
      <c r="LCM146" s="3170"/>
      <c r="LCN146" s="3170"/>
      <c r="LCO146" s="3170"/>
      <c r="LCP146" s="3170"/>
      <c r="LCQ146" s="3170"/>
      <c r="LCR146" s="3170"/>
      <c r="LCS146" s="3170"/>
      <c r="LCT146" s="3170"/>
      <c r="LCU146" s="3170"/>
      <c r="LCV146" s="3170"/>
      <c r="LCW146" s="3170"/>
      <c r="LCX146" s="3170"/>
      <c r="LCY146" s="3170"/>
      <c r="LCZ146" s="3170"/>
      <c r="LDA146" s="3170"/>
      <c r="LDB146" s="3170"/>
      <c r="LDC146" s="3170"/>
      <c r="LDD146" s="3170"/>
      <c r="LDE146" s="3170"/>
      <c r="LDF146" s="3170"/>
      <c r="LDG146" s="3170"/>
      <c r="LDH146" s="3170"/>
      <c r="LDI146" s="3170"/>
      <c r="LDJ146" s="3170"/>
      <c r="LDK146" s="3170"/>
      <c r="LDL146" s="3170"/>
      <c r="LDM146" s="3170"/>
      <c r="LDN146" s="3170"/>
      <c r="LDO146" s="3170"/>
      <c r="LDP146" s="3170"/>
      <c r="LDQ146" s="3170"/>
      <c r="LDR146" s="3170"/>
      <c r="LDS146" s="3170"/>
      <c r="LDT146" s="3170"/>
      <c r="LDU146" s="3170"/>
      <c r="LDV146" s="3170"/>
      <c r="LDW146" s="3170"/>
      <c r="LDX146" s="3170"/>
      <c r="LDY146" s="3170"/>
      <c r="LDZ146" s="3170"/>
      <c r="LEA146" s="3170"/>
      <c r="LEB146" s="3170"/>
      <c r="LEC146" s="3170"/>
      <c r="LED146" s="3170"/>
      <c r="LEE146" s="3170"/>
      <c r="LEF146" s="3170"/>
      <c r="LEG146" s="3170"/>
      <c r="LEH146" s="3170"/>
      <c r="LEI146" s="3170"/>
      <c r="LEJ146" s="3170"/>
      <c r="LEK146" s="3170"/>
      <c r="LEL146" s="3170"/>
      <c r="LEM146" s="3170"/>
      <c r="LEN146" s="3170"/>
      <c r="LEO146" s="3170"/>
      <c r="LEP146" s="3170"/>
      <c r="LEQ146" s="3170"/>
      <c r="LER146" s="3170"/>
      <c r="LES146" s="3170"/>
      <c r="LET146" s="3170"/>
      <c r="LEU146" s="3170"/>
      <c r="LEV146" s="3170"/>
      <c r="LEW146" s="3170"/>
      <c r="LEX146" s="3170"/>
      <c r="LEY146" s="3170"/>
      <c r="LEZ146" s="3170"/>
      <c r="LFA146" s="3170"/>
      <c r="LFB146" s="3170"/>
      <c r="LFC146" s="3170"/>
      <c r="LFD146" s="3170"/>
      <c r="LFE146" s="3170"/>
      <c r="LFF146" s="3170"/>
      <c r="LFG146" s="3170"/>
      <c r="LFH146" s="3170"/>
      <c r="LFI146" s="3170"/>
      <c r="LFJ146" s="3170"/>
      <c r="LFK146" s="3170"/>
      <c r="LFL146" s="3170"/>
      <c r="LFM146" s="3170"/>
      <c r="LFN146" s="3170"/>
      <c r="LFO146" s="3170"/>
      <c r="LFP146" s="3170"/>
      <c r="LFQ146" s="3170"/>
      <c r="LFR146" s="3170"/>
      <c r="LFS146" s="3170"/>
      <c r="LFT146" s="3170"/>
      <c r="LFU146" s="3170"/>
      <c r="LFV146" s="3170"/>
      <c r="LFW146" s="3170"/>
      <c r="LFX146" s="3170"/>
      <c r="LFY146" s="3170"/>
      <c r="LFZ146" s="3170"/>
      <c r="LGA146" s="3170"/>
      <c r="LGB146" s="3170"/>
      <c r="LGC146" s="3170"/>
      <c r="LGD146" s="3170"/>
      <c r="LGE146" s="3170"/>
      <c r="LGF146" s="3170"/>
      <c r="LGG146" s="3170"/>
      <c r="LGH146" s="3170"/>
      <c r="LGI146" s="3170"/>
      <c r="LGJ146" s="3170"/>
      <c r="LGK146" s="3170"/>
      <c r="LGL146" s="3170"/>
      <c r="LGM146" s="3170"/>
      <c r="LGN146" s="3170"/>
      <c r="LGO146" s="3170"/>
      <c r="LGP146" s="3170"/>
      <c r="LGQ146" s="3170"/>
      <c r="LGR146" s="3170"/>
      <c r="LGS146" s="3170"/>
      <c r="LGT146" s="3170"/>
      <c r="LGU146" s="3170"/>
      <c r="LGV146" s="3170"/>
      <c r="LGW146" s="3170"/>
      <c r="LGX146" s="3170"/>
      <c r="LGY146" s="3170"/>
      <c r="LGZ146" s="3170"/>
      <c r="LHA146" s="3170"/>
      <c r="LHB146" s="3170"/>
      <c r="LHC146" s="3170"/>
      <c r="LHD146" s="3170"/>
      <c r="LHE146" s="3170"/>
      <c r="LHF146" s="3170"/>
      <c r="LHG146" s="3170"/>
      <c r="LHH146" s="3170"/>
      <c r="LHI146" s="3170"/>
      <c r="LHJ146" s="3170"/>
      <c r="LHK146" s="3170"/>
      <c r="LHL146" s="3170"/>
      <c r="LHM146" s="3170"/>
      <c r="LHN146" s="3170"/>
      <c r="LHO146" s="3170"/>
      <c r="LHP146" s="3170"/>
      <c r="LHQ146" s="3170"/>
      <c r="LHR146" s="3170"/>
      <c r="LHS146" s="3170"/>
      <c r="LHT146" s="3170"/>
      <c r="LHU146" s="3170"/>
      <c r="LHV146" s="3170"/>
      <c r="LHW146" s="3170"/>
      <c r="LHX146" s="3170"/>
      <c r="LHY146" s="3170"/>
      <c r="LHZ146" s="3170"/>
      <c r="LIA146" s="3170"/>
      <c r="LIB146" s="3170"/>
      <c r="LIC146" s="3170"/>
      <c r="LID146" s="3170"/>
      <c r="LIE146" s="3170"/>
      <c r="LIF146" s="3170"/>
      <c r="LIG146" s="3170"/>
      <c r="LIH146" s="3170"/>
      <c r="LII146" s="3170"/>
      <c r="LIJ146" s="3170"/>
      <c r="LIK146" s="3170"/>
      <c r="LIL146" s="3170"/>
      <c r="LIM146" s="3170"/>
      <c r="LIN146" s="3170"/>
      <c r="LIO146" s="3170"/>
      <c r="LIP146" s="3170"/>
      <c r="LIQ146" s="3170"/>
      <c r="LIR146" s="3170"/>
      <c r="LIS146" s="3170"/>
      <c r="LIT146" s="3170"/>
      <c r="LIU146" s="3170"/>
      <c r="LIV146" s="3170"/>
      <c r="LIW146" s="3170"/>
      <c r="LIX146" s="3170"/>
      <c r="LIY146" s="3170"/>
      <c r="LIZ146" s="3170"/>
      <c r="LJA146" s="3170"/>
      <c r="LJB146" s="3170"/>
      <c r="LJC146" s="3170"/>
      <c r="LJD146" s="3170"/>
      <c r="LJE146" s="3170"/>
      <c r="LJF146" s="3170"/>
      <c r="LJG146" s="3170"/>
      <c r="LJH146" s="3170"/>
      <c r="LJI146" s="3170"/>
      <c r="LJJ146" s="3170"/>
      <c r="LJK146" s="3170"/>
      <c r="LJL146" s="3170"/>
      <c r="LJM146" s="3170"/>
      <c r="LJN146" s="3170"/>
      <c r="LJO146" s="3170"/>
      <c r="LJP146" s="3170"/>
      <c r="LJQ146" s="3170"/>
      <c r="LJR146" s="3170"/>
      <c r="LJS146" s="3170"/>
      <c r="LJT146" s="3170"/>
      <c r="LJU146" s="3170"/>
      <c r="LJV146" s="3170"/>
      <c r="LJW146" s="3170"/>
      <c r="LJX146" s="3170"/>
      <c r="LJY146" s="3170"/>
      <c r="LJZ146" s="3170"/>
      <c r="LKA146" s="3170"/>
      <c r="LKB146" s="3170"/>
      <c r="LKC146" s="3170"/>
      <c r="LKD146" s="3170"/>
      <c r="LKE146" s="3170"/>
      <c r="LKF146" s="3170"/>
      <c r="LKG146" s="3170"/>
      <c r="LKH146" s="3170"/>
      <c r="LKI146" s="3170"/>
      <c r="LKJ146" s="3170"/>
      <c r="LKK146" s="3170"/>
      <c r="LKL146" s="3170"/>
      <c r="LKM146" s="3170"/>
      <c r="LKN146" s="3170"/>
      <c r="LKO146" s="3170"/>
      <c r="LKP146" s="3170"/>
      <c r="LKQ146" s="3170"/>
      <c r="LKR146" s="3170"/>
      <c r="LKS146" s="3170"/>
      <c r="LKT146" s="3170"/>
      <c r="LKU146" s="3170"/>
      <c r="LKV146" s="3170"/>
      <c r="LKW146" s="3170"/>
      <c r="LKX146" s="3170"/>
      <c r="LKY146" s="3170"/>
      <c r="LKZ146" s="3170"/>
      <c r="LLA146" s="3170"/>
      <c r="LLB146" s="3170"/>
      <c r="LLC146" s="3170"/>
      <c r="LLD146" s="3170"/>
      <c r="LLE146" s="3170"/>
      <c r="LLF146" s="3170"/>
      <c r="LLG146" s="3170"/>
      <c r="LLH146" s="3170"/>
      <c r="LLI146" s="3170"/>
      <c r="LLJ146" s="3170"/>
      <c r="LLK146" s="3170"/>
      <c r="LLL146" s="3170"/>
      <c r="LLM146" s="3170"/>
      <c r="LLN146" s="3170"/>
      <c r="LLO146" s="3170"/>
      <c r="LLP146" s="3170"/>
      <c r="LLQ146" s="3170"/>
      <c r="LLR146" s="3170"/>
      <c r="LLS146" s="3170"/>
      <c r="LLT146" s="3170"/>
      <c r="LLU146" s="3170"/>
      <c r="LLV146" s="3170"/>
      <c r="LLW146" s="3170"/>
      <c r="LLX146" s="3170"/>
      <c r="LLY146" s="3170"/>
      <c r="LLZ146" s="3170"/>
      <c r="LMA146" s="3170"/>
      <c r="LMB146" s="3170"/>
      <c r="LMC146" s="3170"/>
      <c r="LMD146" s="3170"/>
      <c r="LME146" s="3170"/>
      <c r="LMF146" s="3170"/>
      <c r="LMG146" s="3170"/>
      <c r="LMH146" s="3170"/>
      <c r="LMI146" s="3170"/>
      <c r="LMJ146" s="3170"/>
      <c r="LMK146" s="3170"/>
      <c r="LML146" s="3170"/>
      <c r="LMM146" s="3170"/>
      <c r="LMN146" s="3170"/>
      <c r="LMO146" s="3170"/>
      <c r="LMP146" s="3170"/>
      <c r="LMQ146" s="3170"/>
      <c r="LMR146" s="3170"/>
      <c r="LMS146" s="3170"/>
      <c r="LMT146" s="3170"/>
      <c r="LMU146" s="3170"/>
      <c r="LMV146" s="3170"/>
      <c r="LMW146" s="3170"/>
      <c r="LMX146" s="3170"/>
      <c r="LMY146" s="3170"/>
      <c r="LMZ146" s="3170"/>
      <c r="LNA146" s="3170"/>
      <c r="LNB146" s="3170"/>
      <c r="LNC146" s="3170"/>
      <c r="LND146" s="3170"/>
      <c r="LNE146" s="3170"/>
      <c r="LNF146" s="3170"/>
      <c r="LNG146" s="3170"/>
      <c r="LNH146" s="3170"/>
      <c r="LNI146" s="3170"/>
      <c r="LNJ146" s="3170"/>
      <c r="LNK146" s="3170"/>
      <c r="LNL146" s="3170"/>
      <c r="LNM146" s="3170"/>
      <c r="LNN146" s="3170"/>
      <c r="LNO146" s="3170"/>
      <c r="LNP146" s="3170"/>
      <c r="LNQ146" s="3170"/>
      <c r="LNR146" s="3170"/>
      <c r="LNS146" s="3170"/>
      <c r="LNT146" s="3170"/>
      <c r="LNU146" s="3170"/>
      <c r="LNV146" s="3170"/>
      <c r="LNW146" s="3170"/>
      <c r="LNX146" s="3170"/>
      <c r="LNY146" s="3170"/>
      <c r="LNZ146" s="3170"/>
      <c r="LOA146" s="3170"/>
      <c r="LOB146" s="3170"/>
      <c r="LOC146" s="3170"/>
      <c r="LOD146" s="3170"/>
      <c r="LOE146" s="3170"/>
      <c r="LOF146" s="3170"/>
      <c r="LOG146" s="3170"/>
      <c r="LOH146" s="3170"/>
      <c r="LOI146" s="3170"/>
      <c r="LOJ146" s="3170"/>
      <c r="LOK146" s="3170"/>
      <c r="LOL146" s="3170"/>
      <c r="LOM146" s="3170"/>
      <c r="LON146" s="3170"/>
      <c r="LOO146" s="3170"/>
      <c r="LOP146" s="3170"/>
      <c r="LOQ146" s="3170"/>
      <c r="LOR146" s="3170"/>
      <c r="LOS146" s="3170"/>
      <c r="LOT146" s="3170"/>
      <c r="LOU146" s="3170"/>
      <c r="LOV146" s="3170"/>
      <c r="LOW146" s="3170"/>
      <c r="LOX146" s="3170"/>
      <c r="LOY146" s="3170"/>
      <c r="LOZ146" s="3170"/>
      <c r="LPA146" s="3170"/>
      <c r="LPB146" s="3170"/>
      <c r="LPC146" s="3170"/>
      <c r="LPD146" s="3170"/>
      <c r="LPE146" s="3170"/>
      <c r="LPF146" s="3170"/>
      <c r="LPG146" s="3170"/>
      <c r="LPH146" s="3170"/>
      <c r="LPI146" s="3170"/>
      <c r="LPJ146" s="3170"/>
      <c r="LPK146" s="3170"/>
      <c r="LPL146" s="3170"/>
      <c r="LPM146" s="3170"/>
      <c r="LPN146" s="3170"/>
      <c r="LPO146" s="3170"/>
      <c r="LPP146" s="3170"/>
      <c r="LPQ146" s="3170"/>
      <c r="LPR146" s="3170"/>
      <c r="LPS146" s="3170"/>
      <c r="LPT146" s="3170"/>
      <c r="LPU146" s="3170"/>
      <c r="LPV146" s="3170"/>
      <c r="LPW146" s="3170"/>
      <c r="LPX146" s="3170"/>
      <c r="LPY146" s="3170"/>
      <c r="LPZ146" s="3170"/>
      <c r="LQA146" s="3170"/>
      <c r="LQB146" s="3170"/>
      <c r="LQC146" s="3170"/>
      <c r="LQD146" s="3170"/>
      <c r="LQE146" s="3170"/>
      <c r="LQF146" s="3170"/>
      <c r="LQG146" s="3170"/>
      <c r="LQH146" s="3170"/>
      <c r="LQI146" s="3170"/>
      <c r="LQJ146" s="3170"/>
      <c r="LQK146" s="3170"/>
      <c r="LQL146" s="3170"/>
      <c r="LQM146" s="3170"/>
      <c r="LQN146" s="3170"/>
      <c r="LQO146" s="3170"/>
      <c r="LQP146" s="3170"/>
      <c r="LQQ146" s="3170"/>
      <c r="LQR146" s="3170"/>
      <c r="LQS146" s="3170"/>
      <c r="LQT146" s="3170"/>
      <c r="LQU146" s="3170"/>
      <c r="LQV146" s="3170"/>
      <c r="LQW146" s="3170"/>
      <c r="LQX146" s="3170"/>
      <c r="LQY146" s="3170"/>
      <c r="LQZ146" s="3170"/>
      <c r="LRA146" s="3170"/>
      <c r="LRB146" s="3170"/>
      <c r="LRC146" s="3170"/>
      <c r="LRD146" s="3170"/>
      <c r="LRE146" s="3170"/>
      <c r="LRF146" s="3170"/>
      <c r="LRG146" s="3170"/>
      <c r="LRH146" s="3170"/>
      <c r="LRI146" s="3170"/>
      <c r="LRJ146" s="3170"/>
      <c r="LRK146" s="3170"/>
      <c r="LRL146" s="3170"/>
      <c r="LRM146" s="3170"/>
      <c r="LRN146" s="3170"/>
      <c r="LRO146" s="3170"/>
      <c r="LRP146" s="3170"/>
      <c r="LRQ146" s="3170"/>
      <c r="LRR146" s="3170"/>
      <c r="LRS146" s="3170"/>
      <c r="LRT146" s="3170"/>
      <c r="LRU146" s="3170"/>
      <c r="LRV146" s="3170"/>
      <c r="LRW146" s="3170"/>
      <c r="LRX146" s="3170"/>
      <c r="LRY146" s="3170"/>
      <c r="LRZ146" s="3170"/>
      <c r="LSA146" s="3170"/>
      <c r="LSB146" s="3170"/>
      <c r="LSC146" s="3170"/>
      <c r="LSD146" s="3170"/>
      <c r="LSE146" s="3170"/>
      <c r="LSF146" s="3170"/>
      <c r="LSG146" s="3170"/>
      <c r="LSH146" s="3170"/>
      <c r="LSI146" s="3170"/>
      <c r="LSJ146" s="3170"/>
      <c r="LSK146" s="3170"/>
      <c r="LSL146" s="3170"/>
      <c r="LSM146" s="3170"/>
      <c r="LSN146" s="3170"/>
      <c r="LSO146" s="3170"/>
      <c r="LSP146" s="3170"/>
      <c r="LSQ146" s="3170"/>
      <c r="LSR146" s="3170"/>
      <c r="LSS146" s="3170"/>
      <c r="LST146" s="3170"/>
      <c r="LSU146" s="3170"/>
      <c r="LSV146" s="3170"/>
      <c r="LSW146" s="3170"/>
      <c r="LSX146" s="3170"/>
      <c r="LSY146" s="3170"/>
      <c r="LSZ146" s="3170"/>
      <c r="LTA146" s="3170"/>
      <c r="LTB146" s="3170"/>
      <c r="LTC146" s="3170"/>
      <c r="LTD146" s="3170"/>
      <c r="LTE146" s="3170"/>
      <c r="LTF146" s="3170"/>
      <c r="LTG146" s="3170"/>
      <c r="LTH146" s="3170"/>
      <c r="LTI146" s="3170"/>
      <c r="LTJ146" s="3170"/>
      <c r="LTK146" s="3170"/>
      <c r="LTL146" s="3170"/>
      <c r="LTM146" s="3170"/>
      <c r="LTN146" s="3170"/>
      <c r="LTO146" s="3170"/>
      <c r="LTP146" s="3170"/>
      <c r="LTQ146" s="3170"/>
      <c r="LTR146" s="3170"/>
      <c r="LTS146" s="3170"/>
      <c r="LTT146" s="3170"/>
      <c r="LTU146" s="3170"/>
      <c r="LTV146" s="3170"/>
      <c r="LTW146" s="3170"/>
      <c r="LTX146" s="3170"/>
      <c r="LTY146" s="3170"/>
      <c r="LTZ146" s="3170"/>
      <c r="LUA146" s="3170"/>
      <c r="LUB146" s="3170"/>
      <c r="LUC146" s="3170"/>
      <c r="LUD146" s="3170"/>
      <c r="LUE146" s="3170"/>
      <c r="LUF146" s="3170"/>
      <c r="LUG146" s="3170"/>
      <c r="LUH146" s="3170"/>
      <c r="LUI146" s="3170"/>
      <c r="LUJ146" s="3170"/>
      <c r="LUK146" s="3170"/>
      <c r="LUL146" s="3170"/>
      <c r="LUM146" s="3170"/>
      <c r="LUN146" s="3170"/>
      <c r="LUO146" s="3170"/>
      <c r="LUP146" s="3170"/>
      <c r="LUQ146" s="3170"/>
      <c r="LUR146" s="3170"/>
      <c r="LUS146" s="3170"/>
      <c r="LUT146" s="3170"/>
      <c r="LUU146" s="3170"/>
      <c r="LUV146" s="3170"/>
      <c r="LUW146" s="3170"/>
      <c r="LUX146" s="3170"/>
      <c r="LUY146" s="3170"/>
      <c r="LUZ146" s="3170"/>
      <c r="LVA146" s="3170"/>
      <c r="LVB146" s="3170"/>
      <c r="LVC146" s="3170"/>
      <c r="LVD146" s="3170"/>
      <c r="LVE146" s="3170"/>
      <c r="LVF146" s="3170"/>
      <c r="LVG146" s="3170"/>
      <c r="LVH146" s="3170"/>
      <c r="LVI146" s="3170"/>
      <c r="LVJ146" s="3170"/>
      <c r="LVK146" s="3170"/>
      <c r="LVL146" s="3170"/>
      <c r="LVM146" s="3170"/>
      <c r="LVN146" s="3170"/>
      <c r="LVO146" s="3170"/>
      <c r="LVP146" s="3170"/>
      <c r="LVQ146" s="3170"/>
      <c r="LVR146" s="3170"/>
      <c r="LVS146" s="3170"/>
      <c r="LVT146" s="3170"/>
      <c r="LVU146" s="3170"/>
      <c r="LVV146" s="3170"/>
      <c r="LVW146" s="3170"/>
      <c r="LVX146" s="3170"/>
      <c r="LVY146" s="3170"/>
      <c r="LVZ146" s="3170"/>
      <c r="LWA146" s="3170"/>
      <c r="LWB146" s="3170"/>
      <c r="LWC146" s="3170"/>
      <c r="LWD146" s="3170"/>
      <c r="LWE146" s="3170"/>
      <c r="LWF146" s="3170"/>
      <c r="LWG146" s="3170"/>
      <c r="LWH146" s="3170"/>
      <c r="LWI146" s="3170"/>
      <c r="LWJ146" s="3170"/>
      <c r="LWK146" s="3170"/>
      <c r="LWL146" s="3170"/>
      <c r="LWM146" s="3170"/>
      <c r="LWN146" s="3170"/>
      <c r="LWO146" s="3170"/>
      <c r="LWP146" s="3170"/>
      <c r="LWQ146" s="3170"/>
      <c r="LWR146" s="3170"/>
      <c r="LWS146" s="3170"/>
      <c r="LWT146" s="3170"/>
      <c r="LWU146" s="3170"/>
      <c r="LWV146" s="3170"/>
      <c r="LWW146" s="3170"/>
      <c r="LWX146" s="3170"/>
      <c r="LWY146" s="3170"/>
      <c r="LWZ146" s="3170"/>
      <c r="LXA146" s="3170"/>
      <c r="LXB146" s="3170"/>
      <c r="LXC146" s="3170"/>
      <c r="LXD146" s="3170"/>
      <c r="LXE146" s="3170"/>
      <c r="LXF146" s="3170"/>
      <c r="LXG146" s="3170"/>
      <c r="LXH146" s="3170"/>
      <c r="LXI146" s="3170"/>
      <c r="LXJ146" s="3170"/>
      <c r="LXK146" s="3170"/>
      <c r="LXL146" s="3170"/>
      <c r="LXM146" s="3170"/>
      <c r="LXN146" s="3170"/>
      <c r="LXO146" s="3170"/>
      <c r="LXP146" s="3170"/>
      <c r="LXQ146" s="3170"/>
      <c r="LXR146" s="3170"/>
      <c r="LXS146" s="3170"/>
      <c r="LXT146" s="3170"/>
      <c r="LXU146" s="3170"/>
      <c r="LXV146" s="3170"/>
      <c r="LXW146" s="3170"/>
      <c r="LXX146" s="3170"/>
      <c r="LXY146" s="3170"/>
      <c r="LXZ146" s="3170"/>
      <c r="LYA146" s="3170"/>
      <c r="LYB146" s="3170"/>
      <c r="LYC146" s="3170"/>
      <c r="LYD146" s="3170"/>
      <c r="LYE146" s="3170"/>
      <c r="LYF146" s="3170"/>
      <c r="LYG146" s="3170"/>
      <c r="LYH146" s="3170"/>
      <c r="LYI146" s="3170"/>
      <c r="LYJ146" s="3170"/>
      <c r="LYK146" s="3170"/>
      <c r="LYL146" s="3170"/>
      <c r="LYM146" s="3170"/>
      <c r="LYN146" s="3170"/>
      <c r="LYO146" s="3170"/>
      <c r="LYP146" s="3170"/>
      <c r="LYQ146" s="3170"/>
      <c r="LYR146" s="3170"/>
      <c r="LYS146" s="3170"/>
      <c r="LYT146" s="3170"/>
      <c r="LYU146" s="3170"/>
      <c r="LYV146" s="3170"/>
      <c r="LYW146" s="3170"/>
      <c r="LYX146" s="3170"/>
      <c r="LYY146" s="3170"/>
      <c r="LYZ146" s="3170"/>
      <c r="LZA146" s="3170"/>
      <c r="LZB146" s="3170"/>
      <c r="LZC146" s="3170"/>
      <c r="LZD146" s="3170"/>
      <c r="LZE146" s="3170"/>
      <c r="LZF146" s="3170"/>
      <c r="LZG146" s="3170"/>
      <c r="LZH146" s="3170"/>
      <c r="LZI146" s="3170"/>
      <c r="LZJ146" s="3170"/>
      <c r="LZK146" s="3170"/>
      <c r="LZL146" s="3170"/>
      <c r="LZM146" s="3170"/>
      <c r="LZN146" s="3170"/>
      <c r="LZO146" s="3170"/>
      <c r="LZP146" s="3170"/>
      <c r="LZQ146" s="3170"/>
      <c r="LZR146" s="3170"/>
      <c r="LZS146" s="3170"/>
      <c r="LZT146" s="3170"/>
      <c r="LZU146" s="3170"/>
      <c r="LZV146" s="3170"/>
      <c r="LZW146" s="3170"/>
      <c r="LZX146" s="3170"/>
      <c r="LZY146" s="3170"/>
      <c r="LZZ146" s="3170"/>
      <c r="MAA146" s="3170"/>
      <c r="MAB146" s="3170"/>
      <c r="MAC146" s="3170"/>
      <c r="MAD146" s="3170"/>
      <c r="MAE146" s="3170"/>
      <c r="MAF146" s="3170"/>
      <c r="MAG146" s="3170"/>
      <c r="MAH146" s="3170"/>
      <c r="MAI146" s="3170"/>
      <c r="MAJ146" s="3170"/>
      <c r="MAK146" s="3170"/>
      <c r="MAL146" s="3170"/>
      <c r="MAM146" s="3170"/>
      <c r="MAN146" s="3170"/>
      <c r="MAO146" s="3170"/>
      <c r="MAP146" s="3170"/>
      <c r="MAQ146" s="3170"/>
      <c r="MAR146" s="3170"/>
      <c r="MAS146" s="3170"/>
      <c r="MAT146" s="3170"/>
      <c r="MAU146" s="3170"/>
      <c r="MAV146" s="3170"/>
      <c r="MAW146" s="3170"/>
      <c r="MAX146" s="3170"/>
      <c r="MAY146" s="3170"/>
      <c r="MAZ146" s="3170"/>
      <c r="MBA146" s="3170"/>
      <c r="MBB146" s="3170"/>
      <c r="MBC146" s="3170"/>
      <c r="MBD146" s="3170"/>
      <c r="MBE146" s="3170"/>
      <c r="MBF146" s="3170"/>
      <c r="MBG146" s="3170"/>
      <c r="MBH146" s="3170"/>
      <c r="MBI146" s="3170"/>
      <c r="MBJ146" s="3170"/>
      <c r="MBK146" s="3170"/>
      <c r="MBL146" s="3170"/>
      <c r="MBM146" s="3170"/>
      <c r="MBN146" s="3170"/>
      <c r="MBO146" s="3170"/>
      <c r="MBP146" s="3170"/>
      <c r="MBQ146" s="3170"/>
      <c r="MBR146" s="3170"/>
      <c r="MBS146" s="3170"/>
      <c r="MBT146" s="3170"/>
      <c r="MBU146" s="3170"/>
      <c r="MBV146" s="3170"/>
      <c r="MBW146" s="3170"/>
      <c r="MBX146" s="3170"/>
      <c r="MBY146" s="3170"/>
      <c r="MBZ146" s="3170"/>
      <c r="MCA146" s="3170"/>
      <c r="MCB146" s="3170"/>
      <c r="MCC146" s="3170"/>
      <c r="MCD146" s="3170"/>
      <c r="MCE146" s="3170"/>
      <c r="MCF146" s="3170"/>
      <c r="MCG146" s="3170"/>
      <c r="MCH146" s="3170"/>
      <c r="MCI146" s="3170"/>
      <c r="MCJ146" s="3170"/>
      <c r="MCK146" s="3170"/>
      <c r="MCL146" s="3170"/>
      <c r="MCM146" s="3170"/>
      <c r="MCN146" s="3170"/>
      <c r="MCO146" s="3170"/>
      <c r="MCP146" s="3170"/>
      <c r="MCQ146" s="3170"/>
      <c r="MCR146" s="3170"/>
      <c r="MCS146" s="3170"/>
      <c r="MCT146" s="3170"/>
      <c r="MCU146" s="3170"/>
      <c r="MCV146" s="3170"/>
      <c r="MCW146" s="3170"/>
      <c r="MCX146" s="3170"/>
      <c r="MCY146" s="3170"/>
      <c r="MCZ146" s="3170"/>
      <c r="MDA146" s="3170"/>
      <c r="MDB146" s="3170"/>
      <c r="MDC146" s="3170"/>
      <c r="MDD146" s="3170"/>
      <c r="MDE146" s="3170"/>
      <c r="MDF146" s="3170"/>
      <c r="MDG146" s="3170"/>
      <c r="MDH146" s="3170"/>
      <c r="MDI146" s="3170"/>
      <c r="MDJ146" s="3170"/>
      <c r="MDK146" s="3170"/>
      <c r="MDL146" s="3170"/>
      <c r="MDM146" s="3170"/>
      <c r="MDN146" s="3170"/>
      <c r="MDO146" s="3170"/>
      <c r="MDP146" s="3170"/>
      <c r="MDQ146" s="3170"/>
      <c r="MDR146" s="3170"/>
      <c r="MDS146" s="3170"/>
      <c r="MDT146" s="3170"/>
      <c r="MDU146" s="3170"/>
      <c r="MDV146" s="3170"/>
      <c r="MDW146" s="3170"/>
      <c r="MDX146" s="3170"/>
      <c r="MDY146" s="3170"/>
      <c r="MDZ146" s="3170"/>
      <c r="MEA146" s="3170"/>
      <c r="MEB146" s="3170"/>
      <c r="MEC146" s="3170"/>
      <c r="MED146" s="3170"/>
      <c r="MEE146" s="3170"/>
      <c r="MEF146" s="3170"/>
      <c r="MEG146" s="3170"/>
      <c r="MEH146" s="3170"/>
      <c r="MEI146" s="3170"/>
      <c r="MEJ146" s="3170"/>
      <c r="MEK146" s="3170"/>
      <c r="MEL146" s="3170"/>
      <c r="MEM146" s="3170"/>
      <c r="MEN146" s="3170"/>
      <c r="MEO146" s="3170"/>
      <c r="MEP146" s="3170"/>
      <c r="MEQ146" s="3170"/>
      <c r="MER146" s="3170"/>
      <c r="MES146" s="3170"/>
      <c r="MET146" s="3170"/>
      <c r="MEU146" s="3170"/>
      <c r="MEV146" s="3170"/>
      <c r="MEW146" s="3170"/>
      <c r="MEX146" s="3170"/>
      <c r="MEY146" s="3170"/>
      <c r="MEZ146" s="3170"/>
      <c r="MFA146" s="3170"/>
      <c r="MFB146" s="3170"/>
      <c r="MFC146" s="3170"/>
      <c r="MFD146" s="3170"/>
      <c r="MFE146" s="3170"/>
      <c r="MFF146" s="3170"/>
      <c r="MFG146" s="3170"/>
      <c r="MFH146" s="3170"/>
      <c r="MFI146" s="3170"/>
      <c r="MFJ146" s="3170"/>
      <c r="MFK146" s="3170"/>
      <c r="MFL146" s="3170"/>
      <c r="MFM146" s="3170"/>
      <c r="MFN146" s="3170"/>
      <c r="MFO146" s="3170"/>
      <c r="MFP146" s="3170"/>
      <c r="MFQ146" s="3170"/>
      <c r="MFR146" s="3170"/>
      <c r="MFS146" s="3170"/>
      <c r="MFT146" s="3170"/>
      <c r="MFU146" s="3170"/>
      <c r="MFV146" s="3170"/>
      <c r="MFW146" s="3170"/>
      <c r="MFX146" s="3170"/>
      <c r="MFY146" s="3170"/>
      <c r="MFZ146" s="3170"/>
      <c r="MGA146" s="3170"/>
      <c r="MGB146" s="3170"/>
      <c r="MGC146" s="3170"/>
      <c r="MGD146" s="3170"/>
      <c r="MGE146" s="3170"/>
      <c r="MGF146" s="3170"/>
      <c r="MGG146" s="3170"/>
      <c r="MGH146" s="3170"/>
      <c r="MGI146" s="3170"/>
      <c r="MGJ146" s="3170"/>
      <c r="MGK146" s="3170"/>
      <c r="MGL146" s="3170"/>
      <c r="MGM146" s="3170"/>
      <c r="MGN146" s="3170"/>
      <c r="MGO146" s="3170"/>
      <c r="MGP146" s="3170"/>
      <c r="MGQ146" s="3170"/>
      <c r="MGR146" s="3170"/>
      <c r="MGS146" s="3170"/>
      <c r="MGT146" s="3170"/>
      <c r="MGU146" s="3170"/>
      <c r="MGV146" s="3170"/>
      <c r="MGW146" s="3170"/>
      <c r="MGX146" s="3170"/>
      <c r="MGY146" s="3170"/>
      <c r="MGZ146" s="3170"/>
      <c r="MHA146" s="3170"/>
      <c r="MHB146" s="3170"/>
      <c r="MHC146" s="3170"/>
      <c r="MHD146" s="3170"/>
      <c r="MHE146" s="3170"/>
      <c r="MHF146" s="3170"/>
      <c r="MHG146" s="3170"/>
      <c r="MHH146" s="3170"/>
      <c r="MHI146" s="3170"/>
      <c r="MHJ146" s="3170"/>
      <c r="MHK146" s="3170"/>
      <c r="MHL146" s="3170"/>
      <c r="MHM146" s="3170"/>
      <c r="MHN146" s="3170"/>
      <c r="MHO146" s="3170"/>
      <c r="MHP146" s="3170"/>
      <c r="MHQ146" s="3170"/>
      <c r="MHR146" s="3170"/>
      <c r="MHS146" s="3170"/>
      <c r="MHT146" s="3170"/>
      <c r="MHU146" s="3170"/>
      <c r="MHV146" s="3170"/>
      <c r="MHW146" s="3170"/>
      <c r="MHX146" s="3170"/>
      <c r="MHY146" s="3170"/>
      <c r="MHZ146" s="3170"/>
      <c r="MIA146" s="3170"/>
      <c r="MIB146" s="3170"/>
      <c r="MIC146" s="3170"/>
      <c r="MID146" s="3170"/>
      <c r="MIE146" s="3170"/>
      <c r="MIF146" s="3170"/>
      <c r="MIG146" s="3170"/>
      <c r="MIH146" s="3170"/>
      <c r="MII146" s="3170"/>
      <c r="MIJ146" s="3170"/>
      <c r="MIK146" s="3170"/>
      <c r="MIL146" s="3170"/>
      <c r="MIM146" s="3170"/>
      <c r="MIN146" s="3170"/>
      <c r="MIO146" s="3170"/>
      <c r="MIP146" s="3170"/>
      <c r="MIQ146" s="3170"/>
      <c r="MIR146" s="3170"/>
      <c r="MIS146" s="3170"/>
      <c r="MIT146" s="3170"/>
      <c r="MIU146" s="3170"/>
      <c r="MIV146" s="3170"/>
      <c r="MIW146" s="3170"/>
      <c r="MIX146" s="3170"/>
      <c r="MIY146" s="3170"/>
      <c r="MIZ146" s="3170"/>
      <c r="MJA146" s="3170"/>
      <c r="MJB146" s="3170"/>
      <c r="MJC146" s="3170"/>
      <c r="MJD146" s="3170"/>
      <c r="MJE146" s="3170"/>
      <c r="MJF146" s="3170"/>
      <c r="MJG146" s="3170"/>
      <c r="MJH146" s="3170"/>
      <c r="MJI146" s="3170"/>
      <c r="MJJ146" s="3170"/>
      <c r="MJK146" s="3170"/>
      <c r="MJL146" s="3170"/>
      <c r="MJM146" s="3170"/>
      <c r="MJN146" s="3170"/>
      <c r="MJO146" s="3170"/>
      <c r="MJP146" s="3170"/>
      <c r="MJQ146" s="3170"/>
      <c r="MJR146" s="3170"/>
      <c r="MJS146" s="3170"/>
      <c r="MJT146" s="3170"/>
      <c r="MJU146" s="3170"/>
      <c r="MJV146" s="3170"/>
      <c r="MJW146" s="3170"/>
      <c r="MJX146" s="3170"/>
      <c r="MJY146" s="3170"/>
      <c r="MJZ146" s="3170"/>
      <c r="MKA146" s="3170"/>
      <c r="MKB146" s="3170"/>
      <c r="MKC146" s="3170"/>
      <c r="MKD146" s="3170"/>
      <c r="MKE146" s="3170"/>
      <c r="MKF146" s="3170"/>
      <c r="MKG146" s="3170"/>
      <c r="MKH146" s="3170"/>
      <c r="MKI146" s="3170"/>
      <c r="MKJ146" s="3170"/>
      <c r="MKK146" s="3170"/>
      <c r="MKL146" s="3170"/>
      <c r="MKM146" s="3170"/>
      <c r="MKN146" s="3170"/>
      <c r="MKO146" s="3170"/>
      <c r="MKP146" s="3170"/>
      <c r="MKQ146" s="3170"/>
      <c r="MKR146" s="3170"/>
      <c r="MKS146" s="3170"/>
      <c r="MKT146" s="3170"/>
      <c r="MKU146" s="3170"/>
      <c r="MKV146" s="3170"/>
      <c r="MKW146" s="3170"/>
      <c r="MKX146" s="3170"/>
      <c r="MKY146" s="3170"/>
      <c r="MKZ146" s="3170"/>
      <c r="MLA146" s="3170"/>
      <c r="MLB146" s="3170"/>
      <c r="MLC146" s="3170"/>
      <c r="MLD146" s="3170"/>
      <c r="MLE146" s="3170"/>
      <c r="MLF146" s="3170"/>
      <c r="MLG146" s="3170"/>
      <c r="MLH146" s="3170"/>
      <c r="MLI146" s="3170"/>
      <c r="MLJ146" s="3170"/>
      <c r="MLK146" s="3170"/>
      <c r="MLL146" s="3170"/>
      <c r="MLM146" s="3170"/>
      <c r="MLN146" s="3170"/>
      <c r="MLO146" s="3170"/>
      <c r="MLP146" s="3170"/>
      <c r="MLQ146" s="3170"/>
      <c r="MLR146" s="3170"/>
      <c r="MLS146" s="3170"/>
      <c r="MLT146" s="3170"/>
      <c r="MLU146" s="3170"/>
      <c r="MLV146" s="3170"/>
      <c r="MLW146" s="3170"/>
      <c r="MLX146" s="3170"/>
      <c r="MLY146" s="3170"/>
      <c r="MLZ146" s="3170"/>
      <c r="MMA146" s="3170"/>
      <c r="MMB146" s="3170"/>
      <c r="MMC146" s="3170"/>
      <c r="MMD146" s="3170"/>
      <c r="MME146" s="3170"/>
      <c r="MMF146" s="3170"/>
      <c r="MMG146" s="3170"/>
      <c r="MMH146" s="3170"/>
      <c r="MMI146" s="3170"/>
      <c r="MMJ146" s="3170"/>
      <c r="MMK146" s="3170"/>
      <c r="MML146" s="3170"/>
      <c r="MMM146" s="3170"/>
      <c r="MMN146" s="3170"/>
      <c r="MMO146" s="3170"/>
      <c r="MMP146" s="3170"/>
      <c r="MMQ146" s="3170"/>
      <c r="MMR146" s="3170"/>
      <c r="MMS146" s="3170"/>
      <c r="MMT146" s="3170"/>
      <c r="MMU146" s="3170"/>
      <c r="MMV146" s="3170"/>
      <c r="MMW146" s="3170"/>
      <c r="MMX146" s="3170"/>
      <c r="MMY146" s="3170"/>
      <c r="MMZ146" s="3170"/>
      <c r="MNA146" s="3170"/>
      <c r="MNB146" s="3170"/>
      <c r="MNC146" s="3170"/>
      <c r="MND146" s="3170"/>
      <c r="MNE146" s="3170"/>
      <c r="MNF146" s="3170"/>
      <c r="MNG146" s="3170"/>
      <c r="MNH146" s="3170"/>
      <c r="MNI146" s="3170"/>
      <c r="MNJ146" s="3170"/>
      <c r="MNK146" s="3170"/>
      <c r="MNL146" s="3170"/>
      <c r="MNM146" s="3170"/>
      <c r="MNN146" s="3170"/>
      <c r="MNO146" s="3170"/>
      <c r="MNP146" s="3170"/>
      <c r="MNQ146" s="3170"/>
      <c r="MNR146" s="3170"/>
      <c r="MNS146" s="3170"/>
      <c r="MNT146" s="3170"/>
      <c r="MNU146" s="3170"/>
      <c r="MNV146" s="3170"/>
      <c r="MNW146" s="3170"/>
      <c r="MNX146" s="3170"/>
      <c r="MNY146" s="3170"/>
      <c r="MNZ146" s="3170"/>
      <c r="MOA146" s="3170"/>
      <c r="MOB146" s="3170"/>
      <c r="MOC146" s="3170"/>
      <c r="MOD146" s="3170"/>
      <c r="MOE146" s="3170"/>
      <c r="MOF146" s="3170"/>
      <c r="MOG146" s="3170"/>
      <c r="MOH146" s="3170"/>
      <c r="MOI146" s="3170"/>
      <c r="MOJ146" s="3170"/>
      <c r="MOK146" s="3170"/>
      <c r="MOL146" s="3170"/>
      <c r="MOM146" s="3170"/>
      <c r="MON146" s="3170"/>
      <c r="MOO146" s="3170"/>
      <c r="MOP146" s="3170"/>
      <c r="MOQ146" s="3170"/>
      <c r="MOR146" s="3170"/>
      <c r="MOS146" s="3170"/>
      <c r="MOT146" s="3170"/>
      <c r="MOU146" s="3170"/>
      <c r="MOV146" s="3170"/>
      <c r="MOW146" s="3170"/>
      <c r="MOX146" s="3170"/>
      <c r="MOY146" s="3170"/>
      <c r="MOZ146" s="3170"/>
      <c r="MPA146" s="3170"/>
      <c r="MPB146" s="3170"/>
      <c r="MPC146" s="3170"/>
      <c r="MPD146" s="3170"/>
      <c r="MPE146" s="3170"/>
      <c r="MPF146" s="3170"/>
      <c r="MPG146" s="3170"/>
      <c r="MPH146" s="3170"/>
      <c r="MPI146" s="3170"/>
      <c r="MPJ146" s="3170"/>
      <c r="MPK146" s="3170"/>
      <c r="MPL146" s="3170"/>
      <c r="MPM146" s="3170"/>
      <c r="MPN146" s="3170"/>
      <c r="MPO146" s="3170"/>
      <c r="MPP146" s="3170"/>
      <c r="MPQ146" s="3170"/>
      <c r="MPR146" s="3170"/>
      <c r="MPS146" s="3170"/>
      <c r="MPT146" s="3170"/>
      <c r="MPU146" s="3170"/>
      <c r="MPV146" s="3170"/>
      <c r="MPW146" s="3170"/>
      <c r="MPX146" s="3170"/>
      <c r="MPY146" s="3170"/>
      <c r="MPZ146" s="3170"/>
      <c r="MQA146" s="3170"/>
      <c r="MQB146" s="3170"/>
      <c r="MQC146" s="3170"/>
      <c r="MQD146" s="3170"/>
      <c r="MQE146" s="3170"/>
      <c r="MQF146" s="3170"/>
      <c r="MQG146" s="3170"/>
      <c r="MQH146" s="3170"/>
      <c r="MQI146" s="3170"/>
      <c r="MQJ146" s="3170"/>
      <c r="MQK146" s="3170"/>
      <c r="MQL146" s="3170"/>
      <c r="MQM146" s="3170"/>
      <c r="MQN146" s="3170"/>
      <c r="MQO146" s="3170"/>
      <c r="MQP146" s="3170"/>
      <c r="MQQ146" s="3170"/>
      <c r="MQR146" s="3170"/>
      <c r="MQS146" s="3170"/>
      <c r="MQT146" s="3170"/>
      <c r="MQU146" s="3170"/>
      <c r="MQV146" s="3170"/>
      <c r="MQW146" s="3170"/>
      <c r="MQX146" s="3170"/>
      <c r="MQY146" s="3170"/>
      <c r="MQZ146" s="3170"/>
      <c r="MRA146" s="3170"/>
      <c r="MRB146" s="3170"/>
      <c r="MRC146" s="3170"/>
      <c r="MRD146" s="3170"/>
      <c r="MRE146" s="3170"/>
      <c r="MRF146" s="3170"/>
      <c r="MRG146" s="3170"/>
      <c r="MRH146" s="3170"/>
      <c r="MRI146" s="3170"/>
      <c r="MRJ146" s="3170"/>
      <c r="MRK146" s="3170"/>
      <c r="MRL146" s="3170"/>
      <c r="MRM146" s="3170"/>
      <c r="MRN146" s="3170"/>
      <c r="MRO146" s="3170"/>
      <c r="MRP146" s="3170"/>
      <c r="MRQ146" s="3170"/>
      <c r="MRR146" s="3170"/>
      <c r="MRS146" s="3170"/>
      <c r="MRT146" s="3170"/>
      <c r="MRU146" s="3170"/>
      <c r="MRV146" s="3170"/>
      <c r="MRW146" s="3170"/>
      <c r="MRX146" s="3170"/>
      <c r="MRY146" s="3170"/>
      <c r="MRZ146" s="3170"/>
      <c r="MSA146" s="3170"/>
      <c r="MSB146" s="3170"/>
      <c r="MSC146" s="3170"/>
      <c r="MSD146" s="3170"/>
      <c r="MSE146" s="3170"/>
      <c r="MSF146" s="3170"/>
      <c r="MSG146" s="3170"/>
      <c r="MSH146" s="3170"/>
      <c r="MSI146" s="3170"/>
      <c r="MSJ146" s="3170"/>
      <c r="MSK146" s="3170"/>
      <c r="MSL146" s="3170"/>
      <c r="MSM146" s="3170"/>
      <c r="MSN146" s="3170"/>
      <c r="MSO146" s="3170"/>
      <c r="MSP146" s="3170"/>
      <c r="MSQ146" s="3170"/>
      <c r="MSR146" s="3170"/>
      <c r="MSS146" s="3170"/>
      <c r="MST146" s="3170"/>
      <c r="MSU146" s="3170"/>
      <c r="MSV146" s="3170"/>
      <c r="MSW146" s="3170"/>
      <c r="MSX146" s="3170"/>
      <c r="MSY146" s="3170"/>
      <c r="MSZ146" s="3170"/>
      <c r="MTA146" s="3170"/>
      <c r="MTB146" s="3170"/>
      <c r="MTC146" s="3170"/>
      <c r="MTD146" s="3170"/>
      <c r="MTE146" s="3170"/>
      <c r="MTF146" s="3170"/>
      <c r="MTG146" s="3170"/>
      <c r="MTH146" s="3170"/>
      <c r="MTI146" s="3170"/>
      <c r="MTJ146" s="3170"/>
      <c r="MTK146" s="3170"/>
      <c r="MTL146" s="3170"/>
      <c r="MTM146" s="3170"/>
      <c r="MTN146" s="3170"/>
      <c r="MTO146" s="3170"/>
      <c r="MTP146" s="3170"/>
      <c r="MTQ146" s="3170"/>
      <c r="MTR146" s="3170"/>
      <c r="MTS146" s="3170"/>
      <c r="MTT146" s="3170"/>
      <c r="MTU146" s="3170"/>
      <c r="MTV146" s="3170"/>
      <c r="MTW146" s="3170"/>
      <c r="MTX146" s="3170"/>
      <c r="MTY146" s="3170"/>
      <c r="MTZ146" s="3170"/>
      <c r="MUA146" s="3170"/>
      <c r="MUB146" s="3170"/>
      <c r="MUC146" s="3170"/>
      <c r="MUD146" s="3170"/>
      <c r="MUE146" s="3170"/>
      <c r="MUF146" s="3170"/>
      <c r="MUG146" s="3170"/>
      <c r="MUH146" s="3170"/>
      <c r="MUI146" s="3170"/>
      <c r="MUJ146" s="3170"/>
      <c r="MUK146" s="3170"/>
      <c r="MUL146" s="3170"/>
      <c r="MUM146" s="3170"/>
      <c r="MUN146" s="3170"/>
      <c r="MUO146" s="3170"/>
      <c r="MUP146" s="3170"/>
      <c r="MUQ146" s="3170"/>
      <c r="MUR146" s="3170"/>
      <c r="MUS146" s="3170"/>
      <c r="MUT146" s="3170"/>
      <c r="MUU146" s="3170"/>
      <c r="MUV146" s="3170"/>
      <c r="MUW146" s="3170"/>
      <c r="MUX146" s="3170"/>
      <c r="MUY146" s="3170"/>
      <c r="MUZ146" s="3170"/>
      <c r="MVA146" s="3170"/>
      <c r="MVB146" s="3170"/>
      <c r="MVC146" s="3170"/>
      <c r="MVD146" s="3170"/>
      <c r="MVE146" s="3170"/>
      <c r="MVF146" s="3170"/>
      <c r="MVG146" s="3170"/>
      <c r="MVH146" s="3170"/>
      <c r="MVI146" s="3170"/>
      <c r="MVJ146" s="3170"/>
      <c r="MVK146" s="3170"/>
      <c r="MVL146" s="3170"/>
      <c r="MVM146" s="3170"/>
      <c r="MVN146" s="3170"/>
      <c r="MVO146" s="3170"/>
      <c r="MVP146" s="3170"/>
      <c r="MVQ146" s="3170"/>
      <c r="MVR146" s="3170"/>
      <c r="MVS146" s="3170"/>
      <c r="MVT146" s="3170"/>
      <c r="MVU146" s="3170"/>
      <c r="MVV146" s="3170"/>
      <c r="MVW146" s="3170"/>
      <c r="MVX146" s="3170"/>
      <c r="MVY146" s="3170"/>
      <c r="MVZ146" s="3170"/>
      <c r="MWA146" s="3170"/>
      <c r="MWB146" s="3170"/>
      <c r="MWC146" s="3170"/>
      <c r="MWD146" s="3170"/>
      <c r="MWE146" s="3170"/>
      <c r="MWF146" s="3170"/>
      <c r="MWG146" s="3170"/>
      <c r="MWH146" s="3170"/>
      <c r="MWI146" s="3170"/>
      <c r="MWJ146" s="3170"/>
      <c r="MWK146" s="3170"/>
      <c r="MWL146" s="3170"/>
      <c r="MWM146" s="3170"/>
      <c r="MWN146" s="3170"/>
      <c r="MWO146" s="3170"/>
      <c r="MWP146" s="3170"/>
      <c r="MWQ146" s="3170"/>
      <c r="MWR146" s="3170"/>
      <c r="MWS146" s="3170"/>
      <c r="MWT146" s="3170"/>
      <c r="MWU146" s="3170"/>
      <c r="MWV146" s="3170"/>
      <c r="MWW146" s="3170"/>
      <c r="MWX146" s="3170"/>
      <c r="MWY146" s="3170"/>
      <c r="MWZ146" s="3170"/>
      <c r="MXA146" s="3170"/>
      <c r="MXB146" s="3170"/>
      <c r="MXC146" s="3170"/>
      <c r="MXD146" s="3170"/>
      <c r="MXE146" s="3170"/>
      <c r="MXF146" s="3170"/>
      <c r="MXG146" s="3170"/>
      <c r="MXH146" s="3170"/>
      <c r="MXI146" s="3170"/>
      <c r="MXJ146" s="3170"/>
      <c r="MXK146" s="3170"/>
      <c r="MXL146" s="3170"/>
      <c r="MXM146" s="3170"/>
      <c r="MXN146" s="3170"/>
      <c r="MXO146" s="3170"/>
      <c r="MXP146" s="3170"/>
      <c r="MXQ146" s="3170"/>
      <c r="MXR146" s="3170"/>
      <c r="MXS146" s="3170"/>
      <c r="MXT146" s="3170"/>
      <c r="MXU146" s="3170"/>
      <c r="MXV146" s="3170"/>
      <c r="MXW146" s="3170"/>
      <c r="MXX146" s="3170"/>
      <c r="MXY146" s="3170"/>
      <c r="MXZ146" s="3170"/>
      <c r="MYA146" s="3170"/>
      <c r="MYB146" s="3170"/>
      <c r="MYC146" s="3170"/>
      <c r="MYD146" s="3170"/>
      <c r="MYE146" s="3170"/>
      <c r="MYF146" s="3170"/>
      <c r="MYG146" s="3170"/>
      <c r="MYH146" s="3170"/>
      <c r="MYI146" s="3170"/>
      <c r="MYJ146" s="3170"/>
      <c r="MYK146" s="3170"/>
      <c r="MYL146" s="3170"/>
      <c r="MYM146" s="3170"/>
      <c r="MYN146" s="3170"/>
      <c r="MYO146" s="3170"/>
      <c r="MYP146" s="3170"/>
      <c r="MYQ146" s="3170"/>
      <c r="MYR146" s="3170"/>
      <c r="MYS146" s="3170"/>
      <c r="MYT146" s="3170"/>
      <c r="MYU146" s="3170"/>
      <c r="MYV146" s="3170"/>
      <c r="MYW146" s="3170"/>
      <c r="MYX146" s="3170"/>
      <c r="MYY146" s="3170"/>
      <c r="MYZ146" s="3170"/>
      <c r="MZA146" s="3170"/>
      <c r="MZB146" s="3170"/>
      <c r="MZC146" s="3170"/>
      <c r="MZD146" s="3170"/>
      <c r="MZE146" s="3170"/>
      <c r="MZF146" s="3170"/>
      <c r="MZG146" s="3170"/>
      <c r="MZH146" s="3170"/>
      <c r="MZI146" s="3170"/>
      <c r="MZJ146" s="3170"/>
      <c r="MZK146" s="3170"/>
      <c r="MZL146" s="3170"/>
      <c r="MZM146" s="3170"/>
      <c r="MZN146" s="3170"/>
      <c r="MZO146" s="3170"/>
      <c r="MZP146" s="3170"/>
      <c r="MZQ146" s="3170"/>
      <c r="MZR146" s="3170"/>
      <c r="MZS146" s="3170"/>
      <c r="MZT146" s="3170"/>
      <c r="MZU146" s="3170"/>
      <c r="MZV146" s="3170"/>
      <c r="MZW146" s="3170"/>
      <c r="MZX146" s="3170"/>
      <c r="MZY146" s="3170"/>
      <c r="MZZ146" s="3170"/>
      <c r="NAA146" s="3170"/>
      <c r="NAB146" s="3170"/>
      <c r="NAC146" s="3170"/>
      <c r="NAD146" s="3170"/>
      <c r="NAE146" s="3170"/>
      <c r="NAF146" s="3170"/>
      <c r="NAG146" s="3170"/>
      <c r="NAH146" s="3170"/>
      <c r="NAI146" s="3170"/>
      <c r="NAJ146" s="3170"/>
      <c r="NAK146" s="3170"/>
      <c r="NAL146" s="3170"/>
      <c r="NAM146" s="3170"/>
      <c r="NAN146" s="3170"/>
      <c r="NAO146" s="3170"/>
      <c r="NAP146" s="3170"/>
      <c r="NAQ146" s="3170"/>
      <c r="NAR146" s="3170"/>
      <c r="NAS146" s="3170"/>
      <c r="NAT146" s="3170"/>
      <c r="NAU146" s="3170"/>
      <c r="NAV146" s="3170"/>
      <c r="NAW146" s="3170"/>
      <c r="NAX146" s="3170"/>
      <c r="NAY146" s="3170"/>
      <c r="NAZ146" s="3170"/>
      <c r="NBA146" s="3170"/>
      <c r="NBB146" s="3170"/>
      <c r="NBC146" s="3170"/>
      <c r="NBD146" s="3170"/>
      <c r="NBE146" s="3170"/>
      <c r="NBF146" s="3170"/>
      <c r="NBG146" s="3170"/>
      <c r="NBH146" s="3170"/>
      <c r="NBI146" s="3170"/>
      <c r="NBJ146" s="3170"/>
      <c r="NBK146" s="3170"/>
      <c r="NBL146" s="3170"/>
      <c r="NBM146" s="3170"/>
      <c r="NBN146" s="3170"/>
      <c r="NBO146" s="3170"/>
      <c r="NBP146" s="3170"/>
      <c r="NBQ146" s="3170"/>
      <c r="NBR146" s="3170"/>
      <c r="NBS146" s="3170"/>
      <c r="NBT146" s="3170"/>
      <c r="NBU146" s="3170"/>
      <c r="NBV146" s="3170"/>
      <c r="NBW146" s="3170"/>
      <c r="NBX146" s="3170"/>
      <c r="NBY146" s="3170"/>
      <c r="NBZ146" s="3170"/>
      <c r="NCA146" s="3170"/>
      <c r="NCB146" s="3170"/>
      <c r="NCC146" s="3170"/>
      <c r="NCD146" s="3170"/>
      <c r="NCE146" s="3170"/>
      <c r="NCF146" s="3170"/>
      <c r="NCG146" s="3170"/>
      <c r="NCH146" s="3170"/>
      <c r="NCI146" s="3170"/>
      <c r="NCJ146" s="3170"/>
      <c r="NCK146" s="3170"/>
      <c r="NCL146" s="3170"/>
      <c r="NCM146" s="3170"/>
      <c r="NCN146" s="3170"/>
      <c r="NCO146" s="3170"/>
      <c r="NCP146" s="3170"/>
      <c r="NCQ146" s="3170"/>
      <c r="NCR146" s="3170"/>
      <c r="NCS146" s="3170"/>
      <c r="NCT146" s="3170"/>
      <c r="NCU146" s="3170"/>
      <c r="NCV146" s="3170"/>
      <c r="NCW146" s="3170"/>
      <c r="NCX146" s="3170"/>
      <c r="NCY146" s="3170"/>
      <c r="NCZ146" s="3170"/>
      <c r="NDA146" s="3170"/>
      <c r="NDB146" s="3170"/>
      <c r="NDC146" s="3170"/>
      <c r="NDD146" s="3170"/>
      <c r="NDE146" s="3170"/>
      <c r="NDF146" s="3170"/>
      <c r="NDG146" s="3170"/>
      <c r="NDH146" s="3170"/>
      <c r="NDI146" s="3170"/>
      <c r="NDJ146" s="3170"/>
      <c r="NDK146" s="3170"/>
      <c r="NDL146" s="3170"/>
      <c r="NDM146" s="3170"/>
      <c r="NDN146" s="3170"/>
      <c r="NDO146" s="3170"/>
      <c r="NDP146" s="3170"/>
      <c r="NDQ146" s="3170"/>
      <c r="NDR146" s="3170"/>
      <c r="NDS146" s="3170"/>
      <c r="NDT146" s="3170"/>
      <c r="NDU146" s="3170"/>
      <c r="NDV146" s="3170"/>
      <c r="NDW146" s="3170"/>
      <c r="NDX146" s="3170"/>
      <c r="NDY146" s="3170"/>
      <c r="NDZ146" s="3170"/>
      <c r="NEA146" s="3170"/>
      <c r="NEB146" s="3170"/>
      <c r="NEC146" s="3170"/>
      <c r="NED146" s="3170"/>
      <c r="NEE146" s="3170"/>
      <c r="NEF146" s="3170"/>
      <c r="NEG146" s="3170"/>
      <c r="NEH146" s="3170"/>
      <c r="NEI146" s="3170"/>
      <c r="NEJ146" s="3170"/>
      <c r="NEK146" s="3170"/>
      <c r="NEL146" s="3170"/>
      <c r="NEM146" s="3170"/>
      <c r="NEN146" s="3170"/>
      <c r="NEO146" s="3170"/>
      <c r="NEP146" s="3170"/>
      <c r="NEQ146" s="3170"/>
      <c r="NER146" s="3170"/>
      <c r="NES146" s="3170"/>
      <c r="NET146" s="3170"/>
      <c r="NEU146" s="3170"/>
      <c r="NEV146" s="3170"/>
      <c r="NEW146" s="3170"/>
      <c r="NEX146" s="3170"/>
      <c r="NEY146" s="3170"/>
      <c r="NEZ146" s="3170"/>
      <c r="NFA146" s="3170"/>
      <c r="NFB146" s="3170"/>
      <c r="NFC146" s="3170"/>
      <c r="NFD146" s="3170"/>
      <c r="NFE146" s="3170"/>
      <c r="NFF146" s="3170"/>
      <c r="NFG146" s="3170"/>
      <c r="NFH146" s="3170"/>
      <c r="NFI146" s="3170"/>
      <c r="NFJ146" s="3170"/>
      <c r="NFK146" s="3170"/>
      <c r="NFL146" s="3170"/>
      <c r="NFM146" s="3170"/>
      <c r="NFN146" s="3170"/>
      <c r="NFO146" s="3170"/>
      <c r="NFP146" s="3170"/>
      <c r="NFQ146" s="3170"/>
      <c r="NFR146" s="3170"/>
      <c r="NFS146" s="3170"/>
      <c r="NFT146" s="3170"/>
      <c r="NFU146" s="3170"/>
      <c r="NFV146" s="3170"/>
      <c r="NFW146" s="3170"/>
      <c r="NFX146" s="3170"/>
      <c r="NFY146" s="3170"/>
      <c r="NFZ146" s="3170"/>
      <c r="NGA146" s="3170"/>
      <c r="NGB146" s="3170"/>
      <c r="NGC146" s="3170"/>
      <c r="NGD146" s="3170"/>
      <c r="NGE146" s="3170"/>
      <c r="NGF146" s="3170"/>
      <c r="NGG146" s="3170"/>
      <c r="NGH146" s="3170"/>
      <c r="NGI146" s="3170"/>
      <c r="NGJ146" s="3170"/>
      <c r="NGK146" s="3170"/>
      <c r="NGL146" s="3170"/>
      <c r="NGM146" s="3170"/>
      <c r="NGN146" s="3170"/>
      <c r="NGO146" s="3170"/>
      <c r="NGP146" s="3170"/>
      <c r="NGQ146" s="3170"/>
      <c r="NGR146" s="3170"/>
      <c r="NGS146" s="3170"/>
      <c r="NGT146" s="3170"/>
      <c r="NGU146" s="3170"/>
      <c r="NGV146" s="3170"/>
      <c r="NGW146" s="3170"/>
      <c r="NGX146" s="3170"/>
      <c r="NGY146" s="3170"/>
      <c r="NGZ146" s="3170"/>
      <c r="NHA146" s="3170"/>
      <c r="NHB146" s="3170"/>
      <c r="NHC146" s="3170"/>
      <c r="NHD146" s="3170"/>
      <c r="NHE146" s="3170"/>
      <c r="NHF146" s="3170"/>
      <c r="NHG146" s="3170"/>
      <c r="NHH146" s="3170"/>
      <c r="NHI146" s="3170"/>
      <c r="NHJ146" s="3170"/>
      <c r="NHK146" s="3170"/>
      <c r="NHL146" s="3170"/>
      <c r="NHM146" s="3170"/>
      <c r="NHN146" s="3170"/>
      <c r="NHO146" s="3170"/>
      <c r="NHP146" s="3170"/>
      <c r="NHQ146" s="3170"/>
      <c r="NHR146" s="3170"/>
      <c r="NHS146" s="3170"/>
      <c r="NHT146" s="3170"/>
      <c r="NHU146" s="3170"/>
      <c r="NHV146" s="3170"/>
      <c r="NHW146" s="3170"/>
      <c r="NHX146" s="3170"/>
      <c r="NHY146" s="3170"/>
      <c r="NHZ146" s="3170"/>
      <c r="NIA146" s="3170"/>
      <c r="NIB146" s="3170"/>
      <c r="NIC146" s="3170"/>
      <c r="NID146" s="3170"/>
      <c r="NIE146" s="3170"/>
      <c r="NIF146" s="3170"/>
      <c r="NIG146" s="3170"/>
      <c r="NIH146" s="3170"/>
      <c r="NII146" s="3170"/>
      <c r="NIJ146" s="3170"/>
      <c r="NIK146" s="3170"/>
      <c r="NIL146" s="3170"/>
      <c r="NIM146" s="3170"/>
      <c r="NIN146" s="3170"/>
      <c r="NIO146" s="3170"/>
      <c r="NIP146" s="3170"/>
      <c r="NIQ146" s="3170"/>
      <c r="NIR146" s="3170"/>
      <c r="NIS146" s="3170"/>
      <c r="NIT146" s="3170"/>
      <c r="NIU146" s="3170"/>
      <c r="NIV146" s="3170"/>
      <c r="NIW146" s="3170"/>
      <c r="NIX146" s="3170"/>
      <c r="NIY146" s="3170"/>
      <c r="NIZ146" s="3170"/>
      <c r="NJA146" s="3170"/>
      <c r="NJB146" s="3170"/>
      <c r="NJC146" s="3170"/>
      <c r="NJD146" s="3170"/>
      <c r="NJE146" s="3170"/>
      <c r="NJF146" s="3170"/>
      <c r="NJG146" s="3170"/>
      <c r="NJH146" s="3170"/>
      <c r="NJI146" s="3170"/>
      <c r="NJJ146" s="3170"/>
      <c r="NJK146" s="3170"/>
      <c r="NJL146" s="3170"/>
      <c r="NJM146" s="3170"/>
      <c r="NJN146" s="3170"/>
      <c r="NJO146" s="3170"/>
      <c r="NJP146" s="3170"/>
      <c r="NJQ146" s="3170"/>
      <c r="NJR146" s="3170"/>
      <c r="NJS146" s="3170"/>
      <c r="NJT146" s="3170"/>
      <c r="NJU146" s="3170"/>
      <c r="NJV146" s="3170"/>
      <c r="NJW146" s="3170"/>
      <c r="NJX146" s="3170"/>
      <c r="NJY146" s="3170"/>
      <c r="NJZ146" s="3170"/>
      <c r="NKA146" s="3170"/>
      <c r="NKB146" s="3170"/>
      <c r="NKC146" s="3170"/>
      <c r="NKD146" s="3170"/>
      <c r="NKE146" s="3170"/>
      <c r="NKF146" s="3170"/>
      <c r="NKG146" s="3170"/>
      <c r="NKH146" s="3170"/>
      <c r="NKI146" s="3170"/>
      <c r="NKJ146" s="3170"/>
      <c r="NKK146" s="3170"/>
      <c r="NKL146" s="3170"/>
      <c r="NKM146" s="3170"/>
      <c r="NKN146" s="3170"/>
      <c r="NKO146" s="3170"/>
      <c r="NKP146" s="3170"/>
      <c r="NKQ146" s="3170"/>
      <c r="NKR146" s="3170"/>
      <c r="NKS146" s="3170"/>
      <c r="NKT146" s="3170"/>
      <c r="NKU146" s="3170"/>
      <c r="NKV146" s="3170"/>
      <c r="NKW146" s="3170"/>
      <c r="NKX146" s="3170"/>
      <c r="NKY146" s="3170"/>
      <c r="NKZ146" s="3170"/>
      <c r="NLA146" s="3170"/>
      <c r="NLB146" s="3170"/>
      <c r="NLC146" s="3170"/>
      <c r="NLD146" s="3170"/>
      <c r="NLE146" s="3170"/>
      <c r="NLF146" s="3170"/>
      <c r="NLG146" s="3170"/>
      <c r="NLH146" s="3170"/>
      <c r="NLI146" s="3170"/>
      <c r="NLJ146" s="3170"/>
      <c r="NLK146" s="3170"/>
      <c r="NLL146" s="3170"/>
      <c r="NLM146" s="3170"/>
      <c r="NLN146" s="3170"/>
      <c r="NLO146" s="3170"/>
      <c r="NLP146" s="3170"/>
      <c r="NLQ146" s="3170"/>
      <c r="NLR146" s="3170"/>
      <c r="NLS146" s="3170"/>
      <c r="NLT146" s="3170"/>
      <c r="NLU146" s="3170"/>
      <c r="NLV146" s="3170"/>
      <c r="NLW146" s="3170"/>
      <c r="NLX146" s="3170"/>
      <c r="NLY146" s="3170"/>
      <c r="NLZ146" s="3170"/>
      <c r="NMA146" s="3170"/>
      <c r="NMB146" s="3170"/>
      <c r="NMC146" s="3170"/>
      <c r="NMD146" s="3170"/>
      <c r="NME146" s="3170"/>
      <c r="NMF146" s="3170"/>
      <c r="NMG146" s="3170"/>
      <c r="NMH146" s="3170"/>
      <c r="NMI146" s="3170"/>
      <c r="NMJ146" s="3170"/>
      <c r="NMK146" s="3170"/>
      <c r="NML146" s="3170"/>
      <c r="NMM146" s="3170"/>
      <c r="NMN146" s="3170"/>
      <c r="NMO146" s="3170"/>
      <c r="NMP146" s="3170"/>
      <c r="NMQ146" s="3170"/>
      <c r="NMR146" s="3170"/>
      <c r="NMS146" s="3170"/>
      <c r="NMT146" s="3170"/>
      <c r="NMU146" s="3170"/>
      <c r="NMV146" s="3170"/>
      <c r="NMW146" s="3170"/>
      <c r="NMX146" s="3170"/>
      <c r="NMY146" s="3170"/>
      <c r="NMZ146" s="3170"/>
      <c r="NNA146" s="3170"/>
      <c r="NNB146" s="3170"/>
      <c r="NNC146" s="3170"/>
      <c r="NND146" s="3170"/>
      <c r="NNE146" s="3170"/>
      <c r="NNF146" s="3170"/>
      <c r="NNG146" s="3170"/>
      <c r="NNH146" s="3170"/>
      <c r="NNI146" s="3170"/>
      <c r="NNJ146" s="3170"/>
      <c r="NNK146" s="3170"/>
      <c r="NNL146" s="3170"/>
      <c r="NNM146" s="3170"/>
      <c r="NNN146" s="3170"/>
      <c r="NNO146" s="3170"/>
      <c r="NNP146" s="3170"/>
      <c r="NNQ146" s="3170"/>
      <c r="NNR146" s="3170"/>
      <c r="NNS146" s="3170"/>
      <c r="NNT146" s="3170"/>
      <c r="NNU146" s="3170"/>
      <c r="NNV146" s="3170"/>
      <c r="NNW146" s="3170"/>
      <c r="NNX146" s="3170"/>
      <c r="NNY146" s="3170"/>
      <c r="NNZ146" s="3170"/>
      <c r="NOA146" s="3170"/>
      <c r="NOB146" s="3170"/>
      <c r="NOC146" s="3170"/>
      <c r="NOD146" s="3170"/>
      <c r="NOE146" s="3170"/>
      <c r="NOF146" s="3170"/>
      <c r="NOG146" s="3170"/>
      <c r="NOH146" s="3170"/>
      <c r="NOI146" s="3170"/>
      <c r="NOJ146" s="3170"/>
      <c r="NOK146" s="3170"/>
      <c r="NOL146" s="3170"/>
      <c r="NOM146" s="3170"/>
      <c r="NON146" s="3170"/>
      <c r="NOO146" s="3170"/>
      <c r="NOP146" s="3170"/>
      <c r="NOQ146" s="3170"/>
      <c r="NOR146" s="3170"/>
      <c r="NOS146" s="3170"/>
      <c r="NOT146" s="3170"/>
      <c r="NOU146" s="3170"/>
      <c r="NOV146" s="3170"/>
      <c r="NOW146" s="3170"/>
      <c r="NOX146" s="3170"/>
      <c r="NOY146" s="3170"/>
      <c r="NOZ146" s="3170"/>
      <c r="NPA146" s="3170"/>
      <c r="NPB146" s="3170"/>
      <c r="NPC146" s="3170"/>
      <c r="NPD146" s="3170"/>
      <c r="NPE146" s="3170"/>
      <c r="NPF146" s="3170"/>
      <c r="NPG146" s="3170"/>
      <c r="NPH146" s="3170"/>
      <c r="NPI146" s="3170"/>
      <c r="NPJ146" s="3170"/>
      <c r="NPK146" s="3170"/>
      <c r="NPL146" s="3170"/>
      <c r="NPM146" s="3170"/>
      <c r="NPN146" s="3170"/>
      <c r="NPO146" s="3170"/>
      <c r="NPP146" s="3170"/>
      <c r="NPQ146" s="3170"/>
      <c r="NPR146" s="3170"/>
      <c r="NPS146" s="3170"/>
      <c r="NPT146" s="3170"/>
      <c r="NPU146" s="3170"/>
      <c r="NPV146" s="3170"/>
      <c r="NPW146" s="3170"/>
      <c r="NPX146" s="3170"/>
      <c r="NPY146" s="3170"/>
      <c r="NPZ146" s="3170"/>
      <c r="NQA146" s="3170"/>
      <c r="NQB146" s="3170"/>
      <c r="NQC146" s="3170"/>
      <c r="NQD146" s="3170"/>
      <c r="NQE146" s="3170"/>
      <c r="NQF146" s="3170"/>
      <c r="NQG146" s="3170"/>
      <c r="NQH146" s="3170"/>
      <c r="NQI146" s="3170"/>
      <c r="NQJ146" s="3170"/>
      <c r="NQK146" s="3170"/>
      <c r="NQL146" s="3170"/>
      <c r="NQM146" s="3170"/>
      <c r="NQN146" s="3170"/>
      <c r="NQO146" s="3170"/>
      <c r="NQP146" s="3170"/>
      <c r="NQQ146" s="3170"/>
      <c r="NQR146" s="3170"/>
      <c r="NQS146" s="3170"/>
      <c r="NQT146" s="3170"/>
      <c r="NQU146" s="3170"/>
      <c r="NQV146" s="3170"/>
      <c r="NQW146" s="3170"/>
      <c r="NQX146" s="3170"/>
      <c r="NQY146" s="3170"/>
      <c r="NQZ146" s="3170"/>
      <c r="NRA146" s="3170"/>
      <c r="NRB146" s="3170"/>
      <c r="NRC146" s="3170"/>
      <c r="NRD146" s="3170"/>
      <c r="NRE146" s="3170"/>
      <c r="NRF146" s="3170"/>
      <c r="NRG146" s="3170"/>
      <c r="NRH146" s="3170"/>
      <c r="NRI146" s="3170"/>
      <c r="NRJ146" s="3170"/>
      <c r="NRK146" s="3170"/>
      <c r="NRL146" s="3170"/>
      <c r="NRM146" s="3170"/>
      <c r="NRN146" s="3170"/>
      <c r="NRO146" s="3170"/>
      <c r="NRP146" s="3170"/>
      <c r="NRQ146" s="3170"/>
      <c r="NRR146" s="3170"/>
      <c r="NRS146" s="3170"/>
      <c r="NRT146" s="3170"/>
      <c r="NRU146" s="3170"/>
      <c r="NRV146" s="3170"/>
      <c r="NRW146" s="3170"/>
      <c r="NRX146" s="3170"/>
      <c r="NRY146" s="3170"/>
      <c r="NRZ146" s="3170"/>
      <c r="NSA146" s="3170"/>
      <c r="NSB146" s="3170"/>
      <c r="NSC146" s="3170"/>
      <c r="NSD146" s="3170"/>
      <c r="NSE146" s="3170"/>
      <c r="NSF146" s="3170"/>
      <c r="NSG146" s="3170"/>
      <c r="NSH146" s="3170"/>
      <c r="NSI146" s="3170"/>
      <c r="NSJ146" s="3170"/>
      <c r="NSK146" s="3170"/>
      <c r="NSL146" s="3170"/>
      <c r="NSM146" s="3170"/>
      <c r="NSN146" s="3170"/>
      <c r="NSO146" s="3170"/>
      <c r="NSP146" s="3170"/>
      <c r="NSQ146" s="3170"/>
      <c r="NSR146" s="3170"/>
      <c r="NSS146" s="3170"/>
      <c r="NST146" s="3170"/>
      <c r="NSU146" s="3170"/>
      <c r="NSV146" s="3170"/>
      <c r="NSW146" s="3170"/>
      <c r="NSX146" s="3170"/>
      <c r="NSY146" s="3170"/>
      <c r="NSZ146" s="3170"/>
      <c r="NTA146" s="3170"/>
      <c r="NTB146" s="3170"/>
      <c r="NTC146" s="3170"/>
      <c r="NTD146" s="3170"/>
      <c r="NTE146" s="3170"/>
      <c r="NTF146" s="3170"/>
      <c r="NTG146" s="3170"/>
      <c r="NTH146" s="3170"/>
      <c r="NTI146" s="3170"/>
      <c r="NTJ146" s="3170"/>
      <c r="NTK146" s="3170"/>
      <c r="NTL146" s="3170"/>
      <c r="NTM146" s="3170"/>
      <c r="NTN146" s="3170"/>
      <c r="NTO146" s="3170"/>
      <c r="NTP146" s="3170"/>
      <c r="NTQ146" s="3170"/>
      <c r="NTR146" s="3170"/>
      <c r="NTS146" s="3170"/>
      <c r="NTT146" s="3170"/>
      <c r="NTU146" s="3170"/>
      <c r="NTV146" s="3170"/>
      <c r="NTW146" s="3170"/>
      <c r="NTX146" s="3170"/>
      <c r="NTY146" s="3170"/>
      <c r="NTZ146" s="3170"/>
      <c r="NUA146" s="3170"/>
      <c r="NUB146" s="3170"/>
      <c r="NUC146" s="3170"/>
      <c r="NUD146" s="3170"/>
      <c r="NUE146" s="3170"/>
      <c r="NUF146" s="3170"/>
      <c r="NUG146" s="3170"/>
      <c r="NUH146" s="3170"/>
      <c r="NUI146" s="3170"/>
      <c r="NUJ146" s="3170"/>
      <c r="NUK146" s="3170"/>
      <c r="NUL146" s="3170"/>
      <c r="NUM146" s="3170"/>
      <c r="NUN146" s="3170"/>
      <c r="NUO146" s="3170"/>
      <c r="NUP146" s="3170"/>
      <c r="NUQ146" s="3170"/>
      <c r="NUR146" s="3170"/>
      <c r="NUS146" s="3170"/>
      <c r="NUT146" s="3170"/>
      <c r="NUU146" s="3170"/>
      <c r="NUV146" s="3170"/>
      <c r="NUW146" s="3170"/>
      <c r="NUX146" s="3170"/>
      <c r="NUY146" s="3170"/>
      <c r="NUZ146" s="3170"/>
      <c r="NVA146" s="3170"/>
      <c r="NVB146" s="3170"/>
      <c r="NVC146" s="3170"/>
      <c r="NVD146" s="3170"/>
      <c r="NVE146" s="3170"/>
      <c r="NVF146" s="3170"/>
      <c r="NVG146" s="3170"/>
      <c r="NVH146" s="3170"/>
      <c r="NVI146" s="3170"/>
      <c r="NVJ146" s="3170"/>
      <c r="NVK146" s="3170"/>
      <c r="NVL146" s="3170"/>
      <c r="NVM146" s="3170"/>
      <c r="NVN146" s="3170"/>
      <c r="NVO146" s="3170"/>
      <c r="NVP146" s="3170"/>
      <c r="NVQ146" s="3170"/>
      <c r="NVR146" s="3170"/>
      <c r="NVS146" s="3170"/>
      <c r="NVT146" s="3170"/>
      <c r="NVU146" s="3170"/>
      <c r="NVV146" s="3170"/>
      <c r="NVW146" s="3170"/>
      <c r="NVX146" s="3170"/>
      <c r="NVY146" s="3170"/>
      <c r="NVZ146" s="3170"/>
      <c r="NWA146" s="3170"/>
      <c r="NWB146" s="3170"/>
      <c r="NWC146" s="3170"/>
      <c r="NWD146" s="3170"/>
      <c r="NWE146" s="3170"/>
      <c r="NWF146" s="3170"/>
      <c r="NWG146" s="3170"/>
      <c r="NWH146" s="3170"/>
      <c r="NWI146" s="3170"/>
      <c r="NWJ146" s="3170"/>
      <c r="NWK146" s="3170"/>
      <c r="NWL146" s="3170"/>
      <c r="NWM146" s="3170"/>
      <c r="NWN146" s="3170"/>
      <c r="NWO146" s="3170"/>
      <c r="NWP146" s="3170"/>
      <c r="NWQ146" s="3170"/>
      <c r="NWR146" s="3170"/>
      <c r="NWS146" s="3170"/>
      <c r="NWT146" s="3170"/>
      <c r="NWU146" s="3170"/>
      <c r="NWV146" s="3170"/>
      <c r="NWW146" s="3170"/>
      <c r="NWX146" s="3170"/>
      <c r="NWY146" s="3170"/>
      <c r="NWZ146" s="3170"/>
      <c r="NXA146" s="3170"/>
      <c r="NXB146" s="3170"/>
      <c r="NXC146" s="3170"/>
      <c r="NXD146" s="3170"/>
      <c r="NXE146" s="3170"/>
      <c r="NXF146" s="3170"/>
      <c r="NXG146" s="3170"/>
      <c r="NXH146" s="3170"/>
      <c r="NXI146" s="3170"/>
      <c r="NXJ146" s="3170"/>
      <c r="NXK146" s="3170"/>
      <c r="NXL146" s="3170"/>
      <c r="NXM146" s="3170"/>
      <c r="NXN146" s="3170"/>
      <c r="NXO146" s="3170"/>
      <c r="NXP146" s="3170"/>
      <c r="NXQ146" s="3170"/>
      <c r="NXR146" s="3170"/>
      <c r="NXS146" s="3170"/>
      <c r="NXT146" s="3170"/>
      <c r="NXU146" s="3170"/>
      <c r="NXV146" s="3170"/>
      <c r="NXW146" s="3170"/>
      <c r="NXX146" s="3170"/>
      <c r="NXY146" s="3170"/>
      <c r="NXZ146" s="3170"/>
      <c r="NYA146" s="3170"/>
      <c r="NYB146" s="3170"/>
      <c r="NYC146" s="3170"/>
      <c r="NYD146" s="3170"/>
      <c r="NYE146" s="3170"/>
      <c r="NYF146" s="3170"/>
      <c r="NYG146" s="3170"/>
      <c r="NYH146" s="3170"/>
      <c r="NYI146" s="3170"/>
      <c r="NYJ146" s="3170"/>
      <c r="NYK146" s="3170"/>
      <c r="NYL146" s="3170"/>
      <c r="NYM146" s="3170"/>
      <c r="NYN146" s="3170"/>
      <c r="NYO146" s="3170"/>
      <c r="NYP146" s="3170"/>
      <c r="NYQ146" s="3170"/>
      <c r="NYR146" s="3170"/>
      <c r="NYS146" s="3170"/>
      <c r="NYT146" s="3170"/>
      <c r="NYU146" s="3170"/>
      <c r="NYV146" s="3170"/>
      <c r="NYW146" s="3170"/>
      <c r="NYX146" s="3170"/>
      <c r="NYY146" s="3170"/>
      <c r="NYZ146" s="3170"/>
      <c r="NZA146" s="3170"/>
      <c r="NZB146" s="3170"/>
      <c r="NZC146" s="3170"/>
      <c r="NZD146" s="3170"/>
      <c r="NZE146" s="3170"/>
      <c r="NZF146" s="3170"/>
      <c r="NZG146" s="3170"/>
      <c r="NZH146" s="3170"/>
      <c r="NZI146" s="3170"/>
      <c r="NZJ146" s="3170"/>
      <c r="NZK146" s="3170"/>
      <c r="NZL146" s="3170"/>
      <c r="NZM146" s="3170"/>
      <c r="NZN146" s="3170"/>
      <c r="NZO146" s="3170"/>
      <c r="NZP146" s="3170"/>
      <c r="NZQ146" s="3170"/>
      <c r="NZR146" s="3170"/>
      <c r="NZS146" s="3170"/>
      <c r="NZT146" s="3170"/>
      <c r="NZU146" s="3170"/>
      <c r="NZV146" s="3170"/>
      <c r="NZW146" s="3170"/>
      <c r="NZX146" s="3170"/>
      <c r="NZY146" s="3170"/>
      <c r="NZZ146" s="3170"/>
      <c r="OAA146" s="3170"/>
      <c r="OAB146" s="3170"/>
      <c r="OAC146" s="3170"/>
      <c r="OAD146" s="3170"/>
      <c r="OAE146" s="3170"/>
      <c r="OAF146" s="3170"/>
      <c r="OAG146" s="3170"/>
      <c r="OAH146" s="3170"/>
      <c r="OAI146" s="3170"/>
      <c r="OAJ146" s="3170"/>
      <c r="OAK146" s="3170"/>
      <c r="OAL146" s="3170"/>
      <c r="OAM146" s="3170"/>
      <c r="OAN146" s="3170"/>
      <c r="OAO146" s="3170"/>
      <c r="OAP146" s="3170"/>
      <c r="OAQ146" s="3170"/>
      <c r="OAR146" s="3170"/>
      <c r="OAS146" s="3170"/>
      <c r="OAT146" s="3170"/>
      <c r="OAU146" s="3170"/>
      <c r="OAV146" s="3170"/>
      <c r="OAW146" s="3170"/>
      <c r="OAX146" s="3170"/>
      <c r="OAY146" s="3170"/>
      <c r="OAZ146" s="3170"/>
      <c r="OBA146" s="3170"/>
      <c r="OBB146" s="3170"/>
      <c r="OBC146" s="3170"/>
      <c r="OBD146" s="3170"/>
      <c r="OBE146" s="3170"/>
      <c r="OBF146" s="3170"/>
      <c r="OBG146" s="3170"/>
      <c r="OBH146" s="3170"/>
      <c r="OBI146" s="3170"/>
      <c r="OBJ146" s="3170"/>
      <c r="OBK146" s="3170"/>
      <c r="OBL146" s="3170"/>
      <c r="OBM146" s="3170"/>
      <c r="OBN146" s="3170"/>
      <c r="OBO146" s="3170"/>
      <c r="OBP146" s="3170"/>
      <c r="OBQ146" s="3170"/>
      <c r="OBR146" s="3170"/>
      <c r="OBS146" s="3170"/>
      <c r="OBT146" s="3170"/>
      <c r="OBU146" s="3170"/>
      <c r="OBV146" s="3170"/>
      <c r="OBW146" s="3170"/>
      <c r="OBX146" s="3170"/>
      <c r="OBY146" s="3170"/>
      <c r="OBZ146" s="3170"/>
      <c r="OCA146" s="3170"/>
      <c r="OCB146" s="3170"/>
      <c r="OCC146" s="3170"/>
      <c r="OCD146" s="3170"/>
      <c r="OCE146" s="3170"/>
      <c r="OCF146" s="3170"/>
      <c r="OCG146" s="3170"/>
      <c r="OCH146" s="3170"/>
      <c r="OCI146" s="3170"/>
      <c r="OCJ146" s="3170"/>
      <c r="OCK146" s="3170"/>
      <c r="OCL146" s="3170"/>
      <c r="OCM146" s="3170"/>
      <c r="OCN146" s="3170"/>
      <c r="OCO146" s="3170"/>
      <c r="OCP146" s="3170"/>
      <c r="OCQ146" s="3170"/>
      <c r="OCR146" s="3170"/>
      <c r="OCS146" s="3170"/>
      <c r="OCT146" s="3170"/>
      <c r="OCU146" s="3170"/>
      <c r="OCV146" s="3170"/>
      <c r="OCW146" s="3170"/>
      <c r="OCX146" s="3170"/>
      <c r="OCY146" s="3170"/>
      <c r="OCZ146" s="3170"/>
      <c r="ODA146" s="3170"/>
      <c r="ODB146" s="3170"/>
      <c r="ODC146" s="3170"/>
      <c r="ODD146" s="3170"/>
      <c r="ODE146" s="3170"/>
      <c r="ODF146" s="3170"/>
      <c r="ODG146" s="3170"/>
      <c r="ODH146" s="3170"/>
      <c r="ODI146" s="3170"/>
      <c r="ODJ146" s="3170"/>
      <c r="ODK146" s="3170"/>
      <c r="ODL146" s="3170"/>
      <c r="ODM146" s="3170"/>
      <c r="ODN146" s="3170"/>
      <c r="ODO146" s="3170"/>
      <c r="ODP146" s="3170"/>
      <c r="ODQ146" s="3170"/>
      <c r="ODR146" s="3170"/>
      <c r="ODS146" s="3170"/>
      <c r="ODT146" s="3170"/>
      <c r="ODU146" s="3170"/>
      <c r="ODV146" s="3170"/>
      <c r="ODW146" s="3170"/>
      <c r="ODX146" s="3170"/>
      <c r="ODY146" s="3170"/>
      <c r="ODZ146" s="3170"/>
      <c r="OEA146" s="3170"/>
      <c r="OEB146" s="3170"/>
      <c r="OEC146" s="3170"/>
      <c r="OED146" s="3170"/>
      <c r="OEE146" s="3170"/>
      <c r="OEF146" s="3170"/>
      <c r="OEG146" s="3170"/>
      <c r="OEH146" s="3170"/>
      <c r="OEI146" s="3170"/>
      <c r="OEJ146" s="3170"/>
      <c r="OEK146" s="3170"/>
      <c r="OEL146" s="3170"/>
      <c r="OEM146" s="3170"/>
      <c r="OEN146" s="3170"/>
      <c r="OEO146" s="3170"/>
      <c r="OEP146" s="3170"/>
      <c r="OEQ146" s="3170"/>
      <c r="OER146" s="3170"/>
      <c r="OES146" s="3170"/>
      <c r="OET146" s="3170"/>
      <c r="OEU146" s="3170"/>
      <c r="OEV146" s="3170"/>
      <c r="OEW146" s="3170"/>
      <c r="OEX146" s="3170"/>
      <c r="OEY146" s="3170"/>
      <c r="OEZ146" s="3170"/>
      <c r="OFA146" s="3170"/>
      <c r="OFB146" s="3170"/>
      <c r="OFC146" s="3170"/>
      <c r="OFD146" s="3170"/>
      <c r="OFE146" s="3170"/>
      <c r="OFF146" s="3170"/>
      <c r="OFG146" s="3170"/>
      <c r="OFH146" s="3170"/>
      <c r="OFI146" s="3170"/>
      <c r="OFJ146" s="3170"/>
      <c r="OFK146" s="3170"/>
      <c r="OFL146" s="3170"/>
      <c r="OFM146" s="3170"/>
      <c r="OFN146" s="3170"/>
      <c r="OFO146" s="3170"/>
      <c r="OFP146" s="3170"/>
      <c r="OFQ146" s="3170"/>
      <c r="OFR146" s="3170"/>
      <c r="OFS146" s="3170"/>
      <c r="OFT146" s="3170"/>
      <c r="OFU146" s="3170"/>
      <c r="OFV146" s="3170"/>
      <c r="OFW146" s="3170"/>
      <c r="OFX146" s="3170"/>
      <c r="OFY146" s="3170"/>
      <c r="OFZ146" s="3170"/>
      <c r="OGA146" s="3170"/>
      <c r="OGB146" s="3170"/>
      <c r="OGC146" s="3170"/>
      <c r="OGD146" s="3170"/>
      <c r="OGE146" s="3170"/>
      <c r="OGF146" s="3170"/>
      <c r="OGG146" s="3170"/>
      <c r="OGH146" s="3170"/>
      <c r="OGI146" s="3170"/>
      <c r="OGJ146" s="3170"/>
      <c r="OGK146" s="3170"/>
      <c r="OGL146" s="3170"/>
      <c r="OGM146" s="3170"/>
      <c r="OGN146" s="3170"/>
      <c r="OGO146" s="3170"/>
      <c r="OGP146" s="3170"/>
      <c r="OGQ146" s="3170"/>
      <c r="OGR146" s="3170"/>
      <c r="OGS146" s="3170"/>
      <c r="OGT146" s="3170"/>
      <c r="OGU146" s="3170"/>
      <c r="OGV146" s="3170"/>
      <c r="OGW146" s="3170"/>
      <c r="OGX146" s="3170"/>
      <c r="OGY146" s="3170"/>
      <c r="OGZ146" s="3170"/>
      <c r="OHA146" s="3170"/>
      <c r="OHB146" s="3170"/>
      <c r="OHC146" s="3170"/>
      <c r="OHD146" s="3170"/>
      <c r="OHE146" s="3170"/>
      <c r="OHF146" s="3170"/>
      <c r="OHG146" s="3170"/>
      <c r="OHH146" s="3170"/>
      <c r="OHI146" s="3170"/>
      <c r="OHJ146" s="3170"/>
      <c r="OHK146" s="3170"/>
      <c r="OHL146" s="3170"/>
      <c r="OHM146" s="3170"/>
      <c r="OHN146" s="3170"/>
      <c r="OHO146" s="3170"/>
      <c r="OHP146" s="3170"/>
      <c r="OHQ146" s="3170"/>
      <c r="OHR146" s="3170"/>
      <c r="OHS146" s="3170"/>
      <c r="OHT146" s="3170"/>
      <c r="OHU146" s="3170"/>
      <c r="OHV146" s="3170"/>
      <c r="OHW146" s="3170"/>
      <c r="OHX146" s="3170"/>
      <c r="OHY146" s="3170"/>
      <c r="OHZ146" s="3170"/>
      <c r="OIA146" s="3170"/>
      <c r="OIB146" s="3170"/>
      <c r="OIC146" s="3170"/>
      <c r="OID146" s="3170"/>
      <c r="OIE146" s="3170"/>
      <c r="OIF146" s="3170"/>
      <c r="OIG146" s="3170"/>
      <c r="OIH146" s="3170"/>
      <c r="OII146" s="3170"/>
      <c r="OIJ146" s="3170"/>
      <c r="OIK146" s="3170"/>
      <c r="OIL146" s="3170"/>
      <c r="OIM146" s="3170"/>
      <c r="OIN146" s="3170"/>
      <c r="OIO146" s="3170"/>
      <c r="OIP146" s="3170"/>
      <c r="OIQ146" s="3170"/>
      <c r="OIR146" s="3170"/>
      <c r="OIS146" s="3170"/>
      <c r="OIT146" s="3170"/>
      <c r="OIU146" s="3170"/>
      <c r="OIV146" s="3170"/>
      <c r="OIW146" s="3170"/>
      <c r="OIX146" s="3170"/>
      <c r="OIY146" s="3170"/>
      <c r="OIZ146" s="3170"/>
      <c r="OJA146" s="3170"/>
      <c r="OJB146" s="3170"/>
      <c r="OJC146" s="3170"/>
      <c r="OJD146" s="3170"/>
      <c r="OJE146" s="3170"/>
      <c r="OJF146" s="3170"/>
      <c r="OJG146" s="3170"/>
      <c r="OJH146" s="3170"/>
      <c r="OJI146" s="3170"/>
      <c r="OJJ146" s="3170"/>
      <c r="OJK146" s="3170"/>
      <c r="OJL146" s="3170"/>
      <c r="OJM146" s="3170"/>
      <c r="OJN146" s="3170"/>
      <c r="OJO146" s="3170"/>
      <c r="OJP146" s="3170"/>
      <c r="OJQ146" s="3170"/>
      <c r="OJR146" s="3170"/>
      <c r="OJS146" s="3170"/>
      <c r="OJT146" s="3170"/>
      <c r="OJU146" s="3170"/>
      <c r="OJV146" s="3170"/>
      <c r="OJW146" s="3170"/>
      <c r="OJX146" s="3170"/>
      <c r="OJY146" s="3170"/>
      <c r="OJZ146" s="3170"/>
      <c r="OKA146" s="3170"/>
      <c r="OKB146" s="3170"/>
      <c r="OKC146" s="3170"/>
      <c r="OKD146" s="3170"/>
      <c r="OKE146" s="3170"/>
      <c r="OKF146" s="3170"/>
      <c r="OKG146" s="3170"/>
      <c r="OKH146" s="3170"/>
      <c r="OKI146" s="3170"/>
      <c r="OKJ146" s="3170"/>
      <c r="OKK146" s="3170"/>
      <c r="OKL146" s="3170"/>
      <c r="OKM146" s="3170"/>
      <c r="OKN146" s="3170"/>
      <c r="OKO146" s="3170"/>
      <c r="OKP146" s="3170"/>
      <c r="OKQ146" s="3170"/>
      <c r="OKR146" s="3170"/>
      <c r="OKS146" s="3170"/>
      <c r="OKT146" s="3170"/>
      <c r="OKU146" s="3170"/>
      <c r="OKV146" s="3170"/>
      <c r="OKW146" s="3170"/>
      <c r="OKX146" s="3170"/>
      <c r="OKY146" s="3170"/>
      <c r="OKZ146" s="3170"/>
      <c r="OLA146" s="3170"/>
      <c r="OLB146" s="3170"/>
      <c r="OLC146" s="3170"/>
      <c r="OLD146" s="3170"/>
      <c r="OLE146" s="3170"/>
      <c r="OLF146" s="3170"/>
      <c r="OLG146" s="3170"/>
      <c r="OLH146" s="3170"/>
      <c r="OLI146" s="3170"/>
      <c r="OLJ146" s="3170"/>
      <c r="OLK146" s="3170"/>
      <c r="OLL146" s="3170"/>
      <c r="OLM146" s="3170"/>
      <c r="OLN146" s="3170"/>
      <c r="OLO146" s="3170"/>
      <c r="OLP146" s="3170"/>
      <c r="OLQ146" s="3170"/>
      <c r="OLR146" s="3170"/>
      <c r="OLS146" s="3170"/>
      <c r="OLT146" s="3170"/>
      <c r="OLU146" s="3170"/>
      <c r="OLV146" s="3170"/>
      <c r="OLW146" s="3170"/>
      <c r="OLX146" s="3170"/>
      <c r="OLY146" s="3170"/>
      <c r="OLZ146" s="3170"/>
      <c r="OMA146" s="3170"/>
      <c r="OMB146" s="3170"/>
      <c r="OMC146" s="3170"/>
      <c r="OMD146" s="3170"/>
      <c r="OME146" s="3170"/>
      <c r="OMF146" s="3170"/>
      <c r="OMG146" s="3170"/>
      <c r="OMH146" s="3170"/>
      <c r="OMI146" s="3170"/>
      <c r="OMJ146" s="3170"/>
      <c r="OMK146" s="3170"/>
      <c r="OML146" s="3170"/>
      <c r="OMM146" s="3170"/>
      <c r="OMN146" s="3170"/>
      <c r="OMO146" s="3170"/>
      <c r="OMP146" s="3170"/>
      <c r="OMQ146" s="3170"/>
      <c r="OMR146" s="3170"/>
      <c r="OMS146" s="3170"/>
      <c r="OMT146" s="3170"/>
      <c r="OMU146" s="3170"/>
      <c r="OMV146" s="3170"/>
      <c r="OMW146" s="3170"/>
      <c r="OMX146" s="3170"/>
      <c r="OMY146" s="3170"/>
      <c r="OMZ146" s="3170"/>
      <c r="ONA146" s="3170"/>
      <c r="ONB146" s="3170"/>
      <c r="ONC146" s="3170"/>
      <c r="OND146" s="3170"/>
      <c r="ONE146" s="3170"/>
      <c r="ONF146" s="3170"/>
      <c r="ONG146" s="3170"/>
      <c r="ONH146" s="3170"/>
      <c r="ONI146" s="3170"/>
      <c r="ONJ146" s="3170"/>
      <c r="ONK146" s="3170"/>
      <c r="ONL146" s="3170"/>
      <c r="ONM146" s="3170"/>
      <c r="ONN146" s="3170"/>
      <c r="ONO146" s="3170"/>
      <c r="ONP146" s="3170"/>
      <c r="ONQ146" s="3170"/>
      <c r="ONR146" s="3170"/>
      <c r="ONS146" s="3170"/>
      <c r="ONT146" s="3170"/>
      <c r="ONU146" s="3170"/>
      <c r="ONV146" s="3170"/>
      <c r="ONW146" s="3170"/>
      <c r="ONX146" s="3170"/>
      <c r="ONY146" s="3170"/>
      <c r="ONZ146" s="3170"/>
      <c r="OOA146" s="3170"/>
      <c r="OOB146" s="3170"/>
      <c r="OOC146" s="3170"/>
      <c r="OOD146" s="3170"/>
      <c r="OOE146" s="3170"/>
      <c r="OOF146" s="3170"/>
      <c r="OOG146" s="3170"/>
      <c r="OOH146" s="3170"/>
      <c r="OOI146" s="3170"/>
      <c r="OOJ146" s="3170"/>
      <c r="OOK146" s="3170"/>
      <c r="OOL146" s="3170"/>
      <c r="OOM146" s="3170"/>
      <c r="OON146" s="3170"/>
      <c r="OOO146" s="3170"/>
      <c r="OOP146" s="3170"/>
      <c r="OOQ146" s="3170"/>
      <c r="OOR146" s="3170"/>
      <c r="OOS146" s="3170"/>
      <c r="OOT146" s="3170"/>
      <c r="OOU146" s="3170"/>
      <c r="OOV146" s="3170"/>
      <c r="OOW146" s="3170"/>
      <c r="OOX146" s="3170"/>
      <c r="OOY146" s="3170"/>
      <c r="OOZ146" s="3170"/>
      <c r="OPA146" s="3170"/>
      <c r="OPB146" s="3170"/>
      <c r="OPC146" s="3170"/>
      <c r="OPD146" s="3170"/>
      <c r="OPE146" s="3170"/>
      <c r="OPF146" s="3170"/>
      <c r="OPG146" s="3170"/>
      <c r="OPH146" s="3170"/>
      <c r="OPI146" s="3170"/>
      <c r="OPJ146" s="3170"/>
      <c r="OPK146" s="3170"/>
      <c r="OPL146" s="3170"/>
      <c r="OPM146" s="3170"/>
      <c r="OPN146" s="3170"/>
      <c r="OPO146" s="3170"/>
      <c r="OPP146" s="3170"/>
      <c r="OPQ146" s="3170"/>
      <c r="OPR146" s="3170"/>
      <c r="OPS146" s="3170"/>
      <c r="OPT146" s="3170"/>
      <c r="OPU146" s="3170"/>
      <c r="OPV146" s="3170"/>
      <c r="OPW146" s="3170"/>
      <c r="OPX146" s="3170"/>
      <c r="OPY146" s="3170"/>
      <c r="OPZ146" s="3170"/>
      <c r="OQA146" s="3170"/>
      <c r="OQB146" s="3170"/>
      <c r="OQC146" s="3170"/>
      <c r="OQD146" s="3170"/>
      <c r="OQE146" s="3170"/>
      <c r="OQF146" s="3170"/>
      <c r="OQG146" s="3170"/>
      <c r="OQH146" s="3170"/>
      <c r="OQI146" s="3170"/>
      <c r="OQJ146" s="3170"/>
      <c r="OQK146" s="3170"/>
      <c r="OQL146" s="3170"/>
      <c r="OQM146" s="3170"/>
      <c r="OQN146" s="3170"/>
      <c r="OQO146" s="3170"/>
      <c r="OQP146" s="3170"/>
      <c r="OQQ146" s="3170"/>
      <c r="OQR146" s="3170"/>
      <c r="OQS146" s="3170"/>
      <c r="OQT146" s="3170"/>
      <c r="OQU146" s="3170"/>
      <c r="OQV146" s="3170"/>
      <c r="OQW146" s="3170"/>
      <c r="OQX146" s="3170"/>
      <c r="OQY146" s="3170"/>
      <c r="OQZ146" s="3170"/>
      <c r="ORA146" s="3170"/>
      <c r="ORB146" s="3170"/>
      <c r="ORC146" s="3170"/>
      <c r="ORD146" s="3170"/>
      <c r="ORE146" s="3170"/>
      <c r="ORF146" s="3170"/>
      <c r="ORG146" s="3170"/>
      <c r="ORH146" s="3170"/>
      <c r="ORI146" s="3170"/>
      <c r="ORJ146" s="3170"/>
      <c r="ORK146" s="3170"/>
      <c r="ORL146" s="3170"/>
      <c r="ORM146" s="3170"/>
      <c r="ORN146" s="3170"/>
      <c r="ORO146" s="3170"/>
      <c r="ORP146" s="3170"/>
      <c r="ORQ146" s="3170"/>
      <c r="ORR146" s="3170"/>
      <c r="ORS146" s="3170"/>
      <c r="ORT146" s="3170"/>
      <c r="ORU146" s="3170"/>
      <c r="ORV146" s="3170"/>
      <c r="ORW146" s="3170"/>
      <c r="ORX146" s="3170"/>
      <c r="ORY146" s="3170"/>
      <c r="ORZ146" s="3170"/>
      <c r="OSA146" s="3170"/>
      <c r="OSB146" s="3170"/>
      <c r="OSC146" s="3170"/>
      <c r="OSD146" s="3170"/>
      <c r="OSE146" s="3170"/>
      <c r="OSF146" s="3170"/>
      <c r="OSG146" s="3170"/>
      <c r="OSH146" s="3170"/>
      <c r="OSI146" s="3170"/>
      <c r="OSJ146" s="3170"/>
      <c r="OSK146" s="3170"/>
      <c r="OSL146" s="3170"/>
      <c r="OSM146" s="3170"/>
      <c r="OSN146" s="3170"/>
      <c r="OSO146" s="3170"/>
      <c r="OSP146" s="3170"/>
      <c r="OSQ146" s="3170"/>
      <c r="OSR146" s="3170"/>
      <c r="OSS146" s="3170"/>
      <c r="OST146" s="3170"/>
      <c r="OSU146" s="3170"/>
      <c r="OSV146" s="3170"/>
      <c r="OSW146" s="3170"/>
      <c r="OSX146" s="3170"/>
      <c r="OSY146" s="3170"/>
      <c r="OSZ146" s="3170"/>
      <c r="OTA146" s="3170"/>
      <c r="OTB146" s="3170"/>
      <c r="OTC146" s="3170"/>
      <c r="OTD146" s="3170"/>
      <c r="OTE146" s="3170"/>
      <c r="OTF146" s="3170"/>
      <c r="OTG146" s="3170"/>
      <c r="OTH146" s="3170"/>
      <c r="OTI146" s="3170"/>
      <c r="OTJ146" s="3170"/>
      <c r="OTK146" s="3170"/>
      <c r="OTL146" s="3170"/>
      <c r="OTM146" s="3170"/>
      <c r="OTN146" s="3170"/>
      <c r="OTO146" s="3170"/>
      <c r="OTP146" s="3170"/>
      <c r="OTQ146" s="3170"/>
      <c r="OTR146" s="3170"/>
      <c r="OTS146" s="3170"/>
      <c r="OTT146" s="3170"/>
      <c r="OTU146" s="3170"/>
      <c r="OTV146" s="3170"/>
      <c r="OTW146" s="3170"/>
      <c r="OTX146" s="3170"/>
      <c r="OTY146" s="3170"/>
      <c r="OTZ146" s="3170"/>
      <c r="OUA146" s="3170"/>
      <c r="OUB146" s="3170"/>
      <c r="OUC146" s="3170"/>
      <c r="OUD146" s="3170"/>
      <c r="OUE146" s="3170"/>
      <c r="OUF146" s="3170"/>
      <c r="OUG146" s="3170"/>
      <c r="OUH146" s="3170"/>
      <c r="OUI146" s="3170"/>
      <c r="OUJ146" s="3170"/>
      <c r="OUK146" s="3170"/>
      <c r="OUL146" s="3170"/>
      <c r="OUM146" s="3170"/>
      <c r="OUN146" s="3170"/>
      <c r="OUO146" s="3170"/>
      <c r="OUP146" s="3170"/>
      <c r="OUQ146" s="3170"/>
      <c r="OUR146" s="3170"/>
      <c r="OUS146" s="3170"/>
      <c r="OUT146" s="3170"/>
      <c r="OUU146" s="3170"/>
      <c r="OUV146" s="3170"/>
      <c r="OUW146" s="3170"/>
      <c r="OUX146" s="3170"/>
      <c r="OUY146" s="3170"/>
      <c r="OUZ146" s="3170"/>
      <c r="OVA146" s="3170"/>
      <c r="OVB146" s="3170"/>
      <c r="OVC146" s="3170"/>
      <c r="OVD146" s="3170"/>
      <c r="OVE146" s="3170"/>
      <c r="OVF146" s="3170"/>
      <c r="OVG146" s="3170"/>
      <c r="OVH146" s="3170"/>
      <c r="OVI146" s="3170"/>
      <c r="OVJ146" s="3170"/>
      <c r="OVK146" s="3170"/>
      <c r="OVL146" s="3170"/>
      <c r="OVM146" s="3170"/>
      <c r="OVN146" s="3170"/>
      <c r="OVO146" s="3170"/>
      <c r="OVP146" s="3170"/>
      <c r="OVQ146" s="3170"/>
      <c r="OVR146" s="3170"/>
      <c r="OVS146" s="3170"/>
      <c r="OVT146" s="3170"/>
      <c r="OVU146" s="3170"/>
      <c r="OVV146" s="3170"/>
      <c r="OVW146" s="3170"/>
      <c r="OVX146" s="3170"/>
      <c r="OVY146" s="3170"/>
      <c r="OVZ146" s="3170"/>
      <c r="OWA146" s="3170"/>
      <c r="OWB146" s="3170"/>
      <c r="OWC146" s="3170"/>
      <c r="OWD146" s="3170"/>
      <c r="OWE146" s="3170"/>
      <c r="OWF146" s="3170"/>
      <c r="OWG146" s="3170"/>
      <c r="OWH146" s="3170"/>
      <c r="OWI146" s="3170"/>
      <c r="OWJ146" s="3170"/>
      <c r="OWK146" s="3170"/>
      <c r="OWL146" s="3170"/>
      <c r="OWM146" s="3170"/>
      <c r="OWN146" s="3170"/>
      <c r="OWO146" s="3170"/>
      <c r="OWP146" s="3170"/>
      <c r="OWQ146" s="3170"/>
      <c r="OWR146" s="3170"/>
      <c r="OWS146" s="3170"/>
      <c r="OWT146" s="3170"/>
      <c r="OWU146" s="3170"/>
      <c r="OWV146" s="3170"/>
      <c r="OWW146" s="3170"/>
      <c r="OWX146" s="3170"/>
      <c r="OWY146" s="3170"/>
      <c r="OWZ146" s="3170"/>
      <c r="OXA146" s="3170"/>
      <c r="OXB146" s="3170"/>
      <c r="OXC146" s="3170"/>
      <c r="OXD146" s="3170"/>
      <c r="OXE146" s="3170"/>
      <c r="OXF146" s="3170"/>
      <c r="OXG146" s="3170"/>
      <c r="OXH146" s="3170"/>
      <c r="OXI146" s="3170"/>
      <c r="OXJ146" s="3170"/>
      <c r="OXK146" s="3170"/>
      <c r="OXL146" s="3170"/>
      <c r="OXM146" s="3170"/>
      <c r="OXN146" s="3170"/>
      <c r="OXO146" s="3170"/>
      <c r="OXP146" s="3170"/>
      <c r="OXQ146" s="3170"/>
      <c r="OXR146" s="3170"/>
      <c r="OXS146" s="3170"/>
      <c r="OXT146" s="3170"/>
      <c r="OXU146" s="3170"/>
      <c r="OXV146" s="3170"/>
      <c r="OXW146" s="3170"/>
      <c r="OXX146" s="3170"/>
      <c r="OXY146" s="3170"/>
      <c r="OXZ146" s="3170"/>
      <c r="OYA146" s="3170"/>
      <c r="OYB146" s="3170"/>
      <c r="OYC146" s="3170"/>
      <c r="OYD146" s="3170"/>
      <c r="OYE146" s="3170"/>
      <c r="OYF146" s="3170"/>
      <c r="OYG146" s="3170"/>
      <c r="OYH146" s="3170"/>
      <c r="OYI146" s="3170"/>
      <c r="OYJ146" s="3170"/>
      <c r="OYK146" s="3170"/>
      <c r="OYL146" s="3170"/>
      <c r="OYM146" s="3170"/>
      <c r="OYN146" s="3170"/>
      <c r="OYO146" s="3170"/>
      <c r="OYP146" s="3170"/>
      <c r="OYQ146" s="3170"/>
      <c r="OYR146" s="3170"/>
      <c r="OYS146" s="3170"/>
      <c r="OYT146" s="3170"/>
      <c r="OYU146" s="3170"/>
      <c r="OYV146" s="3170"/>
      <c r="OYW146" s="3170"/>
      <c r="OYX146" s="3170"/>
      <c r="OYY146" s="3170"/>
      <c r="OYZ146" s="3170"/>
      <c r="OZA146" s="3170"/>
      <c r="OZB146" s="3170"/>
      <c r="OZC146" s="3170"/>
      <c r="OZD146" s="3170"/>
      <c r="OZE146" s="3170"/>
      <c r="OZF146" s="3170"/>
      <c r="OZG146" s="3170"/>
      <c r="OZH146" s="3170"/>
      <c r="OZI146" s="3170"/>
      <c r="OZJ146" s="3170"/>
      <c r="OZK146" s="3170"/>
      <c r="OZL146" s="3170"/>
      <c r="OZM146" s="3170"/>
      <c r="OZN146" s="3170"/>
      <c r="OZO146" s="3170"/>
      <c r="OZP146" s="3170"/>
      <c r="OZQ146" s="3170"/>
      <c r="OZR146" s="3170"/>
      <c r="OZS146" s="3170"/>
      <c r="OZT146" s="3170"/>
      <c r="OZU146" s="3170"/>
      <c r="OZV146" s="3170"/>
      <c r="OZW146" s="3170"/>
      <c r="OZX146" s="3170"/>
      <c r="OZY146" s="3170"/>
      <c r="OZZ146" s="3170"/>
      <c r="PAA146" s="3170"/>
      <c r="PAB146" s="3170"/>
      <c r="PAC146" s="3170"/>
      <c r="PAD146" s="3170"/>
      <c r="PAE146" s="3170"/>
      <c r="PAF146" s="3170"/>
      <c r="PAG146" s="3170"/>
      <c r="PAH146" s="3170"/>
      <c r="PAI146" s="3170"/>
      <c r="PAJ146" s="3170"/>
      <c r="PAK146" s="3170"/>
      <c r="PAL146" s="3170"/>
      <c r="PAM146" s="3170"/>
      <c r="PAN146" s="3170"/>
      <c r="PAO146" s="3170"/>
      <c r="PAP146" s="3170"/>
      <c r="PAQ146" s="3170"/>
      <c r="PAR146" s="3170"/>
      <c r="PAS146" s="3170"/>
      <c r="PAT146" s="3170"/>
      <c r="PAU146" s="3170"/>
      <c r="PAV146" s="3170"/>
      <c r="PAW146" s="3170"/>
      <c r="PAX146" s="3170"/>
      <c r="PAY146" s="3170"/>
      <c r="PAZ146" s="3170"/>
      <c r="PBA146" s="3170"/>
      <c r="PBB146" s="3170"/>
      <c r="PBC146" s="3170"/>
      <c r="PBD146" s="3170"/>
      <c r="PBE146" s="3170"/>
      <c r="PBF146" s="3170"/>
      <c r="PBG146" s="3170"/>
      <c r="PBH146" s="3170"/>
      <c r="PBI146" s="3170"/>
      <c r="PBJ146" s="3170"/>
      <c r="PBK146" s="3170"/>
      <c r="PBL146" s="3170"/>
      <c r="PBM146" s="3170"/>
      <c r="PBN146" s="3170"/>
      <c r="PBO146" s="3170"/>
      <c r="PBP146" s="3170"/>
      <c r="PBQ146" s="3170"/>
      <c r="PBR146" s="3170"/>
      <c r="PBS146" s="3170"/>
      <c r="PBT146" s="3170"/>
      <c r="PBU146" s="3170"/>
      <c r="PBV146" s="3170"/>
      <c r="PBW146" s="3170"/>
      <c r="PBX146" s="3170"/>
      <c r="PBY146" s="3170"/>
      <c r="PBZ146" s="3170"/>
      <c r="PCA146" s="3170"/>
      <c r="PCB146" s="3170"/>
      <c r="PCC146" s="3170"/>
      <c r="PCD146" s="3170"/>
      <c r="PCE146" s="3170"/>
      <c r="PCF146" s="3170"/>
      <c r="PCG146" s="3170"/>
      <c r="PCH146" s="3170"/>
      <c r="PCI146" s="3170"/>
      <c r="PCJ146" s="3170"/>
      <c r="PCK146" s="3170"/>
      <c r="PCL146" s="3170"/>
      <c r="PCM146" s="3170"/>
      <c r="PCN146" s="3170"/>
      <c r="PCO146" s="3170"/>
      <c r="PCP146" s="3170"/>
      <c r="PCQ146" s="3170"/>
      <c r="PCR146" s="3170"/>
      <c r="PCS146" s="3170"/>
      <c r="PCT146" s="3170"/>
      <c r="PCU146" s="3170"/>
      <c r="PCV146" s="3170"/>
      <c r="PCW146" s="3170"/>
      <c r="PCX146" s="3170"/>
      <c r="PCY146" s="3170"/>
      <c r="PCZ146" s="3170"/>
      <c r="PDA146" s="3170"/>
      <c r="PDB146" s="3170"/>
      <c r="PDC146" s="3170"/>
      <c r="PDD146" s="3170"/>
      <c r="PDE146" s="3170"/>
      <c r="PDF146" s="3170"/>
      <c r="PDG146" s="3170"/>
      <c r="PDH146" s="3170"/>
      <c r="PDI146" s="3170"/>
      <c r="PDJ146" s="3170"/>
      <c r="PDK146" s="3170"/>
      <c r="PDL146" s="3170"/>
      <c r="PDM146" s="3170"/>
      <c r="PDN146" s="3170"/>
      <c r="PDO146" s="3170"/>
      <c r="PDP146" s="3170"/>
      <c r="PDQ146" s="3170"/>
      <c r="PDR146" s="3170"/>
      <c r="PDS146" s="3170"/>
      <c r="PDT146" s="3170"/>
      <c r="PDU146" s="3170"/>
      <c r="PDV146" s="3170"/>
      <c r="PDW146" s="3170"/>
      <c r="PDX146" s="3170"/>
      <c r="PDY146" s="3170"/>
      <c r="PDZ146" s="3170"/>
      <c r="PEA146" s="3170"/>
      <c r="PEB146" s="3170"/>
      <c r="PEC146" s="3170"/>
      <c r="PED146" s="3170"/>
      <c r="PEE146" s="3170"/>
      <c r="PEF146" s="3170"/>
      <c r="PEG146" s="3170"/>
      <c r="PEH146" s="3170"/>
      <c r="PEI146" s="3170"/>
      <c r="PEJ146" s="3170"/>
      <c r="PEK146" s="3170"/>
      <c r="PEL146" s="3170"/>
      <c r="PEM146" s="3170"/>
      <c r="PEN146" s="3170"/>
      <c r="PEO146" s="3170"/>
      <c r="PEP146" s="3170"/>
      <c r="PEQ146" s="3170"/>
      <c r="PER146" s="3170"/>
      <c r="PES146" s="3170"/>
      <c r="PET146" s="3170"/>
      <c r="PEU146" s="3170"/>
      <c r="PEV146" s="3170"/>
      <c r="PEW146" s="3170"/>
      <c r="PEX146" s="3170"/>
      <c r="PEY146" s="3170"/>
      <c r="PEZ146" s="3170"/>
      <c r="PFA146" s="3170"/>
      <c r="PFB146" s="3170"/>
      <c r="PFC146" s="3170"/>
      <c r="PFD146" s="3170"/>
      <c r="PFE146" s="3170"/>
      <c r="PFF146" s="3170"/>
      <c r="PFG146" s="3170"/>
      <c r="PFH146" s="3170"/>
      <c r="PFI146" s="3170"/>
      <c r="PFJ146" s="3170"/>
      <c r="PFK146" s="3170"/>
      <c r="PFL146" s="3170"/>
      <c r="PFM146" s="3170"/>
      <c r="PFN146" s="3170"/>
      <c r="PFO146" s="3170"/>
      <c r="PFP146" s="3170"/>
      <c r="PFQ146" s="3170"/>
      <c r="PFR146" s="3170"/>
      <c r="PFS146" s="3170"/>
      <c r="PFT146" s="3170"/>
      <c r="PFU146" s="3170"/>
      <c r="PFV146" s="3170"/>
      <c r="PFW146" s="3170"/>
      <c r="PFX146" s="3170"/>
      <c r="PFY146" s="3170"/>
      <c r="PFZ146" s="3170"/>
      <c r="PGA146" s="3170"/>
      <c r="PGB146" s="3170"/>
      <c r="PGC146" s="3170"/>
      <c r="PGD146" s="3170"/>
      <c r="PGE146" s="3170"/>
      <c r="PGF146" s="3170"/>
      <c r="PGG146" s="3170"/>
      <c r="PGH146" s="3170"/>
      <c r="PGI146" s="3170"/>
      <c r="PGJ146" s="3170"/>
      <c r="PGK146" s="3170"/>
      <c r="PGL146" s="3170"/>
      <c r="PGM146" s="3170"/>
      <c r="PGN146" s="3170"/>
      <c r="PGO146" s="3170"/>
      <c r="PGP146" s="3170"/>
      <c r="PGQ146" s="3170"/>
      <c r="PGR146" s="3170"/>
      <c r="PGS146" s="3170"/>
      <c r="PGT146" s="3170"/>
      <c r="PGU146" s="3170"/>
      <c r="PGV146" s="3170"/>
      <c r="PGW146" s="3170"/>
      <c r="PGX146" s="3170"/>
      <c r="PGY146" s="3170"/>
      <c r="PGZ146" s="3170"/>
      <c r="PHA146" s="3170"/>
      <c r="PHB146" s="3170"/>
      <c r="PHC146" s="3170"/>
      <c r="PHD146" s="3170"/>
      <c r="PHE146" s="3170"/>
      <c r="PHF146" s="3170"/>
      <c r="PHG146" s="3170"/>
      <c r="PHH146" s="3170"/>
      <c r="PHI146" s="3170"/>
      <c r="PHJ146" s="3170"/>
      <c r="PHK146" s="3170"/>
      <c r="PHL146" s="3170"/>
      <c r="PHM146" s="3170"/>
      <c r="PHN146" s="3170"/>
      <c r="PHO146" s="3170"/>
      <c r="PHP146" s="3170"/>
      <c r="PHQ146" s="3170"/>
      <c r="PHR146" s="3170"/>
      <c r="PHS146" s="3170"/>
      <c r="PHT146" s="3170"/>
      <c r="PHU146" s="3170"/>
      <c r="PHV146" s="3170"/>
      <c r="PHW146" s="3170"/>
      <c r="PHX146" s="3170"/>
      <c r="PHY146" s="3170"/>
      <c r="PHZ146" s="3170"/>
      <c r="PIA146" s="3170"/>
      <c r="PIB146" s="3170"/>
      <c r="PIC146" s="3170"/>
      <c r="PID146" s="3170"/>
      <c r="PIE146" s="3170"/>
      <c r="PIF146" s="3170"/>
      <c r="PIG146" s="3170"/>
      <c r="PIH146" s="3170"/>
      <c r="PII146" s="3170"/>
      <c r="PIJ146" s="3170"/>
      <c r="PIK146" s="3170"/>
      <c r="PIL146" s="3170"/>
      <c r="PIM146" s="3170"/>
      <c r="PIN146" s="3170"/>
      <c r="PIO146" s="3170"/>
      <c r="PIP146" s="3170"/>
      <c r="PIQ146" s="3170"/>
      <c r="PIR146" s="3170"/>
      <c r="PIS146" s="3170"/>
      <c r="PIT146" s="3170"/>
      <c r="PIU146" s="3170"/>
      <c r="PIV146" s="3170"/>
      <c r="PIW146" s="3170"/>
      <c r="PIX146" s="3170"/>
      <c r="PIY146" s="3170"/>
      <c r="PIZ146" s="3170"/>
      <c r="PJA146" s="3170"/>
      <c r="PJB146" s="3170"/>
      <c r="PJC146" s="3170"/>
      <c r="PJD146" s="3170"/>
      <c r="PJE146" s="3170"/>
      <c r="PJF146" s="3170"/>
      <c r="PJG146" s="3170"/>
      <c r="PJH146" s="3170"/>
      <c r="PJI146" s="3170"/>
      <c r="PJJ146" s="3170"/>
      <c r="PJK146" s="3170"/>
      <c r="PJL146" s="3170"/>
      <c r="PJM146" s="3170"/>
      <c r="PJN146" s="3170"/>
      <c r="PJO146" s="3170"/>
      <c r="PJP146" s="3170"/>
      <c r="PJQ146" s="3170"/>
      <c r="PJR146" s="3170"/>
      <c r="PJS146" s="3170"/>
      <c r="PJT146" s="3170"/>
      <c r="PJU146" s="3170"/>
      <c r="PJV146" s="3170"/>
      <c r="PJW146" s="3170"/>
      <c r="PJX146" s="3170"/>
      <c r="PJY146" s="3170"/>
      <c r="PJZ146" s="3170"/>
      <c r="PKA146" s="3170"/>
      <c r="PKB146" s="3170"/>
      <c r="PKC146" s="3170"/>
      <c r="PKD146" s="3170"/>
      <c r="PKE146" s="3170"/>
      <c r="PKF146" s="3170"/>
      <c r="PKG146" s="3170"/>
      <c r="PKH146" s="3170"/>
      <c r="PKI146" s="3170"/>
      <c r="PKJ146" s="3170"/>
      <c r="PKK146" s="3170"/>
      <c r="PKL146" s="3170"/>
      <c r="PKM146" s="3170"/>
      <c r="PKN146" s="3170"/>
      <c r="PKO146" s="3170"/>
      <c r="PKP146" s="3170"/>
      <c r="PKQ146" s="3170"/>
      <c r="PKR146" s="3170"/>
      <c r="PKS146" s="3170"/>
      <c r="PKT146" s="3170"/>
      <c r="PKU146" s="3170"/>
      <c r="PKV146" s="3170"/>
      <c r="PKW146" s="3170"/>
      <c r="PKX146" s="3170"/>
      <c r="PKY146" s="3170"/>
      <c r="PKZ146" s="3170"/>
      <c r="PLA146" s="3170"/>
      <c r="PLB146" s="3170"/>
      <c r="PLC146" s="3170"/>
      <c r="PLD146" s="3170"/>
      <c r="PLE146" s="3170"/>
      <c r="PLF146" s="3170"/>
      <c r="PLG146" s="3170"/>
      <c r="PLH146" s="3170"/>
      <c r="PLI146" s="3170"/>
      <c r="PLJ146" s="3170"/>
      <c r="PLK146" s="3170"/>
      <c r="PLL146" s="3170"/>
      <c r="PLM146" s="3170"/>
      <c r="PLN146" s="3170"/>
      <c r="PLO146" s="3170"/>
      <c r="PLP146" s="3170"/>
      <c r="PLQ146" s="3170"/>
      <c r="PLR146" s="3170"/>
      <c r="PLS146" s="3170"/>
      <c r="PLT146" s="3170"/>
      <c r="PLU146" s="3170"/>
      <c r="PLV146" s="3170"/>
      <c r="PLW146" s="3170"/>
      <c r="PLX146" s="3170"/>
      <c r="PLY146" s="3170"/>
      <c r="PLZ146" s="3170"/>
      <c r="PMA146" s="3170"/>
      <c r="PMB146" s="3170"/>
      <c r="PMC146" s="3170"/>
      <c r="PMD146" s="3170"/>
      <c r="PME146" s="3170"/>
      <c r="PMF146" s="3170"/>
      <c r="PMG146" s="3170"/>
      <c r="PMH146" s="3170"/>
      <c r="PMI146" s="3170"/>
      <c r="PMJ146" s="3170"/>
      <c r="PMK146" s="3170"/>
      <c r="PML146" s="3170"/>
      <c r="PMM146" s="3170"/>
      <c r="PMN146" s="3170"/>
      <c r="PMO146" s="3170"/>
      <c r="PMP146" s="3170"/>
      <c r="PMQ146" s="3170"/>
      <c r="PMR146" s="3170"/>
      <c r="PMS146" s="3170"/>
      <c r="PMT146" s="3170"/>
      <c r="PMU146" s="3170"/>
      <c r="PMV146" s="3170"/>
      <c r="PMW146" s="3170"/>
      <c r="PMX146" s="3170"/>
      <c r="PMY146" s="3170"/>
      <c r="PMZ146" s="3170"/>
      <c r="PNA146" s="3170"/>
      <c r="PNB146" s="3170"/>
      <c r="PNC146" s="3170"/>
      <c r="PND146" s="3170"/>
      <c r="PNE146" s="3170"/>
      <c r="PNF146" s="3170"/>
      <c r="PNG146" s="3170"/>
      <c r="PNH146" s="3170"/>
      <c r="PNI146" s="3170"/>
      <c r="PNJ146" s="3170"/>
      <c r="PNK146" s="3170"/>
      <c r="PNL146" s="3170"/>
      <c r="PNM146" s="3170"/>
      <c r="PNN146" s="3170"/>
      <c r="PNO146" s="3170"/>
      <c r="PNP146" s="3170"/>
      <c r="PNQ146" s="3170"/>
      <c r="PNR146" s="3170"/>
      <c r="PNS146" s="3170"/>
      <c r="PNT146" s="3170"/>
      <c r="PNU146" s="3170"/>
      <c r="PNV146" s="3170"/>
      <c r="PNW146" s="3170"/>
      <c r="PNX146" s="3170"/>
      <c r="PNY146" s="3170"/>
      <c r="PNZ146" s="3170"/>
      <c r="POA146" s="3170"/>
      <c r="POB146" s="3170"/>
      <c r="POC146" s="3170"/>
      <c r="POD146" s="3170"/>
      <c r="POE146" s="3170"/>
      <c r="POF146" s="3170"/>
      <c r="POG146" s="3170"/>
      <c r="POH146" s="3170"/>
      <c r="POI146" s="3170"/>
      <c r="POJ146" s="3170"/>
      <c r="POK146" s="3170"/>
      <c r="POL146" s="3170"/>
      <c r="POM146" s="3170"/>
      <c r="PON146" s="3170"/>
      <c r="POO146" s="3170"/>
      <c r="POP146" s="3170"/>
      <c r="POQ146" s="3170"/>
      <c r="POR146" s="3170"/>
      <c r="POS146" s="3170"/>
      <c r="POT146" s="3170"/>
      <c r="POU146" s="3170"/>
      <c r="POV146" s="3170"/>
      <c r="POW146" s="3170"/>
      <c r="POX146" s="3170"/>
      <c r="POY146" s="3170"/>
      <c r="POZ146" s="3170"/>
      <c r="PPA146" s="3170"/>
      <c r="PPB146" s="3170"/>
      <c r="PPC146" s="3170"/>
      <c r="PPD146" s="3170"/>
      <c r="PPE146" s="3170"/>
      <c r="PPF146" s="3170"/>
      <c r="PPG146" s="3170"/>
      <c r="PPH146" s="3170"/>
      <c r="PPI146" s="3170"/>
      <c r="PPJ146" s="3170"/>
      <c r="PPK146" s="3170"/>
      <c r="PPL146" s="3170"/>
      <c r="PPM146" s="3170"/>
      <c r="PPN146" s="3170"/>
      <c r="PPO146" s="3170"/>
      <c r="PPP146" s="3170"/>
      <c r="PPQ146" s="3170"/>
      <c r="PPR146" s="3170"/>
      <c r="PPS146" s="3170"/>
      <c r="PPT146" s="3170"/>
      <c r="PPU146" s="3170"/>
      <c r="PPV146" s="3170"/>
      <c r="PPW146" s="3170"/>
      <c r="PPX146" s="3170"/>
      <c r="PPY146" s="3170"/>
      <c r="PPZ146" s="3170"/>
      <c r="PQA146" s="3170"/>
      <c r="PQB146" s="3170"/>
      <c r="PQC146" s="3170"/>
      <c r="PQD146" s="3170"/>
      <c r="PQE146" s="3170"/>
      <c r="PQF146" s="3170"/>
      <c r="PQG146" s="3170"/>
      <c r="PQH146" s="3170"/>
      <c r="PQI146" s="3170"/>
      <c r="PQJ146" s="3170"/>
      <c r="PQK146" s="3170"/>
      <c r="PQL146" s="3170"/>
      <c r="PQM146" s="3170"/>
      <c r="PQN146" s="3170"/>
      <c r="PQO146" s="3170"/>
      <c r="PQP146" s="3170"/>
      <c r="PQQ146" s="3170"/>
      <c r="PQR146" s="3170"/>
      <c r="PQS146" s="3170"/>
      <c r="PQT146" s="3170"/>
      <c r="PQU146" s="3170"/>
      <c r="PQV146" s="3170"/>
      <c r="PQW146" s="3170"/>
      <c r="PQX146" s="3170"/>
      <c r="PQY146" s="3170"/>
      <c r="PQZ146" s="3170"/>
      <c r="PRA146" s="3170"/>
      <c r="PRB146" s="3170"/>
      <c r="PRC146" s="3170"/>
      <c r="PRD146" s="3170"/>
      <c r="PRE146" s="3170"/>
      <c r="PRF146" s="3170"/>
      <c r="PRG146" s="3170"/>
      <c r="PRH146" s="3170"/>
      <c r="PRI146" s="3170"/>
      <c r="PRJ146" s="3170"/>
      <c r="PRK146" s="3170"/>
      <c r="PRL146" s="3170"/>
      <c r="PRM146" s="3170"/>
      <c r="PRN146" s="3170"/>
      <c r="PRO146" s="3170"/>
      <c r="PRP146" s="3170"/>
      <c r="PRQ146" s="3170"/>
      <c r="PRR146" s="3170"/>
      <c r="PRS146" s="3170"/>
      <c r="PRT146" s="3170"/>
      <c r="PRU146" s="3170"/>
      <c r="PRV146" s="3170"/>
      <c r="PRW146" s="3170"/>
      <c r="PRX146" s="3170"/>
      <c r="PRY146" s="3170"/>
      <c r="PRZ146" s="3170"/>
      <c r="PSA146" s="3170"/>
      <c r="PSB146" s="3170"/>
      <c r="PSC146" s="3170"/>
      <c r="PSD146" s="3170"/>
      <c r="PSE146" s="3170"/>
      <c r="PSF146" s="3170"/>
      <c r="PSG146" s="3170"/>
      <c r="PSH146" s="3170"/>
      <c r="PSI146" s="3170"/>
      <c r="PSJ146" s="3170"/>
      <c r="PSK146" s="3170"/>
      <c r="PSL146" s="3170"/>
      <c r="PSM146" s="3170"/>
      <c r="PSN146" s="3170"/>
      <c r="PSO146" s="3170"/>
      <c r="PSP146" s="3170"/>
      <c r="PSQ146" s="3170"/>
      <c r="PSR146" s="3170"/>
      <c r="PSS146" s="3170"/>
      <c r="PST146" s="3170"/>
      <c r="PSU146" s="3170"/>
      <c r="PSV146" s="3170"/>
      <c r="PSW146" s="3170"/>
      <c r="PSX146" s="3170"/>
      <c r="PSY146" s="3170"/>
      <c r="PSZ146" s="3170"/>
      <c r="PTA146" s="3170"/>
      <c r="PTB146" s="3170"/>
      <c r="PTC146" s="3170"/>
      <c r="PTD146" s="3170"/>
      <c r="PTE146" s="3170"/>
      <c r="PTF146" s="3170"/>
      <c r="PTG146" s="3170"/>
      <c r="PTH146" s="3170"/>
      <c r="PTI146" s="3170"/>
      <c r="PTJ146" s="3170"/>
      <c r="PTK146" s="3170"/>
      <c r="PTL146" s="3170"/>
      <c r="PTM146" s="3170"/>
      <c r="PTN146" s="3170"/>
      <c r="PTO146" s="3170"/>
      <c r="PTP146" s="3170"/>
      <c r="PTQ146" s="3170"/>
      <c r="PTR146" s="3170"/>
      <c r="PTS146" s="3170"/>
      <c r="PTT146" s="3170"/>
      <c r="PTU146" s="3170"/>
      <c r="PTV146" s="3170"/>
      <c r="PTW146" s="3170"/>
      <c r="PTX146" s="3170"/>
      <c r="PTY146" s="3170"/>
      <c r="PTZ146" s="3170"/>
      <c r="PUA146" s="3170"/>
      <c r="PUB146" s="3170"/>
      <c r="PUC146" s="3170"/>
      <c r="PUD146" s="3170"/>
      <c r="PUE146" s="3170"/>
      <c r="PUF146" s="3170"/>
      <c r="PUG146" s="3170"/>
      <c r="PUH146" s="3170"/>
      <c r="PUI146" s="3170"/>
      <c r="PUJ146" s="3170"/>
      <c r="PUK146" s="3170"/>
      <c r="PUL146" s="3170"/>
      <c r="PUM146" s="3170"/>
      <c r="PUN146" s="3170"/>
      <c r="PUO146" s="3170"/>
      <c r="PUP146" s="3170"/>
      <c r="PUQ146" s="3170"/>
      <c r="PUR146" s="3170"/>
      <c r="PUS146" s="3170"/>
      <c r="PUT146" s="3170"/>
      <c r="PUU146" s="3170"/>
      <c r="PUV146" s="3170"/>
      <c r="PUW146" s="3170"/>
      <c r="PUX146" s="3170"/>
      <c r="PUY146" s="3170"/>
      <c r="PUZ146" s="3170"/>
      <c r="PVA146" s="3170"/>
      <c r="PVB146" s="3170"/>
      <c r="PVC146" s="3170"/>
      <c r="PVD146" s="3170"/>
      <c r="PVE146" s="3170"/>
      <c r="PVF146" s="3170"/>
      <c r="PVG146" s="3170"/>
      <c r="PVH146" s="3170"/>
      <c r="PVI146" s="3170"/>
      <c r="PVJ146" s="3170"/>
      <c r="PVK146" s="3170"/>
      <c r="PVL146" s="3170"/>
      <c r="PVM146" s="3170"/>
      <c r="PVN146" s="3170"/>
      <c r="PVO146" s="3170"/>
      <c r="PVP146" s="3170"/>
      <c r="PVQ146" s="3170"/>
      <c r="PVR146" s="3170"/>
      <c r="PVS146" s="3170"/>
      <c r="PVT146" s="3170"/>
      <c r="PVU146" s="3170"/>
      <c r="PVV146" s="3170"/>
      <c r="PVW146" s="3170"/>
      <c r="PVX146" s="3170"/>
      <c r="PVY146" s="3170"/>
      <c r="PVZ146" s="3170"/>
      <c r="PWA146" s="3170"/>
      <c r="PWB146" s="3170"/>
      <c r="PWC146" s="3170"/>
      <c r="PWD146" s="3170"/>
      <c r="PWE146" s="3170"/>
      <c r="PWF146" s="3170"/>
      <c r="PWG146" s="3170"/>
      <c r="PWH146" s="3170"/>
      <c r="PWI146" s="3170"/>
      <c r="PWJ146" s="3170"/>
      <c r="PWK146" s="3170"/>
      <c r="PWL146" s="3170"/>
      <c r="PWM146" s="3170"/>
      <c r="PWN146" s="3170"/>
      <c r="PWO146" s="3170"/>
      <c r="PWP146" s="3170"/>
      <c r="PWQ146" s="3170"/>
      <c r="PWR146" s="3170"/>
      <c r="PWS146" s="3170"/>
      <c r="PWT146" s="3170"/>
      <c r="PWU146" s="3170"/>
      <c r="PWV146" s="3170"/>
      <c r="PWW146" s="3170"/>
      <c r="PWX146" s="3170"/>
      <c r="PWY146" s="3170"/>
      <c r="PWZ146" s="3170"/>
      <c r="PXA146" s="3170"/>
      <c r="PXB146" s="3170"/>
      <c r="PXC146" s="3170"/>
      <c r="PXD146" s="3170"/>
      <c r="PXE146" s="3170"/>
      <c r="PXF146" s="3170"/>
      <c r="PXG146" s="3170"/>
      <c r="PXH146" s="3170"/>
      <c r="PXI146" s="3170"/>
      <c r="PXJ146" s="3170"/>
      <c r="PXK146" s="3170"/>
      <c r="PXL146" s="3170"/>
      <c r="PXM146" s="3170"/>
      <c r="PXN146" s="3170"/>
      <c r="PXO146" s="3170"/>
      <c r="PXP146" s="3170"/>
      <c r="PXQ146" s="3170"/>
      <c r="PXR146" s="3170"/>
      <c r="PXS146" s="3170"/>
      <c r="PXT146" s="3170"/>
      <c r="PXU146" s="3170"/>
      <c r="PXV146" s="3170"/>
      <c r="PXW146" s="3170"/>
      <c r="PXX146" s="3170"/>
      <c r="PXY146" s="3170"/>
      <c r="PXZ146" s="3170"/>
      <c r="PYA146" s="3170"/>
      <c r="PYB146" s="3170"/>
      <c r="PYC146" s="3170"/>
      <c r="PYD146" s="3170"/>
      <c r="PYE146" s="3170"/>
      <c r="PYF146" s="3170"/>
      <c r="PYG146" s="3170"/>
      <c r="PYH146" s="3170"/>
      <c r="PYI146" s="3170"/>
      <c r="PYJ146" s="3170"/>
      <c r="PYK146" s="3170"/>
      <c r="PYL146" s="3170"/>
      <c r="PYM146" s="3170"/>
      <c r="PYN146" s="3170"/>
      <c r="PYO146" s="3170"/>
      <c r="PYP146" s="3170"/>
      <c r="PYQ146" s="3170"/>
      <c r="PYR146" s="3170"/>
      <c r="PYS146" s="3170"/>
      <c r="PYT146" s="3170"/>
      <c r="PYU146" s="3170"/>
      <c r="PYV146" s="3170"/>
      <c r="PYW146" s="3170"/>
      <c r="PYX146" s="3170"/>
      <c r="PYY146" s="3170"/>
      <c r="PYZ146" s="3170"/>
      <c r="PZA146" s="3170"/>
      <c r="PZB146" s="3170"/>
      <c r="PZC146" s="3170"/>
      <c r="PZD146" s="3170"/>
      <c r="PZE146" s="3170"/>
      <c r="PZF146" s="3170"/>
      <c r="PZG146" s="3170"/>
      <c r="PZH146" s="3170"/>
      <c r="PZI146" s="3170"/>
      <c r="PZJ146" s="3170"/>
      <c r="PZK146" s="3170"/>
      <c r="PZL146" s="3170"/>
      <c r="PZM146" s="3170"/>
      <c r="PZN146" s="3170"/>
      <c r="PZO146" s="3170"/>
      <c r="PZP146" s="3170"/>
      <c r="PZQ146" s="3170"/>
      <c r="PZR146" s="3170"/>
      <c r="PZS146" s="3170"/>
      <c r="PZT146" s="3170"/>
      <c r="PZU146" s="3170"/>
      <c r="PZV146" s="3170"/>
      <c r="PZW146" s="3170"/>
      <c r="PZX146" s="3170"/>
      <c r="PZY146" s="3170"/>
      <c r="PZZ146" s="3170"/>
      <c r="QAA146" s="3170"/>
      <c r="QAB146" s="3170"/>
      <c r="QAC146" s="3170"/>
      <c r="QAD146" s="3170"/>
      <c r="QAE146" s="3170"/>
      <c r="QAF146" s="3170"/>
      <c r="QAG146" s="3170"/>
      <c r="QAH146" s="3170"/>
      <c r="QAI146" s="3170"/>
      <c r="QAJ146" s="3170"/>
      <c r="QAK146" s="3170"/>
      <c r="QAL146" s="3170"/>
      <c r="QAM146" s="3170"/>
      <c r="QAN146" s="3170"/>
      <c r="QAO146" s="3170"/>
      <c r="QAP146" s="3170"/>
      <c r="QAQ146" s="3170"/>
      <c r="QAR146" s="3170"/>
      <c r="QAS146" s="3170"/>
      <c r="QAT146" s="3170"/>
      <c r="QAU146" s="3170"/>
      <c r="QAV146" s="3170"/>
      <c r="QAW146" s="3170"/>
      <c r="QAX146" s="3170"/>
      <c r="QAY146" s="3170"/>
      <c r="QAZ146" s="3170"/>
      <c r="QBA146" s="3170"/>
      <c r="QBB146" s="3170"/>
      <c r="QBC146" s="3170"/>
      <c r="QBD146" s="3170"/>
      <c r="QBE146" s="3170"/>
      <c r="QBF146" s="3170"/>
      <c r="QBG146" s="3170"/>
      <c r="QBH146" s="3170"/>
      <c r="QBI146" s="3170"/>
      <c r="QBJ146" s="3170"/>
      <c r="QBK146" s="3170"/>
      <c r="QBL146" s="3170"/>
      <c r="QBM146" s="3170"/>
      <c r="QBN146" s="3170"/>
      <c r="QBO146" s="3170"/>
      <c r="QBP146" s="3170"/>
      <c r="QBQ146" s="3170"/>
      <c r="QBR146" s="3170"/>
      <c r="QBS146" s="3170"/>
      <c r="QBT146" s="3170"/>
      <c r="QBU146" s="3170"/>
      <c r="QBV146" s="3170"/>
      <c r="QBW146" s="3170"/>
      <c r="QBX146" s="3170"/>
      <c r="QBY146" s="3170"/>
      <c r="QBZ146" s="3170"/>
      <c r="QCA146" s="3170"/>
      <c r="QCB146" s="3170"/>
      <c r="QCC146" s="3170"/>
      <c r="QCD146" s="3170"/>
      <c r="QCE146" s="3170"/>
      <c r="QCF146" s="3170"/>
      <c r="QCG146" s="3170"/>
      <c r="QCH146" s="3170"/>
      <c r="QCI146" s="3170"/>
      <c r="QCJ146" s="3170"/>
      <c r="QCK146" s="3170"/>
      <c r="QCL146" s="3170"/>
      <c r="QCM146" s="3170"/>
      <c r="QCN146" s="3170"/>
      <c r="QCO146" s="3170"/>
      <c r="QCP146" s="3170"/>
      <c r="QCQ146" s="3170"/>
      <c r="QCR146" s="3170"/>
      <c r="QCS146" s="3170"/>
      <c r="QCT146" s="3170"/>
      <c r="QCU146" s="3170"/>
      <c r="QCV146" s="3170"/>
      <c r="QCW146" s="3170"/>
      <c r="QCX146" s="3170"/>
      <c r="QCY146" s="3170"/>
      <c r="QCZ146" s="3170"/>
      <c r="QDA146" s="3170"/>
      <c r="QDB146" s="3170"/>
      <c r="QDC146" s="3170"/>
      <c r="QDD146" s="3170"/>
      <c r="QDE146" s="3170"/>
      <c r="QDF146" s="3170"/>
      <c r="QDG146" s="3170"/>
      <c r="QDH146" s="3170"/>
      <c r="QDI146" s="3170"/>
      <c r="QDJ146" s="3170"/>
      <c r="QDK146" s="3170"/>
      <c r="QDL146" s="3170"/>
      <c r="QDM146" s="3170"/>
      <c r="QDN146" s="3170"/>
      <c r="QDO146" s="3170"/>
      <c r="QDP146" s="3170"/>
      <c r="QDQ146" s="3170"/>
      <c r="QDR146" s="3170"/>
      <c r="QDS146" s="3170"/>
      <c r="QDT146" s="3170"/>
      <c r="QDU146" s="3170"/>
      <c r="QDV146" s="3170"/>
      <c r="QDW146" s="3170"/>
      <c r="QDX146" s="3170"/>
      <c r="QDY146" s="3170"/>
      <c r="QDZ146" s="3170"/>
      <c r="QEA146" s="3170"/>
      <c r="QEB146" s="3170"/>
      <c r="QEC146" s="3170"/>
      <c r="QED146" s="3170"/>
      <c r="QEE146" s="3170"/>
      <c r="QEF146" s="3170"/>
      <c r="QEG146" s="3170"/>
      <c r="QEH146" s="3170"/>
      <c r="QEI146" s="3170"/>
      <c r="QEJ146" s="3170"/>
      <c r="QEK146" s="3170"/>
      <c r="QEL146" s="3170"/>
      <c r="QEM146" s="3170"/>
      <c r="QEN146" s="3170"/>
      <c r="QEO146" s="3170"/>
      <c r="QEP146" s="3170"/>
      <c r="QEQ146" s="3170"/>
      <c r="QER146" s="3170"/>
      <c r="QES146" s="3170"/>
      <c r="QET146" s="3170"/>
      <c r="QEU146" s="3170"/>
      <c r="QEV146" s="3170"/>
      <c r="QEW146" s="3170"/>
      <c r="QEX146" s="3170"/>
      <c r="QEY146" s="3170"/>
      <c r="QEZ146" s="3170"/>
      <c r="QFA146" s="3170"/>
      <c r="QFB146" s="3170"/>
      <c r="QFC146" s="3170"/>
      <c r="QFD146" s="3170"/>
      <c r="QFE146" s="3170"/>
      <c r="QFF146" s="3170"/>
      <c r="QFG146" s="3170"/>
      <c r="QFH146" s="3170"/>
      <c r="QFI146" s="3170"/>
      <c r="QFJ146" s="3170"/>
      <c r="QFK146" s="3170"/>
      <c r="QFL146" s="3170"/>
      <c r="QFM146" s="3170"/>
      <c r="QFN146" s="3170"/>
      <c r="QFO146" s="3170"/>
      <c r="QFP146" s="3170"/>
      <c r="QFQ146" s="3170"/>
      <c r="QFR146" s="3170"/>
      <c r="QFS146" s="3170"/>
      <c r="QFT146" s="3170"/>
      <c r="QFU146" s="3170"/>
      <c r="QFV146" s="3170"/>
      <c r="QFW146" s="3170"/>
      <c r="QFX146" s="3170"/>
      <c r="QFY146" s="3170"/>
      <c r="QFZ146" s="3170"/>
      <c r="QGA146" s="3170"/>
      <c r="QGB146" s="3170"/>
      <c r="QGC146" s="3170"/>
      <c r="QGD146" s="3170"/>
      <c r="QGE146" s="3170"/>
      <c r="QGF146" s="3170"/>
      <c r="QGG146" s="3170"/>
      <c r="QGH146" s="3170"/>
      <c r="QGI146" s="3170"/>
      <c r="QGJ146" s="3170"/>
      <c r="QGK146" s="3170"/>
      <c r="QGL146" s="3170"/>
      <c r="QGM146" s="3170"/>
      <c r="QGN146" s="3170"/>
      <c r="QGO146" s="3170"/>
      <c r="QGP146" s="3170"/>
      <c r="QGQ146" s="3170"/>
      <c r="QGR146" s="3170"/>
      <c r="QGS146" s="3170"/>
      <c r="QGT146" s="3170"/>
      <c r="QGU146" s="3170"/>
      <c r="QGV146" s="3170"/>
      <c r="QGW146" s="3170"/>
      <c r="QGX146" s="3170"/>
      <c r="QGY146" s="3170"/>
      <c r="QGZ146" s="3170"/>
      <c r="QHA146" s="3170"/>
      <c r="QHB146" s="3170"/>
      <c r="QHC146" s="3170"/>
      <c r="QHD146" s="3170"/>
      <c r="QHE146" s="3170"/>
      <c r="QHF146" s="3170"/>
      <c r="QHG146" s="3170"/>
      <c r="QHH146" s="3170"/>
      <c r="QHI146" s="3170"/>
      <c r="QHJ146" s="3170"/>
      <c r="QHK146" s="3170"/>
      <c r="QHL146" s="3170"/>
      <c r="QHM146" s="3170"/>
      <c r="QHN146" s="3170"/>
      <c r="QHO146" s="3170"/>
      <c r="QHP146" s="3170"/>
      <c r="QHQ146" s="3170"/>
      <c r="QHR146" s="3170"/>
      <c r="QHS146" s="3170"/>
      <c r="QHT146" s="3170"/>
      <c r="QHU146" s="3170"/>
      <c r="QHV146" s="3170"/>
      <c r="QHW146" s="3170"/>
      <c r="QHX146" s="3170"/>
      <c r="QHY146" s="3170"/>
      <c r="QHZ146" s="3170"/>
      <c r="QIA146" s="3170"/>
      <c r="QIB146" s="3170"/>
      <c r="QIC146" s="3170"/>
      <c r="QID146" s="3170"/>
      <c r="QIE146" s="3170"/>
      <c r="QIF146" s="3170"/>
      <c r="QIG146" s="3170"/>
      <c r="QIH146" s="3170"/>
      <c r="QII146" s="3170"/>
      <c r="QIJ146" s="3170"/>
      <c r="QIK146" s="3170"/>
      <c r="QIL146" s="3170"/>
      <c r="QIM146" s="3170"/>
      <c r="QIN146" s="3170"/>
      <c r="QIO146" s="3170"/>
      <c r="QIP146" s="3170"/>
      <c r="QIQ146" s="3170"/>
      <c r="QIR146" s="3170"/>
      <c r="QIS146" s="3170"/>
      <c r="QIT146" s="3170"/>
      <c r="QIU146" s="3170"/>
      <c r="QIV146" s="3170"/>
      <c r="QIW146" s="3170"/>
      <c r="QIX146" s="3170"/>
      <c r="QIY146" s="3170"/>
      <c r="QIZ146" s="3170"/>
      <c r="QJA146" s="3170"/>
      <c r="QJB146" s="3170"/>
      <c r="QJC146" s="3170"/>
      <c r="QJD146" s="3170"/>
      <c r="QJE146" s="3170"/>
      <c r="QJF146" s="3170"/>
      <c r="QJG146" s="3170"/>
      <c r="QJH146" s="3170"/>
      <c r="QJI146" s="3170"/>
      <c r="QJJ146" s="3170"/>
      <c r="QJK146" s="3170"/>
      <c r="QJL146" s="3170"/>
      <c r="QJM146" s="3170"/>
      <c r="QJN146" s="3170"/>
      <c r="QJO146" s="3170"/>
      <c r="QJP146" s="3170"/>
      <c r="QJQ146" s="3170"/>
      <c r="QJR146" s="3170"/>
      <c r="QJS146" s="3170"/>
      <c r="QJT146" s="3170"/>
      <c r="QJU146" s="3170"/>
      <c r="QJV146" s="3170"/>
      <c r="QJW146" s="3170"/>
      <c r="QJX146" s="3170"/>
      <c r="QJY146" s="3170"/>
      <c r="QJZ146" s="3170"/>
      <c r="QKA146" s="3170"/>
      <c r="QKB146" s="3170"/>
      <c r="QKC146" s="3170"/>
      <c r="QKD146" s="3170"/>
      <c r="QKE146" s="3170"/>
      <c r="QKF146" s="3170"/>
      <c r="QKG146" s="3170"/>
      <c r="QKH146" s="3170"/>
      <c r="QKI146" s="3170"/>
      <c r="QKJ146" s="3170"/>
      <c r="QKK146" s="3170"/>
      <c r="QKL146" s="3170"/>
      <c r="QKM146" s="3170"/>
      <c r="QKN146" s="3170"/>
      <c r="QKO146" s="3170"/>
      <c r="QKP146" s="3170"/>
      <c r="QKQ146" s="3170"/>
      <c r="QKR146" s="3170"/>
      <c r="QKS146" s="3170"/>
      <c r="QKT146" s="3170"/>
      <c r="QKU146" s="3170"/>
      <c r="QKV146" s="3170"/>
      <c r="QKW146" s="3170"/>
      <c r="QKX146" s="3170"/>
      <c r="QKY146" s="3170"/>
      <c r="QKZ146" s="3170"/>
      <c r="QLA146" s="3170"/>
      <c r="QLB146" s="3170"/>
      <c r="QLC146" s="3170"/>
      <c r="QLD146" s="3170"/>
      <c r="QLE146" s="3170"/>
      <c r="QLF146" s="3170"/>
      <c r="QLG146" s="3170"/>
      <c r="QLH146" s="3170"/>
      <c r="QLI146" s="3170"/>
      <c r="QLJ146" s="3170"/>
      <c r="QLK146" s="3170"/>
      <c r="QLL146" s="3170"/>
      <c r="QLM146" s="3170"/>
      <c r="QLN146" s="3170"/>
      <c r="QLO146" s="3170"/>
      <c r="QLP146" s="3170"/>
      <c r="QLQ146" s="3170"/>
      <c r="QLR146" s="3170"/>
      <c r="QLS146" s="3170"/>
      <c r="QLT146" s="3170"/>
      <c r="QLU146" s="3170"/>
      <c r="QLV146" s="3170"/>
      <c r="QLW146" s="3170"/>
      <c r="QLX146" s="3170"/>
      <c r="QLY146" s="3170"/>
      <c r="QLZ146" s="3170"/>
      <c r="QMA146" s="3170"/>
      <c r="QMB146" s="3170"/>
      <c r="QMC146" s="3170"/>
      <c r="QMD146" s="3170"/>
      <c r="QME146" s="3170"/>
      <c r="QMF146" s="3170"/>
      <c r="QMG146" s="3170"/>
      <c r="QMH146" s="3170"/>
      <c r="QMI146" s="3170"/>
      <c r="QMJ146" s="3170"/>
      <c r="QMK146" s="3170"/>
      <c r="QML146" s="3170"/>
      <c r="QMM146" s="3170"/>
      <c r="QMN146" s="3170"/>
      <c r="QMO146" s="3170"/>
      <c r="QMP146" s="3170"/>
      <c r="QMQ146" s="3170"/>
      <c r="QMR146" s="3170"/>
      <c r="QMS146" s="3170"/>
      <c r="QMT146" s="3170"/>
      <c r="QMU146" s="3170"/>
      <c r="QMV146" s="3170"/>
      <c r="QMW146" s="3170"/>
      <c r="QMX146" s="3170"/>
      <c r="QMY146" s="3170"/>
      <c r="QMZ146" s="3170"/>
      <c r="QNA146" s="3170"/>
      <c r="QNB146" s="3170"/>
      <c r="QNC146" s="3170"/>
      <c r="QND146" s="3170"/>
      <c r="QNE146" s="3170"/>
      <c r="QNF146" s="3170"/>
      <c r="QNG146" s="3170"/>
      <c r="QNH146" s="3170"/>
      <c r="QNI146" s="3170"/>
      <c r="QNJ146" s="3170"/>
      <c r="QNK146" s="3170"/>
      <c r="QNL146" s="3170"/>
      <c r="QNM146" s="3170"/>
      <c r="QNN146" s="3170"/>
      <c r="QNO146" s="3170"/>
      <c r="QNP146" s="3170"/>
      <c r="QNQ146" s="3170"/>
      <c r="QNR146" s="3170"/>
      <c r="QNS146" s="3170"/>
      <c r="QNT146" s="3170"/>
      <c r="QNU146" s="3170"/>
      <c r="QNV146" s="3170"/>
      <c r="QNW146" s="3170"/>
      <c r="QNX146" s="3170"/>
      <c r="QNY146" s="3170"/>
      <c r="QNZ146" s="3170"/>
      <c r="QOA146" s="3170"/>
      <c r="QOB146" s="3170"/>
      <c r="QOC146" s="3170"/>
      <c r="QOD146" s="3170"/>
      <c r="QOE146" s="3170"/>
      <c r="QOF146" s="3170"/>
      <c r="QOG146" s="3170"/>
      <c r="QOH146" s="3170"/>
      <c r="QOI146" s="3170"/>
      <c r="QOJ146" s="3170"/>
      <c r="QOK146" s="3170"/>
      <c r="QOL146" s="3170"/>
      <c r="QOM146" s="3170"/>
      <c r="QON146" s="3170"/>
      <c r="QOO146" s="3170"/>
      <c r="QOP146" s="3170"/>
      <c r="QOQ146" s="3170"/>
      <c r="QOR146" s="3170"/>
      <c r="QOS146" s="3170"/>
      <c r="QOT146" s="3170"/>
      <c r="QOU146" s="3170"/>
      <c r="QOV146" s="3170"/>
      <c r="QOW146" s="3170"/>
      <c r="QOX146" s="3170"/>
      <c r="QOY146" s="3170"/>
      <c r="QOZ146" s="3170"/>
      <c r="QPA146" s="3170"/>
      <c r="QPB146" s="3170"/>
      <c r="QPC146" s="3170"/>
      <c r="QPD146" s="3170"/>
      <c r="QPE146" s="3170"/>
      <c r="QPF146" s="3170"/>
      <c r="QPG146" s="3170"/>
      <c r="QPH146" s="3170"/>
      <c r="QPI146" s="3170"/>
      <c r="QPJ146" s="3170"/>
      <c r="QPK146" s="3170"/>
      <c r="QPL146" s="3170"/>
      <c r="QPM146" s="3170"/>
      <c r="QPN146" s="3170"/>
      <c r="QPO146" s="3170"/>
      <c r="QPP146" s="3170"/>
      <c r="QPQ146" s="3170"/>
      <c r="QPR146" s="3170"/>
      <c r="QPS146" s="3170"/>
      <c r="QPT146" s="3170"/>
      <c r="QPU146" s="3170"/>
      <c r="QPV146" s="3170"/>
      <c r="QPW146" s="3170"/>
      <c r="QPX146" s="3170"/>
      <c r="QPY146" s="3170"/>
      <c r="QPZ146" s="3170"/>
      <c r="QQA146" s="3170"/>
      <c r="QQB146" s="3170"/>
      <c r="QQC146" s="3170"/>
      <c r="QQD146" s="3170"/>
      <c r="QQE146" s="3170"/>
      <c r="QQF146" s="3170"/>
      <c r="QQG146" s="3170"/>
      <c r="QQH146" s="3170"/>
      <c r="QQI146" s="3170"/>
      <c r="QQJ146" s="3170"/>
      <c r="QQK146" s="3170"/>
      <c r="QQL146" s="3170"/>
      <c r="QQM146" s="3170"/>
      <c r="QQN146" s="3170"/>
      <c r="QQO146" s="3170"/>
      <c r="QQP146" s="3170"/>
      <c r="QQQ146" s="3170"/>
      <c r="QQR146" s="3170"/>
      <c r="QQS146" s="3170"/>
      <c r="QQT146" s="3170"/>
      <c r="QQU146" s="3170"/>
      <c r="QQV146" s="3170"/>
      <c r="QQW146" s="3170"/>
      <c r="QQX146" s="3170"/>
      <c r="QQY146" s="3170"/>
      <c r="QQZ146" s="3170"/>
      <c r="QRA146" s="3170"/>
      <c r="QRB146" s="3170"/>
      <c r="QRC146" s="3170"/>
      <c r="QRD146" s="3170"/>
      <c r="QRE146" s="3170"/>
      <c r="QRF146" s="3170"/>
      <c r="QRG146" s="3170"/>
      <c r="QRH146" s="3170"/>
      <c r="QRI146" s="3170"/>
      <c r="QRJ146" s="3170"/>
      <c r="QRK146" s="3170"/>
      <c r="QRL146" s="3170"/>
      <c r="QRM146" s="3170"/>
      <c r="QRN146" s="3170"/>
      <c r="QRO146" s="3170"/>
      <c r="QRP146" s="3170"/>
      <c r="QRQ146" s="3170"/>
      <c r="QRR146" s="3170"/>
      <c r="QRS146" s="3170"/>
      <c r="QRT146" s="3170"/>
      <c r="QRU146" s="3170"/>
      <c r="QRV146" s="3170"/>
      <c r="QRW146" s="3170"/>
      <c r="QRX146" s="3170"/>
      <c r="QRY146" s="3170"/>
      <c r="QRZ146" s="3170"/>
      <c r="QSA146" s="3170"/>
      <c r="QSB146" s="3170"/>
      <c r="QSC146" s="3170"/>
      <c r="QSD146" s="3170"/>
      <c r="QSE146" s="3170"/>
      <c r="QSF146" s="3170"/>
      <c r="QSG146" s="3170"/>
      <c r="QSH146" s="3170"/>
      <c r="QSI146" s="3170"/>
      <c r="QSJ146" s="3170"/>
      <c r="QSK146" s="3170"/>
      <c r="QSL146" s="3170"/>
      <c r="QSM146" s="3170"/>
      <c r="QSN146" s="3170"/>
      <c r="QSO146" s="3170"/>
      <c r="QSP146" s="3170"/>
      <c r="QSQ146" s="3170"/>
      <c r="QSR146" s="3170"/>
      <c r="QSS146" s="3170"/>
      <c r="QST146" s="3170"/>
      <c r="QSU146" s="3170"/>
      <c r="QSV146" s="3170"/>
      <c r="QSW146" s="3170"/>
      <c r="QSX146" s="3170"/>
      <c r="QSY146" s="3170"/>
      <c r="QSZ146" s="3170"/>
      <c r="QTA146" s="3170"/>
      <c r="QTB146" s="3170"/>
      <c r="QTC146" s="3170"/>
      <c r="QTD146" s="3170"/>
      <c r="QTE146" s="3170"/>
      <c r="QTF146" s="3170"/>
      <c r="QTG146" s="3170"/>
      <c r="QTH146" s="3170"/>
      <c r="QTI146" s="3170"/>
      <c r="QTJ146" s="3170"/>
      <c r="QTK146" s="3170"/>
      <c r="QTL146" s="3170"/>
      <c r="QTM146" s="3170"/>
      <c r="QTN146" s="3170"/>
      <c r="QTO146" s="3170"/>
      <c r="QTP146" s="3170"/>
      <c r="QTQ146" s="3170"/>
      <c r="QTR146" s="3170"/>
      <c r="QTS146" s="3170"/>
      <c r="QTT146" s="3170"/>
      <c r="QTU146" s="3170"/>
      <c r="QTV146" s="3170"/>
      <c r="QTW146" s="3170"/>
      <c r="QTX146" s="3170"/>
      <c r="QTY146" s="3170"/>
      <c r="QTZ146" s="3170"/>
      <c r="QUA146" s="3170"/>
      <c r="QUB146" s="3170"/>
      <c r="QUC146" s="3170"/>
      <c r="QUD146" s="3170"/>
      <c r="QUE146" s="3170"/>
      <c r="QUF146" s="3170"/>
      <c r="QUG146" s="3170"/>
      <c r="QUH146" s="3170"/>
      <c r="QUI146" s="3170"/>
      <c r="QUJ146" s="3170"/>
      <c r="QUK146" s="3170"/>
      <c r="QUL146" s="3170"/>
      <c r="QUM146" s="3170"/>
      <c r="QUN146" s="3170"/>
      <c r="QUO146" s="3170"/>
      <c r="QUP146" s="3170"/>
      <c r="QUQ146" s="3170"/>
      <c r="QUR146" s="3170"/>
      <c r="QUS146" s="3170"/>
      <c r="QUT146" s="3170"/>
      <c r="QUU146" s="3170"/>
      <c r="QUV146" s="3170"/>
      <c r="QUW146" s="3170"/>
      <c r="QUX146" s="3170"/>
      <c r="QUY146" s="3170"/>
      <c r="QUZ146" s="3170"/>
      <c r="QVA146" s="3170"/>
      <c r="QVB146" s="3170"/>
      <c r="QVC146" s="3170"/>
      <c r="QVD146" s="3170"/>
      <c r="QVE146" s="3170"/>
      <c r="QVF146" s="3170"/>
      <c r="QVG146" s="3170"/>
      <c r="QVH146" s="3170"/>
      <c r="QVI146" s="3170"/>
      <c r="QVJ146" s="3170"/>
      <c r="QVK146" s="3170"/>
      <c r="QVL146" s="3170"/>
      <c r="QVM146" s="3170"/>
      <c r="QVN146" s="3170"/>
      <c r="QVO146" s="3170"/>
      <c r="QVP146" s="3170"/>
      <c r="QVQ146" s="3170"/>
      <c r="QVR146" s="3170"/>
      <c r="QVS146" s="3170"/>
      <c r="QVT146" s="3170"/>
      <c r="QVU146" s="3170"/>
      <c r="QVV146" s="3170"/>
      <c r="QVW146" s="3170"/>
      <c r="QVX146" s="3170"/>
      <c r="QVY146" s="3170"/>
      <c r="QVZ146" s="3170"/>
      <c r="QWA146" s="3170"/>
      <c r="QWB146" s="3170"/>
      <c r="QWC146" s="3170"/>
      <c r="QWD146" s="3170"/>
      <c r="QWE146" s="3170"/>
      <c r="QWF146" s="3170"/>
      <c r="QWG146" s="3170"/>
      <c r="QWH146" s="3170"/>
      <c r="QWI146" s="3170"/>
      <c r="QWJ146" s="3170"/>
      <c r="QWK146" s="3170"/>
      <c r="QWL146" s="3170"/>
      <c r="QWM146" s="3170"/>
      <c r="QWN146" s="3170"/>
      <c r="QWO146" s="3170"/>
      <c r="QWP146" s="3170"/>
      <c r="QWQ146" s="3170"/>
      <c r="QWR146" s="3170"/>
      <c r="QWS146" s="3170"/>
      <c r="QWT146" s="3170"/>
      <c r="QWU146" s="3170"/>
      <c r="QWV146" s="3170"/>
      <c r="QWW146" s="3170"/>
      <c r="QWX146" s="3170"/>
      <c r="QWY146" s="3170"/>
      <c r="QWZ146" s="3170"/>
      <c r="QXA146" s="3170"/>
      <c r="QXB146" s="3170"/>
      <c r="QXC146" s="3170"/>
      <c r="QXD146" s="3170"/>
      <c r="QXE146" s="3170"/>
      <c r="QXF146" s="3170"/>
      <c r="QXG146" s="3170"/>
      <c r="QXH146" s="3170"/>
      <c r="QXI146" s="3170"/>
      <c r="QXJ146" s="3170"/>
      <c r="QXK146" s="3170"/>
      <c r="QXL146" s="3170"/>
      <c r="QXM146" s="3170"/>
      <c r="QXN146" s="3170"/>
      <c r="QXO146" s="3170"/>
      <c r="QXP146" s="3170"/>
      <c r="QXQ146" s="3170"/>
      <c r="QXR146" s="3170"/>
      <c r="QXS146" s="3170"/>
      <c r="QXT146" s="3170"/>
      <c r="QXU146" s="3170"/>
      <c r="QXV146" s="3170"/>
      <c r="QXW146" s="3170"/>
      <c r="QXX146" s="3170"/>
      <c r="QXY146" s="3170"/>
      <c r="QXZ146" s="3170"/>
      <c r="QYA146" s="3170"/>
      <c r="QYB146" s="3170"/>
      <c r="QYC146" s="3170"/>
      <c r="QYD146" s="3170"/>
      <c r="QYE146" s="3170"/>
      <c r="QYF146" s="3170"/>
      <c r="QYG146" s="3170"/>
      <c r="QYH146" s="3170"/>
      <c r="QYI146" s="3170"/>
      <c r="QYJ146" s="3170"/>
      <c r="QYK146" s="3170"/>
      <c r="QYL146" s="3170"/>
      <c r="QYM146" s="3170"/>
      <c r="QYN146" s="3170"/>
      <c r="QYO146" s="3170"/>
      <c r="QYP146" s="3170"/>
      <c r="QYQ146" s="3170"/>
      <c r="QYR146" s="3170"/>
      <c r="QYS146" s="3170"/>
      <c r="QYT146" s="3170"/>
      <c r="QYU146" s="3170"/>
      <c r="QYV146" s="3170"/>
      <c r="QYW146" s="3170"/>
      <c r="QYX146" s="3170"/>
      <c r="QYY146" s="3170"/>
      <c r="QYZ146" s="3170"/>
      <c r="QZA146" s="3170"/>
      <c r="QZB146" s="3170"/>
      <c r="QZC146" s="3170"/>
      <c r="QZD146" s="3170"/>
      <c r="QZE146" s="3170"/>
      <c r="QZF146" s="3170"/>
      <c r="QZG146" s="3170"/>
      <c r="QZH146" s="3170"/>
      <c r="QZI146" s="3170"/>
      <c r="QZJ146" s="3170"/>
      <c r="QZK146" s="3170"/>
      <c r="QZL146" s="3170"/>
      <c r="QZM146" s="3170"/>
      <c r="QZN146" s="3170"/>
      <c r="QZO146" s="3170"/>
      <c r="QZP146" s="3170"/>
      <c r="QZQ146" s="3170"/>
      <c r="QZR146" s="3170"/>
      <c r="QZS146" s="3170"/>
      <c r="QZT146" s="3170"/>
      <c r="QZU146" s="3170"/>
      <c r="QZV146" s="3170"/>
      <c r="QZW146" s="3170"/>
      <c r="QZX146" s="3170"/>
      <c r="QZY146" s="3170"/>
      <c r="QZZ146" s="3170"/>
      <c r="RAA146" s="3170"/>
      <c r="RAB146" s="3170"/>
      <c r="RAC146" s="3170"/>
      <c r="RAD146" s="3170"/>
      <c r="RAE146" s="3170"/>
      <c r="RAF146" s="3170"/>
      <c r="RAG146" s="3170"/>
      <c r="RAH146" s="3170"/>
      <c r="RAI146" s="3170"/>
      <c r="RAJ146" s="3170"/>
      <c r="RAK146" s="3170"/>
      <c r="RAL146" s="3170"/>
      <c r="RAM146" s="3170"/>
      <c r="RAN146" s="3170"/>
      <c r="RAO146" s="3170"/>
      <c r="RAP146" s="3170"/>
      <c r="RAQ146" s="3170"/>
      <c r="RAR146" s="3170"/>
      <c r="RAS146" s="3170"/>
      <c r="RAT146" s="3170"/>
      <c r="RAU146" s="3170"/>
      <c r="RAV146" s="3170"/>
      <c r="RAW146" s="3170"/>
      <c r="RAX146" s="3170"/>
      <c r="RAY146" s="3170"/>
      <c r="RAZ146" s="3170"/>
      <c r="RBA146" s="3170"/>
      <c r="RBB146" s="3170"/>
      <c r="RBC146" s="3170"/>
      <c r="RBD146" s="3170"/>
      <c r="RBE146" s="3170"/>
      <c r="RBF146" s="3170"/>
      <c r="RBG146" s="3170"/>
      <c r="RBH146" s="3170"/>
      <c r="RBI146" s="3170"/>
      <c r="RBJ146" s="3170"/>
      <c r="RBK146" s="3170"/>
      <c r="RBL146" s="3170"/>
      <c r="RBM146" s="3170"/>
      <c r="RBN146" s="3170"/>
      <c r="RBO146" s="3170"/>
      <c r="RBP146" s="3170"/>
      <c r="RBQ146" s="3170"/>
      <c r="RBR146" s="3170"/>
      <c r="RBS146" s="3170"/>
      <c r="RBT146" s="3170"/>
      <c r="RBU146" s="3170"/>
      <c r="RBV146" s="3170"/>
      <c r="RBW146" s="3170"/>
      <c r="RBX146" s="3170"/>
      <c r="RBY146" s="3170"/>
      <c r="RBZ146" s="3170"/>
      <c r="RCA146" s="3170"/>
      <c r="RCB146" s="3170"/>
      <c r="RCC146" s="3170"/>
      <c r="RCD146" s="3170"/>
      <c r="RCE146" s="3170"/>
      <c r="RCF146" s="3170"/>
      <c r="RCG146" s="3170"/>
      <c r="RCH146" s="3170"/>
      <c r="RCI146" s="3170"/>
      <c r="RCJ146" s="3170"/>
      <c r="RCK146" s="3170"/>
      <c r="RCL146" s="3170"/>
      <c r="RCM146" s="3170"/>
      <c r="RCN146" s="3170"/>
      <c r="RCO146" s="3170"/>
      <c r="RCP146" s="3170"/>
      <c r="RCQ146" s="3170"/>
      <c r="RCR146" s="3170"/>
      <c r="RCS146" s="3170"/>
      <c r="RCT146" s="3170"/>
      <c r="RCU146" s="3170"/>
      <c r="RCV146" s="3170"/>
      <c r="RCW146" s="3170"/>
      <c r="RCX146" s="3170"/>
      <c r="RCY146" s="3170"/>
      <c r="RCZ146" s="3170"/>
      <c r="RDA146" s="3170"/>
      <c r="RDB146" s="3170"/>
      <c r="RDC146" s="3170"/>
      <c r="RDD146" s="3170"/>
      <c r="RDE146" s="3170"/>
      <c r="RDF146" s="3170"/>
      <c r="RDG146" s="3170"/>
      <c r="RDH146" s="3170"/>
      <c r="RDI146" s="3170"/>
      <c r="RDJ146" s="3170"/>
      <c r="RDK146" s="3170"/>
      <c r="RDL146" s="3170"/>
      <c r="RDM146" s="3170"/>
      <c r="RDN146" s="3170"/>
      <c r="RDO146" s="3170"/>
      <c r="RDP146" s="3170"/>
      <c r="RDQ146" s="3170"/>
      <c r="RDR146" s="3170"/>
      <c r="RDS146" s="3170"/>
      <c r="RDT146" s="3170"/>
      <c r="RDU146" s="3170"/>
      <c r="RDV146" s="3170"/>
      <c r="RDW146" s="3170"/>
      <c r="RDX146" s="3170"/>
      <c r="RDY146" s="3170"/>
      <c r="RDZ146" s="3170"/>
      <c r="REA146" s="3170"/>
      <c r="REB146" s="3170"/>
      <c r="REC146" s="3170"/>
      <c r="RED146" s="3170"/>
      <c r="REE146" s="3170"/>
      <c r="REF146" s="3170"/>
      <c r="REG146" s="3170"/>
      <c r="REH146" s="3170"/>
      <c r="REI146" s="3170"/>
      <c r="REJ146" s="3170"/>
      <c r="REK146" s="3170"/>
      <c r="REL146" s="3170"/>
      <c r="REM146" s="3170"/>
      <c r="REN146" s="3170"/>
      <c r="REO146" s="3170"/>
      <c r="REP146" s="3170"/>
      <c r="REQ146" s="3170"/>
      <c r="RER146" s="3170"/>
      <c r="RES146" s="3170"/>
      <c r="RET146" s="3170"/>
      <c r="REU146" s="3170"/>
      <c r="REV146" s="3170"/>
      <c r="REW146" s="3170"/>
      <c r="REX146" s="3170"/>
      <c r="REY146" s="3170"/>
      <c r="REZ146" s="3170"/>
      <c r="RFA146" s="3170"/>
      <c r="RFB146" s="3170"/>
      <c r="RFC146" s="3170"/>
      <c r="RFD146" s="3170"/>
      <c r="RFE146" s="3170"/>
      <c r="RFF146" s="3170"/>
      <c r="RFG146" s="3170"/>
      <c r="RFH146" s="3170"/>
      <c r="RFI146" s="3170"/>
      <c r="RFJ146" s="3170"/>
      <c r="RFK146" s="3170"/>
      <c r="RFL146" s="3170"/>
      <c r="RFM146" s="3170"/>
      <c r="RFN146" s="3170"/>
      <c r="RFO146" s="3170"/>
      <c r="RFP146" s="3170"/>
      <c r="RFQ146" s="3170"/>
      <c r="RFR146" s="3170"/>
      <c r="RFS146" s="3170"/>
      <c r="RFT146" s="3170"/>
      <c r="RFU146" s="3170"/>
      <c r="RFV146" s="3170"/>
      <c r="RFW146" s="3170"/>
      <c r="RFX146" s="3170"/>
      <c r="RFY146" s="3170"/>
      <c r="RFZ146" s="3170"/>
      <c r="RGA146" s="3170"/>
      <c r="RGB146" s="3170"/>
      <c r="RGC146" s="3170"/>
      <c r="RGD146" s="3170"/>
      <c r="RGE146" s="3170"/>
      <c r="RGF146" s="3170"/>
      <c r="RGG146" s="3170"/>
      <c r="RGH146" s="3170"/>
      <c r="RGI146" s="3170"/>
      <c r="RGJ146" s="3170"/>
      <c r="RGK146" s="3170"/>
      <c r="RGL146" s="3170"/>
      <c r="RGM146" s="3170"/>
      <c r="RGN146" s="3170"/>
      <c r="RGO146" s="3170"/>
      <c r="RGP146" s="3170"/>
      <c r="RGQ146" s="3170"/>
      <c r="RGR146" s="3170"/>
      <c r="RGS146" s="3170"/>
      <c r="RGT146" s="3170"/>
      <c r="RGU146" s="3170"/>
      <c r="RGV146" s="3170"/>
      <c r="RGW146" s="3170"/>
      <c r="RGX146" s="3170"/>
      <c r="RGY146" s="3170"/>
      <c r="RGZ146" s="3170"/>
      <c r="RHA146" s="3170"/>
      <c r="RHB146" s="3170"/>
      <c r="RHC146" s="3170"/>
      <c r="RHD146" s="3170"/>
      <c r="RHE146" s="3170"/>
      <c r="RHF146" s="3170"/>
      <c r="RHG146" s="3170"/>
      <c r="RHH146" s="3170"/>
      <c r="RHI146" s="3170"/>
      <c r="RHJ146" s="3170"/>
      <c r="RHK146" s="3170"/>
      <c r="RHL146" s="3170"/>
      <c r="RHM146" s="3170"/>
      <c r="RHN146" s="3170"/>
      <c r="RHO146" s="3170"/>
      <c r="RHP146" s="3170"/>
      <c r="RHQ146" s="3170"/>
      <c r="RHR146" s="3170"/>
      <c r="RHS146" s="3170"/>
      <c r="RHT146" s="3170"/>
      <c r="RHU146" s="3170"/>
      <c r="RHV146" s="3170"/>
      <c r="RHW146" s="3170"/>
      <c r="RHX146" s="3170"/>
      <c r="RHY146" s="3170"/>
      <c r="RHZ146" s="3170"/>
      <c r="RIA146" s="3170"/>
      <c r="RIB146" s="3170"/>
      <c r="RIC146" s="3170"/>
      <c r="RID146" s="3170"/>
      <c r="RIE146" s="3170"/>
      <c r="RIF146" s="3170"/>
      <c r="RIG146" s="3170"/>
      <c r="RIH146" s="3170"/>
      <c r="RII146" s="3170"/>
      <c r="RIJ146" s="3170"/>
      <c r="RIK146" s="3170"/>
      <c r="RIL146" s="3170"/>
      <c r="RIM146" s="3170"/>
      <c r="RIN146" s="3170"/>
      <c r="RIO146" s="3170"/>
      <c r="RIP146" s="3170"/>
      <c r="RIQ146" s="3170"/>
      <c r="RIR146" s="3170"/>
      <c r="RIS146" s="3170"/>
      <c r="RIT146" s="3170"/>
      <c r="RIU146" s="3170"/>
      <c r="RIV146" s="3170"/>
      <c r="RIW146" s="3170"/>
      <c r="RIX146" s="3170"/>
      <c r="RIY146" s="3170"/>
      <c r="RIZ146" s="3170"/>
      <c r="RJA146" s="3170"/>
      <c r="RJB146" s="3170"/>
      <c r="RJC146" s="3170"/>
      <c r="RJD146" s="3170"/>
      <c r="RJE146" s="3170"/>
      <c r="RJF146" s="3170"/>
      <c r="RJG146" s="3170"/>
      <c r="RJH146" s="3170"/>
      <c r="RJI146" s="3170"/>
      <c r="RJJ146" s="3170"/>
      <c r="RJK146" s="3170"/>
      <c r="RJL146" s="3170"/>
      <c r="RJM146" s="3170"/>
      <c r="RJN146" s="3170"/>
      <c r="RJO146" s="3170"/>
      <c r="RJP146" s="3170"/>
      <c r="RJQ146" s="3170"/>
      <c r="RJR146" s="3170"/>
      <c r="RJS146" s="3170"/>
      <c r="RJT146" s="3170"/>
      <c r="RJU146" s="3170"/>
      <c r="RJV146" s="3170"/>
      <c r="RJW146" s="3170"/>
      <c r="RJX146" s="3170"/>
      <c r="RJY146" s="3170"/>
      <c r="RJZ146" s="3170"/>
      <c r="RKA146" s="3170"/>
      <c r="RKB146" s="3170"/>
      <c r="RKC146" s="3170"/>
      <c r="RKD146" s="3170"/>
      <c r="RKE146" s="3170"/>
      <c r="RKF146" s="3170"/>
      <c r="RKG146" s="3170"/>
      <c r="RKH146" s="3170"/>
      <c r="RKI146" s="3170"/>
      <c r="RKJ146" s="3170"/>
      <c r="RKK146" s="3170"/>
      <c r="RKL146" s="3170"/>
      <c r="RKM146" s="3170"/>
      <c r="RKN146" s="3170"/>
      <c r="RKO146" s="3170"/>
      <c r="RKP146" s="3170"/>
      <c r="RKQ146" s="3170"/>
      <c r="RKR146" s="3170"/>
      <c r="RKS146" s="3170"/>
      <c r="RKT146" s="3170"/>
      <c r="RKU146" s="3170"/>
      <c r="RKV146" s="3170"/>
      <c r="RKW146" s="3170"/>
      <c r="RKX146" s="3170"/>
      <c r="RKY146" s="3170"/>
      <c r="RKZ146" s="3170"/>
      <c r="RLA146" s="3170"/>
      <c r="RLB146" s="3170"/>
      <c r="RLC146" s="3170"/>
      <c r="RLD146" s="3170"/>
      <c r="RLE146" s="3170"/>
      <c r="RLF146" s="3170"/>
      <c r="RLG146" s="3170"/>
      <c r="RLH146" s="3170"/>
      <c r="RLI146" s="3170"/>
      <c r="RLJ146" s="3170"/>
      <c r="RLK146" s="3170"/>
      <c r="RLL146" s="3170"/>
      <c r="RLM146" s="3170"/>
      <c r="RLN146" s="3170"/>
      <c r="RLO146" s="3170"/>
      <c r="RLP146" s="3170"/>
      <c r="RLQ146" s="3170"/>
      <c r="RLR146" s="3170"/>
      <c r="RLS146" s="3170"/>
      <c r="RLT146" s="3170"/>
      <c r="RLU146" s="3170"/>
      <c r="RLV146" s="3170"/>
      <c r="RLW146" s="3170"/>
      <c r="RLX146" s="3170"/>
      <c r="RLY146" s="3170"/>
      <c r="RLZ146" s="3170"/>
      <c r="RMA146" s="3170"/>
      <c r="RMB146" s="3170"/>
      <c r="RMC146" s="3170"/>
      <c r="RMD146" s="3170"/>
      <c r="RME146" s="3170"/>
      <c r="RMF146" s="3170"/>
      <c r="RMG146" s="3170"/>
      <c r="RMH146" s="3170"/>
      <c r="RMI146" s="3170"/>
      <c r="RMJ146" s="3170"/>
      <c r="RMK146" s="3170"/>
      <c r="RML146" s="3170"/>
      <c r="RMM146" s="3170"/>
      <c r="RMN146" s="3170"/>
      <c r="RMO146" s="3170"/>
      <c r="RMP146" s="3170"/>
      <c r="RMQ146" s="3170"/>
      <c r="RMR146" s="3170"/>
      <c r="RMS146" s="3170"/>
      <c r="RMT146" s="3170"/>
      <c r="RMU146" s="3170"/>
      <c r="RMV146" s="3170"/>
      <c r="RMW146" s="3170"/>
      <c r="RMX146" s="3170"/>
      <c r="RMY146" s="3170"/>
      <c r="RMZ146" s="3170"/>
      <c r="RNA146" s="3170"/>
      <c r="RNB146" s="3170"/>
      <c r="RNC146" s="3170"/>
      <c r="RND146" s="3170"/>
      <c r="RNE146" s="3170"/>
      <c r="RNF146" s="3170"/>
      <c r="RNG146" s="3170"/>
      <c r="RNH146" s="3170"/>
      <c r="RNI146" s="3170"/>
      <c r="RNJ146" s="3170"/>
      <c r="RNK146" s="3170"/>
      <c r="RNL146" s="3170"/>
      <c r="RNM146" s="3170"/>
      <c r="RNN146" s="3170"/>
      <c r="RNO146" s="3170"/>
      <c r="RNP146" s="3170"/>
      <c r="RNQ146" s="3170"/>
      <c r="RNR146" s="3170"/>
      <c r="RNS146" s="3170"/>
      <c r="RNT146" s="3170"/>
      <c r="RNU146" s="3170"/>
      <c r="RNV146" s="3170"/>
      <c r="RNW146" s="3170"/>
      <c r="RNX146" s="3170"/>
      <c r="RNY146" s="3170"/>
      <c r="RNZ146" s="3170"/>
      <c r="ROA146" s="3170"/>
      <c r="ROB146" s="3170"/>
      <c r="ROC146" s="3170"/>
      <c r="ROD146" s="3170"/>
      <c r="ROE146" s="3170"/>
      <c r="ROF146" s="3170"/>
      <c r="ROG146" s="3170"/>
      <c r="ROH146" s="3170"/>
      <c r="ROI146" s="3170"/>
      <c r="ROJ146" s="3170"/>
      <c r="ROK146" s="3170"/>
      <c r="ROL146" s="3170"/>
      <c r="ROM146" s="3170"/>
      <c r="RON146" s="3170"/>
      <c r="ROO146" s="3170"/>
      <c r="ROP146" s="3170"/>
      <c r="ROQ146" s="3170"/>
      <c r="ROR146" s="3170"/>
      <c r="ROS146" s="3170"/>
      <c r="ROT146" s="3170"/>
      <c r="ROU146" s="3170"/>
      <c r="ROV146" s="3170"/>
      <c r="ROW146" s="3170"/>
      <c r="ROX146" s="3170"/>
      <c r="ROY146" s="3170"/>
      <c r="ROZ146" s="3170"/>
      <c r="RPA146" s="3170"/>
      <c r="RPB146" s="3170"/>
      <c r="RPC146" s="3170"/>
      <c r="RPD146" s="3170"/>
      <c r="RPE146" s="3170"/>
      <c r="RPF146" s="3170"/>
      <c r="RPG146" s="3170"/>
      <c r="RPH146" s="3170"/>
      <c r="RPI146" s="3170"/>
      <c r="RPJ146" s="3170"/>
      <c r="RPK146" s="3170"/>
      <c r="RPL146" s="3170"/>
      <c r="RPM146" s="3170"/>
      <c r="RPN146" s="3170"/>
      <c r="RPO146" s="3170"/>
      <c r="RPP146" s="3170"/>
      <c r="RPQ146" s="3170"/>
      <c r="RPR146" s="3170"/>
      <c r="RPS146" s="3170"/>
      <c r="RPT146" s="3170"/>
      <c r="RPU146" s="3170"/>
      <c r="RPV146" s="3170"/>
      <c r="RPW146" s="3170"/>
      <c r="RPX146" s="3170"/>
      <c r="RPY146" s="3170"/>
      <c r="RPZ146" s="3170"/>
      <c r="RQA146" s="3170"/>
      <c r="RQB146" s="3170"/>
      <c r="RQC146" s="3170"/>
      <c r="RQD146" s="3170"/>
      <c r="RQE146" s="3170"/>
      <c r="RQF146" s="3170"/>
      <c r="RQG146" s="3170"/>
      <c r="RQH146" s="3170"/>
      <c r="RQI146" s="3170"/>
      <c r="RQJ146" s="3170"/>
      <c r="RQK146" s="3170"/>
      <c r="RQL146" s="3170"/>
      <c r="RQM146" s="3170"/>
      <c r="RQN146" s="3170"/>
      <c r="RQO146" s="3170"/>
      <c r="RQP146" s="3170"/>
      <c r="RQQ146" s="3170"/>
      <c r="RQR146" s="3170"/>
      <c r="RQS146" s="3170"/>
      <c r="RQT146" s="3170"/>
      <c r="RQU146" s="3170"/>
      <c r="RQV146" s="3170"/>
      <c r="RQW146" s="3170"/>
      <c r="RQX146" s="3170"/>
      <c r="RQY146" s="3170"/>
      <c r="RQZ146" s="3170"/>
      <c r="RRA146" s="3170"/>
      <c r="RRB146" s="3170"/>
      <c r="RRC146" s="3170"/>
      <c r="RRD146" s="3170"/>
      <c r="RRE146" s="3170"/>
      <c r="RRF146" s="3170"/>
      <c r="RRG146" s="3170"/>
      <c r="RRH146" s="3170"/>
      <c r="RRI146" s="3170"/>
      <c r="RRJ146" s="3170"/>
      <c r="RRK146" s="3170"/>
      <c r="RRL146" s="3170"/>
      <c r="RRM146" s="3170"/>
      <c r="RRN146" s="3170"/>
      <c r="RRO146" s="3170"/>
      <c r="RRP146" s="3170"/>
      <c r="RRQ146" s="3170"/>
      <c r="RRR146" s="3170"/>
      <c r="RRS146" s="3170"/>
      <c r="RRT146" s="3170"/>
      <c r="RRU146" s="3170"/>
      <c r="RRV146" s="3170"/>
      <c r="RRW146" s="3170"/>
      <c r="RRX146" s="3170"/>
      <c r="RRY146" s="3170"/>
      <c r="RRZ146" s="3170"/>
      <c r="RSA146" s="3170"/>
      <c r="RSB146" s="3170"/>
      <c r="RSC146" s="3170"/>
      <c r="RSD146" s="3170"/>
      <c r="RSE146" s="3170"/>
      <c r="RSF146" s="3170"/>
      <c r="RSG146" s="3170"/>
      <c r="RSH146" s="3170"/>
      <c r="RSI146" s="3170"/>
      <c r="RSJ146" s="3170"/>
      <c r="RSK146" s="3170"/>
      <c r="RSL146" s="3170"/>
      <c r="RSM146" s="3170"/>
      <c r="RSN146" s="3170"/>
      <c r="RSO146" s="3170"/>
      <c r="RSP146" s="3170"/>
      <c r="RSQ146" s="3170"/>
      <c r="RSR146" s="3170"/>
      <c r="RSS146" s="3170"/>
      <c r="RST146" s="3170"/>
      <c r="RSU146" s="3170"/>
      <c r="RSV146" s="3170"/>
      <c r="RSW146" s="3170"/>
      <c r="RSX146" s="3170"/>
      <c r="RSY146" s="3170"/>
      <c r="RSZ146" s="3170"/>
      <c r="RTA146" s="3170"/>
      <c r="RTB146" s="3170"/>
      <c r="RTC146" s="3170"/>
      <c r="RTD146" s="3170"/>
      <c r="RTE146" s="3170"/>
      <c r="RTF146" s="3170"/>
      <c r="RTG146" s="3170"/>
      <c r="RTH146" s="3170"/>
      <c r="RTI146" s="3170"/>
      <c r="RTJ146" s="3170"/>
      <c r="RTK146" s="3170"/>
      <c r="RTL146" s="3170"/>
      <c r="RTM146" s="3170"/>
      <c r="RTN146" s="3170"/>
      <c r="RTO146" s="3170"/>
      <c r="RTP146" s="3170"/>
      <c r="RTQ146" s="3170"/>
      <c r="RTR146" s="3170"/>
      <c r="RTS146" s="3170"/>
      <c r="RTT146" s="3170"/>
      <c r="RTU146" s="3170"/>
      <c r="RTV146" s="3170"/>
      <c r="RTW146" s="3170"/>
      <c r="RTX146" s="3170"/>
      <c r="RTY146" s="3170"/>
      <c r="RTZ146" s="3170"/>
      <c r="RUA146" s="3170"/>
      <c r="RUB146" s="3170"/>
      <c r="RUC146" s="3170"/>
      <c r="RUD146" s="3170"/>
      <c r="RUE146" s="3170"/>
      <c r="RUF146" s="3170"/>
      <c r="RUG146" s="3170"/>
      <c r="RUH146" s="3170"/>
      <c r="RUI146" s="3170"/>
      <c r="RUJ146" s="3170"/>
      <c r="RUK146" s="3170"/>
      <c r="RUL146" s="3170"/>
      <c r="RUM146" s="3170"/>
      <c r="RUN146" s="3170"/>
      <c r="RUO146" s="3170"/>
      <c r="RUP146" s="3170"/>
      <c r="RUQ146" s="3170"/>
      <c r="RUR146" s="3170"/>
      <c r="RUS146" s="3170"/>
      <c r="RUT146" s="3170"/>
      <c r="RUU146" s="3170"/>
      <c r="RUV146" s="3170"/>
      <c r="RUW146" s="3170"/>
      <c r="RUX146" s="3170"/>
      <c r="RUY146" s="3170"/>
      <c r="RUZ146" s="3170"/>
      <c r="RVA146" s="3170"/>
      <c r="RVB146" s="3170"/>
      <c r="RVC146" s="3170"/>
      <c r="RVD146" s="3170"/>
      <c r="RVE146" s="3170"/>
      <c r="RVF146" s="3170"/>
      <c r="RVG146" s="3170"/>
      <c r="RVH146" s="3170"/>
      <c r="RVI146" s="3170"/>
      <c r="RVJ146" s="3170"/>
      <c r="RVK146" s="3170"/>
      <c r="RVL146" s="3170"/>
      <c r="RVM146" s="3170"/>
      <c r="RVN146" s="3170"/>
      <c r="RVO146" s="3170"/>
      <c r="RVP146" s="3170"/>
      <c r="RVQ146" s="3170"/>
      <c r="RVR146" s="3170"/>
      <c r="RVS146" s="3170"/>
      <c r="RVT146" s="3170"/>
      <c r="RVU146" s="3170"/>
      <c r="RVV146" s="3170"/>
      <c r="RVW146" s="3170"/>
      <c r="RVX146" s="3170"/>
      <c r="RVY146" s="3170"/>
      <c r="RVZ146" s="3170"/>
      <c r="RWA146" s="3170"/>
      <c r="RWB146" s="3170"/>
      <c r="RWC146" s="3170"/>
      <c r="RWD146" s="3170"/>
      <c r="RWE146" s="3170"/>
      <c r="RWF146" s="3170"/>
      <c r="RWG146" s="3170"/>
      <c r="RWH146" s="3170"/>
      <c r="RWI146" s="3170"/>
      <c r="RWJ146" s="3170"/>
      <c r="RWK146" s="3170"/>
      <c r="RWL146" s="3170"/>
      <c r="RWM146" s="3170"/>
      <c r="RWN146" s="3170"/>
      <c r="RWO146" s="3170"/>
      <c r="RWP146" s="3170"/>
      <c r="RWQ146" s="3170"/>
      <c r="RWR146" s="3170"/>
      <c r="RWS146" s="3170"/>
      <c r="RWT146" s="3170"/>
      <c r="RWU146" s="3170"/>
      <c r="RWV146" s="3170"/>
      <c r="RWW146" s="3170"/>
      <c r="RWX146" s="3170"/>
      <c r="RWY146" s="3170"/>
      <c r="RWZ146" s="3170"/>
      <c r="RXA146" s="3170"/>
      <c r="RXB146" s="3170"/>
      <c r="RXC146" s="3170"/>
      <c r="RXD146" s="3170"/>
      <c r="RXE146" s="3170"/>
      <c r="RXF146" s="3170"/>
      <c r="RXG146" s="3170"/>
      <c r="RXH146" s="3170"/>
      <c r="RXI146" s="3170"/>
      <c r="RXJ146" s="3170"/>
      <c r="RXK146" s="3170"/>
      <c r="RXL146" s="3170"/>
      <c r="RXM146" s="3170"/>
      <c r="RXN146" s="3170"/>
      <c r="RXO146" s="3170"/>
      <c r="RXP146" s="3170"/>
      <c r="RXQ146" s="3170"/>
      <c r="RXR146" s="3170"/>
      <c r="RXS146" s="3170"/>
      <c r="RXT146" s="3170"/>
      <c r="RXU146" s="3170"/>
      <c r="RXV146" s="3170"/>
      <c r="RXW146" s="3170"/>
      <c r="RXX146" s="3170"/>
      <c r="RXY146" s="3170"/>
      <c r="RXZ146" s="3170"/>
      <c r="RYA146" s="3170"/>
      <c r="RYB146" s="3170"/>
      <c r="RYC146" s="3170"/>
      <c r="RYD146" s="3170"/>
      <c r="RYE146" s="3170"/>
      <c r="RYF146" s="3170"/>
      <c r="RYG146" s="3170"/>
      <c r="RYH146" s="3170"/>
      <c r="RYI146" s="3170"/>
      <c r="RYJ146" s="3170"/>
      <c r="RYK146" s="3170"/>
      <c r="RYL146" s="3170"/>
      <c r="RYM146" s="3170"/>
      <c r="RYN146" s="3170"/>
      <c r="RYO146" s="3170"/>
      <c r="RYP146" s="3170"/>
      <c r="RYQ146" s="3170"/>
      <c r="RYR146" s="3170"/>
      <c r="RYS146" s="3170"/>
      <c r="RYT146" s="3170"/>
      <c r="RYU146" s="3170"/>
      <c r="RYV146" s="3170"/>
      <c r="RYW146" s="3170"/>
      <c r="RYX146" s="3170"/>
      <c r="RYY146" s="3170"/>
      <c r="RYZ146" s="3170"/>
      <c r="RZA146" s="3170"/>
      <c r="RZB146" s="3170"/>
      <c r="RZC146" s="3170"/>
      <c r="RZD146" s="3170"/>
      <c r="RZE146" s="3170"/>
      <c r="RZF146" s="3170"/>
      <c r="RZG146" s="3170"/>
      <c r="RZH146" s="3170"/>
      <c r="RZI146" s="3170"/>
      <c r="RZJ146" s="3170"/>
      <c r="RZK146" s="3170"/>
      <c r="RZL146" s="3170"/>
      <c r="RZM146" s="3170"/>
      <c r="RZN146" s="3170"/>
      <c r="RZO146" s="3170"/>
      <c r="RZP146" s="3170"/>
      <c r="RZQ146" s="3170"/>
      <c r="RZR146" s="3170"/>
      <c r="RZS146" s="3170"/>
      <c r="RZT146" s="3170"/>
      <c r="RZU146" s="3170"/>
      <c r="RZV146" s="3170"/>
      <c r="RZW146" s="3170"/>
      <c r="RZX146" s="3170"/>
      <c r="RZY146" s="3170"/>
      <c r="RZZ146" s="3170"/>
      <c r="SAA146" s="3170"/>
      <c r="SAB146" s="3170"/>
      <c r="SAC146" s="3170"/>
      <c r="SAD146" s="3170"/>
      <c r="SAE146" s="3170"/>
      <c r="SAF146" s="3170"/>
      <c r="SAG146" s="3170"/>
      <c r="SAH146" s="3170"/>
      <c r="SAI146" s="3170"/>
      <c r="SAJ146" s="3170"/>
      <c r="SAK146" s="3170"/>
      <c r="SAL146" s="3170"/>
      <c r="SAM146" s="3170"/>
      <c r="SAN146" s="3170"/>
      <c r="SAO146" s="3170"/>
      <c r="SAP146" s="3170"/>
      <c r="SAQ146" s="3170"/>
      <c r="SAR146" s="3170"/>
      <c r="SAS146" s="3170"/>
      <c r="SAT146" s="3170"/>
      <c r="SAU146" s="3170"/>
      <c r="SAV146" s="3170"/>
      <c r="SAW146" s="3170"/>
      <c r="SAX146" s="3170"/>
      <c r="SAY146" s="3170"/>
      <c r="SAZ146" s="3170"/>
      <c r="SBA146" s="3170"/>
      <c r="SBB146" s="3170"/>
      <c r="SBC146" s="3170"/>
      <c r="SBD146" s="3170"/>
      <c r="SBE146" s="3170"/>
      <c r="SBF146" s="3170"/>
      <c r="SBG146" s="3170"/>
      <c r="SBH146" s="3170"/>
      <c r="SBI146" s="3170"/>
      <c r="SBJ146" s="3170"/>
      <c r="SBK146" s="3170"/>
      <c r="SBL146" s="3170"/>
      <c r="SBM146" s="3170"/>
      <c r="SBN146" s="3170"/>
      <c r="SBO146" s="3170"/>
      <c r="SBP146" s="3170"/>
      <c r="SBQ146" s="3170"/>
      <c r="SBR146" s="3170"/>
      <c r="SBS146" s="3170"/>
      <c r="SBT146" s="3170"/>
      <c r="SBU146" s="3170"/>
      <c r="SBV146" s="3170"/>
      <c r="SBW146" s="3170"/>
      <c r="SBX146" s="3170"/>
      <c r="SBY146" s="3170"/>
      <c r="SBZ146" s="3170"/>
      <c r="SCA146" s="3170"/>
      <c r="SCB146" s="3170"/>
      <c r="SCC146" s="3170"/>
      <c r="SCD146" s="3170"/>
      <c r="SCE146" s="3170"/>
      <c r="SCF146" s="3170"/>
      <c r="SCG146" s="3170"/>
      <c r="SCH146" s="3170"/>
      <c r="SCI146" s="3170"/>
      <c r="SCJ146" s="3170"/>
      <c r="SCK146" s="3170"/>
      <c r="SCL146" s="3170"/>
      <c r="SCM146" s="3170"/>
      <c r="SCN146" s="3170"/>
      <c r="SCO146" s="3170"/>
      <c r="SCP146" s="3170"/>
      <c r="SCQ146" s="3170"/>
      <c r="SCR146" s="3170"/>
      <c r="SCS146" s="3170"/>
      <c r="SCT146" s="3170"/>
      <c r="SCU146" s="3170"/>
      <c r="SCV146" s="3170"/>
      <c r="SCW146" s="3170"/>
      <c r="SCX146" s="3170"/>
      <c r="SCY146" s="3170"/>
      <c r="SCZ146" s="3170"/>
      <c r="SDA146" s="3170"/>
      <c r="SDB146" s="3170"/>
      <c r="SDC146" s="3170"/>
      <c r="SDD146" s="3170"/>
      <c r="SDE146" s="3170"/>
      <c r="SDF146" s="3170"/>
      <c r="SDG146" s="3170"/>
      <c r="SDH146" s="3170"/>
      <c r="SDI146" s="3170"/>
      <c r="SDJ146" s="3170"/>
      <c r="SDK146" s="3170"/>
      <c r="SDL146" s="3170"/>
      <c r="SDM146" s="3170"/>
      <c r="SDN146" s="3170"/>
      <c r="SDO146" s="3170"/>
      <c r="SDP146" s="3170"/>
      <c r="SDQ146" s="3170"/>
      <c r="SDR146" s="3170"/>
      <c r="SDS146" s="3170"/>
      <c r="SDT146" s="3170"/>
      <c r="SDU146" s="3170"/>
      <c r="SDV146" s="3170"/>
      <c r="SDW146" s="3170"/>
      <c r="SDX146" s="3170"/>
      <c r="SDY146" s="3170"/>
      <c r="SDZ146" s="3170"/>
      <c r="SEA146" s="3170"/>
      <c r="SEB146" s="3170"/>
      <c r="SEC146" s="3170"/>
      <c r="SED146" s="3170"/>
      <c r="SEE146" s="3170"/>
      <c r="SEF146" s="3170"/>
      <c r="SEG146" s="3170"/>
      <c r="SEH146" s="3170"/>
      <c r="SEI146" s="3170"/>
      <c r="SEJ146" s="3170"/>
      <c r="SEK146" s="3170"/>
      <c r="SEL146" s="3170"/>
      <c r="SEM146" s="3170"/>
      <c r="SEN146" s="3170"/>
      <c r="SEO146" s="3170"/>
      <c r="SEP146" s="3170"/>
      <c r="SEQ146" s="3170"/>
      <c r="SER146" s="3170"/>
      <c r="SES146" s="3170"/>
      <c r="SET146" s="3170"/>
      <c r="SEU146" s="3170"/>
      <c r="SEV146" s="3170"/>
      <c r="SEW146" s="3170"/>
      <c r="SEX146" s="3170"/>
      <c r="SEY146" s="3170"/>
      <c r="SEZ146" s="3170"/>
      <c r="SFA146" s="3170"/>
      <c r="SFB146" s="3170"/>
      <c r="SFC146" s="3170"/>
      <c r="SFD146" s="3170"/>
      <c r="SFE146" s="3170"/>
      <c r="SFF146" s="3170"/>
      <c r="SFG146" s="3170"/>
      <c r="SFH146" s="3170"/>
      <c r="SFI146" s="3170"/>
      <c r="SFJ146" s="3170"/>
      <c r="SFK146" s="3170"/>
      <c r="SFL146" s="3170"/>
      <c r="SFM146" s="3170"/>
      <c r="SFN146" s="3170"/>
      <c r="SFO146" s="3170"/>
      <c r="SFP146" s="3170"/>
      <c r="SFQ146" s="3170"/>
      <c r="SFR146" s="3170"/>
      <c r="SFS146" s="3170"/>
      <c r="SFT146" s="3170"/>
      <c r="SFU146" s="3170"/>
      <c r="SFV146" s="3170"/>
      <c r="SFW146" s="3170"/>
      <c r="SFX146" s="3170"/>
      <c r="SFY146" s="3170"/>
      <c r="SFZ146" s="3170"/>
      <c r="SGA146" s="3170"/>
      <c r="SGB146" s="3170"/>
      <c r="SGC146" s="3170"/>
      <c r="SGD146" s="3170"/>
      <c r="SGE146" s="3170"/>
      <c r="SGF146" s="3170"/>
      <c r="SGG146" s="3170"/>
      <c r="SGH146" s="3170"/>
      <c r="SGI146" s="3170"/>
      <c r="SGJ146" s="3170"/>
      <c r="SGK146" s="3170"/>
      <c r="SGL146" s="3170"/>
      <c r="SGM146" s="3170"/>
      <c r="SGN146" s="3170"/>
      <c r="SGO146" s="3170"/>
      <c r="SGP146" s="3170"/>
      <c r="SGQ146" s="3170"/>
      <c r="SGR146" s="3170"/>
      <c r="SGS146" s="3170"/>
      <c r="SGT146" s="3170"/>
      <c r="SGU146" s="3170"/>
      <c r="SGV146" s="3170"/>
      <c r="SGW146" s="3170"/>
      <c r="SGX146" s="3170"/>
      <c r="SGY146" s="3170"/>
      <c r="SGZ146" s="3170"/>
      <c r="SHA146" s="3170"/>
      <c r="SHB146" s="3170"/>
      <c r="SHC146" s="3170"/>
      <c r="SHD146" s="3170"/>
      <c r="SHE146" s="3170"/>
      <c r="SHF146" s="3170"/>
      <c r="SHG146" s="3170"/>
      <c r="SHH146" s="3170"/>
      <c r="SHI146" s="3170"/>
      <c r="SHJ146" s="3170"/>
      <c r="SHK146" s="3170"/>
      <c r="SHL146" s="3170"/>
      <c r="SHM146" s="3170"/>
      <c r="SHN146" s="3170"/>
      <c r="SHO146" s="3170"/>
      <c r="SHP146" s="3170"/>
      <c r="SHQ146" s="3170"/>
      <c r="SHR146" s="3170"/>
      <c r="SHS146" s="3170"/>
      <c r="SHT146" s="3170"/>
      <c r="SHU146" s="3170"/>
      <c r="SHV146" s="3170"/>
      <c r="SHW146" s="3170"/>
      <c r="SHX146" s="3170"/>
      <c r="SHY146" s="3170"/>
      <c r="SHZ146" s="3170"/>
      <c r="SIA146" s="3170"/>
      <c r="SIB146" s="3170"/>
      <c r="SIC146" s="3170"/>
      <c r="SID146" s="3170"/>
      <c r="SIE146" s="3170"/>
      <c r="SIF146" s="3170"/>
      <c r="SIG146" s="3170"/>
      <c r="SIH146" s="3170"/>
      <c r="SII146" s="3170"/>
      <c r="SIJ146" s="3170"/>
      <c r="SIK146" s="3170"/>
      <c r="SIL146" s="3170"/>
      <c r="SIM146" s="3170"/>
      <c r="SIN146" s="3170"/>
      <c r="SIO146" s="3170"/>
      <c r="SIP146" s="3170"/>
      <c r="SIQ146" s="3170"/>
      <c r="SIR146" s="3170"/>
      <c r="SIS146" s="3170"/>
      <c r="SIT146" s="3170"/>
      <c r="SIU146" s="3170"/>
      <c r="SIV146" s="3170"/>
      <c r="SIW146" s="3170"/>
      <c r="SIX146" s="3170"/>
      <c r="SIY146" s="3170"/>
      <c r="SIZ146" s="3170"/>
      <c r="SJA146" s="3170"/>
      <c r="SJB146" s="3170"/>
      <c r="SJC146" s="3170"/>
      <c r="SJD146" s="3170"/>
      <c r="SJE146" s="3170"/>
      <c r="SJF146" s="3170"/>
      <c r="SJG146" s="3170"/>
      <c r="SJH146" s="3170"/>
      <c r="SJI146" s="3170"/>
      <c r="SJJ146" s="3170"/>
      <c r="SJK146" s="3170"/>
      <c r="SJL146" s="3170"/>
      <c r="SJM146" s="3170"/>
      <c r="SJN146" s="3170"/>
      <c r="SJO146" s="3170"/>
      <c r="SJP146" s="3170"/>
      <c r="SJQ146" s="3170"/>
      <c r="SJR146" s="3170"/>
      <c r="SJS146" s="3170"/>
      <c r="SJT146" s="3170"/>
      <c r="SJU146" s="3170"/>
      <c r="SJV146" s="3170"/>
      <c r="SJW146" s="3170"/>
      <c r="SJX146" s="3170"/>
      <c r="SJY146" s="3170"/>
      <c r="SJZ146" s="3170"/>
      <c r="SKA146" s="3170"/>
      <c r="SKB146" s="3170"/>
      <c r="SKC146" s="3170"/>
      <c r="SKD146" s="3170"/>
      <c r="SKE146" s="3170"/>
      <c r="SKF146" s="3170"/>
      <c r="SKG146" s="3170"/>
      <c r="SKH146" s="3170"/>
      <c r="SKI146" s="3170"/>
      <c r="SKJ146" s="3170"/>
      <c r="SKK146" s="3170"/>
      <c r="SKL146" s="3170"/>
      <c r="SKM146" s="3170"/>
      <c r="SKN146" s="3170"/>
      <c r="SKO146" s="3170"/>
      <c r="SKP146" s="3170"/>
      <c r="SKQ146" s="3170"/>
      <c r="SKR146" s="3170"/>
      <c r="SKS146" s="3170"/>
      <c r="SKT146" s="3170"/>
      <c r="SKU146" s="3170"/>
      <c r="SKV146" s="3170"/>
      <c r="SKW146" s="3170"/>
      <c r="SKX146" s="3170"/>
      <c r="SKY146" s="3170"/>
      <c r="SKZ146" s="3170"/>
      <c r="SLA146" s="3170"/>
      <c r="SLB146" s="3170"/>
      <c r="SLC146" s="3170"/>
      <c r="SLD146" s="3170"/>
      <c r="SLE146" s="3170"/>
      <c r="SLF146" s="3170"/>
      <c r="SLG146" s="3170"/>
      <c r="SLH146" s="3170"/>
      <c r="SLI146" s="3170"/>
      <c r="SLJ146" s="3170"/>
      <c r="SLK146" s="3170"/>
      <c r="SLL146" s="3170"/>
      <c r="SLM146" s="3170"/>
      <c r="SLN146" s="3170"/>
      <c r="SLO146" s="3170"/>
      <c r="SLP146" s="3170"/>
      <c r="SLQ146" s="3170"/>
      <c r="SLR146" s="3170"/>
      <c r="SLS146" s="3170"/>
      <c r="SLT146" s="3170"/>
      <c r="SLU146" s="3170"/>
      <c r="SLV146" s="3170"/>
      <c r="SLW146" s="3170"/>
      <c r="SLX146" s="3170"/>
      <c r="SLY146" s="3170"/>
      <c r="SLZ146" s="3170"/>
      <c r="SMA146" s="3170"/>
      <c r="SMB146" s="3170"/>
      <c r="SMC146" s="3170"/>
      <c r="SMD146" s="3170"/>
      <c r="SME146" s="3170"/>
      <c r="SMF146" s="3170"/>
      <c r="SMG146" s="3170"/>
      <c r="SMH146" s="3170"/>
      <c r="SMI146" s="3170"/>
      <c r="SMJ146" s="3170"/>
      <c r="SMK146" s="3170"/>
      <c r="SML146" s="3170"/>
      <c r="SMM146" s="3170"/>
      <c r="SMN146" s="3170"/>
      <c r="SMO146" s="3170"/>
      <c r="SMP146" s="3170"/>
      <c r="SMQ146" s="3170"/>
      <c r="SMR146" s="3170"/>
      <c r="SMS146" s="3170"/>
      <c r="SMT146" s="3170"/>
      <c r="SMU146" s="3170"/>
      <c r="SMV146" s="3170"/>
      <c r="SMW146" s="3170"/>
      <c r="SMX146" s="3170"/>
      <c r="SMY146" s="3170"/>
      <c r="SMZ146" s="3170"/>
      <c r="SNA146" s="3170"/>
      <c r="SNB146" s="3170"/>
      <c r="SNC146" s="3170"/>
      <c r="SND146" s="3170"/>
      <c r="SNE146" s="3170"/>
      <c r="SNF146" s="3170"/>
      <c r="SNG146" s="3170"/>
      <c r="SNH146" s="3170"/>
      <c r="SNI146" s="3170"/>
      <c r="SNJ146" s="3170"/>
      <c r="SNK146" s="3170"/>
      <c r="SNL146" s="3170"/>
      <c r="SNM146" s="3170"/>
      <c r="SNN146" s="3170"/>
      <c r="SNO146" s="3170"/>
      <c r="SNP146" s="3170"/>
      <c r="SNQ146" s="3170"/>
      <c r="SNR146" s="3170"/>
      <c r="SNS146" s="3170"/>
      <c r="SNT146" s="3170"/>
      <c r="SNU146" s="3170"/>
      <c r="SNV146" s="3170"/>
      <c r="SNW146" s="3170"/>
      <c r="SNX146" s="3170"/>
      <c r="SNY146" s="3170"/>
      <c r="SNZ146" s="3170"/>
      <c r="SOA146" s="3170"/>
      <c r="SOB146" s="3170"/>
      <c r="SOC146" s="3170"/>
      <c r="SOD146" s="3170"/>
      <c r="SOE146" s="3170"/>
      <c r="SOF146" s="3170"/>
      <c r="SOG146" s="3170"/>
      <c r="SOH146" s="3170"/>
      <c r="SOI146" s="3170"/>
      <c r="SOJ146" s="3170"/>
      <c r="SOK146" s="3170"/>
      <c r="SOL146" s="3170"/>
      <c r="SOM146" s="3170"/>
      <c r="SON146" s="3170"/>
      <c r="SOO146" s="3170"/>
      <c r="SOP146" s="3170"/>
      <c r="SOQ146" s="3170"/>
      <c r="SOR146" s="3170"/>
      <c r="SOS146" s="3170"/>
      <c r="SOT146" s="3170"/>
      <c r="SOU146" s="3170"/>
      <c r="SOV146" s="3170"/>
      <c r="SOW146" s="3170"/>
      <c r="SOX146" s="3170"/>
      <c r="SOY146" s="3170"/>
      <c r="SOZ146" s="3170"/>
      <c r="SPA146" s="3170"/>
      <c r="SPB146" s="3170"/>
      <c r="SPC146" s="3170"/>
      <c r="SPD146" s="3170"/>
      <c r="SPE146" s="3170"/>
      <c r="SPF146" s="3170"/>
      <c r="SPG146" s="3170"/>
      <c r="SPH146" s="3170"/>
      <c r="SPI146" s="3170"/>
      <c r="SPJ146" s="3170"/>
      <c r="SPK146" s="3170"/>
      <c r="SPL146" s="3170"/>
      <c r="SPM146" s="3170"/>
      <c r="SPN146" s="3170"/>
      <c r="SPO146" s="3170"/>
      <c r="SPP146" s="3170"/>
      <c r="SPQ146" s="3170"/>
      <c r="SPR146" s="3170"/>
      <c r="SPS146" s="3170"/>
      <c r="SPT146" s="3170"/>
      <c r="SPU146" s="3170"/>
      <c r="SPV146" s="3170"/>
      <c r="SPW146" s="3170"/>
      <c r="SPX146" s="3170"/>
      <c r="SPY146" s="3170"/>
      <c r="SPZ146" s="3170"/>
      <c r="SQA146" s="3170"/>
      <c r="SQB146" s="3170"/>
      <c r="SQC146" s="3170"/>
      <c r="SQD146" s="3170"/>
      <c r="SQE146" s="3170"/>
      <c r="SQF146" s="3170"/>
      <c r="SQG146" s="3170"/>
      <c r="SQH146" s="3170"/>
      <c r="SQI146" s="3170"/>
      <c r="SQJ146" s="3170"/>
      <c r="SQK146" s="3170"/>
      <c r="SQL146" s="3170"/>
      <c r="SQM146" s="3170"/>
      <c r="SQN146" s="3170"/>
      <c r="SQO146" s="3170"/>
      <c r="SQP146" s="3170"/>
      <c r="SQQ146" s="3170"/>
      <c r="SQR146" s="3170"/>
      <c r="SQS146" s="3170"/>
      <c r="SQT146" s="3170"/>
      <c r="SQU146" s="3170"/>
      <c r="SQV146" s="3170"/>
      <c r="SQW146" s="3170"/>
      <c r="SQX146" s="3170"/>
      <c r="SQY146" s="3170"/>
      <c r="SQZ146" s="3170"/>
      <c r="SRA146" s="3170"/>
      <c r="SRB146" s="3170"/>
      <c r="SRC146" s="3170"/>
      <c r="SRD146" s="3170"/>
      <c r="SRE146" s="3170"/>
      <c r="SRF146" s="3170"/>
      <c r="SRG146" s="3170"/>
      <c r="SRH146" s="3170"/>
      <c r="SRI146" s="3170"/>
      <c r="SRJ146" s="3170"/>
      <c r="SRK146" s="3170"/>
      <c r="SRL146" s="3170"/>
      <c r="SRM146" s="3170"/>
      <c r="SRN146" s="3170"/>
      <c r="SRO146" s="3170"/>
      <c r="SRP146" s="3170"/>
      <c r="SRQ146" s="3170"/>
      <c r="SRR146" s="3170"/>
      <c r="SRS146" s="3170"/>
      <c r="SRT146" s="3170"/>
      <c r="SRU146" s="3170"/>
      <c r="SRV146" s="3170"/>
      <c r="SRW146" s="3170"/>
      <c r="SRX146" s="3170"/>
      <c r="SRY146" s="3170"/>
      <c r="SRZ146" s="3170"/>
      <c r="SSA146" s="3170"/>
      <c r="SSB146" s="3170"/>
      <c r="SSC146" s="3170"/>
      <c r="SSD146" s="3170"/>
      <c r="SSE146" s="3170"/>
      <c r="SSF146" s="3170"/>
      <c r="SSG146" s="3170"/>
      <c r="SSH146" s="3170"/>
      <c r="SSI146" s="3170"/>
      <c r="SSJ146" s="3170"/>
      <c r="SSK146" s="3170"/>
      <c r="SSL146" s="3170"/>
      <c r="SSM146" s="3170"/>
      <c r="SSN146" s="3170"/>
      <c r="SSO146" s="3170"/>
      <c r="SSP146" s="3170"/>
      <c r="SSQ146" s="3170"/>
      <c r="SSR146" s="3170"/>
      <c r="SSS146" s="3170"/>
      <c r="SST146" s="3170"/>
      <c r="SSU146" s="3170"/>
      <c r="SSV146" s="3170"/>
      <c r="SSW146" s="3170"/>
      <c r="SSX146" s="3170"/>
      <c r="SSY146" s="3170"/>
      <c r="SSZ146" s="3170"/>
      <c r="STA146" s="3170"/>
      <c r="STB146" s="3170"/>
      <c r="STC146" s="3170"/>
      <c r="STD146" s="3170"/>
      <c r="STE146" s="3170"/>
      <c r="STF146" s="3170"/>
      <c r="STG146" s="3170"/>
      <c r="STH146" s="3170"/>
      <c r="STI146" s="3170"/>
      <c r="STJ146" s="3170"/>
      <c r="STK146" s="3170"/>
      <c r="STL146" s="3170"/>
      <c r="STM146" s="3170"/>
      <c r="STN146" s="3170"/>
      <c r="STO146" s="3170"/>
      <c r="STP146" s="3170"/>
      <c r="STQ146" s="3170"/>
      <c r="STR146" s="3170"/>
      <c r="STS146" s="3170"/>
      <c r="STT146" s="3170"/>
      <c r="STU146" s="3170"/>
      <c r="STV146" s="3170"/>
      <c r="STW146" s="3170"/>
      <c r="STX146" s="3170"/>
      <c r="STY146" s="3170"/>
      <c r="STZ146" s="3170"/>
      <c r="SUA146" s="3170"/>
      <c r="SUB146" s="3170"/>
      <c r="SUC146" s="3170"/>
      <c r="SUD146" s="3170"/>
      <c r="SUE146" s="3170"/>
      <c r="SUF146" s="3170"/>
      <c r="SUG146" s="3170"/>
      <c r="SUH146" s="3170"/>
      <c r="SUI146" s="3170"/>
      <c r="SUJ146" s="3170"/>
      <c r="SUK146" s="3170"/>
      <c r="SUL146" s="3170"/>
      <c r="SUM146" s="3170"/>
      <c r="SUN146" s="3170"/>
      <c r="SUO146" s="3170"/>
      <c r="SUP146" s="3170"/>
      <c r="SUQ146" s="3170"/>
      <c r="SUR146" s="3170"/>
      <c r="SUS146" s="3170"/>
      <c r="SUT146" s="3170"/>
      <c r="SUU146" s="3170"/>
      <c r="SUV146" s="3170"/>
      <c r="SUW146" s="3170"/>
      <c r="SUX146" s="3170"/>
      <c r="SUY146" s="3170"/>
      <c r="SUZ146" s="3170"/>
      <c r="SVA146" s="3170"/>
      <c r="SVB146" s="3170"/>
      <c r="SVC146" s="3170"/>
      <c r="SVD146" s="3170"/>
      <c r="SVE146" s="3170"/>
      <c r="SVF146" s="3170"/>
      <c r="SVG146" s="3170"/>
      <c r="SVH146" s="3170"/>
      <c r="SVI146" s="3170"/>
      <c r="SVJ146" s="3170"/>
      <c r="SVK146" s="3170"/>
      <c r="SVL146" s="3170"/>
      <c r="SVM146" s="3170"/>
      <c r="SVN146" s="3170"/>
      <c r="SVO146" s="3170"/>
      <c r="SVP146" s="3170"/>
      <c r="SVQ146" s="3170"/>
      <c r="SVR146" s="3170"/>
      <c r="SVS146" s="3170"/>
      <c r="SVT146" s="3170"/>
      <c r="SVU146" s="3170"/>
      <c r="SVV146" s="3170"/>
      <c r="SVW146" s="3170"/>
      <c r="SVX146" s="3170"/>
      <c r="SVY146" s="3170"/>
      <c r="SVZ146" s="3170"/>
      <c r="SWA146" s="3170"/>
      <c r="SWB146" s="3170"/>
      <c r="SWC146" s="3170"/>
      <c r="SWD146" s="3170"/>
      <c r="SWE146" s="3170"/>
      <c r="SWF146" s="3170"/>
      <c r="SWG146" s="3170"/>
      <c r="SWH146" s="3170"/>
      <c r="SWI146" s="3170"/>
      <c r="SWJ146" s="3170"/>
      <c r="SWK146" s="3170"/>
      <c r="SWL146" s="3170"/>
      <c r="SWM146" s="3170"/>
      <c r="SWN146" s="3170"/>
      <c r="SWO146" s="3170"/>
      <c r="SWP146" s="3170"/>
      <c r="SWQ146" s="3170"/>
      <c r="SWR146" s="3170"/>
      <c r="SWS146" s="3170"/>
      <c r="SWT146" s="3170"/>
      <c r="SWU146" s="3170"/>
      <c r="SWV146" s="3170"/>
      <c r="SWW146" s="3170"/>
      <c r="SWX146" s="3170"/>
      <c r="SWY146" s="3170"/>
      <c r="SWZ146" s="3170"/>
      <c r="SXA146" s="3170"/>
      <c r="SXB146" s="3170"/>
      <c r="SXC146" s="3170"/>
      <c r="SXD146" s="3170"/>
      <c r="SXE146" s="3170"/>
      <c r="SXF146" s="3170"/>
      <c r="SXG146" s="3170"/>
      <c r="SXH146" s="3170"/>
      <c r="SXI146" s="3170"/>
      <c r="SXJ146" s="3170"/>
      <c r="SXK146" s="3170"/>
      <c r="SXL146" s="3170"/>
      <c r="SXM146" s="3170"/>
      <c r="SXN146" s="3170"/>
      <c r="SXO146" s="3170"/>
      <c r="SXP146" s="3170"/>
      <c r="SXQ146" s="3170"/>
      <c r="SXR146" s="3170"/>
      <c r="SXS146" s="3170"/>
      <c r="SXT146" s="3170"/>
      <c r="SXU146" s="3170"/>
      <c r="SXV146" s="3170"/>
      <c r="SXW146" s="3170"/>
      <c r="SXX146" s="3170"/>
      <c r="SXY146" s="3170"/>
      <c r="SXZ146" s="3170"/>
      <c r="SYA146" s="3170"/>
      <c r="SYB146" s="3170"/>
      <c r="SYC146" s="3170"/>
      <c r="SYD146" s="3170"/>
      <c r="SYE146" s="3170"/>
      <c r="SYF146" s="3170"/>
      <c r="SYG146" s="3170"/>
      <c r="SYH146" s="3170"/>
      <c r="SYI146" s="3170"/>
      <c r="SYJ146" s="3170"/>
      <c r="SYK146" s="3170"/>
      <c r="SYL146" s="3170"/>
      <c r="SYM146" s="3170"/>
      <c r="SYN146" s="3170"/>
      <c r="SYO146" s="3170"/>
      <c r="SYP146" s="3170"/>
      <c r="SYQ146" s="3170"/>
      <c r="SYR146" s="3170"/>
      <c r="SYS146" s="3170"/>
      <c r="SYT146" s="3170"/>
      <c r="SYU146" s="3170"/>
      <c r="SYV146" s="3170"/>
      <c r="SYW146" s="3170"/>
      <c r="SYX146" s="3170"/>
      <c r="SYY146" s="3170"/>
      <c r="SYZ146" s="3170"/>
      <c r="SZA146" s="3170"/>
      <c r="SZB146" s="3170"/>
      <c r="SZC146" s="3170"/>
      <c r="SZD146" s="3170"/>
      <c r="SZE146" s="3170"/>
      <c r="SZF146" s="3170"/>
      <c r="SZG146" s="3170"/>
      <c r="SZH146" s="3170"/>
      <c r="SZI146" s="3170"/>
      <c r="SZJ146" s="3170"/>
      <c r="SZK146" s="3170"/>
      <c r="SZL146" s="3170"/>
      <c r="SZM146" s="3170"/>
      <c r="SZN146" s="3170"/>
      <c r="SZO146" s="3170"/>
      <c r="SZP146" s="3170"/>
      <c r="SZQ146" s="3170"/>
      <c r="SZR146" s="3170"/>
      <c r="SZS146" s="3170"/>
      <c r="SZT146" s="3170"/>
      <c r="SZU146" s="3170"/>
      <c r="SZV146" s="3170"/>
      <c r="SZW146" s="3170"/>
      <c r="SZX146" s="3170"/>
      <c r="SZY146" s="3170"/>
      <c r="SZZ146" s="3170"/>
      <c r="TAA146" s="3170"/>
      <c r="TAB146" s="3170"/>
      <c r="TAC146" s="3170"/>
      <c r="TAD146" s="3170"/>
      <c r="TAE146" s="3170"/>
      <c r="TAF146" s="3170"/>
      <c r="TAG146" s="3170"/>
      <c r="TAH146" s="3170"/>
      <c r="TAI146" s="3170"/>
      <c r="TAJ146" s="3170"/>
      <c r="TAK146" s="3170"/>
      <c r="TAL146" s="3170"/>
      <c r="TAM146" s="3170"/>
      <c r="TAN146" s="3170"/>
      <c r="TAO146" s="3170"/>
      <c r="TAP146" s="3170"/>
      <c r="TAQ146" s="3170"/>
      <c r="TAR146" s="3170"/>
      <c r="TAS146" s="3170"/>
      <c r="TAT146" s="3170"/>
      <c r="TAU146" s="3170"/>
      <c r="TAV146" s="3170"/>
      <c r="TAW146" s="3170"/>
      <c r="TAX146" s="3170"/>
      <c r="TAY146" s="3170"/>
      <c r="TAZ146" s="3170"/>
      <c r="TBA146" s="3170"/>
      <c r="TBB146" s="3170"/>
      <c r="TBC146" s="3170"/>
      <c r="TBD146" s="3170"/>
      <c r="TBE146" s="3170"/>
      <c r="TBF146" s="3170"/>
      <c r="TBG146" s="3170"/>
      <c r="TBH146" s="3170"/>
      <c r="TBI146" s="3170"/>
      <c r="TBJ146" s="3170"/>
      <c r="TBK146" s="3170"/>
      <c r="TBL146" s="3170"/>
      <c r="TBM146" s="3170"/>
      <c r="TBN146" s="3170"/>
      <c r="TBO146" s="3170"/>
      <c r="TBP146" s="3170"/>
      <c r="TBQ146" s="3170"/>
      <c r="TBR146" s="3170"/>
      <c r="TBS146" s="3170"/>
      <c r="TBT146" s="3170"/>
      <c r="TBU146" s="3170"/>
      <c r="TBV146" s="3170"/>
      <c r="TBW146" s="3170"/>
      <c r="TBX146" s="3170"/>
      <c r="TBY146" s="3170"/>
      <c r="TBZ146" s="3170"/>
      <c r="TCA146" s="3170"/>
      <c r="TCB146" s="3170"/>
      <c r="TCC146" s="3170"/>
      <c r="TCD146" s="3170"/>
      <c r="TCE146" s="3170"/>
      <c r="TCF146" s="3170"/>
      <c r="TCG146" s="3170"/>
      <c r="TCH146" s="3170"/>
      <c r="TCI146" s="3170"/>
      <c r="TCJ146" s="3170"/>
      <c r="TCK146" s="3170"/>
      <c r="TCL146" s="3170"/>
      <c r="TCM146" s="3170"/>
      <c r="TCN146" s="3170"/>
      <c r="TCO146" s="3170"/>
      <c r="TCP146" s="3170"/>
      <c r="TCQ146" s="3170"/>
      <c r="TCR146" s="3170"/>
      <c r="TCS146" s="3170"/>
      <c r="TCT146" s="3170"/>
      <c r="TCU146" s="3170"/>
      <c r="TCV146" s="3170"/>
      <c r="TCW146" s="3170"/>
      <c r="TCX146" s="3170"/>
      <c r="TCY146" s="3170"/>
      <c r="TCZ146" s="3170"/>
      <c r="TDA146" s="3170"/>
      <c r="TDB146" s="3170"/>
      <c r="TDC146" s="3170"/>
      <c r="TDD146" s="3170"/>
      <c r="TDE146" s="3170"/>
      <c r="TDF146" s="3170"/>
      <c r="TDG146" s="3170"/>
      <c r="TDH146" s="3170"/>
      <c r="TDI146" s="3170"/>
      <c r="TDJ146" s="3170"/>
      <c r="TDK146" s="3170"/>
      <c r="TDL146" s="3170"/>
      <c r="TDM146" s="3170"/>
      <c r="TDN146" s="3170"/>
      <c r="TDO146" s="3170"/>
      <c r="TDP146" s="3170"/>
      <c r="TDQ146" s="3170"/>
      <c r="TDR146" s="3170"/>
      <c r="TDS146" s="3170"/>
      <c r="TDT146" s="3170"/>
      <c r="TDU146" s="3170"/>
      <c r="TDV146" s="3170"/>
      <c r="TDW146" s="3170"/>
      <c r="TDX146" s="3170"/>
      <c r="TDY146" s="3170"/>
      <c r="TDZ146" s="3170"/>
      <c r="TEA146" s="3170"/>
      <c r="TEB146" s="3170"/>
      <c r="TEC146" s="3170"/>
      <c r="TED146" s="3170"/>
      <c r="TEE146" s="3170"/>
      <c r="TEF146" s="3170"/>
      <c r="TEG146" s="3170"/>
      <c r="TEH146" s="3170"/>
      <c r="TEI146" s="3170"/>
      <c r="TEJ146" s="3170"/>
      <c r="TEK146" s="3170"/>
      <c r="TEL146" s="3170"/>
      <c r="TEM146" s="3170"/>
      <c r="TEN146" s="3170"/>
      <c r="TEO146" s="3170"/>
      <c r="TEP146" s="3170"/>
      <c r="TEQ146" s="3170"/>
      <c r="TER146" s="3170"/>
      <c r="TES146" s="3170"/>
      <c r="TET146" s="3170"/>
      <c r="TEU146" s="3170"/>
      <c r="TEV146" s="3170"/>
      <c r="TEW146" s="3170"/>
      <c r="TEX146" s="3170"/>
      <c r="TEY146" s="3170"/>
      <c r="TEZ146" s="3170"/>
      <c r="TFA146" s="3170"/>
      <c r="TFB146" s="3170"/>
      <c r="TFC146" s="3170"/>
      <c r="TFD146" s="3170"/>
      <c r="TFE146" s="3170"/>
      <c r="TFF146" s="3170"/>
      <c r="TFG146" s="3170"/>
      <c r="TFH146" s="3170"/>
      <c r="TFI146" s="3170"/>
      <c r="TFJ146" s="3170"/>
      <c r="TFK146" s="3170"/>
      <c r="TFL146" s="3170"/>
      <c r="TFM146" s="3170"/>
      <c r="TFN146" s="3170"/>
      <c r="TFO146" s="3170"/>
      <c r="TFP146" s="3170"/>
      <c r="TFQ146" s="3170"/>
      <c r="TFR146" s="3170"/>
      <c r="TFS146" s="3170"/>
      <c r="TFT146" s="3170"/>
      <c r="TFU146" s="3170"/>
      <c r="TFV146" s="3170"/>
      <c r="TFW146" s="3170"/>
      <c r="TFX146" s="3170"/>
      <c r="TFY146" s="3170"/>
      <c r="TFZ146" s="3170"/>
      <c r="TGA146" s="3170"/>
      <c r="TGB146" s="3170"/>
      <c r="TGC146" s="3170"/>
      <c r="TGD146" s="3170"/>
      <c r="TGE146" s="3170"/>
      <c r="TGF146" s="3170"/>
      <c r="TGG146" s="3170"/>
      <c r="TGH146" s="3170"/>
      <c r="TGI146" s="3170"/>
      <c r="TGJ146" s="3170"/>
      <c r="TGK146" s="3170"/>
      <c r="TGL146" s="3170"/>
      <c r="TGM146" s="3170"/>
      <c r="TGN146" s="3170"/>
      <c r="TGO146" s="3170"/>
      <c r="TGP146" s="3170"/>
      <c r="TGQ146" s="3170"/>
      <c r="TGR146" s="3170"/>
      <c r="TGS146" s="3170"/>
      <c r="TGT146" s="3170"/>
      <c r="TGU146" s="3170"/>
      <c r="TGV146" s="3170"/>
      <c r="TGW146" s="3170"/>
      <c r="TGX146" s="3170"/>
      <c r="TGY146" s="3170"/>
      <c r="TGZ146" s="3170"/>
      <c r="THA146" s="3170"/>
      <c r="THB146" s="3170"/>
      <c r="THC146" s="3170"/>
      <c r="THD146" s="3170"/>
      <c r="THE146" s="3170"/>
      <c r="THF146" s="3170"/>
      <c r="THG146" s="3170"/>
      <c r="THH146" s="3170"/>
      <c r="THI146" s="3170"/>
      <c r="THJ146" s="3170"/>
      <c r="THK146" s="3170"/>
      <c r="THL146" s="3170"/>
      <c r="THM146" s="3170"/>
      <c r="THN146" s="3170"/>
      <c r="THO146" s="3170"/>
      <c r="THP146" s="3170"/>
      <c r="THQ146" s="3170"/>
      <c r="THR146" s="3170"/>
      <c r="THS146" s="3170"/>
      <c r="THT146" s="3170"/>
      <c r="THU146" s="3170"/>
      <c r="THV146" s="3170"/>
      <c r="THW146" s="3170"/>
      <c r="THX146" s="3170"/>
      <c r="THY146" s="3170"/>
      <c r="THZ146" s="3170"/>
      <c r="TIA146" s="3170"/>
      <c r="TIB146" s="3170"/>
      <c r="TIC146" s="3170"/>
      <c r="TID146" s="3170"/>
      <c r="TIE146" s="3170"/>
      <c r="TIF146" s="3170"/>
      <c r="TIG146" s="3170"/>
      <c r="TIH146" s="3170"/>
      <c r="TII146" s="3170"/>
      <c r="TIJ146" s="3170"/>
      <c r="TIK146" s="3170"/>
      <c r="TIL146" s="3170"/>
      <c r="TIM146" s="3170"/>
      <c r="TIN146" s="3170"/>
      <c r="TIO146" s="3170"/>
      <c r="TIP146" s="3170"/>
      <c r="TIQ146" s="3170"/>
      <c r="TIR146" s="3170"/>
      <c r="TIS146" s="3170"/>
      <c r="TIT146" s="3170"/>
      <c r="TIU146" s="3170"/>
      <c r="TIV146" s="3170"/>
      <c r="TIW146" s="3170"/>
      <c r="TIX146" s="3170"/>
      <c r="TIY146" s="3170"/>
      <c r="TIZ146" s="3170"/>
      <c r="TJA146" s="3170"/>
      <c r="TJB146" s="3170"/>
      <c r="TJC146" s="3170"/>
      <c r="TJD146" s="3170"/>
      <c r="TJE146" s="3170"/>
      <c r="TJF146" s="3170"/>
      <c r="TJG146" s="3170"/>
      <c r="TJH146" s="3170"/>
      <c r="TJI146" s="3170"/>
      <c r="TJJ146" s="3170"/>
      <c r="TJK146" s="3170"/>
      <c r="TJL146" s="3170"/>
      <c r="TJM146" s="3170"/>
      <c r="TJN146" s="3170"/>
      <c r="TJO146" s="3170"/>
      <c r="TJP146" s="3170"/>
      <c r="TJQ146" s="3170"/>
      <c r="TJR146" s="3170"/>
      <c r="TJS146" s="3170"/>
      <c r="TJT146" s="3170"/>
      <c r="TJU146" s="3170"/>
      <c r="TJV146" s="3170"/>
      <c r="TJW146" s="3170"/>
      <c r="TJX146" s="3170"/>
      <c r="TJY146" s="3170"/>
      <c r="TJZ146" s="3170"/>
      <c r="TKA146" s="3170"/>
      <c r="TKB146" s="3170"/>
      <c r="TKC146" s="3170"/>
      <c r="TKD146" s="3170"/>
      <c r="TKE146" s="3170"/>
      <c r="TKF146" s="3170"/>
      <c r="TKG146" s="3170"/>
      <c r="TKH146" s="3170"/>
      <c r="TKI146" s="3170"/>
      <c r="TKJ146" s="3170"/>
      <c r="TKK146" s="3170"/>
      <c r="TKL146" s="3170"/>
      <c r="TKM146" s="3170"/>
      <c r="TKN146" s="3170"/>
      <c r="TKO146" s="3170"/>
      <c r="TKP146" s="3170"/>
      <c r="TKQ146" s="3170"/>
      <c r="TKR146" s="3170"/>
      <c r="TKS146" s="3170"/>
      <c r="TKT146" s="3170"/>
      <c r="TKU146" s="3170"/>
      <c r="TKV146" s="3170"/>
      <c r="TKW146" s="3170"/>
      <c r="TKX146" s="3170"/>
      <c r="TKY146" s="3170"/>
      <c r="TKZ146" s="3170"/>
      <c r="TLA146" s="3170"/>
      <c r="TLB146" s="3170"/>
      <c r="TLC146" s="3170"/>
      <c r="TLD146" s="3170"/>
      <c r="TLE146" s="3170"/>
      <c r="TLF146" s="3170"/>
      <c r="TLG146" s="3170"/>
      <c r="TLH146" s="3170"/>
      <c r="TLI146" s="3170"/>
      <c r="TLJ146" s="3170"/>
      <c r="TLK146" s="3170"/>
      <c r="TLL146" s="3170"/>
      <c r="TLM146" s="3170"/>
      <c r="TLN146" s="3170"/>
      <c r="TLO146" s="3170"/>
      <c r="TLP146" s="3170"/>
      <c r="TLQ146" s="3170"/>
      <c r="TLR146" s="3170"/>
      <c r="TLS146" s="3170"/>
      <c r="TLT146" s="3170"/>
      <c r="TLU146" s="3170"/>
      <c r="TLV146" s="3170"/>
      <c r="TLW146" s="3170"/>
      <c r="TLX146" s="3170"/>
      <c r="TLY146" s="3170"/>
      <c r="TLZ146" s="3170"/>
      <c r="TMA146" s="3170"/>
      <c r="TMB146" s="3170"/>
      <c r="TMC146" s="3170"/>
      <c r="TMD146" s="3170"/>
      <c r="TME146" s="3170"/>
      <c r="TMF146" s="3170"/>
      <c r="TMG146" s="3170"/>
      <c r="TMH146" s="3170"/>
      <c r="TMI146" s="3170"/>
      <c r="TMJ146" s="3170"/>
      <c r="TMK146" s="3170"/>
      <c r="TML146" s="3170"/>
      <c r="TMM146" s="3170"/>
      <c r="TMN146" s="3170"/>
      <c r="TMO146" s="3170"/>
      <c r="TMP146" s="3170"/>
      <c r="TMQ146" s="3170"/>
      <c r="TMR146" s="3170"/>
      <c r="TMS146" s="3170"/>
      <c r="TMT146" s="3170"/>
      <c r="TMU146" s="3170"/>
      <c r="TMV146" s="3170"/>
      <c r="TMW146" s="3170"/>
      <c r="TMX146" s="3170"/>
      <c r="TMY146" s="3170"/>
      <c r="TMZ146" s="3170"/>
      <c r="TNA146" s="3170"/>
      <c r="TNB146" s="3170"/>
      <c r="TNC146" s="3170"/>
      <c r="TND146" s="3170"/>
      <c r="TNE146" s="3170"/>
      <c r="TNF146" s="3170"/>
      <c r="TNG146" s="3170"/>
      <c r="TNH146" s="3170"/>
      <c r="TNI146" s="3170"/>
      <c r="TNJ146" s="3170"/>
      <c r="TNK146" s="3170"/>
      <c r="TNL146" s="3170"/>
      <c r="TNM146" s="3170"/>
      <c r="TNN146" s="3170"/>
      <c r="TNO146" s="3170"/>
      <c r="TNP146" s="3170"/>
      <c r="TNQ146" s="3170"/>
      <c r="TNR146" s="3170"/>
      <c r="TNS146" s="3170"/>
      <c r="TNT146" s="3170"/>
      <c r="TNU146" s="3170"/>
      <c r="TNV146" s="3170"/>
      <c r="TNW146" s="3170"/>
      <c r="TNX146" s="3170"/>
      <c r="TNY146" s="3170"/>
      <c r="TNZ146" s="3170"/>
      <c r="TOA146" s="3170"/>
      <c r="TOB146" s="3170"/>
      <c r="TOC146" s="3170"/>
      <c r="TOD146" s="3170"/>
      <c r="TOE146" s="3170"/>
      <c r="TOF146" s="3170"/>
      <c r="TOG146" s="3170"/>
      <c r="TOH146" s="3170"/>
      <c r="TOI146" s="3170"/>
      <c r="TOJ146" s="3170"/>
      <c r="TOK146" s="3170"/>
      <c r="TOL146" s="3170"/>
      <c r="TOM146" s="3170"/>
      <c r="TON146" s="3170"/>
      <c r="TOO146" s="3170"/>
      <c r="TOP146" s="3170"/>
      <c r="TOQ146" s="3170"/>
      <c r="TOR146" s="3170"/>
      <c r="TOS146" s="3170"/>
      <c r="TOT146" s="3170"/>
      <c r="TOU146" s="3170"/>
      <c r="TOV146" s="3170"/>
      <c r="TOW146" s="3170"/>
      <c r="TOX146" s="3170"/>
      <c r="TOY146" s="3170"/>
      <c r="TOZ146" s="3170"/>
      <c r="TPA146" s="3170"/>
      <c r="TPB146" s="3170"/>
      <c r="TPC146" s="3170"/>
      <c r="TPD146" s="3170"/>
      <c r="TPE146" s="3170"/>
      <c r="TPF146" s="3170"/>
      <c r="TPG146" s="3170"/>
      <c r="TPH146" s="3170"/>
      <c r="TPI146" s="3170"/>
      <c r="TPJ146" s="3170"/>
      <c r="TPK146" s="3170"/>
      <c r="TPL146" s="3170"/>
      <c r="TPM146" s="3170"/>
      <c r="TPN146" s="3170"/>
      <c r="TPO146" s="3170"/>
      <c r="TPP146" s="3170"/>
      <c r="TPQ146" s="3170"/>
      <c r="TPR146" s="3170"/>
      <c r="TPS146" s="3170"/>
      <c r="TPT146" s="3170"/>
      <c r="TPU146" s="3170"/>
      <c r="TPV146" s="3170"/>
      <c r="TPW146" s="3170"/>
      <c r="TPX146" s="3170"/>
      <c r="TPY146" s="3170"/>
      <c r="TPZ146" s="3170"/>
      <c r="TQA146" s="3170"/>
      <c r="TQB146" s="3170"/>
      <c r="TQC146" s="3170"/>
      <c r="TQD146" s="3170"/>
      <c r="TQE146" s="3170"/>
      <c r="TQF146" s="3170"/>
      <c r="TQG146" s="3170"/>
      <c r="TQH146" s="3170"/>
      <c r="TQI146" s="3170"/>
      <c r="TQJ146" s="3170"/>
      <c r="TQK146" s="3170"/>
      <c r="TQL146" s="3170"/>
      <c r="TQM146" s="3170"/>
      <c r="TQN146" s="3170"/>
      <c r="TQO146" s="3170"/>
      <c r="TQP146" s="3170"/>
      <c r="TQQ146" s="3170"/>
      <c r="TQR146" s="3170"/>
      <c r="TQS146" s="3170"/>
      <c r="TQT146" s="3170"/>
      <c r="TQU146" s="3170"/>
      <c r="TQV146" s="3170"/>
      <c r="TQW146" s="3170"/>
      <c r="TQX146" s="3170"/>
      <c r="TQY146" s="3170"/>
      <c r="TQZ146" s="3170"/>
      <c r="TRA146" s="3170"/>
      <c r="TRB146" s="3170"/>
      <c r="TRC146" s="3170"/>
      <c r="TRD146" s="3170"/>
      <c r="TRE146" s="3170"/>
      <c r="TRF146" s="3170"/>
      <c r="TRG146" s="3170"/>
      <c r="TRH146" s="3170"/>
      <c r="TRI146" s="3170"/>
      <c r="TRJ146" s="3170"/>
      <c r="TRK146" s="3170"/>
      <c r="TRL146" s="3170"/>
      <c r="TRM146" s="3170"/>
      <c r="TRN146" s="3170"/>
      <c r="TRO146" s="3170"/>
      <c r="TRP146" s="3170"/>
      <c r="TRQ146" s="3170"/>
      <c r="TRR146" s="3170"/>
      <c r="TRS146" s="3170"/>
      <c r="TRT146" s="3170"/>
      <c r="TRU146" s="3170"/>
      <c r="TRV146" s="3170"/>
      <c r="TRW146" s="3170"/>
      <c r="TRX146" s="3170"/>
      <c r="TRY146" s="3170"/>
      <c r="TRZ146" s="3170"/>
      <c r="TSA146" s="3170"/>
      <c r="TSB146" s="3170"/>
      <c r="TSC146" s="3170"/>
      <c r="TSD146" s="3170"/>
      <c r="TSE146" s="3170"/>
      <c r="TSF146" s="3170"/>
      <c r="TSG146" s="3170"/>
      <c r="TSH146" s="3170"/>
      <c r="TSI146" s="3170"/>
      <c r="TSJ146" s="3170"/>
      <c r="TSK146" s="3170"/>
      <c r="TSL146" s="3170"/>
      <c r="TSM146" s="3170"/>
      <c r="TSN146" s="3170"/>
      <c r="TSO146" s="3170"/>
      <c r="TSP146" s="3170"/>
      <c r="TSQ146" s="3170"/>
      <c r="TSR146" s="3170"/>
      <c r="TSS146" s="3170"/>
      <c r="TST146" s="3170"/>
      <c r="TSU146" s="3170"/>
      <c r="TSV146" s="3170"/>
      <c r="TSW146" s="3170"/>
      <c r="TSX146" s="3170"/>
      <c r="TSY146" s="3170"/>
      <c r="TSZ146" s="3170"/>
      <c r="TTA146" s="3170"/>
      <c r="TTB146" s="3170"/>
      <c r="TTC146" s="3170"/>
      <c r="TTD146" s="3170"/>
      <c r="TTE146" s="3170"/>
      <c r="TTF146" s="3170"/>
      <c r="TTG146" s="3170"/>
      <c r="TTH146" s="3170"/>
      <c r="TTI146" s="3170"/>
      <c r="TTJ146" s="3170"/>
      <c r="TTK146" s="3170"/>
      <c r="TTL146" s="3170"/>
      <c r="TTM146" s="3170"/>
      <c r="TTN146" s="3170"/>
      <c r="TTO146" s="3170"/>
      <c r="TTP146" s="3170"/>
      <c r="TTQ146" s="3170"/>
      <c r="TTR146" s="3170"/>
      <c r="TTS146" s="3170"/>
      <c r="TTT146" s="3170"/>
      <c r="TTU146" s="3170"/>
      <c r="TTV146" s="3170"/>
      <c r="TTW146" s="3170"/>
      <c r="TTX146" s="3170"/>
      <c r="TTY146" s="3170"/>
      <c r="TTZ146" s="3170"/>
      <c r="TUA146" s="3170"/>
      <c r="TUB146" s="3170"/>
      <c r="TUC146" s="3170"/>
      <c r="TUD146" s="3170"/>
      <c r="TUE146" s="3170"/>
      <c r="TUF146" s="3170"/>
      <c r="TUG146" s="3170"/>
      <c r="TUH146" s="3170"/>
      <c r="TUI146" s="3170"/>
      <c r="TUJ146" s="3170"/>
      <c r="TUK146" s="3170"/>
      <c r="TUL146" s="3170"/>
      <c r="TUM146" s="3170"/>
      <c r="TUN146" s="3170"/>
      <c r="TUO146" s="3170"/>
      <c r="TUP146" s="3170"/>
      <c r="TUQ146" s="3170"/>
      <c r="TUR146" s="3170"/>
      <c r="TUS146" s="3170"/>
      <c r="TUT146" s="3170"/>
      <c r="TUU146" s="3170"/>
      <c r="TUV146" s="3170"/>
      <c r="TUW146" s="3170"/>
      <c r="TUX146" s="3170"/>
      <c r="TUY146" s="3170"/>
      <c r="TUZ146" s="3170"/>
      <c r="TVA146" s="3170"/>
      <c r="TVB146" s="3170"/>
      <c r="TVC146" s="3170"/>
      <c r="TVD146" s="3170"/>
      <c r="TVE146" s="3170"/>
      <c r="TVF146" s="3170"/>
      <c r="TVG146" s="3170"/>
      <c r="TVH146" s="3170"/>
      <c r="TVI146" s="3170"/>
      <c r="TVJ146" s="3170"/>
      <c r="TVK146" s="3170"/>
      <c r="TVL146" s="3170"/>
      <c r="TVM146" s="3170"/>
      <c r="TVN146" s="3170"/>
      <c r="TVO146" s="3170"/>
      <c r="TVP146" s="3170"/>
      <c r="TVQ146" s="3170"/>
      <c r="TVR146" s="3170"/>
      <c r="TVS146" s="3170"/>
      <c r="TVT146" s="3170"/>
      <c r="TVU146" s="3170"/>
      <c r="TVV146" s="3170"/>
      <c r="TVW146" s="3170"/>
      <c r="TVX146" s="3170"/>
      <c r="TVY146" s="3170"/>
      <c r="TVZ146" s="3170"/>
      <c r="TWA146" s="3170"/>
      <c r="TWB146" s="3170"/>
      <c r="TWC146" s="3170"/>
      <c r="TWD146" s="3170"/>
      <c r="TWE146" s="3170"/>
      <c r="TWF146" s="3170"/>
      <c r="TWG146" s="3170"/>
      <c r="TWH146" s="3170"/>
      <c r="TWI146" s="3170"/>
      <c r="TWJ146" s="3170"/>
      <c r="TWK146" s="3170"/>
      <c r="TWL146" s="3170"/>
      <c r="TWM146" s="3170"/>
      <c r="TWN146" s="3170"/>
      <c r="TWO146" s="3170"/>
      <c r="TWP146" s="3170"/>
      <c r="TWQ146" s="3170"/>
      <c r="TWR146" s="3170"/>
      <c r="TWS146" s="3170"/>
      <c r="TWT146" s="3170"/>
      <c r="TWU146" s="3170"/>
      <c r="TWV146" s="3170"/>
      <c r="TWW146" s="3170"/>
      <c r="TWX146" s="3170"/>
      <c r="TWY146" s="3170"/>
      <c r="TWZ146" s="3170"/>
      <c r="TXA146" s="3170"/>
      <c r="TXB146" s="3170"/>
      <c r="TXC146" s="3170"/>
      <c r="TXD146" s="3170"/>
      <c r="TXE146" s="3170"/>
      <c r="TXF146" s="3170"/>
      <c r="TXG146" s="3170"/>
      <c r="TXH146" s="3170"/>
      <c r="TXI146" s="3170"/>
      <c r="TXJ146" s="3170"/>
      <c r="TXK146" s="3170"/>
      <c r="TXL146" s="3170"/>
      <c r="TXM146" s="3170"/>
      <c r="TXN146" s="3170"/>
      <c r="TXO146" s="3170"/>
      <c r="TXP146" s="3170"/>
      <c r="TXQ146" s="3170"/>
      <c r="TXR146" s="3170"/>
      <c r="TXS146" s="3170"/>
      <c r="TXT146" s="3170"/>
      <c r="TXU146" s="3170"/>
      <c r="TXV146" s="3170"/>
      <c r="TXW146" s="3170"/>
      <c r="TXX146" s="3170"/>
      <c r="TXY146" s="3170"/>
      <c r="TXZ146" s="3170"/>
      <c r="TYA146" s="3170"/>
      <c r="TYB146" s="3170"/>
      <c r="TYC146" s="3170"/>
      <c r="TYD146" s="3170"/>
      <c r="TYE146" s="3170"/>
      <c r="TYF146" s="3170"/>
      <c r="TYG146" s="3170"/>
      <c r="TYH146" s="3170"/>
      <c r="TYI146" s="3170"/>
      <c r="TYJ146" s="3170"/>
      <c r="TYK146" s="3170"/>
      <c r="TYL146" s="3170"/>
      <c r="TYM146" s="3170"/>
      <c r="TYN146" s="3170"/>
      <c r="TYO146" s="3170"/>
      <c r="TYP146" s="3170"/>
      <c r="TYQ146" s="3170"/>
      <c r="TYR146" s="3170"/>
      <c r="TYS146" s="3170"/>
      <c r="TYT146" s="3170"/>
      <c r="TYU146" s="3170"/>
      <c r="TYV146" s="3170"/>
      <c r="TYW146" s="3170"/>
      <c r="TYX146" s="3170"/>
      <c r="TYY146" s="3170"/>
      <c r="TYZ146" s="3170"/>
      <c r="TZA146" s="3170"/>
      <c r="TZB146" s="3170"/>
      <c r="TZC146" s="3170"/>
      <c r="TZD146" s="3170"/>
      <c r="TZE146" s="3170"/>
      <c r="TZF146" s="3170"/>
      <c r="TZG146" s="3170"/>
      <c r="TZH146" s="3170"/>
      <c r="TZI146" s="3170"/>
      <c r="TZJ146" s="3170"/>
      <c r="TZK146" s="3170"/>
      <c r="TZL146" s="3170"/>
      <c r="TZM146" s="3170"/>
      <c r="TZN146" s="3170"/>
      <c r="TZO146" s="3170"/>
      <c r="TZP146" s="3170"/>
      <c r="TZQ146" s="3170"/>
      <c r="TZR146" s="3170"/>
      <c r="TZS146" s="3170"/>
      <c r="TZT146" s="3170"/>
      <c r="TZU146" s="3170"/>
      <c r="TZV146" s="3170"/>
      <c r="TZW146" s="3170"/>
      <c r="TZX146" s="3170"/>
      <c r="TZY146" s="3170"/>
      <c r="TZZ146" s="3170"/>
      <c r="UAA146" s="3170"/>
      <c r="UAB146" s="3170"/>
      <c r="UAC146" s="3170"/>
      <c r="UAD146" s="3170"/>
      <c r="UAE146" s="3170"/>
      <c r="UAF146" s="3170"/>
      <c r="UAG146" s="3170"/>
      <c r="UAH146" s="3170"/>
      <c r="UAI146" s="3170"/>
      <c r="UAJ146" s="3170"/>
      <c r="UAK146" s="3170"/>
      <c r="UAL146" s="3170"/>
      <c r="UAM146" s="3170"/>
      <c r="UAN146" s="3170"/>
      <c r="UAO146" s="3170"/>
      <c r="UAP146" s="3170"/>
      <c r="UAQ146" s="3170"/>
      <c r="UAR146" s="3170"/>
      <c r="UAS146" s="3170"/>
      <c r="UAT146" s="3170"/>
      <c r="UAU146" s="3170"/>
      <c r="UAV146" s="3170"/>
      <c r="UAW146" s="3170"/>
      <c r="UAX146" s="3170"/>
      <c r="UAY146" s="3170"/>
      <c r="UAZ146" s="3170"/>
      <c r="UBA146" s="3170"/>
      <c r="UBB146" s="3170"/>
      <c r="UBC146" s="3170"/>
      <c r="UBD146" s="3170"/>
      <c r="UBE146" s="3170"/>
      <c r="UBF146" s="3170"/>
      <c r="UBG146" s="3170"/>
      <c r="UBH146" s="3170"/>
      <c r="UBI146" s="3170"/>
      <c r="UBJ146" s="3170"/>
      <c r="UBK146" s="3170"/>
      <c r="UBL146" s="3170"/>
      <c r="UBM146" s="3170"/>
      <c r="UBN146" s="3170"/>
      <c r="UBO146" s="3170"/>
      <c r="UBP146" s="3170"/>
      <c r="UBQ146" s="3170"/>
      <c r="UBR146" s="3170"/>
      <c r="UBS146" s="3170"/>
      <c r="UBT146" s="3170"/>
      <c r="UBU146" s="3170"/>
      <c r="UBV146" s="3170"/>
      <c r="UBW146" s="3170"/>
      <c r="UBX146" s="3170"/>
      <c r="UBY146" s="3170"/>
      <c r="UBZ146" s="3170"/>
      <c r="UCA146" s="3170"/>
      <c r="UCB146" s="3170"/>
      <c r="UCC146" s="3170"/>
      <c r="UCD146" s="3170"/>
      <c r="UCE146" s="3170"/>
      <c r="UCF146" s="3170"/>
      <c r="UCG146" s="3170"/>
      <c r="UCH146" s="3170"/>
      <c r="UCI146" s="3170"/>
      <c r="UCJ146" s="3170"/>
      <c r="UCK146" s="3170"/>
      <c r="UCL146" s="3170"/>
      <c r="UCM146" s="3170"/>
      <c r="UCN146" s="3170"/>
      <c r="UCO146" s="3170"/>
      <c r="UCP146" s="3170"/>
      <c r="UCQ146" s="3170"/>
      <c r="UCR146" s="3170"/>
      <c r="UCS146" s="3170"/>
      <c r="UCT146" s="3170"/>
      <c r="UCU146" s="3170"/>
      <c r="UCV146" s="3170"/>
      <c r="UCW146" s="3170"/>
      <c r="UCX146" s="3170"/>
      <c r="UCY146" s="3170"/>
      <c r="UCZ146" s="3170"/>
      <c r="UDA146" s="3170"/>
      <c r="UDB146" s="3170"/>
      <c r="UDC146" s="3170"/>
      <c r="UDD146" s="3170"/>
      <c r="UDE146" s="3170"/>
      <c r="UDF146" s="3170"/>
      <c r="UDG146" s="3170"/>
      <c r="UDH146" s="3170"/>
      <c r="UDI146" s="3170"/>
      <c r="UDJ146" s="3170"/>
      <c r="UDK146" s="3170"/>
      <c r="UDL146" s="3170"/>
      <c r="UDM146" s="3170"/>
      <c r="UDN146" s="3170"/>
      <c r="UDO146" s="3170"/>
      <c r="UDP146" s="3170"/>
      <c r="UDQ146" s="3170"/>
      <c r="UDR146" s="3170"/>
      <c r="UDS146" s="3170"/>
      <c r="UDT146" s="3170"/>
      <c r="UDU146" s="3170"/>
      <c r="UDV146" s="3170"/>
      <c r="UDW146" s="3170"/>
      <c r="UDX146" s="3170"/>
      <c r="UDY146" s="3170"/>
      <c r="UDZ146" s="3170"/>
      <c r="UEA146" s="3170"/>
      <c r="UEB146" s="3170"/>
      <c r="UEC146" s="3170"/>
      <c r="UED146" s="3170"/>
      <c r="UEE146" s="3170"/>
      <c r="UEF146" s="3170"/>
      <c r="UEG146" s="3170"/>
      <c r="UEH146" s="3170"/>
      <c r="UEI146" s="3170"/>
      <c r="UEJ146" s="3170"/>
      <c r="UEK146" s="3170"/>
      <c r="UEL146" s="3170"/>
      <c r="UEM146" s="3170"/>
      <c r="UEN146" s="3170"/>
      <c r="UEO146" s="3170"/>
      <c r="UEP146" s="3170"/>
      <c r="UEQ146" s="3170"/>
      <c r="UER146" s="3170"/>
      <c r="UES146" s="3170"/>
      <c r="UET146" s="3170"/>
      <c r="UEU146" s="3170"/>
      <c r="UEV146" s="3170"/>
      <c r="UEW146" s="3170"/>
      <c r="UEX146" s="3170"/>
      <c r="UEY146" s="3170"/>
      <c r="UEZ146" s="3170"/>
      <c r="UFA146" s="3170"/>
      <c r="UFB146" s="3170"/>
      <c r="UFC146" s="3170"/>
      <c r="UFD146" s="3170"/>
      <c r="UFE146" s="3170"/>
      <c r="UFF146" s="3170"/>
      <c r="UFG146" s="3170"/>
      <c r="UFH146" s="3170"/>
      <c r="UFI146" s="3170"/>
      <c r="UFJ146" s="3170"/>
      <c r="UFK146" s="3170"/>
      <c r="UFL146" s="3170"/>
      <c r="UFM146" s="3170"/>
      <c r="UFN146" s="3170"/>
      <c r="UFO146" s="3170"/>
      <c r="UFP146" s="3170"/>
      <c r="UFQ146" s="3170"/>
      <c r="UFR146" s="3170"/>
      <c r="UFS146" s="3170"/>
      <c r="UFT146" s="3170"/>
      <c r="UFU146" s="3170"/>
      <c r="UFV146" s="3170"/>
      <c r="UFW146" s="3170"/>
      <c r="UFX146" s="3170"/>
      <c r="UFY146" s="3170"/>
      <c r="UFZ146" s="3170"/>
      <c r="UGA146" s="3170"/>
      <c r="UGB146" s="3170"/>
      <c r="UGC146" s="3170"/>
      <c r="UGD146" s="3170"/>
      <c r="UGE146" s="3170"/>
      <c r="UGF146" s="3170"/>
      <c r="UGG146" s="3170"/>
      <c r="UGH146" s="3170"/>
      <c r="UGI146" s="3170"/>
      <c r="UGJ146" s="3170"/>
      <c r="UGK146" s="3170"/>
      <c r="UGL146" s="3170"/>
      <c r="UGM146" s="3170"/>
      <c r="UGN146" s="3170"/>
      <c r="UGO146" s="3170"/>
      <c r="UGP146" s="3170"/>
      <c r="UGQ146" s="3170"/>
      <c r="UGR146" s="3170"/>
      <c r="UGS146" s="3170"/>
      <c r="UGT146" s="3170"/>
      <c r="UGU146" s="3170"/>
      <c r="UGV146" s="3170"/>
      <c r="UGW146" s="3170"/>
      <c r="UGX146" s="3170"/>
      <c r="UGY146" s="3170"/>
      <c r="UGZ146" s="3170"/>
      <c r="UHA146" s="3170"/>
      <c r="UHB146" s="3170"/>
      <c r="UHC146" s="3170"/>
      <c r="UHD146" s="3170"/>
      <c r="UHE146" s="3170"/>
      <c r="UHF146" s="3170"/>
      <c r="UHG146" s="3170"/>
      <c r="UHH146" s="3170"/>
      <c r="UHI146" s="3170"/>
      <c r="UHJ146" s="3170"/>
      <c r="UHK146" s="3170"/>
      <c r="UHL146" s="3170"/>
      <c r="UHM146" s="3170"/>
      <c r="UHN146" s="3170"/>
      <c r="UHO146" s="3170"/>
      <c r="UHP146" s="3170"/>
      <c r="UHQ146" s="3170"/>
      <c r="UHR146" s="3170"/>
      <c r="UHS146" s="3170"/>
      <c r="UHT146" s="3170"/>
      <c r="UHU146" s="3170"/>
      <c r="UHV146" s="3170"/>
      <c r="UHW146" s="3170"/>
      <c r="UHX146" s="3170"/>
      <c r="UHY146" s="3170"/>
      <c r="UHZ146" s="3170"/>
      <c r="UIA146" s="3170"/>
      <c r="UIB146" s="3170"/>
      <c r="UIC146" s="3170"/>
      <c r="UID146" s="3170"/>
      <c r="UIE146" s="3170"/>
      <c r="UIF146" s="3170"/>
      <c r="UIG146" s="3170"/>
      <c r="UIH146" s="3170"/>
      <c r="UII146" s="3170"/>
      <c r="UIJ146" s="3170"/>
      <c r="UIK146" s="3170"/>
      <c r="UIL146" s="3170"/>
      <c r="UIM146" s="3170"/>
      <c r="UIN146" s="3170"/>
      <c r="UIO146" s="3170"/>
      <c r="UIP146" s="3170"/>
      <c r="UIQ146" s="3170"/>
      <c r="UIR146" s="3170"/>
      <c r="UIS146" s="3170"/>
      <c r="UIT146" s="3170"/>
      <c r="UIU146" s="3170"/>
      <c r="UIV146" s="3170"/>
      <c r="UIW146" s="3170"/>
      <c r="UIX146" s="3170"/>
      <c r="UIY146" s="3170"/>
      <c r="UIZ146" s="3170"/>
      <c r="UJA146" s="3170"/>
      <c r="UJB146" s="3170"/>
      <c r="UJC146" s="3170"/>
      <c r="UJD146" s="3170"/>
      <c r="UJE146" s="3170"/>
      <c r="UJF146" s="3170"/>
      <c r="UJG146" s="3170"/>
      <c r="UJH146" s="3170"/>
      <c r="UJI146" s="3170"/>
      <c r="UJJ146" s="3170"/>
      <c r="UJK146" s="3170"/>
      <c r="UJL146" s="3170"/>
      <c r="UJM146" s="3170"/>
      <c r="UJN146" s="3170"/>
      <c r="UJO146" s="3170"/>
      <c r="UJP146" s="3170"/>
      <c r="UJQ146" s="3170"/>
      <c r="UJR146" s="3170"/>
      <c r="UJS146" s="3170"/>
      <c r="UJT146" s="3170"/>
      <c r="UJU146" s="3170"/>
      <c r="UJV146" s="3170"/>
      <c r="UJW146" s="3170"/>
      <c r="UJX146" s="3170"/>
      <c r="UJY146" s="3170"/>
      <c r="UJZ146" s="3170"/>
      <c r="UKA146" s="3170"/>
      <c r="UKB146" s="3170"/>
      <c r="UKC146" s="3170"/>
      <c r="UKD146" s="3170"/>
      <c r="UKE146" s="3170"/>
      <c r="UKF146" s="3170"/>
      <c r="UKG146" s="3170"/>
      <c r="UKH146" s="3170"/>
      <c r="UKI146" s="3170"/>
      <c r="UKJ146" s="3170"/>
      <c r="UKK146" s="3170"/>
      <c r="UKL146" s="3170"/>
      <c r="UKM146" s="3170"/>
      <c r="UKN146" s="3170"/>
      <c r="UKO146" s="3170"/>
      <c r="UKP146" s="3170"/>
      <c r="UKQ146" s="3170"/>
      <c r="UKR146" s="3170"/>
      <c r="UKS146" s="3170"/>
      <c r="UKT146" s="3170"/>
      <c r="UKU146" s="3170"/>
      <c r="UKV146" s="3170"/>
      <c r="UKW146" s="3170"/>
      <c r="UKX146" s="3170"/>
      <c r="UKY146" s="3170"/>
      <c r="UKZ146" s="3170"/>
      <c r="ULA146" s="3170"/>
      <c r="ULB146" s="3170"/>
      <c r="ULC146" s="3170"/>
      <c r="ULD146" s="3170"/>
      <c r="ULE146" s="3170"/>
      <c r="ULF146" s="3170"/>
      <c r="ULG146" s="3170"/>
      <c r="ULH146" s="3170"/>
      <c r="ULI146" s="3170"/>
      <c r="ULJ146" s="3170"/>
      <c r="ULK146" s="3170"/>
      <c r="ULL146" s="3170"/>
      <c r="ULM146" s="3170"/>
      <c r="ULN146" s="3170"/>
      <c r="ULO146" s="3170"/>
      <c r="ULP146" s="3170"/>
      <c r="ULQ146" s="3170"/>
      <c r="ULR146" s="3170"/>
      <c r="ULS146" s="3170"/>
      <c r="ULT146" s="3170"/>
      <c r="ULU146" s="3170"/>
      <c r="ULV146" s="3170"/>
      <c r="ULW146" s="3170"/>
      <c r="ULX146" s="3170"/>
      <c r="ULY146" s="3170"/>
      <c r="ULZ146" s="3170"/>
      <c r="UMA146" s="3170"/>
      <c r="UMB146" s="3170"/>
      <c r="UMC146" s="3170"/>
      <c r="UMD146" s="3170"/>
      <c r="UME146" s="3170"/>
      <c r="UMF146" s="3170"/>
      <c r="UMG146" s="3170"/>
      <c r="UMH146" s="3170"/>
      <c r="UMI146" s="3170"/>
      <c r="UMJ146" s="3170"/>
      <c r="UMK146" s="3170"/>
      <c r="UML146" s="3170"/>
      <c r="UMM146" s="3170"/>
      <c r="UMN146" s="3170"/>
      <c r="UMO146" s="3170"/>
      <c r="UMP146" s="3170"/>
      <c r="UMQ146" s="3170"/>
      <c r="UMR146" s="3170"/>
      <c r="UMS146" s="3170"/>
      <c r="UMT146" s="3170"/>
      <c r="UMU146" s="3170"/>
      <c r="UMV146" s="3170"/>
      <c r="UMW146" s="3170"/>
      <c r="UMX146" s="3170"/>
      <c r="UMY146" s="3170"/>
      <c r="UMZ146" s="3170"/>
      <c r="UNA146" s="3170"/>
      <c r="UNB146" s="3170"/>
      <c r="UNC146" s="3170"/>
      <c r="UND146" s="3170"/>
      <c r="UNE146" s="3170"/>
      <c r="UNF146" s="3170"/>
      <c r="UNG146" s="3170"/>
      <c r="UNH146" s="3170"/>
      <c r="UNI146" s="3170"/>
      <c r="UNJ146" s="3170"/>
      <c r="UNK146" s="3170"/>
      <c r="UNL146" s="3170"/>
      <c r="UNM146" s="3170"/>
      <c r="UNN146" s="3170"/>
      <c r="UNO146" s="3170"/>
      <c r="UNP146" s="3170"/>
      <c r="UNQ146" s="3170"/>
      <c r="UNR146" s="3170"/>
      <c r="UNS146" s="3170"/>
      <c r="UNT146" s="3170"/>
      <c r="UNU146" s="3170"/>
      <c r="UNV146" s="3170"/>
      <c r="UNW146" s="3170"/>
      <c r="UNX146" s="3170"/>
      <c r="UNY146" s="3170"/>
      <c r="UNZ146" s="3170"/>
      <c r="UOA146" s="3170"/>
      <c r="UOB146" s="3170"/>
      <c r="UOC146" s="3170"/>
      <c r="UOD146" s="3170"/>
      <c r="UOE146" s="3170"/>
      <c r="UOF146" s="3170"/>
      <c r="UOG146" s="3170"/>
      <c r="UOH146" s="3170"/>
      <c r="UOI146" s="3170"/>
      <c r="UOJ146" s="3170"/>
      <c r="UOK146" s="3170"/>
      <c r="UOL146" s="3170"/>
      <c r="UOM146" s="3170"/>
      <c r="UON146" s="3170"/>
      <c r="UOO146" s="3170"/>
      <c r="UOP146" s="3170"/>
      <c r="UOQ146" s="3170"/>
      <c r="UOR146" s="3170"/>
      <c r="UOS146" s="3170"/>
      <c r="UOT146" s="3170"/>
      <c r="UOU146" s="3170"/>
      <c r="UOV146" s="3170"/>
      <c r="UOW146" s="3170"/>
      <c r="UOX146" s="3170"/>
      <c r="UOY146" s="3170"/>
      <c r="UOZ146" s="3170"/>
      <c r="UPA146" s="3170"/>
      <c r="UPB146" s="3170"/>
      <c r="UPC146" s="3170"/>
      <c r="UPD146" s="3170"/>
      <c r="UPE146" s="3170"/>
      <c r="UPF146" s="3170"/>
      <c r="UPG146" s="3170"/>
      <c r="UPH146" s="3170"/>
      <c r="UPI146" s="3170"/>
      <c r="UPJ146" s="3170"/>
      <c r="UPK146" s="3170"/>
      <c r="UPL146" s="3170"/>
      <c r="UPM146" s="3170"/>
      <c r="UPN146" s="3170"/>
      <c r="UPO146" s="3170"/>
      <c r="UPP146" s="3170"/>
      <c r="UPQ146" s="3170"/>
      <c r="UPR146" s="3170"/>
      <c r="UPS146" s="3170"/>
      <c r="UPT146" s="3170"/>
      <c r="UPU146" s="3170"/>
      <c r="UPV146" s="3170"/>
      <c r="UPW146" s="3170"/>
      <c r="UPX146" s="3170"/>
      <c r="UPY146" s="3170"/>
      <c r="UPZ146" s="3170"/>
      <c r="UQA146" s="3170"/>
      <c r="UQB146" s="3170"/>
      <c r="UQC146" s="3170"/>
      <c r="UQD146" s="3170"/>
      <c r="UQE146" s="3170"/>
      <c r="UQF146" s="3170"/>
      <c r="UQG146" s="3170"/>
      <c r="UQH146" s="3170"/>
      <c r="UQI146" s="3170"/>
      <c r="UQJ146" s="3170"/>
      <c r="UQK146" s="3170"/>
      <c r="UQL146" s="3170"/>
      <c r="UQM146" s="3170"/>
      <c r="UQN146" s="3170"/>
      <c r="UQO146" s="3170"/>
      <c r="UQP146" s="3170"/>
      <c r="UQQ146" s="3170"/>
      <c r="UQR146" s="3170"/>
      <c r="UQS146" s="3170"/>
      <c r="UQT146" s="3170"/>
      <c r="UQU146" s="3170"/>
      <c r="UQV146" s="3170"/>
      <c r="UQW146" s="3170"/>
      <c r="UQX146" s="3170"/>
      <c r="UQY146" s="3170"/>
      <c r="UQZ146" s="3170"/>
      <c r="URA146" s="3170"/>
      <c r="URB146" s="3170"/>
      <c r="URC146" s="3170"/>
      <c r="URD146" s="3170"/>
      <c r="URE146" s="3170"/>
      <c r="URF146" s="3170"/>
      <c r="URG146" s="3170"/>
      <c r="URH146" s="3170"/>
      <c r="URI146" s="3170"/>
      <c r="URJ146" s="3170"/>
      <c r="URK146" s="3170"/>
      <c r="URL146" s="3170"/>
      <c r="URM146" s="3170"/>
      <c r="URN146" s="3170"/>
      <c r="URO146" s="3170"/>
      <c r="URP146" s="3170"/>
      <c r="URQ146" s="3170"/>
      <c r="URR146" s="3170"/>
      <c r="URS146" s="3170"/>
      <c r="URT146" s="3170"/>
      <c r="URU146" s="3170"/>
      <c r="URV146" s="3170"/>
      <c r="URW146" s="3170"/>
      <c r="URX146" s="3170"/>
      <c r="URY146" s="3170"/>
      <c r="URZ146" s="3170"/>
      <c r="USA146" s="3170"/>
      <c r="USB146" s="3170"/>
      <c r="USC146" s="3170"/>
      <c r="USD146" s="3170"/>
      <c r="USE146" s="3170"/>
      <c r="USF146" s="3170"/>
      <c r="USG146" s="3170"/>
      <c r="USH146" s="3170"/>
      <c r="USI146" s="3170"/>
      <c r="USJ146" s="3170"/>
      <c r="USK146" s="3170"/>
      <c r="USL146" s="3170"/>
      <c r="USM146" s="3170"/>
      <c r="USN146" s="3170"/>
      <c r="USO146" s="3170"/>
      <c r="USP146" s="3170"/>
      <c r="USQ146" s="3170"/>
      <c r="USR146" s="3170"/>
      <c r="USS146" s="3170"/>
      <c r="UST146" s="3170"/>
      <c r="USU146" s="3170"/>
      <c r="USV146" s="3170"/>
      <c r="USW146" s="3170"/>
      <c r="USX146" s="3170"/>
      <c r="USY146" s="3170"/>
      <c r="USZ146" s="3170"/>
      <c r="UTA146" s="3170"/>
      <c r="UTB146" s="3170"/>
      <c r="UTC146" s="3170"/>
      <c r="UTD146" s="3170"/>
      <c r="UTE146" s="3170"/>
      <c r="UTF146" s="3170"/>
      <c r="UTG146" s="3170"/>
      <c r="UTH146" s="3170"/>
      <c r="UTI146" s="3170"/>
      <c r="UTJ146" s="3170"/>
      <c r="UTK146" s="3170"/>
      <c r="UTL146" s="3170"/>
      <c r="UTM146" s="3170"/>
      <c r="UTN146" s="3170"/>
      <c r="UTO146" s="3170"/>
      <c r="UTP146" s="3170"/>
      <c r="UTQ146" s="3170"/>
      <c r="UTR146" s="3170"/>
      <c r="UTS146" s="3170"/>
      <c r="UTT146" s="3170"/>
      <c r="UTU146" s="3170"/>
      <c r="UTV146" s="3170"/>
      <c r="UTW146" s="3170"/>
      <c r="UTX146" s="3170"/>
      <c r="UTY146" s="3170"/>
      <c r="UTZ146" s="3170"/>
      <c r="UUA146" s="3170"/>
      <c r="UUB146" s="3170"/>
      <c r="UUC146" s="3170"/>
      <c r="UUD146" s="3170"/>
      <c r="UUE146" s="3170"/>
      <c r="UUF146" s="3170"/>
      <c r="UUG146" s="3170"/>
      <c r="UUH146" s="3170"/>
      <c r="UUI146" s="3170"/>
      <c r="UUJ146" s="3170"/>
      <c r="UUK146" s="3170"/>
      <c r="UUL146" s="3170"/>
      <c r="UUM146" s="3170"/>
      <c r="UUN146" s="3170"/>
      <c r="UUO146" s="3170"/>
      <c r="UUP146" s="3170"/>
      <c r="UUQ146" s="3170"/>
      <c r="UUR146" s="3170"/>
      <c r="UUS146" s="3170"/>
      <c r="UUT146" s="3170"/>
      <c r="UUU146" s="3170"/>
      <c r="UUV146" s="3170"/>
      <c r="UUW146" s="3170"/>
      <c r="UUX146" s="3170"/>
      <c r="UUY146" s="3170"/>
      <c r="UUZ146" s="3170"/>
      <c r="UVA146" s="3170"/>
      <c r="UVB146" s="3170"/>
      <c r="UVC146" s="3170"/>
      <c r="UVD146" s="3170"/>
      <c r="UVE146" s="3170"/>
      <c r="UVF146" s="3170"/>
      <c r="UVG146" s="3170"/>
      <c r="UVH146" s="3170"/>
      <c r="UVI146" s="3170"/>
      <c r="UVJ146" s="3170"/>
      <c r="UVK146" s="3170"/>
      <c r="UVL146" s="3170"/>
      <c r="UVM146" s="3170"/>
      <c r="UVN146" s="3170"/>
      <c r="UVO146" s="3170"/>
      <c r="UVP146" s="3170"/>
      <c r="UVQ146" s="3170"/>
      <c r="UVR146" s="3170"/>
      <c r="UVS146" s="3170"/>
      <c r="UVT146" s="3170"/>
      <c r="UVU146" s="3170"/>
      <c r="UVV146" s="3170"/>
      <c r="UVW146" s="3170"/>
      <c r="UVX146" s="3170"/>
      <c r="UVY146" s="3170"/>
      <c r="UVZ146" s="3170"/>
      <c r="UWA146" s="3170"/>
      <c r="UWB146" s="3170"/>
      <c r="UWC146" s="3170"/>
      <c r="UWD146" s="3170"/>
      <c r="UWE146" s="3170"/>
      <c r="UWF146" s="3170"/>
      <c r="UWG146" s="3170"/>
      <c r="UWH146" s="3170"/>
      <c r="UWI146" s="3170"/>
      <c r="UWJ146" s="3170"/>
      <c r="UWK146" s="3170"/>
      <c r="UWL146" s="3170"/>
      <c r="UWM146" s="3170"/>
      <c r="UWN146" s="3170"/>
      <c r="UWO146" s="3170"/>
      <c r="UWP146" s="3170"/>
      <c r="UWQ146" s="3170"/>
      <c r="UWR146" s="3170"/>
      <c r="UWS146" s="3170"/>
      <c r="UWT146" s="3170"/>
      <c r="UWU146" s="3170"/>
      <c r="UWV146" s="3170"/>
      <c r="UWW146" s="3170"/>
      <c r="UWX146" s="3170"/>
      <c r="UWY146" s="3170"/>
      <c r="UWZ146" s="3170"/>
      <c r="UXA146" s="3170"/>
      <c r="UXB146" s="3170"/>
      <c r="UXC146" s="3170"/>
      <c r="UXD146" s="3170"/>
      <c r="UXE146" s="3170"/>
      <c r="UXF146" s="3170"/>
      <c r="UXG146" s="3170"/>
      <c r="UXH146" s="3170"/>
      <c r="UXI146" s="3170"/>
      <c r="UXJ146" s="3170"/>
      <c r="UXK146" s="3170"/>
      <c r="UXL146" s="3170"/>
      <c r="UXM146" s="3170"/>
      <c r="UXN146" s="3170"/>
      <c r="UXO146" s="3170"/>
      <c r="UXP146" s="3170"/>
      <c r="UXQ146" s="3170"/>
      <c r="UXR146" s="3170"/>
      <c r="UXS146" s="3170"/>
      <c r="UXT146" s="3170"/>
      <c r="UXU146" s="3170"/>
      <c r="UXV146" s="3170"/>
      <c r="UXW146" s="3170"/>
      <c r="UXX146" s="3170"/>
      <c r="UXY146" s="3170"/>
      <c r="UXZ146" s="3170"/>
      <c r="UYA146" s="3170"/>
      <c r="UYB146" s="3170"/>
      <c r="UYC146" s="3170"/>
      <c r="UYD146" s="3170"/>
      <c r="UYE146" s="3170"/>
      <c r="UYF146" s="3170"/>
      <c r="UYG146" s="3170"/>
      <c r="UYH146" s="3170"/>
      <c r="UYI146" s="3170"/>
      <c r="UYJ146" s="3170"/>
      <c r="UYK146" s="3170"/>
      <c r="UYL146" s="3170"/>
      <c r="UYM146" s="3170"/>
      <c r="UYN146" s="3170"/>
      <c r="UYO146" s="3170"/>
      <c r="UYP146" s="3170"/>
      <c r="UYQ146" s="3170"/>
      <c r="UYR146" s="3170"/>
      <c r="UYS146" s="3170"/>
      <c r="UYT146" s="3170"/>
      <c r="UYU146" s="3170"/>
      <c r="UYV146" s="3170"/>
      <c r="UYW146" s="3170"/>
      <c r="UYX146" s="3170"/>
      <c r="UYY146" s="3170"/>
      <c r="UYZ146" s="3170"/>
      <c r="UZA146" s="3170"/>
      <c r="UZB146" s="3170"/>
      <c r="UZC146" s="3170"/>
      <c r="UZD146" s="3170"/>
      <c r="UZE146" s="3170"/>
      <c r="UZF146" s="3170"/>
      <c r="UZG146" s="3170"/>
      <c r="UZH146" s="3170"/>
      <c r="UZI146" s="3170"/>
      <c r="UZJ146" s="3170"/>
      <c r="UZK146" s="3170"/>
      <c r="UZL146" s="3170"/>
      <c r="UZM146" s="3170"/>
      <c r="UZN146" s="3170"/>
      <c r="UZO146" s="3170"/>
      <c r="UZP146" s="3170"/>
      <c r="UZQ146" s="3170"/>
      <c r="UZR146" s="3170"/>
      <c r="UZS146" s="3170"/>
      <c r="UZT146" s="3170"/>
      <c r="UZU146" s="3170"/>
      <c r="UZV146" s="3170"/>
      <c r="UZW146" s="3170"/>
      <c r="UZX146" s="3170"/>
      <c r="UZY146" s="3170"/>
      <c r="UZZ146" s="3170"/>
      <c r="VAA146" s="3170"/>
      <c r="VAB146" s="3170"/>
      <c r="VAC146" s="3170"/>
      <c r="VAD146" s="3170"/>
      <c r="VAE146" s="3170"/>
      <c r="VAF146" s="3170"/>
      <c r="VAG146" s="3170"/>
      <c r="VAH146" s="3170"/>
      <c r="VAI146" s="3170"/>
      <c r="VAJ146" s="3170"/>
      <c r="VAK146" s="3170"/>
      <c r="VAL146" s="3170"/>
      <c r="VAM146" s="3170"/>
      <c r="VAN146" s="3170"/>
      <c r="VAO146" s="3170"/>
      <c r="VAP146" s="3170"/>
      <c r="VAQ146" s="3170"/>
      <c r="VAR146" s="3170"/>
      <c r="VAS146" s="3170"/>
      <c r="VAT146" s="3170"/>
      <c r="VAU146" s="3170"/>
      <c r="VAV146" s="3170"/>
      <c r="VAW146" s="3170"/>
      <c r="VAX146" s="3170"/>
      <c r="VAY146" s="3170"/>
      <c r="VAZ146" s="3170"/>
      <c r="VBA146" s="3170"/>
      <c r="VBB146" s="3170"/>
      <c r="VBC146" s="3170"/>
      <c r="VBD146" s="3170"/>
      <c r="VBE146" s="3170"/>
      <c r="VBF146" s="3170"/>
      <c r="VBG146" s="3170"/>
      <c r="VBH146" s="3170"/>
      <c r="VBI146" s="3170"/>
      <c r="VBJ146" s="3170"/>
      <c r="VBK146" s="3170"/>
      <c r="VBL146" s="3170"/>
      <c r="VBM146" s="3170"/>
      <c r="VBN146" s="3170"/>
      <c r="VBO146" s="3170"/>
      <c r="VBP146" s="3170"/>
      <c r="VBQ146" s="3170"/>
      <c r="VBR146" s="3170"/>
      <c r="VBS146" s="3170"/>
      <c r="VBT146" s="3170"/>
      <c r="VBU146" s="3170"/>
      <c r="VBV146" s="3170"/>
      <c r="VBW146" s="3170"/>
      <c r="VBX146" s="3170"/>
      <c r="VBY146" s="3170"/>
      <c r="VBZ146" s="3170"/>
      <c r="VCA146" s="3170"/>
      <c r="VCB146" s="3170"/>
      <c r="VCC146" s="3170"/>
      <c r="VCD146" s="3170"/>
      <c r="VCE146" s="3170"/>
      <c r="VCF146" s="3170"/>
      <c r="VCG146" s="3170"/>
      <c r="VCH146" s="3170"/>
      <c r="VCI146" s="3170"/>
      <c r="VCJ146" s="3170"/>
      <c r="VCK146" s="3170"/>
      <c r="VCL146" s="3170"/>
      <c r="VCM146" s="3170"/>
      <c r="VCN146" s="3170"/>
      <c r="VCO146" s="3170"/>
      <c r="VCP146" s="3170"/>
      <c r="VCQ146" s="3170"/>
      <c r="VCR146" s="3170"/>
      <c r="VCS146" s="3170"/>
      <c r="VCT146" s="3170"/>
      <c r="VCU146" s="3170"/>
      <c r="VCV146" s="3170"/>
      <c r="VCW146" s="3170"/>
      <c r="VCX146" s="3170"/>
      <c r="VCY146" s="3170"/>
      <c r="VCZ146" s="3170"/>
      <c r="VDA146" s="3170"/>
      <c r="VDB146" s="3170"/>
      <c r="VDC146" s="3170"/>
      <c r="VDD146" s="3170"/>
      <c r="VDE146" s="3170"/>
      <c r="VDF146" s="3170"/>
      <c r="VDG146" s="3170"/>
      <c r="VDH146" s="3170"/>
      <c r="VDI146" s="3170"/>
      <c r="VDJ146" s="3170"/>
      <c r="VDK146" s="3170"/>
      <c r="VDL146" s="3170"/>
      <c r="VDM146" s="3170"/>
      <c r="VDN146" s="3170"/>
      <c r="VDO146" s="3170"/>
      <c r="VDP146" s="3170"/>
      <c r="VDQ146" s="3170"/>
      <c r="VDR146" s="3170"/>
      <c r="VDS146" s="3170"/>
      <c r="VDT146" s="3170"/>
      <c r="VDU146" s="3170"/>
      <c r="VDV146" s="3170"/>
      <c r="VDW146" s="3170"/>
      <c r="VDX146" s="3170"/>
      <c r="VDY146" s="3170"/>
      <c r="VDZ146" s="3170"/>
      <c r="VEA146" s="3170"/>
      <c r="VEB146" s="3170"/>
      <c r="VEC146" s="3170"/>
      <c r="VED146" s="3170"/>
      <c r="VEE146" s="3170"/>
      <c r="VEF146" s="3170"/>
      <c r="VEG146" s="3170"/>
      <c r="VEH146" s="3170"/>
      <c r="VEI146" s="3170"/>
      <c r="VEJ146" s="3170"/>
      <c r="VEK146" s="3170"/>
      <c r="VEL146" s="3170"/>
      <c r="VEM146" s="3170"/>
      <c r="VEN146" s="3170"/>
      <c r="VEO146" s="3170"/>
      <c r="VEP146" s="3170"/>
      <c r="VEQ146" s="3170"/>
      <c r="VER146" s="3170"/>
      <c r="VES146" s="3170"/>
      <c r="VET146" s="3170"/>
      <c r="VEU146" s="3170"/>
      <c r="VEV146" s="3170"/>
      <c r="VEW146" s="3170"/>
      <c r="VEX146" s="3170"/>
      <c r="VEY146" s="3170"/>
      <c r="VEZ146" s="3170"/>
      <c r="VFA146" s="3170"/>
      <c r="VFB146" s="3170"/>
      <c r="VFC146" s="3170"/>
      <c r="VFD146" s="3170"/>
      <c r="VFE146" s="3170"/>
      <c r="VFF146" s="3170"/>
      <c r="VFG146" s="3170"/>
      <c r="VFH146" s="3170"/>
      <c r="VFI146" s="3170"/>
      <c r="VFJ146" s="3170"/>
      <c r="VFK146" s="3170"/>
      <c r="VFL146" s="3170"/>
      <c r="VFM146" s="3170"/>
      <c r="VFN146" s="3170"/>
      <c r="VFO146" s="3170"/>
      <c r="VFP146" s="3170"/>
      <c r="VFQ146" s="3170"/>
      <c r="VFR146" s="3170"/>
      <c r="VFS146" s="3170"/>
      <c r="VFT146" s="3170"/>
      <c r="VFU146" s="3170"/>
      <c r="VFV146" s="3170"/>
      <c r="VFW146" s="3170"/>
      <c r="VFX146" s="3170"/>
      <c r="VFY146" s="3170"/>
      <c r="VFZ146" s="3170"/>
      <c r="VGA146" s="3170"/>
      <c r="VGB146" s="3170"/>
      <c r="VGC146" s="3170"/>
      <c r="VGD146" s="3170"/>
      <c r="VGE146" s="3170"/>
      <c r="VGF146" s="3170"/>
      <c r="VGG146" s="3170"/>
      <c r="VGH146" s="3170"/>
      <c r="VGI146" s="3170"/>
      <c r="VGJ146" s="3170"/>
      <c r="VGK146" s="3170"/>
      <c r="VGL146" s="3170"/>
      <c r="VGM146" s="3170"/>
      <c r="VGN146" s="3170"/>
      <c r="VGO146" s="3170"/>
      <c r="VGP146" s="3170"/>
      <c r="VGQ146" s="3170"/>
      <c r="VGR146" s="3170"/>
      <c r="VGS146" s="3170"/>
      <c r="VGT146" s="3170"/>
      <c r="VGU146" s="3170"/>
      <c r="VGV146" s="3170"/>
      <c r="VGW146" s="3170"/>
      <c r="VGX146" s="3170"/>
      <c r="VGY146" s="3170"/>
      <c r="VGZ146" s="3170"/>
      <c r="VHA146" s="3170"/>
      <c r="VHB146" s="3170"/>
      <c r="VHC146" s="3170"/>
      <c r="VHD146" s="3170"/>
      <c r="VHE146" s="3170"/>
      <c r="VHF146" s="3170"/>
      <c r="VHG146" s="3170"/>
      <c r="VHH146" s="3170"/>
      <c r="VHI146" s="3170"/>
      <c r="VHJ146" s="3170"/>
      <c r="VHK146" s="3170"/>
      <c r="VHL146" s="3170"/>
      <c r="VHM146" s="3170"/>
      <c r="VHN146" s="3170"/>
      <c r="VHO146" s="3170"/>
      <c r="VHP146" s="3170"/>
      <c r="VHQ146" s="3170"/>
      <c r="VHR146" s="3170"/>
      <c r="VHS146" s="3170"/>
      <c r="VHT146" s="3170"/>
      <c r="VHU146" s="3170"/>
      <c r="VHV146" s="3170"/>
      <c r="VHW146" s="3170"/>
      <c r="VHX146" s="3170"/>
      <c r="VHY146" s="3170"/>
      <c r="VHZ146" s="3170"/>
      <c r="VIA146" s="3170"/>
      <c r="VIB146" s="3170"/>
      <c r="VIC146" s="3170"/>
      <c r="VID146" s="3170"/>
      <c r="VIE146" s="3170"/>
      <c r="VIF146" s="3170"/>
      <c r="VIG146" s="3170"/>
      <c r="VIH146" s="3170"/>
      <c r="VII146" s="3170"/>
      <c r="VIJ146" s="3170"/>
      <c r="VIK146" s="3170"/>
      <c r="VIL146" s="3170"/>
      <c r="VIM146" s="3170"/>
      <c r="VIN146" s="3170"/>
      <c r="VIO146" s="3170"/>
      <c r="VIP146" s="3170"/>
      <c r="VIQ146" s="3170"/>
      <c r="VIR146" s="3170"/>
      <c r="VIS146" s="3170"/>
      <c r="VIT146" s="3170"/>
      <c r="VIU146" s="3170"/>
      <c r="VIV146" s="3170"/>
      <c r="VIW146" s="3170"/>
      <c r="VIX146" s="3170"/>
      <c r="VIY146" s="3170"/>
      <c r="VIZ146" s="3170"/>
      <c r="VJA146" s="3170"/>
      <c r="VJB146" s="3170"/>
      <c r="VJC146" s="3170"/>
      <c r="VJD146" s="3170"/>
      <c r="VJE146" s="3170"/>
      <c r="VJF146" s="3170"/>
      <c r="VJG146" s="3170"/>
      <c r="VJH146" s="3170"/>
      <c r="VJI146" s="3170"/>
      <c r="VJJ146" s="3170"/>
      <c r="VJK146" s="3170"/>
      <c r="VJL146" s="3170"/>
      <c r="VJM146" s="3170"/>
      <c r="VJN146" s="3170"/>
      <c r="VJO146" s="3170"/>
      <c r="VJP146" s="3170"/>
      <c r="VJQ146" s="3170"/>
      <c r="VJR146" s="3170"/>
      <c r="VJS146" s="3170"/>
      <c r="VJT146" s="3170"/>
      <c r="VJU146" s="3170"/>
      <c r="VJV146" s="3170"/>
      <c r="VJW146" s="3170"/>
      <c r="VJX146" s="3170"/>
      <c r="VJY146" s="3170"/>
      <c r="VJZ146" s="3170"/>
      <c r="VKA146" s="3170"/>
      <c r="VKB146" s="3170"/>
      <c r="VKC146" s="3170"/>
      <c r="VKD146" s="3170"/>
      <c r="VKE146" s="3170"/>
      <c r="VKF146" s="3170"/>
      <c r="VKG146" s="3170"/>
      <c r="VKH146" s="3170"/>
      <c r="VKI146" s="3170"/>
      <c r="VKJ146" s="3170"/>
      <c r="VKK146" s="3170"/>
      <c r="VKL146" s="3170"/>
      <c r="VKM146" s="3170"/>
      <c r="VKN146" s="3170"/>
      <c r="VKO146" s="3170"/>
      <c r="VKP146" s="3170"/>
      <c r="VKQ146" s="3170"/>
      <c r="VKR146" s="3170"/>
      <c r="VKS146" s="3170"/>
      <c r="VKT146" s="3170"/>
      <c r="VKU146" s="3170"/>
      <c r="VKV146" s="3170"/>
      <c r="VKW146" s="3170"/>
      <c r="VKX146" s="3170"/>
      <c r="VKY146" s="3170"/>
      <c r="VKZ146" s="3170"/>
      <c r="VLA146" s="3170"/>
      <c r="VLB146" s="3170"/>
      <c r="VLC146" s="3170"/>
      <c r="VLD146" s="3170"/>
      <c r="VLE146" s="3170"/>
      <c r="VLF146" s="3170"/>
      <c r="VLG146" s="3170"/>
      <c r="VLH146" s="3170"/>
      <c r="VLI146" s="3170"/>
      <c r="VLJ146" s="3170"/>
      <c r="VLK146" s="3170"/>
      <c r="VLL146" s="3170"/>
      <c r="VLM146" s="3170"/>
      <c r="VLN146" s="3170"/>
      <c r="VLO146" s="3170"/>
      <c r="VLP146" s="3170"/>
      <c r="VLQ146" s="3170"/>
      <c r="VLR146" s="3170"/>
      <c r="VLS146" s="3170"/>
      <c r="VLT146" s="3170"/>
      <c r="VLU146" s="3170"/>
      <c r="VLV146" s="3170"/>
      <c r="VLW146" s="3170"/>
      <c r="VLX146" s="3170"/>
      <c r="VLY146" s="3170"/>
      <c r="VLZ146" s="3170"/>
      <c r="VMA146" s="3170"/>
      <c r="VMB146" s="3170"/>
      <c r="VMC146" s="3170"/>
      <c r="VMD146" s="3170"/>
      <c r="VME146" s="3170"/>
      <c r="VMF146" s="3170"/>
      <c r="VMG146" s="3170"/>
      <c r="VMH146" s="3170"/>
      <c r="VMI146" s="3170"/>
      <c r="VMJ146" s="3170"/>
      <c r="VMK146" s="3170"/>
      <c r="VML146" s="3170"/>
      <c r="VMM146" s="3170"/>
      <c r="VMN146" s="3170"/>
      <c r="VMO146" s="3170"/>
      <c r="VMP146" s="3170"/>
      <c r="VMQ146" s="3170"/>
      <c r="VMR146" s="3170"/>
      <c r="VMS146" s="3170"/>
      <c r="VMT146" s="3170"/>
      <c r="VMU146" s="3170"/>
      <c r="VMV146" s="3170"/>
      <c r="VMW146" s="3170"/>
      <c r="VMX146" s="3170"/>
      <c r="VMY146" s="3170"/>
      <c r="VMZ146" s="3170"/>
      <c r="VNA146" s="3170"/>
      <c r="VNB146" s="3170"/>
      <c r="VNC146" s="3170"/>
      <c r="VND146" s="3170"/>
      <c r="VNE146" s="3170"/>
      <c r="VNF146" s="3170"/>
      <c r="VNG146" s="3170"/>
      <c r="VNH146" s="3170"/>
      <c r="VNI146" s="3170"/>
      <c r="VNJ146" s="3170"/>
      <c r="VNK146" s="3170"/>
      <c r="VNL146" s="3170"/>
      <c r="VNM146" s="3170"/>
      <c r="VNN146" s="3170"/>
      <c r="VNO146" s="3170"/>
      <c r="VNP146" s="3170"/>
      <c r="VNQ146" s="3170"/>
      <c r="VNR146" s="3170"/>
      <c r="VNS146" s="3170"/>
      <c r="VNT146" s="3170"/>
      <c r="VNU146" s="3170"/>
      <c r="VNV146" s="3170"/>
      <c r="VNW146" s="3170"/>
      <c r="VNX146" s="3170"/>
      <c r="VNY146" s="3170"/>
      <c r="VNZ146" s="3170"/>
      <c r="VOA146" s="3170"/>
      <c r="VOB146" s="3170"/>
      <c r="VOC146" s="3170"/>
      <c r="VOD146" s="3170"/>
      <c r="VOE146" s="3170"/>
      <c r="VOF146" s="3170"/>
      <c r="VOG146" s="3170"/>
      <c r="VOH146" s="3170"/>
      <c r="VOI146" s="3170"/>
      <c r="VOJ146" s="3170"/>
      <c r="VOK146" s="3170"/>
      <c r="VOL146" s="3170"/>
      <c r="VOM146" s="3170"/>
      <c r="VON146" s="3170"/>
      <c r="VOO146" s="3170"/>
      <c r="VOP146" s="3170"/>
      <c r="VOQ146" s="3170"/>
      <c r="VOR146" s="3170"/>
      <c r="VOS146" s="3170"/>
      <c r="VOT146" s="3170"/>
      <c r="VOU146" s="3170"/>
      <c r="VOV146" s="3170"/>
      <c r="VOW146" s="3170"/>
      <c r="VOX146" s="3170"/>
      <c r="VOY146" s="3170"/>
      <c r="VOZ146" s="3170"/>
      <c r="VPA146" s="3170"/>
      <c r="VPB146" s="3170"/>
      <c r="VPC146" s="3170"/>
      <c r="VPD146" s="3170"/>
      <c r="VPE146" s="3170"/>
      <c r="VPF146" s="3170"/>
      <c r="VPG146" s="3170"/>
      <c r="VPH146" s="3170"/>
      <c r="VPI146" s="3170"/>
      <c r="VPJ146" s="3170"/>
      <c r="VPK146" s="3170"/>
      <c r="VPL146" s="3170"/>
      <c r="VPM146" s="3170"/>
      <c r="VPN146" s="3170"/>
      <c r="VPO146" s="3170"/>
      <c r="VPP146" s="3170"/>
      <c r="VPQ146" s="3170"/>
      <c r="VPR146" s="3170"/>
      <c r="VPS146" s="3170"/>
      <c r="VPT146" s="3170"/>
      <c r="VPU146" s="3170"/>
      <c r="VPV146" s="3170"/>
      <c r="VPW146" s="3170"/>
      <c r="VPX146" s="3170"/>
      <c r="VPY146" s="3170"/>
      <c r="VPZ146" s="3170"/>
      <c r="VQA146" s="3170"/>
      <c r="VQB146" s="3170"/>
      <c r="VQC146" s="3170"/>
      <c r="VQD146" s="3170"/>
      <c r="VQE146" s="3170"/>
      <c r="VQF146" s="3170"/>
      <c r="VQG146" s="3170"/>
      <c r="VQH146" s="3170"/>
      <c r="VQI146" s="3170"/>
      <c r="VQJ146" s="3170"/>
      <c r="VQK146" s="3170"/>
      <c r="VQL146" s="3170"/>
      <c r="VQM146" s="3170"/>
      <c r="VQN146" s="3170"/>
      <c r="VQO146" s="3170"/>
      <c r="VQP146" s="3170"/>
      <c r="VQQ146" s="3170"/>
      <c r="VQR146" s="3170"/>
      <c r="VQS146" s="3170"/>
      <c r="VQT146" s="3170"/>
      <c r="VQU146" s="3170"/>
      <c r="VQV146" s="3170"/>
      <c r="VQW146" s="3170"/>
      <c r="VQX146" s="3170"/>
      <c r="VQY146" s="3170"/>
      <c r="VQZ146" s="3170"/>
      <c r="VRA146" s="3170"/>
      <c r="VRB146" s="3170"/>
      <c r="VRC146" s="3170"/>
      <c r="VRD146" s="3170"/>
      <c r="VRE146" s="3170"/>
      <c r="VRF146" s="3170"/>
      <c r="VRG146" s="3170"/>
      <c r="VRH146" s="3170"/>
      <c r="VRI146" s="3170"/>
      <c r="VRJ146" s="3170"/>
      <c r="VRK146" s="3170"/>
      <c r="VRL146" s="3170"/>
      <c r="VRM146" s="3170"/>
      <c r="VRN146" s="3170"/>
      <c r="VRO146" s="3170"/>
      <c r="VRP146" s="3170"/>
      <c r="VRQ146" s="3170"/>
      <c r="VRR146" s="3170"/>
      <c r="VRS146" s="3170"/>
      <c r="VRT146" s="3170"/>
      <c r="VRU146" s="3170"/>
      <c r="VRV146" s="3170"/>
      <c r="VRW146" s="3170"/>
      <c r="VRX146" s="3170"/>
      <c r="VRY146" s="3170"/>
      <c r="VRZ146" s="3170"/>
      <c r="VSA146" s="3170"/>
      <c r="VSB146" s="3170"/>
      <c r="VSC146" s="3170"/>
      <c r="VSD146" s="3170"/>
      <c r="VSE146" s="3170"/>
      <c r="VSF146" s="3170"/>
      <c r="VSG146" s="3170"/>
      <c r="VSH146" s="3170"/>
      <c r="VSI146" s="3170"/>
      <c r="VSJ146" s="3170"/>
      <c r="VSK146" s="3170"/>
      <c r="VSL146" s="3170"/>
      <c r="VSM146" s="3170"/>
      <c r="VSN146" s="3170"/>
      <c r="VSO146" s="3170"/>
      <c r="VSP146" s="3170"/>
      <c r="VSQ146" s="3170"/>
      <c r="VSR146" s="3170"/>
      <c r="VSS146" s="3170"/>
      <c r="VST146" s="3170"/>
      <c r="VSU146" s="3170"/>
      <c r="VSV146" s="3170"/>
      <c r="VSW146" s="3170"/>
      <c r="VSX146" s="3170"/>
      <c r="VSY146" s="3170"/>
      <c r="VSZ146" s="3170"/>
      <c r="VTA146" s="3170"/>
      <c r="VTB146" s="3170"/>
      <c r="VTC146" s="3170"/>
      <c r="VTD146" s="3170"/>
      <c r="VTE146" s="3170"/>
      <c r="VTF146" s="3170"/>
      <c r="VTG146" s="3170"/>
      <c r="VTH146" s="3170"/>
      <c r="VTI146" s="3170"/>
      <c r="VTJ146" s="3170"/>
      <c r="VTK146" s="3170"/>
      <c r="VTL146" s="3170"/>
      <c r="VTM146" s="3170"/>
      <c r="VTN146" s="3170"/>
      <c r="VTO146" s="3170"/>
      <c r="VTP146" s="3170"/>
      <c r="VTQ146" s="3170"/>
      <c r="VTR146" s="3170"/>
      <c r="VTS146" s="3170"/>
      <c r="VTT146" s="3170"/>
      <c r="VTU146" s="3170"/>
      <c r="VTV146" s="3170"/>
      <c r="VTW146" s="3170"/>
      <c r="VTX146" s="3170"/>
      <c r="VTY146" s="3170"/>
      <c r="VTZ146" s="3170"/>
      <c r="VUA146" s="3170"/>
      <c r="VUB146" s="3170"/>
      <c r="VUC146" s="3170"/>
      <c r="VUD146" s="3170"/>
      <c r="VUE146" s="3170"/>
      <c r="VUF146" s="3170"/>
      <c r="VUG146" s="3170"/>
      <c r="VUH146" s="3170"/>
      <c r="VUI146" s="3170"/>
      <c r="VUJ146" s="3170"/>
      <c r="VUK146" s="3170"/>
      <c r="VUL146" s="3170"/>
      <c r="VUM146" s="3170"/>
      <c r="VUN146" s="3170"/>
      <c r="VUO146" s="3170"/>
      <c r="VUP146" s="3170"/>
      <c r="VUQ146" s="3170"/>
      <c r="VUR146" s="3170"/>
      <c r="VUS146" s="3170"/>
      <c r="VUT146" s="3170"/>
      <c r="VUU146" s="3170"/>
      <c r="VUV146" s="3170"/>
      <c r="VUW146" s="3170"/>
      <c r="VUX146" s="3170"/>
      <c r="VUY146" s="3170"/>
      <c r="VUZ146" s="3170"/>
      <c r="VVA146" s="3170"/>
      <c r="VVB146" s="3170"/>
      <c r="VVC146" s="3170"/>
      <c r="VVD146" s="3170"/>
      <c r="VVE146" s="3170"/>
      <c r="VVF146" s="3170"/>
      <c r="VVG146" s="3170"/>
      <c r="VVH146" s="3170"/>
      <c r="VVI146" s="3170"/>
      <c r="VVJ146" s="3170"/>
      <c r="VVK146" s="3170"/>
      <c r="VVL146" s="3170"/>
      <c r="VVM146" s="3170"/>
      <c r="VVN146" s="3170"/>
      <c r="VVO146" s="3170"/>
      <c r="VVP146" s="3170"/>
      <c r="VVQ146" s="3170"/>
      <c r="VVR146" s="3170"/>
      <c r="VVS146" s="3170"/>
      <c r="VVT146" s="3170"/>
      <c r="VVU146" s="3170"/>
      <c r="VVV146" s="3170"/>
      <c r="VVW146" s="3170"/>
      <c r="VVX146" s="3170"/>
      <c r="VVY146" s="3170"/>
      <c r="VVZ146" s="3170"/>
      <c r="VWA146" s="3170"/>
      <c r="VWB146" s="3170"/>
      <c r="VWC146" s="3170"/>
      <c r="VWD146" s="3170"/>
      <c r="VWE146" s="3170"/>
      <c r="VWF146" s="3170"/>
      <c r="VWG146" s="3170"/>
      <c r="VWH146" s="3170"/>
      <c r="VWI146" s="3170"/>
      <c r="VWJ146" s="3170"/>
      <c r="VWK146" s="3170"/>
      <c r="VWL146" s="3170"/>
      <c r="VWM146" s="3170"/>
      <c r="VWN146" s="3170"/>
      <c r="VWO146" s="3170"/>
      <c r="VWP146" s="3170"/>
      <c r="VWQ146" s="3170"/>
      <c r="VWR146" s="3170"/>
      <c r="VWS146" s="3170"/>
      <c r="VWT146" s="3170"/>
      <c r="VWU146" s="3170"/>
      <c r="VWV146" s="3170"/>
      <c r="VWW146" s="3170"/>
      <c r="VWX146" s="3170"/>
      <c r="VWY146" s="3170"/>
      <c r="VWZ146" s="3170"/>
      <c r="VXA146" s="3170"/>
      <c r="VXB146" s="3170"/>
      <c r="VXC146" s="3170"/>
      <c r="VXD146" s="3170"/>
      <c r="VXE146" s="3170"/>
      <c r="VXF146" s="3170"/>
      <c r="VXG146" s="3170"/>
      <c r="VXH146" s="3170"/>
      <c r="VXI146" s="3170"/>
      <c r="VXJ146" s="3170"/>
      <c r="VXK146" s="3170"/>
      <c r="VXL146" s="3170"/>
      <c r="VXM146" s="3170"/>
      <c r="VXN146" s="3170"/>
      <c r="VXO146" s="3170"/>
      <c r="VXP146" s="3170"/>
      <c r="VXQ146" s="3170"/>
      <c r="VXR146" s="3170"/>
      <c r="VXS146" s="3170"/>
      <c r="VXT146" s="3170"/>
      <c r="VXU146" s="3170"/>
      <c r="VXV146" s="3170"/>
      <c r="VXW146" s="3170"/>
      <c r="VXX146" s="3170"/>
      <c r="VXY146" s="3170"/>
      <c r="VXZ146" s="3170"/>
      <c r="VYA146" s="3170"/>
      <c r="VYB146" s="3170"/>
      <c r="VYC146" s="3170"/>
      <c r="VYD146" s="3170"/>
      <c r="VYE146" s="3170"/>
      <c r="VYF146" s="3170"/>
      <c r="VYG146" s="3170"/>
      <c r="VYH146" s="3170"/>
      <c r="VYI146" s="3170"/>
      <c r="VYJ146" s="3170"/>
      <c r="VYK146" s="3170"/>
      <c r="VYL146" s="3170"/>
      <c r="VYM146" s="3170"/>
      <c r="VYN146" s="3170"/>
      <c r="VYO146" s="3170"/>
      <c r="VYP146" s="3170"/>
      <c r="VYQ146" s="3170"/>
      <c r="VYR146" s="3170"/>
      <c r="VYS146" s="3170"/>
      <c r="VYT146" s="3170"/>
      <c r="VYU146" s="3170"/>
      <c r="VYV146" s="3170"/>
      <c r="VYW146" s="3170"/>
      <c r="VYX146" s="3170"/>
      <c r="VYY146" s="3170"/>
      <c r="VYZ146" s="3170"/>
      <c r="VZA146" s="3170"/>
      <c r="VZB146" s="3170"/>
      <c r="VZC146" s="3170"/>
      <c r="VZD146" s="3170"/>
      <c r="VZE146" s="3170"/>
      <c r="VZF146" s="3170"/>
      <c r="VZG146" s="3170"/>
      <c r="VZH146" s="3170"/>
      <c r="VZI146" s="3170"/>
      <c r="VZJ146" s="3170"/>
      <c r="VZK146" s="3170"/>
      <c r="VZL146" s="3170"/>
      <c r="VZM146" s="3170"/>
      <c r="VZN146" s="3170"/>
      <c r="VZO146" s="3170"/>
      <c r="VZP146" s="3170"/>
      <c r="VZQ146" s="3170"/>
      <c r="VZR146" s="3170"/>
      <c r="VZS146" s="3170"/>
      <c r="VZT146" s="3170"/>
      <c r="VZU146" s="3170"/>
      <c r="VZV146" s="3170"/>
      <c r="VZW146" s="3170"/>
      <c r="VZX146" s="3170"/>
      <c r="VZY146" s="3170"/>
      <c r="VZZ146" s="3170"/>
      <c r="WAA146" s="3170"/>
      <c r="WAB146" s="3170"/>
      <c r="WAC146" s="3170"/>
      <c r="WAD146" s="3170"/>
      <c r="WAE146" s="3170"/>
      <c r="WAF146" s="3170"/>
      <c r="WAG146" s="3170"/>
      <c r="WAH146" s="3170"/>
      <c r="WAI146" s="3170"/>
      <c r="WAJ146" s="3170"/>
      <c r="WAK146" s="3170"/>
      <c r="WAL146" s="3170"/>
      <c r="WAM146" s="3170"/>
      <c r="WAN146" s="3170"/>
      <c r="WAO146" s="3170"/>
      <c r="WAP146" s="3170"/>
      <c r="WAQ146" s="3170"/>
      <c r="WAR146" s="3170"/>
      <c r="WAS146" s="3170"/>
      <c r="WAT146" s="3170"/>
      <c r="WAU146" s="3170"/>
      <c r="WAV146" s="3170"/>
      <c r="WAW146" s="3170"/>
      <c r="WAX146" s="3170"/>
      <c r="WAY146" s="3170"/>
      <c r="WAZ146" s="3170"/>
      <c r="WBA146" s="3170"/>
      <c r="WBB146" s="3170"/>
      <c r="WBC146" s="3170"/>
      <c r="WBD146" s="3170"/>
      <c r="WBE146" s="3170"/>
      <c r="WBF146" s="3170"/>
      <c r="WBG146" s="3170"/>
      <c r="WBH146" s="3170"/>
      <c r="WBI146" s="3170"/>
      <c r="WBJ146" s="3170"/>
      <c r="WBK146" s="3170"/>
      <c r="WBL146" s="3170"/>
      <c r="WBM146" s="3170"/>
      <c r="WBN146" s="3170"/>
      <c r="WBO146" s="3170"/>
      <c r="WBP146" s="3170"/>
      <c r="WBQ146" s="3170"/>
      <c r="WBR146" s="3170"/>
      <c r="WBS146" s="3170"/>
      <c r="WBT146" s="3170"/>
      <c r="WBU146" s="3170"/>
      <c r="WBV146" s="3170"/>
      <c r="WBW146" s="3170"/>
      <c r="WBX146" s="3170"/>
      <c r="WBY146" s="3170"/>
      <c r="WBZ146" s="3170"/>
      <c r="WCA146" s="3170"/>
      <c r="WCB146" s="3170"/>
      <c r="WCC146" s="3170"/>
      <c r="WCD146" s="3170"/>
      <c r="WCE146" s="3170"/>
      <c r="WCF146" s="3170"/>
      <c r="WCG146" s="3170"/>
      <c r="WCH146" s="3170"/>
      <c r="WCI146" s="3170"/>
      <c r="WCJ146" s="3170"/>
      <c r="WCK146" s="3170"/>
      <c r="WCL146" s="3170"/>
      <c r="WCM146" s="3170"/>
      <c r="WCN146" s="3170"/>
      <c r="WCO146" s="3170"/>
      <c r="WCP146" s="3170"/>
      <c r="WCQ146" s="3170"/>
      <c r="WCR146" s="3170"/>
      <c r="WCS146" s="3170"/>
      <c r="WCT146" s="3170"/>
      <c r="WCU146" s="3170"/>
      <c r="WCV146" s="3170"/>
      <c r="WCW146" s="3170"/>
      <c r="WCX146" s="3170"/>
      <c r="WCY146" s="3170"/>
      <c r="WCZ146" s="3170"/>
      <c r="WDA146" s="3170"/>
      <c r="WDB146" s="3170"/>
      <c r="WDC146" s="3170"/>
      <c r="WDD146" s="3170"/>
      <c r="WDE146" s="3170"/>
      <c r="WDF146" s="3170"/>
      <c r="WDG146" s="3170"/>
      <c r="WDH146" s="3170"/>
      <c r="WDI146" s="3170"/>
      <c r="WDJ146" s="3170"/>
      <c r="WDK146" s="3170"/>
      <c r="WDL146" s="3170"/>
      <c r="WDM146" s="3170"/>
      <c r="WDN146" s="3170"/>
      <c r="WDO146" s="3170"/>
      <c r="WDP146" s="3170"/>
      <c r="WDQ146" s="3170"/>
      <c r="WDR146" s="3170"/>
      <c r="WDS146" s="3170"/>
      <c r="WDT146" s="3170"/>
      <c r="WDU146" s="3170"/>
      <c r="WDV146" s="3170"/>
      <c r="WDW146" s="3170"/>
      <c r="WDX146" s="3170"/>
      <c r="WDY146" s="3170"/>
      <c r="WDZ146" s="3170"/>
      <c r="WEA146" s="3170"/>
      <c r="WEB146" s="3170"/>
      <c r="WEC146" s="3170"/>
      <c r="WED146" s="3170"/>
      <c r="WEE146" s="3170"/>
      <c r="WEF146" s="3170"/>
      <c r="WEG146" s="3170"/>
      <c r="WEH146" s="3170"/>
      <c r="WEI146" s="3170"/>
      <c r="WEJ146" s="3170"/>
      <c r="WEK146" s="3170"/>
      <c r="WEL146" s="3170"/>
      <c r="WEM146" s="3170"/>
      <c r="WEN146" s="3170"/>
      <c r="WEO146" s="3170"/>
      <c r="WEP146" s="3170"/>
      <c r="WEQ146" s="3170"/>
      <c r="WER146" s="3170"/>
      <c r="WES146" s="3170"/>
      <c r="WET146" s="3170"/>
      <c r="WEU146" s="3170"/>
      <c r="WEV146" s="3170"/>
      <c r="WEW146" s="3170"/>
      <c r="WEX146" s="3170"/>
      <c r="WEY146" s="3170"/>
      <c r="WEZ146" s="3170"/>
      <c r="WFA146" s="3170"/>
      <c r="WFB146" s="3170"/>
      <c r="WFC146" s="3170"/>
      <c r="WFD146" s="3170"/>
      <c r="WFE146" s="3170"/>
      <c r="WFF146" s="3170"/>
      <c r="WFG146" s="3170"/>
      <c r="WFH146" s="3170"/>
      <c r="WFI146" s="3170"/>
      <c r="WFJ146" s="3170"/>
      <c r="WFK146" s="3170"/>
      <c r="WFL146" s="3170"/>
      <c r="WFM146" s="3170"/>
      <c r="WFN146" s="3170"/>
      <c r="WFO146" s="3170"/>
      <c r="WFP146" s="3170"/>
      <c r="WFQ146" s="3170"/>
      <c r="WFR146" s="3170"/>
      <c r="WFS146" s="3170"/>
      <c r="WFT146" s="3170"/>
      <c r="WFU146" s="3170"/>
      <c r="WFV146" s="3170"/>
      <c r="WFW146" s="3170"/>
      <c r="WFX146" s="3170"/>
      <c r="WFY146" s="3170"/>
      <c r="WFZ146" s="3170"/>
      <c r="WGA146" s="3170"/>
      <c r="WGB146" s="3170"/>
      <c r="WGC146" s="3170"/>
      <c r="WGD146" s="3170"/>
      <c r="WGE146" s="3170"/>
      <c r="WGF146" s="3170"/>
      <c r="WGG146" s="3170"/>
      <c r="WGH146" s="3170"/>
      <c r="WGI146" s="3170"/>
      <c r="WGJ146" s="3170"/>
      <c r="WGK146" s="3170"/>
      <c r="WGL146" s="3170"/>
      <c r="WGM146" s="3170"/>
      <c r="WGN146" s="3170"/>
      <c r="WGO146" s="3170"/>
      <c r="WGP146" s="3170"/>
      <c r="WGQ146" s="3170"/>
      <c r="WGR146" s="3170"/>
      <c r="WGS146" s="3170"/>
      <c r="WGT146" s="3170"/>
      <c r="WGU146" s="3170"/>
      <c r="WGV146" s="3170"/>
      <c r="WGW146" s="3170"/>
      <c r="WGX146" s="3170"/>
      <c r="WGY146" s="3170"/>
      <c r="WGZ146" s="3170"/>
      <c r="WHA146" s="3170"/>
      <c r="WHB146" s="3170"/>
      <c r="WHC146" s="3170"/>
      <c r="WHD146" s="3170"/>
      <c r="WHE146" s="3170"/>
      <c r="WHF146" s="3170"/>
      <c r="WHG146" s="3170"/>
      <c r="WHH146" s="3170"/>
      <c r="WHI146" s="3170"/>
      <c r="WHJ146" s="3170"/>
      <c r="WHK146" s="3170"/>
      <c r="WHL146" s="3170"/>
      <c r="WHM146" s="3170"/>
      <c r="WHN146" s="3170"/>
      <c r="WHO146" s="3170"/>
      <c r="WHP146" s="3170"/>
      <c r="WHQ146" s="3170"/>
      <c r="WHR146" s="3170"/>
      <c r="WHS146" s="3170"/>
      <c r="WHT146" s="3170"/>
      <c r="WHU146" s="3170"/>
      <c r="WHV146" s="3170"/>
      <c r="WHW146" s="3170"/>
      <c r="WHX146" s="3170"/>
      <c r="WHY146" s="3170"/>
      <c r="WHZ146" s="3170"/>
      <c r="WIA146" s="3170"/>
      <c r="WIB146" s="3170"/>
      <c r="WIC146" s="3170"/>
      <c r="WID146" s="3170"/>
      <c r="WIE146" s="3170"/>
      <c r="WIF146" s="3170"/>
      <c r="WIG146" s="3170"/>
      <c r="WIH146" s="3170"/>
      <c r="WII146" s="3170"/>
      <c r="WIJ146" s="3170"/>
      <c r="WIK146" s="3170"/>
      <c r="WIL146" s="3170"/>
      <c r="WIM146" s="3170"/>
      <c r="WIN146" s="3170"/>
      <c r="WIO146" s="3170"/>
      <c r="WIP146" s="3170"/>
      <c r="WIQ146" s="3170"/>
      <c r="WIR146" s="3170"/>
      <c r="WIS146" s="3170"/>
      <c r="WIT146" s="3170"/>
      <c r="WIU146" s="3170"/>
      <c r="WIV146" s="3170"/>
      <c r="WIW146" s="3170"/>
      <c r="WIX146" s="3170"/>
      <c r="WIY146" s="3170"/>
      <c r="WIZ146" s="3170"/>
      <c r="WJA146" s="3170"/>
      <c r="WJB146" s="3170"/>
      <c r="WJC146" s="3170"/>
      <c r="WJD146" s="3170"/>
      <c r="WJE146" s="3170"/>
      <c r="WJF146" s="3170"/>
      <c r="WJG146" s="3170"/>
      <c r="WJH146" s="3170"/>
      <c r="WJI146" s="3170"/>
      <c r="WJJ146" s="3170"/>
      <c r="WJK146" s="3170"/>
      <c r="WJL146" s="3170"/>
      <c r="WJM146" s="3170"/>
      <c r="WJN146" s="3170"/>
      <c r="WJO146" s="3170"/>
      <c r="WJP146" s="3170"/>
      <c r="WJQ146" s="3170"/>
      <c r="WJR146" s="3170"/>
      <c r="WJS146" s="3170"/>
      <c r="WJT146" s="3170"/>
      <c r="WJU146" s="3170"/>
      <c r="WJV146" s="3170"/>
      <c r="WJW146" s="3170"/>
      <c r="WJX146" s="3170"/>
      <c r="WJY146" s="3170"/>
      <c r="WJZ146" s="3170"/>
      <c r="WKA146" s="3170"/>
      <c r="WKB146" s="3170"/>
      <c r="WKC146" s="3170"/>
      <c r="WKD146" s="3170"/>
      <c r="WKE146" s="3170"/>
      <c r="WKF146" s="3170"/>
      <c r="WKG146" s="3170"/>
      <c r="WKH146" s="3170"/>
      <c r="WKI146" s="3170"/>
      <c r="WKJ146" s="3170"/>
      <c r="WKK146" s="3170"/>
      <c r="WKL146" s="3170"/>
      <c r="WKM146" s="3170"/>
      <c r="WKN146" s="3170"/>
      <c r="WKO146" s="3170"/>
      <c r="WKP146" s="3170"/>
      <c r="WKQ146" s="3170"/>
      <c r="WKR146" s="3170"/>
      <c r="WKS146" s="3170"/>
      <c r="WKT146" s="3170"/>
      <c r="WKU146" s="3170"/>
      <c r="WKV146" s="3170"/>
      <c r="WKW146" s="3170"/>
      <c r="WKX146" s="3170"/>
      <c r="WKY146" s="3170"/>
      <c r="WKZ146" s="3170"/>
      <c r="WLA146" s="3170"/>
      <c r="WLB146" s="3170"/>
      <c r="WLC146" s="3170"/>
      <c r="WLD146" s="3170"/>
      <c r="WLE146" s="3170"/>
      <c r="WLF146" s="3170"/>
      <c r="WLG146" s="3170"/>
      <c r="WLH146" s="3170"/>
      <c r="WLI146" s="3170"/>
      <c r="WLJ146" s="3170"/>
      <c r="WLK146" s="3170"/>
      <c r="WLL146" s="3170"/>
      <c r="WLM146" s="3170"/>
      <c r="WLN146" s="3170"/>
      <c r="WLO146" s="3170"/>
      <c r="WLP146" s="3170"/>
      <c r="WLQ146" s="3170"/>
      <c r="WLR146" s="3170"/>
      <c r="WLS146" s="3170"/>
      <c r="WLT146" s="3170"/>
      <c r="WLU146" s="3170"/>
      <c r="WLV146" s="3170"/>
      <c r="WLW146" s="3170"/>
      <c r="WLX146" s="3170"/>
      <c r="WLY146" s="3170"/>
      <c r="WLZ146" s="3170"/>
      <c r="WMA146" s="3170"/>
      <c r="WMB146" s="3170"/>
      <c r="WMC146" s="3170"/>
      <c r="WMD146" s="3170"/>
      <c r="WME146" s="3170"/>
      <c r="WMF146" s="3170"/>
      <c r="WMG146" s="3170"/>
      <c r="WMH146" s="3170"/>
      <c r="WMI146" s="3170"/>
      <c r="WMJ146" s="3170"/>
      <c r="WMK146" s="3170"/>
      <c r="WML146" s="3170"/>
      <c r="WMM146" s="3170"/>
      <c r="WMN146" s="3170"/>
      <c r="WMO146" s="3170"/>
      <c r="WMP146" s="3170"/>
      <c r="WMQ146" s="3170"/>
      <c r="WMR146" s="3170"/>
      <c r="WMS146" s="3170"/>
      <c r="WMT146" s="3170"/>
      <c r="WMU146" s="3170"/>
      <c r="WMV146" s="3170"/>
      <c r="WMW146" s="3170"/>
      <c r="WMX146" s="3170"/>
      <c r="WMY146" s="3170"/>
      <c r="WMZ146" s="3170"/>
      <c r="WNA146" s="3170"/>
      <c r="WNB146" s="3170"/>
      <c r="WNC146" s="3170"/>
      <c r="WND146" s="3170"/>
      <c r="WNE146" s="3170"/>
      <c r="WNF146" s="3170"/>
      <c r="WNG146" s="3170"/>
      <c r="WNH146" s="3170"/>
      <c r="WNI146" s="3170"/>
      <c r="WNJ146" s="3170"/>
      <c r="WNK146" s="3170"/>
      <c r="WNL146" s="3170"/>
      <c r="WNM146" s="3170"/>
      <c r="WNN146" s="3170"/>
      <c r="WNO146" s="3170"/>
      <c r="WNP146" s="3170"/>
      <c r="WNQ146" s="3170"/>
      <c r="WNR146" s="3170"/>
      <c r="WNS146" s="3170"/>
      <c r="WNT146" s="3170"/>
      <c r="WNU146" s="3170"/>
      <c r="WNV146" s="3170"/>
      <c r="WNW146" s="3170"/>
      <c r="WNX146" s="3170"/>
      <c r="WNY146" s="3170"/>
      <c r="WNZ146" s="3170"/>
      <c r="WOA146" s="3170"/>
      <c r="WOB146" s="3170"/>
      <c r="WOC146" s="3170"/>
      <c r="WOD146" s="3170"/>
      <c r="WOE146" s="3170"/>
      <c r="WOF146" s="3170"/>
      <c r="WOG146" s="3170"/>
      <c r="WOH146" s="3170"/>
      <c r="WOI146" s="3170"/>
      <c r="WOJ146" s="3170"/>
      <c r="WOK146" s="3170"/>
      <c r="WOL146" s="3170"/>
      <c r="WOM146" s="3170"/>
      <c r="WON146" s="3170"/>
      <c r="WOO146" s="3170"/>
      <c r="WOP146" s="3170"/>
      <c r="WOQ146" s="3170"/>
      <c r="WOR146" s="3170"/>
      <c r="WOS146" s="3170"/>
      <c r="WOT146" s="3170"/>
      <c r="WOU146" s="3170"/>
      <c r="WOV146" s="3170"/>
      <c r="WOW146" s="3170"/>
      <c r="WOX146" s="3170"/>
      <c r="WOY146" s="3170"/>
      <c r="WOZ146" s="3170"/>
      <c r="WPA146" s="3170"/>
      <c r="WPB146" s="3170"/>
      <c r="WPC146" s="3170"/>
      <c r="WPD146" s="3170"/>
      <c r="WPE146" s="3170"/>
      <c r="WPF146" s="3170"/>
      <c r="WPG146" s="3170"/>
      <c r="WPH146" s="3170"/>
      <c r="WPI146" s="3170"/>
      <c r="WPJ146" s="3170"/>
      <c r="WPK146" s="3170"/>
      <c r="WPL146" s="3170"/>
      <c r="WPM146" s="3170"/>
      <c r="WPN146" s="3170"/>
      <c r="WPO146" s="3170"/>
      <c r="WPP146" s="3170"/>
      <c r="WPQ146" s="3170"/>
      <c r="WPR146" s="3170"/>
      <c r="WPS146" s="3170"/>
      <c r="WPT146" s="3170"/>
      <c r="WPU146" s="3170"/>
      <c r="WPV146" s="3170"/>
      <c r="WPW146" s="3170"/>
      <c r="WPX146" s="3170"/>
      <c r="WPY146" s="3170"/>
      <c r="WPZ146" s="3170"/>
      <c r="WQA146" s="3170"/>
      <c r="WQB146" s="3170"/>
      <c r="WQC146" s="3170"/>
      <c r="WQD146" s="3170"/>
      <c r="WQE146" s="3170"/>
      <c r="WQF146" s="3170"/>
      <c r="WQG146" s="3170"/>
      <c r="WQH146" s="3170"/>
      <c r="WQI146" s="3170"/>
      <c r="WQJ146" s="3170"/>
      <c r="WQK146" s="3170"/>
      <c r="WQL146" s="3170"/>
      <c r="WQM146" s="3170"/>
      <c r="WQN146" s="3170"/>
      <c r="WQO146" s="3170"/>
      <c r="WQP146" s="3170"/>
      <c r="WQQ146" s="3170"/>
      <c r="WQR146" s="3170"/>
      <c r="WQS146" s="3170"/>
      <c r="WQT146" s="3170"/>
      <c r="WQU146" s="3170"/>
      <c r="WQV146" s="3170"/>
      <c r="WQW146" s="3170"/>
      <c r="WQX146" s="3170"/>
      <c r="WQY146" s="3170"/>
      <c r="WQZ146" s="3170"/>
      <c r="WRA146" s="3170"/>
      <c r="WRB146" s="3170"/>
      <c r="WRC146" s="3170"/>
      <c r="WRD146" s="3170"/>
      <c r="WRE146" s="3170"/>
      <c r="WRF146" s="3170"/>
      <c r="WRG146" s="3170"/>
      <c r="WRH146" s="3170"/>
      <c r="WRI146" s="3170"/>
      <c r="WRJ146" s="3170"/>
      <c r="WRK146" s="3170"/>
      <c r="WRL146" s="3170"/>
      <c r="WRM146" s="3170"/>
      <c r="WRN146" s="3170"/>
      <c r="WRO146" s="3170"/>
      <c r="WRP146" s="3170"/>
      <c r="WRQ146" s="3170"/>
      <c r="WRR146" s="3170"/>
      <c r="WRS146" s="3170"/>
      <c r="WRT146" s="3170"/>
      <c r="WRU146" s="3170"/>
      <c r="WRV146" s="3170"/>
      <c r="WRW146" s="3170"/>
      <c r="WRX146" s="3170"/>
      <c r="WRY146" s="3170"/>
      <c r="WRZ146" s="3170"/>
      <c r="WSA146" s="3170"/>
      <c r="WSB146" s="3170"/>
      <c r="WSC146" s="3170"/>
      <c r="WSD146" s="3170"/>
      <c r="WSE146" s="3170"/>
      <c r="WSF146" s="3170"/>
      <c r="WSG146" s="3170"/>
      <c r="WSH146" s="3170"/>
      <c r="WSI146" s="3170"/>
      <c r="WSJ146" s="3170"/>
      <c r="WSK146" s="3170"/>
      <c r="WSL146" s="3170"/>
      <c r="WSM146" s="3170"/>
      <c r="WSN146" s="3170"/>
      <c r="WSO146" s="3170"/>
      <c r="WSP146" s="3170"/>
      <c r="WSQ146" s="3170"/>
      <c r="WSR146" s="3170"/>
      <c r="WSS146" s="3170"/>
      <c r="WST146" s="3170"/>
      <c r="WSU146" s="3170"/>
      <c r="WSV146" s="3170"/>
      <c r="WSW146" s="3170"/>
      <c r="WSX146" s="3170"/>
      <c r="WSY146" s="3170"/>
      <c r="WSZ146" s="3170"/>
      <c r="WTA146" s="3170"/>
      <c r="WTB146" s="3170"/>
      <c r="WTC146" s="3170"/>
      <c r="WTD146" s="3170"/>
      <c r="WTE146" s="3170"/>
      <c r="WTF146" s="3170"/>
      <c r="WTG146" s="3170"/>
      <c r="WTH146" s="3170"/>
      <c r="WTI146" s="3170"/>
      <c r="WTJ146" s="3170"/>
      <c r="WTK146" s="3170"/>
      <c r="WTL146" s="3170"/>
      <c r="WTM146" s="3170"/>
      <c r="WTN146" s="3170"/>
      <c r="WTO146" s="3170"/>
      <c r="WTP146" s="3170"/>
      <c r="WTQ146" s="3170"/>
      <c r="WTR146" s="3170"/>
      <c r="WTS146" s="3170"/>
      <c r="WTT146" s="3170"/>
      <c r="WTU146" s="3170"/>
      <c r="WTV146" s="3170"/>
      <c r="WTW146" s="3170"/>
      <c r="WTX146" s="3170"/>
      <c r="WTY146" s="3170"/>
      <c r="WTZ146" s="3170"/>
      <c r="WUA146" s="3170"/>
      <c r="WUB146" s="3170"/>
      <c r="WUC146" s="3170"/>
      <c r="WUD146" s="3170"/>
      <c r="WUE146" s="3170"/>
      <c r="WUF146" s="3170"/>
      <c r="WUG146" s="3170"/>
      <c r="WUH146" s="3170"/>
      <c r="WUI146" s="3170"/>
      <c r="WUJ146" s="3170"/>
      <c r="WUK146" s="3170"/>
      <c r="WUL146" s="3170"/>
      <c r="WUM146" s="3170"/>
      <c r="WUN146" s="3170"/>
      <c r="WUO146" s="3170"/>
      <c r="WUP146" s="3170"/>
      <c r="WUQ146" s="3170"/>
      <c r="WUR146" s="3170"/>
      <c r="WUS146" s="3170"/>
      <c r="WUT146" s="3170"/>
      <c r="WUU146" s="3170"/>
      <c r="WUV146" s="3170"/>
      <c r="WUW146" s="3170"/>
      <c r="WUX146" s="3170"/>
      <c r="WUY146" s="3170"/>
      <c r="WUZ146" s="3170"/>
      <c r="WVA146" s="3170"/>
      <c r="WVB146" s="3170"/>
      <c r="WVC146" s="3170"/>
      <c r="WVD146" s="3170"/>
      <c r="WVE146" s="3170"/>
      <c r="WVF146" s="3170"/>
      <c r="WVG146" s="3170"/>
      <c r="WVH146" s="3170"/>
      <c r="WVI146" s="3170"/>
      <c r="WVJ146" s="3170"/>
      <c r="WVK146" s="3170"/>
      <c r="WVL146" s="3170"/>
      <c r="WVM146" s="3170"/>
      <c r="WVN146" s="3170"/>
      <c r="WVO146" s="3170"/>
      <c r="WVP146" s="3170"/>
      <c r="WVQ146" s="3170"/>
      <c r="WVR146" s="3170"/>
      <c r="WVS146" s="3170"/>
      <c r="WVT146" s="3170"/>
      <c r="WVU146" s="3170"/>
      <c r="WVV146" s="3170"/>
      <c r="WVW146" s="3170"/>
      <c r="WVX146" s="3170"/>
      <c r="WVY146" s="3170"/>
      <c r="WVZ146" s="3170"/>
      <c r="WWA146" s="3170"/>
      <c r="WWB146" s="3170"/>
      <c r="WWC146" s="3170"/>
      <c r="WWD146" s="3170"/>
      <c r="WWE146" s="3170"/>
      <c r="WWF146" s="3170"/>
      <c r="WWG146" s="3170"/>
      <c r="WWH146" s="3170"/>
      <c r="WWI146" s="3170"/>
      <c r="WWJ146" s="3170"/>
      <c r="WWK146" s="3170"/>
      <c r="WWL146" s="3170"/>
      <c r="WWM146" s="3170"/>
      <c r="WWN146" s="3170"/>
      <c r="WWO146" s="3170"/>
      <c r="WWP146" s="3170"/>
      <c r="WWQ146" s="3170"/>
      <c r="WWR146" s="3170"/>
      <c r="WWS146" s="3170"/>
      <c r="WWT146" s="3170"/>
      <c r="WWU146" s="3170"/>
      <c r="WWV146" s="3170"/>
      <c r="WWW146" s="3170"/>
      <c r="WWX146" s="3170"/>
      <c r="WWY146" s="3170"/>
      <c r="WWZ146" s="3170"/>
      <c r="WXA146" s="3170"/>
      <c r="WXB146" s="3170"/>
      <c r="WXC146" s="3170"/>
      <c r="WXD146" s="3170"/>
      <c r="WXE146" s="3170"/>
      <c r="WXF146" s="3170"/>
      <c r="WXG146" s="3170"/>
      <c r="WXH146" s="3170"/>
      <c r="WXI146" s="3170"/>
      <c r="WXJ146" s="3170"/>
      <c r="WXK146" s="3170"/>
      <c r="WXL146" s="3170"/>
      <c r="WXM146" s="3170"/>
      <c r="WXN146" s="3170"/>
      <c r="WXO146" s="3170"/>
      <c r="WXP146" s="3170"/>
      <c r="WXQ146" s="3170"/>
      <c r="WXR146" s="3170"/>
      <c r="WXS146" s="3170"/>
      <c r="WXT146" s="3170"/>
      <c r="WXU146" s="3170"/>
      <c r="WXV146" s="3170"/>
      <c r="WXW146" s="3170"/>
      <c r="WXX146" s="3170"/>
      <c r="WXY146" s="3170"/>
      <c r="WXZ146" s="3170"/>
      <c r="WYA146" s="3170"/>
      <c r="WYB146" s="3170"/>
      <c r="WYC146" s="3170"/>
      <c r="WYD146" s="3170"/>
      <c r="WYE146" s="3170"/>
      <c r="WYF146" s="3170"/>
      <c r="WYG146" s="3170"/>
      <c r="WYH146" s="3170"/>
      <c r="WYI146" s="3170"/>
      <c r="WYJ146" s="3170"/>
      <c r="WYK146" s="3170"/>
      <c r="WYL146" s="3170"/>
      <c r="WYM146" s="3170"/>
      <c r="WYN146" s="3170"/>
      <c r="WYO146" s="3170"/>
      <c r="WYP146" s="3170"/>
      <c r="WYQ146" s="3170"/>
      <c r="WYR146" s="3170"/>
      <c r="WYS146" s="3170"/>
      <c r="WYT146" s="3170"/>
      <c r="WYU146" s="3170"/>
      <c r="WYV146" s="3170"/>
      <c r="WYW146" s="3170"/>
      <c r="WYX146" s="3170"/>
      <c r="WYY146" s="3170"/>
      <c r="WYZ146" s="3170"/>
      <c r="WZA146" s="3170"/>
      <c r="WZB146" s="3170"/>
      <c r="WZC146" s="3170"/>
      <c r="WZD146" s="3170"/>
      <c r="WZE146" s="3170"/>
      <c r="WZF146" s="3170"/>
      <c r="WZG146" s="3170"/>
      <c r="WZH146" s="3170"/>
      <c r="WZI146" s="3170"/>
      <c r="WZJ146" s="3170"/>
      <c r="WZK146" s="3170"/>
      <c r="WZL146" s="3170"/>
      <c r="WZM146" s="3170"/>
      <c r="WZN146" s="3170"/>
      <c r="WZO146" s="3170"/>
      <c r="WZP146" s="3170"/>
      <c r="WZQ146" s="3170"/>
      <c r="WZR146" s="3170"/>
      <c r="WZS146" s="3170"/>
      <c r="WZT146" s="3170"/>
      <c r="WZU146" s="3170"/>
      <c r="WZV146" s="3170"/>
      <c r="WZW146" s="3170"/>
      <c r="WZX146" s="3170"/>
      <c r="WZY146" s="3170"/>
      <c r="WZZ146" s="3170"/>
      <c r="XAA146" s="3170"/>
      <c r="XAB146" s="3170"/>
      <c r="XAC146" s="3170"/>
      <c r="XAD146" s="3170"/>
      <c r="XAE146" s="3170"/>
      <c r="XAF146" s="3170"/>
      <c r="XAG146" s="3170"/>
      <c r="XAH146" s="3170"/>
      <c r="XAI146" s="3170"/>
      <c r="XAJ146" s="3170"/>
      <c r="XAK146" s="3170"/>
      <c r="XAL146" s="3170"/>
      <c r="XAM146" s="3170"/>
      <c r="XAN146" s="3170"/>
      <c r="XAO146" s="3170"/>
      <c r="XAP146" s="3170"/>
      <c r="XAQ146" s="3170"/>
      <c r="XAR146" s="3170"/>
      <c r="XAS146" s="3170"/>
      <c r="XAT146" s="3170"/>
      <c r="XAU146" s="3170"/>
      <c r="XAV146" s="3170"/>
      <c r="XAW146" s="3170"/>
      <c r="XAX146" s="3170"/>
      <c r="XAY146" s="3170"/>
      <c r="XAZ146" s="3170"/>
      <c r="XBA146" s="3170"/>
      <c r="XBB146" s="3170"/>
      <c r="XBC146" s="3170"/>
      <c r="XBD146" s="3170"/>
      <c r="XBE146" s="3170"/>
      <c r="XBF146" s="3170"/>
      <c r="XBG146" s="3170"/>
      <c r="XBH146" s="3170"/>
      <c r="XBI146" s="3170"/>
      <c r="XBJ146" s="3170"/>
      <c r="XBK146" s="3170"/>
      <c r="XBL146" s="3170"/>
      <c r="XBM146" s="3170"/>
      <c r="XBN146" s="3170"/>
      <c r="XBO146" s="3170"/>
      <c r="XBP146" s="3170"/>
      <c r="XBQ146" s="3170"/>
      <c r="XBR146" s="3170"/>
      <c r="XBS146" s="3170"/>
      <c r="XBT146" s="3170"/>
      <c r="XBU146" s="3170"/>
      <c r="XBV146" s="3170"/>
      <c r="XBW146" s="3170"/>
      <c r="XBX146" s="3170"/>
      <c r="XBY146" s="3170"/>
      <c r="XBZ146" s="3170"/>
      <c r="XCA146" s="3170"/>
      <c r="XCB146" s="3170"/>
      <c r="XCC146" s="3170"/>
      <c r="XCD146" s="3170"/>
      <c r="XCE146" s="3170"/>
      <c r="XCF146" s="3170"/>
      <c r="XCG146" s="3170"/>
      <c r="XCH146" s="3170"/>
      <c r="XCI146" s="3170"/>
      <c r="XCJ146" s="3170"/>
      <c r="XCK146" s="3170"/>
      <c r="XCL146" s="3170"/>
      <c r="XCM146" s="3170"/>
      <c r="XCN146" s="3170"/>
      <c r="XCO146" s="3170"/>
      <c r="XCP146" s="3170"/>
      <c r="XCQ146" s="3170"/>
      <c r="XCR146" s="3170"/>
      <c r="XCS146" s="3170"/>
      <c r="XCT146" s="3170"/>
      <c r="XCU146" s="3170"/>
      <c r="XCV146" s="3170"/>
      <c r="XCW146" s="3170"/>
      <c r="XCX146" s="3170"/>
      <c r="XCY146" s="3170"/>
      <c r="XCZ146" s="3170"/>
      <c r="XDA146" s="3170"/>
      <c r="XDB146" s="3170"/>
      <c r="XDC146" s="3170"/>
      <c r="XDD146" s="3170"/>
      <c r="XDE146" s="3170"/>
      <c r="XDF146" s="3170"/>
      <c r="XDG146" s="3170"/>
      <c r="XDH146" s="3170"/>
      <c r="XDI146" s="3170"/>
      <c r="XDJ146" s="3170"/>
      <c r="XDK146" s="3170"/>
      <c r="XDL146" s="3170"/>
      <c r="XDM146" s="3170"/>
      <c r="XDN146" s="3170"/>
      <c r="XDO146" s="3170"/>
      <c r="XDP146" s="3170"/>
      <c r="XDQ146" s="3170"/>
      <c r="XDR146" s="3170"/>
      <c r="XDS146" s="3170"/>
      <c r="XDT146" s="3170"/>
      <c r="XDU146" s="3170"/>
      <c r="XDV146" s="3170"/>
      <c r="XDW146" s="3170"/>
      <c r="XDX146" s="3170"/>
      <c r="XDY146" s="3170"/>
      <c r="XDZ146" s="3170"/>
      <c r="XEA146" s="3170"/>
      <c r="XEB146" s="3170"/>
      <c r="XEC146" s="3170"/>
      <c r="XED146" s="3170"/>
      <c r="XEE146" s="3170"/>
      <c r="XEF146" s="3170"/>
      <c r="XEG146" s="3170"/>
      <c r="XEH146" s="3170"/>
      <c r="XEI146" s="3170"/>
      <c r="XEJ146" s="3170"/>
      <c r="XEK146" s="3170"/>
      <c r="XEL146" s="3170"/>
      <c r="XEM146" s="3170"/>
      <c r="XEN146" s="3170"/>
      <c r="XEO146" s="3170"/>
      <c r="XEP146" s="3170"/>
      <c r="XEQ146" s="3170"/>
      <c r="XER146" s="3170"/>
      <c r="XES146" s="3170"/>
      <c r="XET146" s="3170"/>
      <c r="XEU146" s="3170"/>
      <c r="XEV146" s="3170"/>
      <c r="XEW146" s="3170"/>
      <c r="XEX146" s="3170"/>
      <c r="XEY146" s="3170"/>
      <c r="XEZ146" s="3170"/>
      <c r="XFA146" s="3170"/>
      <c r="XFB146" s="3170"/>
      <c r="XFC146" s="3170"/>
      <c r="XFD146" s="3170"/>
    </row>
    <row r="147" spans="1:16384" s="2318" customFormat="1" ht="37.5">
      <c r="A147" s="1980"/>
      <c r="B147" s="2342"/>
      <c r="C147" s="1980"/>
      <c r="D147" s="1469"/>
    </row>
  </sheetData>
  <mergeCells count="1053">
    <mergeCell ref="J8:N8"/>
    <mergeCell ref="A1:P1"/>
    <mergeCell ref="A3:P3"/>
    <mergeCell ref="B5:E5"/>
    <mergeCell ref="A2:P2"/>
    <mergeCell ref="D99:P99"/>
    <mergeCell ref="D101:P101"/>
    <mergeCell ref="D102:P102"/>
    <mergeCell ref="N32:P32"/>
    <mergeCell ref="N7:P7"/>
    <mergeCell ref="N14:P14"/>
    <mergeCell ref="N33:P33"/>
    <mergeCell ref="D78:P78"/>
    <mergeCell ref="D79:P79"/>
    <mergeCell ref="A146:P146"/>
    <mergeCell ref="Q146:AF146"/>
    <mergeCell ref="J45:N45"/>
    <mergeCell ref="F62:J62"/>
    <mergeCell ref="M62:P62"/>
    <mergeCell ref="AG146:AV146"/>
    <mergeCell ref="AW146:BL146"/>
    <mergeCell ref="BM146:CB146"/>
    <mergeCell ref="E145:P145"/>
    <mergeCell ref="A81:P81"/>
    <mergeCell ref="A82:P82"/>
    <mergeCell ref="A83:P83"/>
    <mergeCell ref="A84:P84"/>
    <mergeCell ref="E116:P116"/>
    <mergeCell ref="D131:E131"/>
    <mergeCell ref="D118:N118"/>
    <mergeCell ref="N85:P85"/>
    <mergeCell ref="H105:N105"/>
    <mergeCell ref="Q116:U116"/>
    <mergeCell ref="NE146:NT146"/>
    <mergeCell ref="E77:P77"/>
    <mergeCell ref="NU146:OJ146"/>
    <mergeCell ref="IG146:IV146"/>
    <mergeCell ref="IW146:JL146"/>
    <mergeCell ref="JM146:KB146"/>
    <mergeCell ref="KC146:KR146"/>
    <mergeCell ref="KS146:LH146"/>
    <mergeCell ref="FE146:FT146"/>
    <mergeCell ref="FU146:GJ146"/>
    <mergeCell ref="GK146:GZ146"/>
    <mergeCell ref="HA146:HP146"/>
    <mergeCell ref="HQ146:IF146"/>
    <mergeCell ref="CC146:CR146"/>
    <mergeCell ref="CS146:DH146"/>
    <mergeCell ref="DI146:DX146"/>
    <mergeCell ref="DY146:EN146"/>
    <mergeCell ref="EO146:FD146"/>
    <mergeCell ref="LI146:LX146"/>
    <mergeCell ref="LY146:MN146"/>
    <mergeCell ref="MO146:ND146"/>
    <mergeCell ref="XQ146:YF146"/>
    <mergeCell ref="YG146:YV146"/>
    <mergeCell ref="YW146:ZL146"/>
    <mergeCell ref="ZM146:AAB146"/>
    <mergeCell ref="AAC146:AAR146"/>
    <mergeCell ref="UO146:VD146"/>
    <mergeCell ref="VE146:VT146"/>
    <mergeCell ref="VU146:WJ146"/>
    <mergeCell ref="WK146:WZ146"/>
    <mergeCell ref="XA146:XP146"/>
    <mergeCell ref="RM146:SB146"/>
    <mergeCell ref="SC146:SR146"/>
    <mergeCell ref="SS146:TH146"/>
    <mergeCell ref="TI146:TX146"/>
    <mergeCell ref="TY146:UN146"/>
    <mergeCell ref="OK146:OZ146"/>
    <mergeCell ref="PA146:PP146"/>
    <mergeCell ref="PQ146:QF146"/>
    <mergeCell ref="QG146:QV146"/>
    <mergeCell ref="QW146:RL146"/>
    <mergeCell ref="AJY146:AKN146"/>
    <mergeCell ref="AKO146:ALD146"/>
    <mergeCell ref="ALE146:ALT146"/>
    <mergeCell ref="ALU146:AMJ146"/>
    <mergeCell ref="AMK146:AMZ146"/>
    <mergeCell ref="AGW146:AHL146"/>
    <mergeCell ref="AHM146:AIB146"/>
    <mergeCell ref="AIC146:AIR146"/>
    <mergeCell ref="AIS146:AJH146"/>
    <mergeCell ref="AJI146:AJX146"/>
    <mergeCell ref="ADU146:AEJ146"/>
    <mergeCell ref="AEK146:AEZ146"/>
    <mergeCell ref="AFA146:AFP146"/>
    <mergeCell ref="AFQ146:AGF146"/>
    <mergeCell ref="AGG146:AGV146"/>
    <mergeCell ref="AAS146:ABH146"/>
    <mergeCell ref="ABI146:ABX146"/>
    <mergeCell ref="ABY146:ACN146"/>
    <mergeCell ref="ACO146:ADD146"/>
    <mergeCell ref="ADE146:ADT146"/>
    <mergeCell ref="AWG146:AWV146"/>
    <mergeCell ref="AWW146:AXL146"/>
    <mergeCell ref="AXM146:AYB146"/>
    <mergeCell ref="AYC146:AYR146"/>
    <mergeCell ref="AYS146:AZH146"/>
    <mergeCell ref="ATE146:ATT146"/>
    <mergeCell ref="ATU146:AUJ146"/>
    <mergeCell ref="AUK146:AUZ146"/>
    <mergeCell ref="AVA146:AVP146"/>
    <mergeCell ref="AVQ146:AWF146"/>
    <mergeCell ref="AQC146:AQR146"/>
    <mergeCell ref="AQS146:ARH146"/>
    <mergeCell ref="ARI146:ARX146"/>
    <mergeCell ref="ARY146:ASN146"/>
    <mergeCell ref="ASO146:ATD146"/>
    <mergeCell ref="ANA146:ANP146"/>
    <mergeCell ref="ANQ146:AOF146"/>
    <mergeCell ref="AOG146:AOV146"/>
    <mergeCell ref="AOW146:APL146"/>
    <mergeCell ref="APM146:AQB146"/>
    <mergeCell ref="BIO146:BJD146"/>
    <mergeCell ref="BJE146:BJT146"/>
    <mergeCell ref="BJU146:BKJ146"/>
    <mergeCell ref="BKK146:BKZ146"/>
    <mergeCell ref="BLA146:BLP146"/>
    <mergeCell ref="BFM146:BGB146"/>
    <mergeCell ref="BGC146:BGR146"/>
    <mergeCell ref="BGS146:BHH146"/>
    <mergeCell ref="BHI146:BHX146"/>
    <mergeCell ref="BHY146:BIN146"/>
    <mergeCell ref="BCK146:BCZ146"/>
    <mergeCell ref="BDA146:BDP146"/>
    <mergeCell ref="BDQ146:BEF146"/>
    <mergeCell ref="BEG146:BEV146"/>
    <mergeCell ref="BEW146:BFL146"/>
    <mergeCell ref="AZI146:AZX146"/>
    <mergeCell ref="AZY146:BAN146"/>
    <mergeCell ref="BAO146:BBD146"/>
    <mergeCell ref="BBE146:BBT146"/>
    <mergeCell ref="BBU146:BCJ146"/>
    <mergeCell ref="BUW146:BVL146"/>
    <mergeCell ref="BVM146:BWB146"/>
    <mergeCell ref="BWC146:BWR146"/>
    <mergeCell ref="BWS146:BXH146"/>
    <mergeCell ref="BXI146:BXX146"/>
    <mergeCell ref="BRU146:BSJ146"/>
    <mergeCell ref="BSK146:BSZ146"/>
    <mergeCell ref="BTA146:BTP146"/>
    <mergeCell ref="BTQ146:BUF146"/>
    <mergeCell ref="BUG146:BUV146"/>
    <mergeCell ref="BOS146:BPH146"/>
    <mergeCell ref="BPI146:BPX146"/>
    <mergeCell ref="BPY146:BQN146"/>
    <mergeCell ref="BQO146:BRD146"/>
    <mergeCell ref="BRE146:BRT146"/>
    <mergeCell ref="BLQ146:BMF146"/>
    <mergeCell ref="BMG146:BMV146"/>
    <mergeCell ref="BMW146:BNL146"/>
    <mergeCell ref="BNM146:BOB146"/>
    <mergeCell ref="BOC146:BOR146"/>
    <mergeCell ref="CHE146:CHT146"/>
    <mergeCell ref="CHU146:CIJ146"/>
    <mergeCell ref="CIK146:CIZ146"/>
    <mergeCell ref="CJA146:CJP146"/>
    <mergeCell ref="CJQ146:CKF146"/>
    <mergeCell ref="CEC146:CER146"/>
    <mergeCell ref="CES146:CFH146"/>
    <mergeCell ref="CFI146:CFX146"/>
    <mergeCell ref="CFY146:CGN146"/>
    <mergeCell ref="CGO146:CHD146"/>
    <mergeCell ref="CBA146:CBP146"/>
    <mergeCell ref="CBQ146:CCF146"/>
    <mergeCell ref="CCG146:CCV146"/>
    <mergeCell ref="CCW146:CDL146"/>
    <mergeCell ref="CDM146:CEB146"/>
    <mergeCell ref="BXY146:BYN146"/>
    <mergeCell ref="BYO146:BZD146"/>
    <mergeCell ref="BZE146:BZT146"/>
    <mergeCell ref="BZU146:CAJ146"/>
    <mergeCell ref="CAK146:CAZ146"/>
    <mergeCell ref="CTM146:CUB146"/>
    <mergeCell ref="CUC146:CUR146"/>
    <mergeCell ref="CUS146:CVH146"/>
    <mergeCell ref="CVI146:CVX146"/>
    <mergeCell ref="CVY146:CWN146"/>
    <mergeCell ref="CQK146:CQZ146"/>
    <mergeCell ref="CRA146:CRP146"/>
    <mergeCell ref="CRQ146:CSF146"/>
    <mergeCell ref="CSG146:CSV146"/>
    <mergeCell ref="CSW146:CTL146"/>
    <mergeCell ref="CNI146:CNX146"/>
    <mergeCell ref="CNY146:CON146"/>
    <mergeCell ref="COO146:CPD146"/>
    <mergeCell ref="CPE146:CPT146"/>
    <mergeCell ref="CPU146:CQJ146"/>
    <mergeCell ref="CKG146:CKV146"/>
    <mergeCell ref="CKW146:CLL146"/>
    <mergeCell ref="CLM146:CMB146"/>
    <mergeCell ref="CMC146:CMR146"/>
    <mergeCell ref="CMS146:CNH146"/>
    <mergeCell ref="DFU146:DGJ146"/>
    <mergeCell ref="DGK146:DGZ146"/>
    <mergeCell ref="DHA146:DHP146"/>
    <mergeCell ref="DHQ146:DIF146"/>
    <mergeCell ref="DIG146:DIV146"/>
    <mergeCell ref="DCS146:DDH146"/>
    <mergeCell ref="DDI146:DDX146"/>
    <mergeCell ref="DDY146:DEN146"/>
    <mergeCell ref="DEO146:DFD146"/>
    <mergeCell ref="DFE146:DFT146"/>
    <mergeCell ref="CZQ146:DAF146"/>
    <mergeCell ref="DAG146:DAV146"/>
    <mergeCell ref="DAW146:DBL146"/>
    <mergeCell ref="DBM146:DCB146"/>
    <mergeCell ref="DCC146:DCR146"/>
    <mergeCell ref="CWO146:CXD146"/>
    <mergeCell ref="CXE146:CXT146"/>
    <mergeCell ref="CXU146:CYJ146"/>
    <mergeCell ref="CYK146:CYZ146"/>
    <mergeCell ref="CZA146:CZP146"/>
    <mergeCell ref="DSC146:DSR146"/>
    <mergeCell ref="DSS146:DTH146"/>
    <mergeCell ref="DTI146:DTX146"/>
    <mergeCell ref="DTY146:DUN146"/>
    <mergeCell ref="DUO146:DVD146"/>
    <mergeCell ref="DPA146:DPP146"/>
    <mergeCell ref="DPQ146:DQF146"/>
    <mergeCell ref="DQG146:DQV146"/>
    <mergeCell ref="DQW146:DRL146"/>
    <mergeCell ref="DRM146:DSB146"/>
    <mergeCell ref="DLY146:DMN146"/>
    <mergeCell ref="DMO146:DND146"/>
    <mergeCell ref="DNE146:DNT146"/>
    <mergeCell ref="DNU146:DOJ146"/>
    <mergeCell ref="DOK146:DOZ146"/>
    <mergeCell ref="DIW146:DJL146"/>
    <mergeCell ref="DJM146:DKB146"/>
    <mergeCell ref="DKC146:DKR146"/>
    <mergeCell ref="DKS146:DLH146"/>
    <mergeCell ref="DLI146:DLX146"/>
    <mergeCell ref="EEK146:EEZ146"/>
    <mergeCell ref="EFA146:EFP146"/>
    <mergeCell ref="EFQ146:EGF146"/>
    <mergeCell ref="EGG146:EGV146"/>
    <mergeCell ref="EGW146:EHL146"/>
    <mergeCell ref="EBI146:EBX146"/>
    <mergeCell ref="EBY146:ECN146"/>
    <mergeCell ref="ECO146:EDD146"/>
    <mergeCell ref="EDE146:EDT146"/>
    <mergeCell ref="EDU146:EEJ146"/>
    <mergeCell ref="DYG146:DYV146"/>
    <mergeCell ref="DYW146:DZL146"/>
    <mergeCell ref="DZM146:EAB146"/>
    <mergeCell ref="EAC146:EAR146"/>
    <mergeCell ref="EAS146:EBH146"/>
    <mergeCell ref="DVE146:DVT146"/>
    <mergeCell ref="DVU146:DWJ146"/>
    <mergeCell ref="DWK146:DWZ146"/>
    <mergeCell ref="DXA146:DXP146"/>
    <mergeCell ref="DXQ146:DYF146"/>
    <mergeCell ref="EQS146:ERH146"/>
    <mergeCell ref="ERI146:ERX146"/>
    <mergeCell ref="ERY146:ESN146"/>
    <mergeCell ref="ESO146:ETD146"/>
    <mergeCell ref="ETE146:ETT146"/>
    <mergeCell ref="ENQ146:EOF146"/>
    <mergeCell ref="EOG146:EOV146"/>
    <mergeCell ref="EOW146:EPL146"/>
    <mergeCell ref="EPM146:EQB146"/>
    <mergeCell ref="EQC146:EQR146"/>
    <mergeCell ref="EKO146:ELD146"/>
    <mergeCell ref="ELE146:ELT146"/>
    <mergeCell ref="ELU146:EMJ146"/>
    <mergeCell ref="EMK146:EMZ146"/>
    <mergeCell ref="ENA146:ENP146"/>
    <mergeCell ref="EHM146:EIB146"/>
    <mergeCell ref="EIC146:EIR146"/>
    <mergeCell ref="EIS146:EJH146"/>
    <mergeCell ref="EJI146:EJX146"/>
    <mergeCell ref="EJY146:EKN146"/>
    <mergeCell ref="FDA146:FDP146"/>
    <mergeCell ref="FDQ146:FEF146"/>
    <mergeCell ref="FEG146:FEV146"/>
    <mergeCell ref="FEW146:FFL146"/>
    <mergeCell ref="FFM146:FGB146"/>
    <mergeCell ref="EZY146:FAN146"/>
    <mergeCell ref="FAO146:FBD146"/>
    <mergeCell ref="FBE146:FBT146"/>
    <mergeCell ref="FBU146:FCJ146"/>
    <mergeCell ref="FCK146:FCZ146"/>
    <mergeCell ref="EWW146:EXL146"/>
    <mergeCell ref="EXM146:EYB146"/>
    <mergeCell ref="EYC146:EYR146"/>
    <mergeCell ref="EYS146:EZH146"/>
    <mergeCell ref="EZI146:EZX146"/>
    <mergeCell ref="ETU146:EUJ146"/>
    <mergeCell ref="EUK146:EUZ146"/>
    <mergeCell ref="EVA146:EVP146"/>
    <mergeCell ref="EVQ146:EWF146"/>
    <mergeCell ref="EWG146:EWV146"/>
    <mergeCell ref="FPI146:FPX146"/>
    <mergeCell ref="FPY146:FQN146"/>
    <mergeCell ref="FQO146:FRD146"/>
    <mergeCell ref="FRE146:FRT146"/>
    <mergeCell ref="FRU146:FSJ146"/>
    <mergeCell ref="FMG146:FMV146"/>
    <mergeCell ref="FMW146:FNL146"/>
    <mergeCell ref="FNM146:FOB146"/>
    <mergeCell ref="FOC146:FOR146"/>
    <mergeCell ref="FOS146:FPH146"/>
    <mergeCell ref="FJE146:FJT146"/>
    <mergeCell ref="FJU146:FKJ146"/>
    <mergeCell ref="FKK146:FKZ146"/>
    <mergeCell ref="FLA146:FLP146"/>
    <mergeCell ref="FLQ146:FMF146"/>
    <mergeCell ref="FGC146:FGR146"/>
    <mergeCell ref="FGS146:FHH146"/>
    <mergeCell ref="FHI146:FHX146"/>
    <mergeCell ref="FHY146:FIN146"/>
    <mergeCell ref="FIO146:FJD146"/>
    <mergeCell ref="GBQ146:GCF146"/>
    <mergeCell ref="GCG146:GCV146"/>
    <mergeCell ref="GCW146:GDL146"/>
    <mergeCell ref="GDM146:GEB146"/>
    <mergeCell ref="GEC146:GER146"/>
    <mergeCell ref="FYO146:FZD146"/>
    <mergeCell ref="FZE146:FZT146"/>
    <mergeCell ref="FZU146:GAJ146"/>
    <mergeCell ref="GAK146:GAZ146"/>
    <mergeCell ref="GBA146:GBP146"/>
    <mergeCell ref="FVM146:FWB146"/>
    <mergeCell ref="FWC146:FWR146"/>
    <mergeCell ref="FWS146:FXH146"/>
    <mergeCell ref="FXI146:FXX146"/>
    <mergeCell ref="FXY146:FYN146"/>
    <mergeCell ref="FSK146:FSZ146"/>
    <mergeCell ref="FTA146:FTP146"/>
    <mergeCell ref="FTQ146:FUF146"/>
    <mergeCell ref="FUG146:FUV146"/>
    <mergeCell ref="FUW146:FVL146"/>
    <mergeCell ref="GNY146:GON146"/>
    <mergeCell ref="GOO146:GPD146"/>
    <mergeCell ref="GPE146:GPT146"/>
    <mergeCell ref="GPU146:GQJ146"/>
    <mergeCell ref="GQK146:GQZ146"/>
    <mergeCell ref="GKW146:GLL146"/>
    <mergeCell ref="GLM146:GMB146"/>
    <mergeCell ref="GMC146:GMR146"/>
    <mergeCell ref="GMS146:GNH146"/>
    <mergeCell ref="GNI146:GNX146"/>
    <mergeCell ref="GHU146:GIJ146"/>
    <mergeCell ref="GIK146:GIZ146"/>
    <mergeCell ref="GJA146:GJP146"/>
    <mergeCell ref="GJQ146:GKF146"/>
    <mergeCell ref="GKG146:GKV146"/>
    <mergeCell ref="GES146:GFH146"/>
    <mergeCell ref="GFI146:GFX146"/>
    <mergeCell ref="GFY146:GGN146"/>
    <mergeCell ref="GGO146:GHD146"/>
    <mergeCell ref="GHE146:GHT146"/>
    <mergeCell ref="HAG146:HAV146"/>
    <mergeCell ref="HAW146:HBL146"/>
    <mergeCell ref="HBM146:HCB146"/>
    <mergeCell ref="HCC146:HCR146"/>
    <mergeCell ref="HCS146:HDH146"/>
    <mergeCell ref="GXE146:GXT146"/>
    <mergeCell ref="GXU146:GYJ146"/>
    <mergeCell ref="GYK146:GYZ146"/>
    <mergeCell ref="GZA146:GZP146"/>
    <mergeCell ref="GZQ146:HAF146"/>
    <mergeCell ref="GUC146:GUR146"/>
    <mergeCell ref="GUS146:GVH146"/>
    <mergeCell ref="GVI146:GVX146"/>
    <mergeCell ref="GVY146:GWN146"/>
    <mergeCell ref="GWO146:GXD146"/>
    <mergeCell ref="GRA146:GRP146"/>
    <mergeCell ref="GRQ146:GSF146"/>
    <mergeCell ref="GSG146:GSV146"/>
    <mergeCell ref="GSW146:GTL146"/>
    <mergeCell ref="GTM146:GUB146"/>
    <mergeCell ref="HMO146:HND146"/>
    <mergeCell ref="HNE146:HNT146"/>
    <mergeCell ref="HNU146:HOJ146"/>
    <mergeCell ref="HOK146:HOZ146"/>
    <mergeCell ref="HPA146:HPP146"/>
    <mergeCell ref="HJM146:HKB146"/>
    <mergeCell ref="HKC146:HKR146"/>
    <mergeCell ref="HKS146:HLH146"/>
    <mergeCell ref="HLI146:HLX146"/>
    <mergeCell ref="HLY146:HMN146"/>
    <mergeCell ref="HGK146:HGZ146"/>
    <mergeCell ref="HHA146:HHP146"/>
    <mergeCell ref="HHQ146:HIF146"/>
    <mergeCell ref="HIG146:HIV146"/>
    <mergeCell ref="HIW146:HJL146"/>
    <mergeCell ref="HDI146:HDX146"/>
    <mergeCell ref="HDY146:HEN146"/>
    <mergeCell ref="HEO146:HFD146"/>
    <mergeCell ref="HFE146:HFT146"/>
    <mergeCell ref="HFU146:HGJ146"/>
    <mergeCell ref="HYW146:HZL146"/>
    <mergeCell ref="HZM146:IAB146"/>
    <mergeCell ref="IAC146:IAR146"/>
    <mergeCell ref="IAS146:IBH146"/>
    <mergeCell ref="IBI146:IBX146"/>
    <mergeCell ref="HVU146:HWJ146"/>
    <mergeCell ref="HWK146:HWZ146"/>
    <mergeCell ref="HXA146:HXP146"/>
    <mergeCell ref="HXQ146:HYF146"/>
    <mergeCell ref="HYG146:HYV146"/>
    <mergeCell ref="HSS146:HTH146"/>
    <mergeCell ref="HTI146:HTX146"/>
    <mergeCell ref="HTY146:HUN146"/>
    <mergeCell ref="HUO146:HVD146"/>
    <mergeCell ref="HVE146:HVT146"/>
    <mergeCell ref="HPQ146:HQF146"/>
    <mergeCell ref="HQG146:HQV146"/>
    <mergeCell ref="HQW146:HRL146"/>
    <mergeCell ref="HRM146:HSB146"/>
    <mergeCell ref="HSC146:HSR146"/>
    <mergeCell ref="ILE146:ILT146"/>
    <mergeCell ref="ILU146:IMJ146"/>
    <mergeCell ref="IMK146:IMZ146"/>
    <mergeCell ref="INA146:INP146"/>
    <mergeCell ref="INQ146:IOF146"/>
    <mergeCell ref="IIC146:IIR146"/>
    <mergeCell ref="IIS146:IJH146"/>
    <mergeCell ref="IJI146:IJX146"/>
    <mergeCell ref="IJY146:IKN146"/>
    <mergeCell ref="IKO146:ILD146"/>
    <mergeCell ref="IFA146:IFP146"/>
    <mergeCell ref="IFQ146:IGF146"/>
    <mergeCell ref="IGG146:IGV146"/>
    <mergeCell ref="IGW146:IHL146"/>
    <mergeCell ref="IHM146:IIB146"/>
    <mergeCell ref="IBY146:ICN146"/>
    <mergeCell ref="ICO146:IDD146"/>
    <mergeCell ref="IDE146:IDT146"/>
    <mergeCell ref="IDU146:IEJ146"/>
    <mergeCell ref="IEK146:IEZ146"/>
    <mergeCell ref="IXM146:IYB146"/>
    <mergeCell ref="IYC146:IYR146"/>
    <mergeCell ref="IYS146:IZH146"/>
    <mergeCell ref="IZI146:IZX146"/>
    <mergeCell ref="IZY146:JAN146"/>
    <mergeCell ref="IUK146:IUZ146"/>
    <mergeCell ref="IVA146:IVP146"/>
    <mergeCell ref="IVQ146:IWF146"/>
    <mergeCell ref="IWG146:IWV146"/>
    <mergeCell ref="IWW146:IXL146"/>
    <mergeCell ref="IRI146:IRX146"/>
    <mergeCell ref="IRY146:ISN146"/>
    <mergeCell ref="ISO146:ITD146"/>
    <mergeCell ref="ITE146:ITT146"/>
    <mergeCell ref="ITU146:IUJ146"/>
    <mergeCell ref="IOG146:IOV146"/>
    <mergeCell ref="IOW146:IPL146"/>
    <mergeCell ref="IPM146:IQB146"/>
    <mergeCell ref="IQC146:IQR146"/>
    <mergeCell ref="IQS146:IRH146"/>
    <mergeCell ref="JJU146:JKJ146"/>
    <mergeCell ref="JKK146:JKZ146"/>
    <mergeCell ref="JLA146:JLP146"/>
    <mergeCell ref="JLQ146:JMF146"/>
    <mergeCell ref="JMG146:JMV146"/>
    <mergeCell ref="JGS146:JHH146"/>
    <mergeCell ref="JHI146:JHX146"/>
    <mergeCell ref="JHY146:JIN146"/>
    <mergeCell ref="JIO146:JJD146"/>
    <mergeCell ref="JJE146:JJT146"/>
    <mergeCell ref="JDQ146:JEF146"/>
    <mergeCell ref="JEG146:JEV146"/>
    <mergeCell ref="JEW146:JFL146"/>
    <mergeCell ref="JFM146:JGB146"/>
    <mergeCell ref="JGC146:JGR146"/>
    <mergeCell ref="JAO146:JBD146"/>
    <mergeCell ref="JBE146:JBT146"/>
    <mergeCell ref="JBU146:JCJ146"/>
    <mergeCell ref="JCK146:JCZ146"/>
    <mergeCell ref="JDA146:JDP146"/>
    <mergeCell ref="JWC146:JWR146"/>
    <mergeCell ref="JWS146:JXH146"/>
    <mergeCell ref="JXI146:JXX146"/>
    <mergeCell ref="JXY146:JYN146"/>
    <mergeCell ref="JYO146:JZD146"/>
    <mergeCell ref="JTA146:JTP146"/>
    <mergeCell ref="JTQ146:JUF146"/>
    <mergeCell ref="JUG146:JUV146"/>
    <mergeCell ref="JUW146:JVL146"/>
    <mergeCell ref="JVM146:JWB146"/>
    <mergeCell ref="JPY146:JQN146"/>
    <mergeCell ref="JQO146:JRD146"/>
    <mergeCell ref="JRE146:JRT146"/>
    <mergeCell ref="JRU146:JSJ146"/>
    <mergeCell ref="JSK146:JSZ146"/>
    <mergeCell ref="JMW146:JNL146"/>
    <mergeCell ref="JNM146:JOB146"/>
    <mergeCell ref="JOC146:JOR146"/>
    <mergeCell ref="JOS146:JPH146"/>
    <mergeCell ref="JPI146:JPX146"/>
    <mergeCell ref="KIK146:KIZ146"/>
    <mergeCell ref="KJA146:KJP146"/>
    <mergeCell ref="KJQ146:KKF146"/>
    <mergeCell ref="KKG146:KKV146"/>
    <mergeCell ref="KKW146:KLL146"/>
    <mergeCell ref="KFI146:KFX146"/>
    <mergeCell ref="KFY146:KGN146"/>
    <mergeCell ref="KGO146:KHD146"/>
    <mergeCell ref="KHE146:KHT146"/>
    <mergeCell ref="KHU146:KIJ146"/>
    <mergeCell ref="KCG146:KCV146"/>
    <mergeCell ref="KCW146:KDL146"/>
    <mergeCell ref="KDM146:KEB146"/>
    <mergeCell ref="KEC146:KER146"/>
    <mergeCell ref="KES146:KFH146"/>
    <mergeCell ref="JZE146:JZT146"/>
    <mergeCell ref="JZU146:KAJ146"/>
    <mergeCell ref="KAK146:KAZ146"/>
    <mergeCell ref="KBA146:KBP146"/>
    <mergeCell ref="KBQ146:KCF146"/>
    <mergeCell ref="KUS146:KVH146"/>
    <mergeCell ref="KVI146:KVX146"/>
    <mergeCell ref="KVY146:KWN146"/>
    <mergeCell ref="KWO146:KXD146"/>
    <mergeCell ref="KXE146:KXT146"/>
    <mergeCell ref="KRQ146:KSF146"/>
    <mergeCell ref="KSG146:KSV146"/>
    <mergeCell ref="KSW146:KTL146"/>
    <mergeCell ref="KTM146:KUB146"/>
    <mergeCell ref="KUC146:KUR146"/>
    <mergeCell ref="KOO146:KPD146"/>
    <mergeCell ref="KPE146:KPT146"/>
    <mergeCell ref="KPU146:KQJ146"/>
    <mergeCell ref="KQK146:KQZ146"/>
    <mergeCell ref="KRA146:KRP146"/>
    <mergeCell ref="KLM146:KMB146"/>
    <mergeCell ref="KMC146:KMR146"/>
    <mergeCell ref="KMS146:KNH146"/>
    <mergeCell ref="KNI146:KNX146"/>
    <mergeCell ref="KNY146:KON146"/>
    <mergeCell ref="LHA146:LHP146"/>
    <mergeCell ref="LHQ146:LIF146"/>
    <mergeCell ref="LIG146:LIV146"/>
    <mergeCell ref="LIW146:LJL146"/>
    <mergeCell ref="LJM146:LKB146"/>
    <mergeCell ref="LDY146:LEN146"/>
    <mergeCell ref="LEO146:LFD146"/>
    <mergeCell ref="LFE146:LFT146"/>
    <mergeCell ref="LFU146:LGJ146"/>
    <mergeCell ref="LGK146:LGZ146"/>
    <mergeCell ref="LAW146:LBL146"/>
    <mergeCell ref="LBM146:LCB146"/>
    <mergeCell ref="LCC146:LCR146"/>
    <mergeCell ref="LCS146:LDH146"/>
    <mergeCell ref="LDI146:LDX146"/>
    <mergeCell ref="KXU146:KYJ146"/>
    <mergeCell ref="KYK146:KYZ146"/>
    <mergeCell ref="KZA146:KZP146"/>
    <mergeCell ref="KZQ146:LAF146"/>
    <mergeCell ref="LAG146:LAV146"/>
    <mergeCell ref="LTI146:LTX146"/>
    <mergeCell ref="LTY146:LUN146"/>
    <mergeCell ref="LUO146:LVD146"/>
    <mergeCell ref="LVE146:LVT146"/>
    <mergeCell ref="LVU146:LWJ146"/>
    <mergeCell ref="LQG146:LQV146"/>
    <mergeCell ref="LQW146:LRL146"/>
    <mergeCell ref="LRM146:LSB146"/>
    <mergeCell ref="LSC146:LSR146"/>
    <mergeCell ref="LSS146:LTH146"/>
    <mergeCell ref="LNE146:LNT146"/>
    <mergeCell ref="LNU146:LOJ146"/>
    <mergeCell ref="LOK146:LOZ146"/>
    <mergeCell ref="LPA146:LPP146"/>
    <mergeCell ref="LPQ146:LQF146"/>
    <mergeCell ref="LKC146:LKR146"/>
    <mergeCell ref="LKS146:LLH146"/>
    <mergeCell ref="LLI146:LLX146"/>
    <mergeCell ref="LLY146:LMN146"/>
    <mergeCell ref="LMO146:LND146"/>
    <mergeCell ref="MFQ146:MGF146"/>
    <mergeCell ref="MGG146:MGV146"/>
    <mergeCell ref="MGW146:MHL146"/>
    <mergeCell ref="MHM146:MIB146"/>
    <mergeCell ref="MIC146:MIR146"/>
    <mergeCell ref="MCO146:MDD146"/>
    <mergeCell ref="MDE146:MDT146"/>
    <mergeCell ref="MDU146:MEJ146"/>
    <mergeCell ref="MEK146:MEZ146"/>
    <mergeCell ref="MFA146:MFP146"/>
    <mergeCell ref="LZM146:MAB146"/>
    <mergeCell ref="MAC146:MAR146"/>
    <mergeCell ref="MAS146:MBH146"/>
    <mergeCell ref="MBI146:MBX146"/>
    <mergeCell ref="MBY146:MCN146"/>
    <mergeCell ref="LWK146:LWZ146"/>
    <mergeCell ref="LXA146:LXP146"/>
    <mergeCell ref="LXQ146:LYF146"/>
    <mergeCell ref="LYG146:LYV146"/>
    <mergeCell ref="LYW146:LZL146"/>
    <mergeCell ref="MRY146:MSN146"/>
    <mergeCell ref="MSO146:MTD146"/>
    <mergeCell ref="MTE146:MTT146"/>
    <mergeCell ref="MTU146:MUJ146"/>
    <mergeCell ref="MUK146:MUZ146"/>
    <mergeCell ref="MOW146:MPL146"/>
    <mergeCell ref="MPM146:MQB146"/>
    <mergeCell ref="MQC146:MQR146"/>
    <mergeCell ref="MQS146:MRH146"/>
    <mergeCell ref="MRI146:MRX146"/>
    <mergeCell ref="MLU146:MMJ146"/>
    <mergeCell ref="MMK146:MMZ146"/>
    <mergeCell ref="MNA146:MNP146"/>
    <mergeCell ref="MNQ146:MOF146"/>
    <mergeCell ref="MOG146:MOV146"/>
    <mergeCell ref="MIS146:MJH146"/>
    <mergeCell ref="MJI146:MJX146"/>
    <mergeCell ref="MJY146:MKN146"/>
    <mergeCell ref="MKO146:MLD146"/>
    <mergeCell ref="MLE146:MLT146"/>
    <mergeCell ref="NEG146:NEV146"/>
    <mergeCell ref="NEW146:NFL146"/>
    <mergeCell ref="NFM146:NGB146"/>
    <mergeCell ref="NGC146:NGR146"/>
    <mergeCell ref="NGS146:NHH146"/>
    <mergeCell ref="NBE146:NBT146"/>
    <mergeCell ref="NBU146:NCJ146"/>
    <mergeCell ref="NCK146:NCZ146"/>
    <mergeCell ref="NDA146:NDP146"/>
    <mergeCell ref="NDQ146:NEF146"/>
    <mergeCell ref="MYC146:MYR146"/>
    <mergeCell ref="MYS146:MZH146"/>
    <mergeCell ref="MZI146:MZX146"/>
    <mergeCell ref="MZY146:NAN146"/>
    <mergeCell ref="NAO146:NBD146"/>
    <mergeCell ref="MVA146:MVP146"/>
    <mergeCell ref="MVQ146:MWF146"/>
    <mergeCell ref="MWG146:MWV146"/>
    <mergeCell ref="MWW146:MXL146"/>
    <mergeCell ref="MXM146:MYB146"/>
    <mergeCell ref="NQO146:NRD146"/>
    <mergeCell ref="NRE146:NRT146"/>
    <mergeCell ref="NRU146:NSJ146"/>
    <mergeCell ref="NSK146:NSZ146"/>
    <mergeCell ref="NTA146:NTP146"/>
    <mergeCell ref="NNM146:NOB146"/>
    <mergeCell ref="NOC146:NOR146"/>
    <mergeCell ref="NOS146:NPH146"/>
    <mergeCell ref="NPI146:NPX146"/>
    <mergeCell ref="NPY146:NQN146"/>
    <mergeCell ref="NKK146:NKZ146"/>
    <mergeCell ref="NLA146:NLP146"/>
    <mergeCell ref="NLQ146:NMF146"/>
    <mergeCell ref="NMG146:NMV146"/>
    <mergeCell ref="NMW146:NNL146"/>
    <mergeCell ref="NHI146:NHX146"/>
    <mergeCell ref="NHY146:NIN146"/>
    <mergeCell ref="NIO146:NJD146"/>
    <mergeCell ref="NJE146:NJT146"/>
    <mergeCell ref="NJU146:NKJ146"/>
    <mergeCell ref="OCW146:ODL146"/>
    <mergeCell ref="ODM146:OEB146"/>
    <mergeCell ref="OEC146:OER146"/>
    <mergeCell ref="OES146:OFH146"/>
    <mergeCell ref="OFI146:OFX146"/>
    <mergeCell ref="NZU146:OAJ146"/>
    <mergeCell ref="OAK146:OAZ146"/>
    <mergeCell ref="OBA146:OBP146"/>
    <mergeCell ref="OBQ146:OCF146"/>
    <mergeCell ref="OCG146:OCV146"/>
    <mergeCell ref="NWS146:NXH146"/>
    <mergeCell ref="NXI146:NXX146"/>
    <mergeCell ref="NXY146:NYN146"/>
    <mergeCell ref="NYO146:NZD146"/>
    <mergeCell ref="NZE146:NZT146"/>
    <mergeCell ref="NTQ146:NUF146"/>
    <mergeCell ref="NUG146:NUV146"/>
    <mergeCell ref="NUW146:NVL146"/>
    <mergeCell ref="NVM146:NWB146"/>
    <mergeCell ref="NWC146:NWR146"/>
    <mergeCell ref="OPE146:OPT146"/>
    <mergeCell ref="OPU146:OQJ146"/>
    <mergeCell ref="OQK146:OQZ146"/>
    <mergeCell ref="ORA146:ORP146"/>
    <mergeCell ref="ORQ146:OSF146"/>
    <mergeCell ref="OMC146:OMR146"/>
    <mergeCell ref="OMS146:ONH146"/>
    <mergeCell ref="ONI146:ONX146"/>
    <mergeCell ref="ONY146:OON146"/>
    <mergeCell ref="OOO146:OPD146"/>
    <mergeCell ref="OJA146:OJP146"/>
    <mergeCell ref="OJQ146:OKF146"/>
    <mergeCell ref="OKG146:OKV146"/>
    <mergeCell ref="OKW146:OLL146"/>
    <mergeCell ref="OLM146:OMB146"/>
    <mergeCell ref="OFY146:OGN146"/>
    <mergeCell ref="OGO146:OHD146"/>
    <mergeCell ref="OHE146:OHT146"/>
    <mergeCell ref="OHU146:OIJ146"/>
    <mergeCell ref="OIK146:OIZ146"/>
    <mergeCell ref="PBM146:PCB146"/>
    <mergeCell ref="PCC146:PCR146"/>
    <mergeCell ref="PCS146:PDH146"/>
    <mergeCell ref="PDI146:PDX146"/>
    <mergeCell ref="PDY146:PEN146"/>
    <mergeCell ref="OYK146:OYZ146"/>
    <mergeCell ref="OZA146:OZP146"/>
    <mergeCell ref="OZQ146:PAF146"/>
    <mergeCell ref="PAG146:PAV146"/>
    <mergeCell ref="PAW146:PBL146"/>
    <mergeCell ref="OVI146:OVX146"/>
    <mergeCell ref="OVY146:OWN146"/>
    <mergeCell ref="OWO146:OXD146"/>
    <mergeCell ref="OXE146:OXT146"/>
    <mergeCell ref="OXU146:OYJ146"/>
    <mergeCell ref="OSG146:OSV146"/>
    <mergeCell ref="OSW146:OTL146"/>
    <mergeCell ref="OTM146:OUB146"/>
    <mergeCell ref="OUC146:OUR146"/>
    <mergeCell ref="OUS146:OVH146"/>
    <mergeCell ref="PNU146:POJ146"/>
    <mergeCell ref="POK146:POZ146"/>
    <mergeCell ref="PPA146:PPP146"/>
    <mergeCell ref="PPQ146:PQF146"/>
    <mergeCell ref="PQG146:PQV146"/>
    <mergeCell ref="PKS146:PLH146"/>
    <mergeCell ref="PLI146:PLX146"/>
    <mergeCell ref="PLY146:PMN146"/>
    <mergeCell ref="PMO146:PND146"/>
    <mergeCell ref="PNE146:PNT146"/>
    <mergeCell ref="PHQ146:PIF146"/>
    <mergeCell ref="PIG146:PIV146"/>
    <mergeCell ref="PIW146:PJL146"/>
    <mergeCell ref="PJM146:PKB146"/>
    <mergeCell ref="PKC146:PKR146"/>
    <mergeCell ref="PEO146:PFD146"/>
    <mergeCell ref="PFE146:PFT146"/>
    <mergeCell ref="PFU146:PGJ146"/>
    <mergeCell ref="PGK146:PGZ146"/>
    <mergeCell ref="PHA146:PHP146"/>
    <mergeCell ref="QAC146:QAR146"/>
    <mergeCell ref="QAS146:QBH146"/>
    <mergeCell ref="QBI146:QBX146"/>
    <mergeCell ref="QBY146:QCN146"/>
    <mergeCell ref="QCO146:QDD146"/>
    <mergeCell ref="PXA146:PXP146"/>
    <mergeCell ref="PXQ146:PYF146"/>
    <mergeCell ref="PYG146:PYV146"/>
    <mergeCell ref="PYW146:PZL146"/>
    <mergeCell ref="PZM146:QAB146"/>
    <mergeCell ref="PTY146:PUN146"/>
    <mergeCell ref="PUO146:PVD146"/>
    <mergeCell ref="PVE146:PVT146"/>
    <mergeCell ref="PVU146:PWJ146"/>
    <mergeCell ref="PWK146:PWZ146"/>
    <mergeCell ref="PQW146:PRL146"/>
    <mergeCell ref="PRM146:PSB146"/>
    <mergeCell ref="PSC146:PSR146"/>
    <mergeCell ref="PSS146:PTH146"/>
    <mergeCell ref="PTI146:PTX146"/>
    <mergeCell ref="QMK146:QMZ146"/>
    <mergeCell ref="QNA146:QNP146"/>
    <mergeCell ref="QNQ146:QOF146"/>
    <mergeCell ref="QOG146:QOV146"/>
    <mergeCell ref="QOW146:QPL146"/>
    <mergeCell ref="QJI146:QJX146"/>
    <mergeCell ref="QJY146:QKN146"/>
    <mergeCell ref="QKO146:QLD146"/>
    <mergeCell ref="QLE146:QLT146"/>
    <mergeCell ref="QLU146:QMJ146"/>
    <mergeCell ref="QGG146:QGV146"/>
    <mergeCell ref="QGW146:QHL146"/>
    <mergeCell ref="QHM146:QIB146"/>
    <mergeCell ref="QIC146:QIR146"/>
    <mergeCell ref="QIS146:QJH146"/>
    <mergeCell ref="QDE146:QDT146"/>
    <mergeCell ref="QDU146:QEJ146"/>
    <mergeCell ref="QEK146:QEZ146"/>
    <mergeCell ref="QFA146:QFP146"/>
    <mergeCell ref="QFQ146:QGF146"/>
    <mergeCell ref="QYS146:QZH146"/>
    <mergeCell ref="QZI146:QZX146"/>
    <mergeCell ref="QZY146:RAN146"/>
    <mergeCell ref="RAO146:RBD146"/>
    <mergeCell ref="RBE146:RBT146"/>
    <mergeCell ref="QVQ146:QWF146"/>
    <mergeCell ref="QWG146:QWV146"/>
    <mergeCell ref="QWW146:QXL146"/>
    <mergeCell ref="QXM146:QYB146"/>
    <mergeCell ref="QYC146:QYR146"/>
    <mergeCell ref="QSO146:QTD146"/>
    <mergeCell ref="QTE146:QTT146"/>
    <mergeCell ref="QTU146:QUJ146"/>
    <mergeCell ref="QUK146:QUZ146"/>
    <mergeCell ref="QVA146:QVP146"/>
    <mergeCell ref="QPM146:QQB146"/>
    <mergeCell ref="QQC146:QQR146"/>
    <mergeCell ref="QQS146:QRH146"/>
    <mergeCell ref="QRI146:QRX146"/>
    <mergeCell ref="QRY146:QSN146"/>
    <mergeCell ref="RLA146:RLP146"/>
    <mergeCell ref="RLQ146:RMF146"/>
    <mergeCell ref="RMG146:RMV146"/>
    <mergeCell ref="RMW146:RNL146"/>
    <mergeCell ref="RNM146:ROB146"/>
    <mergeCell ref="RHY146:RIN146"/>
    <mergeCell ref="RIO146:RJD146"/>
    <mergeCell ref="RJE146:RJT146"/>
    <mergeCell ref="RJU146:RKJ146"/>
    <mergeCell ref="RKK146:RKZ146"/>
    <mergeCell ref="REW146:RFL146"/>
    <mergeCell ref="RFM146:RGB146"/>
    <mergeCell ref="RGC146:RGR146"/>
    <mergeCell ref="RGS146:RHH146"/>
    <mergeCell ref="RHI146:RHX146"/>
    <mergeCell ref="RBU146:RCJ146"/>
    <mergeCell ref="RCK146:RCZ146"/>
    <mergeCell ref="RDA146:RDP146"/>
    <mergeCell ref="RDQ146:REF146"/>
    <mergeCell ref="REG146:REV146"/>
    <mergeCell ref="RXI146:RXX146"/>
    <mergeCell ref="RXY146:RYN146"/>
    <mergeCell ref="RYO146:RZD146"/>
    <mergeCell ref="RZE146:RZT146"/>
    <mergeCell ref="RZU146:SAJ146"/>
    <mergeCell ref="RUG146:RUV146"/>
    <mergeCell ref="RUW146:RVL146"/>
    <mergeCell ref="RVM146:RWB146"/>
    <mergeCell ref="RWC146:RWR146"/>
    <mergeCell ref="RWS146:RXH146"/>
    <mergeCell ref="RRE146:RRT146"/>
    <mergeCell ref="RRU146:RSJ146"/>
    <mergeCell ref="RSK146:RSZ146"/>
    <mergeCell ref="RTA146:RTP146"/>
    <mergeCell ref="RTQ146:RUF146"/>
    <mergeCell ref="ROC146:ROR146"/>
    <mergeCell ref="ROS146:RPH146"/>
    <mergeCell ref="RPI146:RPX146"/>
    <mergeCell ref="RPY146:RQN146"/>
    <mergeCell ref="RQO146:RRD146"/>
    <mergeCell ref="SJQ146:SKF146"/>
    <mergeCell ref="SKG146:SKV146"/>
    <mergeCell ref="SKW146:SLL146"/>
    <mergeCell ref="SLM146:SMB146"/>
    <mergeCell ref="SMC146:SMR146"/>
    <mergeCell ref="SGO146:SHD146"/>
    <mergeCell ref="SHE146:SHT146"/>
    <mergeCell ref="SHU146:SIJ146"/>
    <mergeCell ref="SIK146:SIZ146"/>
    <mergeCell ref="SJA146:SJP146"/>
    <mergeCell ref="SDM146:SEB146"/>
    <mergeCell ref="SEC146:SER146"/>
    <mergeCell ref="SES146:SFH146"/>
    <mergeCell ref="SFI146:SFX146"/>
    <mergeCell ref="SFY146:SGN146"/>
    <mergeCell ref="SAK146:SAZ146"/>
    <mergeCell ref="SBA146:SBP146"/>
    <mergeCell ref="SBQ146:SCF146"/>
    <mergeCell ref="SCG146:SCV146"/>
    <mergeCell ref="SCW146:SDL146"/>
    <mergeCell ref="SVY146:SWN146"/>
    <mergeCell ref="SWO146:SXD146"/>
    <mergeCell ref="SXE146:SXT146"/>
    <mergeCell ref="SXU146:SYJ146"/>
    <mergeCell ref="SYK146:SYZ146"/>
    <mergeCell ref="SSW146:STL146"/>
    <mergeCell ref="STM146:SUB146"/>
    <mergeCell ref="SUC146:SUR146"/>
    <mergeCell ref="SUS146:SVH146"/>
    <mergeCell ref="SVI146:SVX146"/>
    <mergeCell ref="SPU146:SQJ146"/>
    <mergeCell ref="SQK146:SQZ146"/>
    <mergeCell ref="SRA146:SRP146"/>
    <mergeCell ref="SRQ146:SSF146"/>
    <mergeCell ref="SSG146:SSV146"/>
    <mergeCell ref="SMS146:SNH146"/>
    <mergeCell ref="SNI146:SNX146"/>
    <mergeCell ref="SNY146:SON146"/>
    <mergeCell ref="SOO146:SPD146"/>
    <mergeCell ref="SPE146:SPT146"/>
    <mergeCell ref="TIG146:TIV146"/>
    <mergeCell ref="TIW146:TJL146"/>
    <mergeCell ref="TJM146:TKB146"/>
    <mergeCell ref="TKC146:TKR146"/>
    <mergeCell ref="TKS146:TLH146"/>
    <mergeCell ref="TFE146:TFT146"/>
    <mergeCell ref="TFU146:TGJ146"/>
    <mergeCell ref="TGK146:TGZ146"/>
    <mergeCell ref="THA146:THP146"/>
    <mergeCell ref="THQ146:TIF146"/>
    <mergeCell ref="TCC146:TCR146"/>
    <mergeCell ref="TCS146:TDH146"/>
    <mergeCell ref="TDI146:TDX146"/>
    <mergeCell ref="TDY146:TEN146"/>
    <mergeCell ref="TEO146:TFD146"/>
    <mergeCell ref="SZA146:SZP146"/>
    <mergeCell ref="SZQ146:TAF146"/>
    <mergeCell ref="TAG146:TAV146"/>
    <mergeCell ref="TAW146:TBL146"/>
    <mergeCell ref="TBM146:TCB146"/>
    <mergeCell ref="TUO146:TVD146"/>
    <mergeCell ref="TVE146:TVT146"/>
    <mergeCell ref="TVU146:TWJ146"/>
    <mergeCell ref="TWK146:TWZ146"/>
    <mergeCell ref="TXA146:TXP146"/>
    <mergeCell ref="TRM146:TSB146"/>
    <mergeCell ref="TSC146:TSR146"/>
    <mergeCell ref="TSS146:TTH146"/>
    <mergeCell ref="TTI146:TTX146"/>
    <mergeCell ref="TTY146:TUN146"/>
    <mergeCell ref="TOK146:TOZ146"/>
    <mergeCell ref="TPA146:TPP146"/>
    <mergeCell ref="TPQ146:TQF146"/>
    <mergeCell ref="TQG146:TQV146"/>
    <mergeCell ref="TQW146:TRL146"/>
    <mergeCell ref="TLI146:TLX146"/>
    <mergeCell ref="TLY146:TMN146"/>
    <mergeCell ref="TMO146:TND146"/>
    <mergeCell ref="TNE146:TNT146"/>
    <mergeCell ref="TNU146:TOJ146"/>
    <mergeCell ref="UGW146:UHL146"/>
    <mergeCell ref="UHM146:UIB146"/>
    <mergeCell ref="UIC146:UIR146"/>
    <mergeCell ref="UIS146:UJH146"/>
    <mergeCell ref="UJI146:UJX146"/>
    <mergeCell ref="UDU146:UEJ146"/>
    <mergeCell ref="UEK146:UEZ146"/>
    <mergeCell ref="UFA146:UFP146"/>
    <mergeCell ref="UFQ146:UGF146"/>
    <mergeCell ref="UGG146:UGV146"/>
    <mergeCell ref="UAS146:UBH146"/>
    <mergeCell ref="UBI146:UBX146"/>
    <mergeCell ref="UBY146:UCN146"/>
    <mergeCell ref="UCO146:UDD146"/>
    <mergeCell ref="UDE146:UDT146"/>
    <mergeCell ref="TXQ146:TYF146"/>
    <mergeCell ref="TYG146:TYV146"/>
    <mergeCell ref="TYW146:TZL146"/>
    <mergeCell ref="TZM146:UAB146"/>
    <mergeCell ref="UAC146:UAR146"/>
    <mergeCell ref="UTE146:UTT146"/>
    <mergeCell ref="UTU146:UUJ146"/>
    <mergeCell ref="UUK146:UUZ146"/>
    <mergeCell ref="UVA146:UVP146"/>
    <mergeCell ref="UVQ146:UWF146"/>
    <mergeCell ref="UQC146:UQR146"/>
    <mergeCell ref="UQS146:URH146"/>
    <mergeCell ref="URI146:URX146"/>
    <mergeCell ref="URY146:USN146"/>
    <mergeCell ref="USO146:UTD146"/>
    <mergeCell ref="UNA146:UNP146"/>
    <mergeCell ref="UNQ146:UOF146"/>
    <mergeCell ref="UOG146:UOV146"/>
    <mergeCell ref="UOW146:UPL146"/>
    <mergeCell ref="UPM146:UQB146"/>
    <mergeCell ref="UJY146:UKN146"/>
    <mergeCell ref="UKO146:ULD146"/>
    <mergeCell ref="ULE146:ULT146"/>
    <mergeCell ref="ULU146:UMJ146"/>
    <mergeCell ref="UMK146:UMZ146"/>
    <mergeCell ref="VFM146:VGB146"/>
    <mergeCell ref="VGC146:VGR146"/>
    <mergeCell ref="VGS146:VHH146"/>
    <mergeCell ref="VHI146:VHX146"/>
    <mergeCell ref="VHY146:VIN146"/>
    <mergeCell ref="VCK146:VCZ146"/>
    <mergeCell ref="VDA146:VDP146"/>
    <mergeCell ref="VDQ146:VEF146"/>
    <mergeCell ref="VEG146:VEV146"/>
    <mergeCell ref="VEW146:VFL146"/>
    <mergeCell ref="UZI146:UZX146"/>
    <mergeCell ref="UZY146:VAN146"/>
    <mergeCell ref="VAO146:VBD146"/>
    <mergeCell ref="VBE146:VBT146"/>
    <mergeCell ref="VBU146:VCJ146"/>
    <mergeCell ref="UWG146:UWV146"/>
    <mergeCell ref="UWW146:UXL146"/>
    <mergeCell ref="UXM146:UYB146"/>
    <mergeCell ref="UYC146:UYR146"/>
    <mergeCell ref="UYS146:UZH146"/>
    <mergeCell ref="VRU146:VSJ146"/>
    <mergeCell ref="VSK146:VSZ146"/>
    <mergeCell ref="VTA146:VTP146"/>
    <mergeCell ref="VTQ146:VUF146"/>
    <mergeCell ref="VUG146:VUV146"/>
    <mergeCell ref="VOS146:VPH146"/>
    <mergeCell ref="VPI146:VPX146"/>
    <mergeCell ref="VPY146:VQN146"/>
    <mergeCell ref="VQO146:VRD146"/>
    <mergeCell ref="VRE146:VRT146"/>
    <mergeCell ref="VLQ146:VMF146"/>
    <mergeCell ref="VMG146:VMV146"/>
    <mergeCell ref="VMW146:VNL146"/>
    <mergeCell ref="VNM146:VOB146"/>
    <mergeCell ref="VOC146:VOR146"/>
    <mergeCell ref="VIO146:VJD146"/>
    <mergeCell ref="VJE146:VJT146"/>
    <mergeCell ref="VJU146:VKJ146"/>
    <mergeCell ref="VKK146:VKZ146"/>
    <mergeCell ref="VLA146:VLP146"/>
    <mergeCell ref="WEC146:WER146"/>
    <mergeCell ref="WES146:WFH146"/>
    <mergeCell ref="WFI146:WFX146"/>
    <mergeCell ref="WFY146:WGN146"/>
    <mergeCell ref="WGO146:WHD146"/>
    <mergeCell ref="WBA146:WBP146"/>
    <mergeCell ref="WBQ146:WCF146"/>
    <mergeCell ref="WCG146:WCV146"/>
    <mergeCell ref="WCW146:WDL146"/>
    <mergeCell ref="WDM146:WEB146"/>
    <mergeCell ref="VXY146:VYN146"/>
    <mergeCell ref="VYO146:VZD146"/>
    <mergeCell ref="VZE146:VZT146"/>
    <mergeCell ref="VZU146:WAJ146"/>
    <mergeCell ref="WAK146:WAZ146"/>
    <mergeCell ref="VUW146:VVL146"/>
    <mergeCell ref="VVM146:VWB146"/>
    <mergeCell ref="VWC146:VWR146"/>
    <mergeCell ref="VWS146:VXH146"/>
    <mergeCell ref="VXI146:VXX146"/>
    <mergeCell ref="WQK146:WQZ146"/>
    <mergeCell ref="WRA146:WRP146"/>
    <mergeCell ref="WRQ146:WSF146"/>
    <mergeCell ref="WSG146:WSV146"/>
    <mergeCell ref="WSW146:WTL146"/>
    <mergeCell ref="WNI146:WNX146"/>
    <mergeCell ref="WNY146:WON146"/>
    <mergeCell ref="WOO146:WPD146"/>
    <mergeCell ref="WPE146:WPT146"/>
    <mergeCell ref="WPU146:WQJ146"/>
    <mergeCell ref="WKG146:WKV146"/>
    <mergeCell ref="WKW146:WLL146"/>
    <mergeCell ref="WLM146:WMB146"/>
    <mergeCell ref="WMC146:WMR146"/>
    <mergeCell ref="WMS146:WNH146"/>
    <mergeCell ref="WHE146:WHT146"/>
    <mergeCell ref="WHU146:WIJ146"/>
    <mergeCell ref="WIK146:WIZ146"/>
    <mergeCell ref="WJA146:WJP146"/>
    <mergeCell ref="WJQ146:WKF146"/>
    <mergeCell ref="XCS146:XDH146"/>
    <mergeCell ref="XDI146:XDX146"/>
    <mergeCell ref="XDY146:XEN146"/>
    <mergeCell ref="XEO146:XFD146"/>
    <mergeCell ref="WZQ146:XAF146"/>
    <mergeCell ref="XAG146:XAV146"/>
    <mergeCell ref="XAW146:XBL146"/>
    <mergeCell ref="XBM146:XCB146"/>
    <mergeCell ref="XCC146:XCR146"/>
    <mergeCell ref="WWO146:WXD146"/>
    <mergeCell ref="WXE146:WXT146"/>
    <mergeCell ref="WXU146:WYJ146"/>
    <mergeCell ref="WYK146:WYZ146"/>
    <mergeCell ref="WZA146:WZP146"/>
    <mergeCell ref="WTM146:WUB146"/>
    <mergeCell ref="WUC146:WUR146"/>
    <mergeCell ref="WUS146:WVH146"/>
    <mergeCell ref="WVI146:WVX146"/>
    <mergeCell ref="WVY146:WWN146"/>
  </mergeCells>
  <printOptions horizontalCentered="1" verticalCentered="1"/>
  <pageMargins left="0.25" right="0.25" top="0.5" bottom="0.5" header="0.3" footer="0.3"/>
  <pageSetup paperSize="9" scale="31" fitToHeight="2" orientation="portrait" r:id="rId1"/>
  <rowBreaks count="1" manualBreakCount="1">
    <brk id="81" max="16" man="1"/>
  </rowBreaks>
  <ignoredErrors>
    <ignoredError sqref="N24"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553"/>
  <sheetViews>
    <sheetView rightToLeft="1" zoomScale="78" zoomScaleNormal="78" zoomScaleSheetLayoutView="98" workbookViewId="0">
      <pane ySplit="2" topLeftCell="A522" activePane="bottomLeft" state="frozen"/>
      <selection activeCell="E19" sqref="E19:G19"/>
      <selection pane="bottomLeft" activeCell="E19" sqref="E19:G19"/>
    </sheetView>
  </sheetViews>
  <sheetFormatPr defaultColWidth="1.375" defaultRowHeight="19.5" customHeight="1"/>
  <cols>
    <col min="1" max="1" width="7.625" style="597" bestFit="1" customWidth="1"/>
    <col min="2" max="2" width="8" style="597" bestFit="1" customWidth="1"/>
    <col min="3" max="3" width="5.625" style="580" bestFit="1" customWidth="1"/>
    <col min="4" max="4" width="20.625" style="580" bestFit="1" customWidth="1"/>
    <col min="5" max="5" width="44.125" style="597" bestFit="1" customWidth="1"/>
    <col min="6" max="6" width="20.625" style="597" hidden="1" customWidth="1"/>
    <col min="7" max="7" width="17.75" style="597" hidden="1" customWidth="1"/>
    <col min="8" max="8" width="19.375" style="597" hidden="1" customWidth="1"/>
    <col min="9" max="9" width="20.25" style="597" hidden="1" customWidth="1"/>
    <col min="10" max="11" width="19.375" style="597" hidden="1" customWidth="1"/>
    <col min="12" max="12" width="17.75" style="597" hidden="1" customWidth="1"/>
    <col min="13" max="13" width="6.25" style="597" hidden="1" customWidth="1"/>
    <col min="14" max="16" width="19.375" style="597" hidden="1" customWidth="1"/>
    <col min="17" max="17" width="21.625" style="597" bestFit="1" customWidth="1"/>
    <col min="18" max="18" width="20.75" style="597" bestFit="1" customWidth="1"/>
    <col min="19" max="19" width="12.125" style="597" customWidth="1"/>
    <col min="20" max="20" width="12.625" style="597" customWidth="1"/>
    <col min="21" max="21" width="20.625" style="597" bestFit="1" customWidth="1"/>
    <col min="22" max="22" width="23" style="597" customWidth="1"/>
    <col min="23" max="23" width="21" style="597" bestFit="1" customWidth="1"/>
    <col min="24" max="24" width="13.875" style="597" bestFit="1" customWidth="1"/>
    <col min="25" max="16384" width="1.375" style="597"/>
  </cols>
  <sheetData>
    <row r="1" spans="1:24" s="608" customFormat="1" ht="18.75" customHeight="1">
      <c r="A1" s="2937" t="s">
        <v>1683</v>
      </c>
      <c r="B1" s="2937" t="s">
        <v>1658</v>
      </c>
      <c r="C1" s="2939" t="s">
        <v>1657</v>
      </c>
      <c r="D1" s="2974" t="s">
        <v>381</v>
      </c>
      <c r="E1" s="2976" t="s">
        <v>62</v>
      </c>
      <c r="F1" s="2945" t="s">
        <v>1566</v>
      </c>
      <c r="G1" s="2945" t="s">
        <v>1567</v>
      </c>
      <c r="H1" s="2945" t="s">
        <v>1568</v>
      </c>
      <c r="I1" s="2945" t="s">
        <v>1366</v>
      </c>
      <c r="J1" s="2945" t="s">
        <v>1367</v>
      </c>
      <c r="K1" s="2945" t="s">
        <v>1475</v>
      </c>
      <c r="L1" s="2945" t="s">
        <v>1437</v>
      </c>
      <c r="M1" s="2945" t="s">
        <v>1438</v>
      </c>
      <c r="N1" s="2945" t="s">
        <v>1439</v>
      </c>
      <c r="O1" s="2945" t="s">
        <v>1498</v>
      </c>
      <c r="P1" s="2945" t="s">
        <v>1569</v>
      </c>
      <c r="Q1" s="2949" t="s">
        <v>1565</v>
      </c>
      <c r="R1" s="2949">
        <v>1394</v>
      </c>
      <c r="S1" s="2949">
        <v>1395</v>
      </c>
      <c r="T1" s="2949">
        <v>1394</v>
      </c>
      <c r="U1" s="2955" t="s">
        <v>1473</v>
      </c>
      <c r="V1" s="2957" t="s">
        <v>1474</v>
      </c>
      <c r="W1" s="2949" t="s">
        <v>1571</v>
      </c>
      <c r="X1" s="2949" t="s">
        <v>1647</v>
      </c>
    </row>
    <row r="2" spans="1:24" s="609" customFormat="1" ht="18.75" customHeight="1">
      <c r="A2" s="2938"/>
      <c r="B2" s="2938"/>
      <c r="C2" s="2940"/>
      <c r="D2" s="2975"/>
      <c r="E2" s="2977"/>
      <c r="F2" s="2946"/>
      <c r="G2" s="2946"/>
      <c r="H2" s="2946"/>
      <c r="I2" s="2946"/>
      <c r="J2" s="2946"/>
      <c r="K2" s="2946"/>
      <c r="L2" s="2946"/>
      <c r="M2" s="2946"/>
      <c r="N2" s="2946"/>
      <c r="O2" s="2946"/>
      <c r="P2" s="2946"/>
      <c r="Q2" s="2950"/>
      <c r="R2" s="2950"/>
      <c r="S2" s="2950"/>
      <c r="T2" s="2950"/>
      <c r="U2" s="2956"/>
      <c r="V2" s="2958"/>
      <c r="W2" s="2950"/>
      <c r="X2" s="2950"/>
    </row>
    <row r="3" spans="1:24" ht="27" customHeight="1">
      <c r="A3" s="583"/>
      <c r="B3" s="583">
        <v>1012</v>
      </c>
      <c r="C3" s="581">
        <v>10</v>
      </c>
      <c r="D3" s="582" t="s">
        <v>425</v>
      </c>
      <c r="E3" s="583" t="s">
        <v>426</v>
      </c>
      <c r="F3" s="599">
        <v>-21226000</v>
      </c>
      <c r="G3" s="599">
        <v>0</v>
      </c>
      <c r="H3" s="599"/>
      <c r="I3" s="599"/>
      <c r="J3" s="599"/>
      <c r="K3" s="599"/>
      <c r="L3" s="599"/>
      <c r="M3" s="599"/>
      <c r="N3" s="599"/>
      <c r="O3" s="599"/>
      <c r="P3" s="599"/>
      <c r="Q3" s="882">
        <f>SUM(F3:P3)</f>
        <v>-21226000</v>
      </c>
      <c r="R3" s="599">
        <v>-4626000</v>
      </c>
      <c r="S3" s="882">
        <f t="shared" ref="S3:T71" si="0">ROUND((Q3/1000000),0)</f>
        <v>-21</v>
      </c>
      <c r="T3" s="599">
        <f t="shared" si="0"/>
        <v>-5</v>
      </c>
      <c r="U3" s="620"/>
      <c r="V3" s="621"/>
      <c r="W3" s="882">
        <f>Q3+V3-U3</f>
        <v>-21226000</v>
      </c>
      <c r="X3" s="882">
        <f>ROUND((W3/1000000),0)</f>
        <v>-21</v>
      </c>
    </row>
    <row r="4" spans="1:24" ht="27" customHeight="1">
      <c r="A4" s="583"/>
      <c r="B4" s="583">
        <v>1009</v>
      </c>
      <c r="C4" s="581">
        <v>10</v>
      </c>
      <c r="D4" s="582" t="s">
        <v>1202</v>
      </c>
      <c r="E4" s="583" t="s">
        <v>1082</v>
      </c>
      <c r="F4" s="599">
        <v>2834897</v>
      </c>
      <c r="G4" s="599">
        <v>5073600</v>
      </c>
      <c r="H4" s="599">
        <v>3956224</v>
      </c>
      <c r="I4" s="599">
        <v>38849279</v>
      </c>
      <c r="J4" s="599"/>
      <c r="K4" s="599"/>
      <c r="L4" s="599">
        <v>26768825</v>
      </c>
      <c r="M4" s="599"/>
      <c r="N4" s="599"/>
      <c r="O4" s="599"/>
      <c r="P4" s="599"/>
      <c r="Q4" s="882">
        <f t="shared" ref="Q4:Q67" si="1">SUM(F4:P4)</f>
        <v>77482825</v>
      </c>
      <c r="R4" s="599">
        <v>-4800000</v>
      </c>
      <c r="S4" s="882">
        <f t="shared" si="0"/>
        <v>77</v>
      </c>
      <c r="T4" s="599">
        <f t="shared" si="0"/>
        <v>-5</v>
      </c>
      <c r="U4" s="620"/>
      <c r="V4" s="621"/>
      <c r="W4" s="882">
        <f t="shared" ref="W4:W72" si="2">Q4+V4-U4</f>
        <v>77482825</v>
      </c>
      <c r="X4" s="882">
        <f t="shared" ref="X4:X67" si="3">ROUND((W4/1000000),0)</f>
        <v>77</v>
      </c>
    </row>
    <row r="5" spans="1:24" ht="27" customHeight="1">
      <c r="A5" s="583"/>
      <c r="B5" s="583">
        <v>401</v>
      </c>
      <c r="C5" s="581">
        <v>4</v>
      </c>
      <c r="D5" s="582" t="s">
        <v>825</v>
      </c>
      <c r="E5" s="583" t="s">
        <v>826</v>
      </c>
      <c r="F5" s="599">
        <v>0</v>
      </c>
      <c r="G5" s="599"/>
      <c r="H5" s="599"/>
      <c r="I5" s="599"/>
      <c r="J5" s="599"/>
      <c r="K5" s="599"/>
      <c r="L5" s="599"/>
      <c r="M5" s="599"/>
      <c r="N5" s="599"/>
      <c r="O5" s="599"/>
      <c r="P5" s="599"/>
      <c r="Q5" s="882">
        <f t="shared" si="1"/>
        <v>0</v>
      </c>
      <c r="R5" s="599">
        <v>87193158</v>
      </c>
      <c r="S5" s="882">
        <f t="shared" si="0"/>
        <v>0</v>
      </c>
      <c r="T5" s="599">
        <f t="shared" si="0"/>
        <v>87</v>
      </c>
      <c r="U5" s="620"/>
      <c r="V5" s="621"/>
      <c r="W5" s="882">
        <f t="shared" si="2"/>
        <v>0</v>
      </c>
      <c r="X5" s="882">
        <f t="shared" si="3"/>
        <v>0</v>
      </c>
    </row>
    <row r="6" spans="1:24" ht="27" customHeight="1">
      <c r="A6" s="583"/>
      <c r="B6" s="583">
        <v>1009</v>
      </c>
      <c r="C6" s="581">
        <v>10</v>
      </c>
      <c r="D6" s="582" t="s">
        <v>607</v>
      </c>
      <c r="E6" s="583" t="s">
        <v>606</v>
      </c>
      <c r="F6" s="599">
        <v>-6666672</v>
      </c>
      <c r="G6" s="599"/>
      <c r="H6" s="599"/>
      <c r="I6" s="599"/>
      <c r="J6" s="599"/>
      <c r="K6" s="599"/>
      <c r="L6" s="599"/>
      <c r="M6" s="599"/>
      <c r="N6" s="599"/>
      <c r="O6" s="599"/>
      <c r="P6" s="599"/>
      <c r="Q6" s="882">
        <f t="shared" si="1"/>
        <v>-6666672</v>
      </c>
      <c r="R6" s="599">
        <v>-3333336</v>
      </c>
      <c r="S6" s="882">
        <f t="shared" si="0"/>
        <v>-7</v>
      </c>
      <c r="T6" s="599">
        <f t="shared" si="0"/>
        <v>-3</v>
      </c>
      <c r="U6" s="620"/>
      <c r="V6" s="621"/>
      <c r="W6" s="882">
        <f t="shared" si="2"/>
        <v>-6666672</v>
      </c>
      <c r="X6" s="882">
        <f t="shared" si="3"/>
        <v>-7</v>
      </c>
    </row>
    <row r="7" spans="1:24" ht="27" customHeight="1">
      <c r="A7" s="583"/>
      <c r="B7" s="583">
        <v>1009</v>
      </c>
      <c r="C7" s="581">
        <v>10</v>
      </c>
      <c r="D7" s="582" t="s">
        <v>873</v>
      </c>
      <c r="E7" s="583" t="s">
        <v>827</v>
      </c>
      <c r="F7" s="599">
        <v>0</v>
      </c>
      <c r="G7" s="599"/>
      <c r="H7" s="599"/>
      <c r="I7" s="599"/>
      <c r="J7" s="599"/>
      <c r="K7" s="599"/>
      <c r="L7" s="599"/>
      <c r="M7" s="599"/>
      <c r="N7" s="599"/>
      <c r="O7" s="599"/>
      <c r="P7" s="599"/>
      <c r="Q7" s="882">
        <f t="shared" si="1"/>
        <v>0</v>
      </c>
      <c r="R7" s="599">
        <v>0</v>
      </c>
      <c r="S7" s="882">
        <f t="shared" si="0"/>
        <v>0</v>
      </c>
      <c r="T7" s="599">
        <f t="shared" si="0"/>
        <v>0</v>
      </c>
      <c r="U7" s="620"/>
      <c r="V7" s="621"/>
      <c r="W7" s="882">
        <f t="shared" si="2"/>
        <v>0</v>
      </c>
      <c r="X7" s="882">
        <f t="shared" si="3"/>
        <v>0</v>
      </c>
    </row>
    <row r="8" spans="1:24" ht="27" customHeight="1">
      <c r="A8" s="583"/>
      <c r="B8" s="583">
        <v>1009</v>
      </c>
      <c r="C8" s="581">
        <v>10</v>
      </c>
      <c r="D8" s="582" t="s">
        <v>427</v>
      </c>
      <c r="E8" s="583" t="s">
        <v>775</v>
      </c>
      <c r="F8" s="599">
        <v>-405078637</v>
      </c>
      <c r="G8" s="599"/>
      <c r="H8" s="599"/>
      <c r="I8" s="599"/>
      <c r="J8" s="599"/>
      <c r="K8" s="599"/>
      <c r="L8" s="599"/>
      <c r="M8" s="599"/>
      <c r="N8" s="599"/>
      <c r="O8" s="599"/>
      <c r="P8" s="599"/>
      <c r="Q8" s="882">
        <f t="shared" si="1"/>
        <v>-405078637</v>
      </c>
      <c r="R8" s="599">
        <v>-69856767</v>
      </c>
      <c r="S8" s="882">
        <f t="shared" si="0"/>
        <v>-405</v>
      </c>
      <c r="T8" s="599">
        <f t="shared" si="0"/>
        <v>-70</v>
      </c>
      <c r="U8" s="620"/>
      <c r="V8" s="621"/>
      <c r="W8" s="882">
        <f t="shared" si="2"/>
        <v>-405078637</v>
      </c>
      <c r="X8" s="882">
        <f t="shared" si="3"/>
        <v>-405</v>
      </c>
    </row>
    <row r="9" spans="1:24" ht="27" customHeight="1">
      <c r="A9" s="583"/>
      <c r="B9" s="583">
        <v>1009</v>
      </c>
      <c r="C9" s="581">
        <v>10</v>
      </c>
      <c r="D9" s="582" t="s">
        <v>829</v>
      </c>
      <c r="E9" s="583" t="s">
        <v>830</v>
      </c>
      <c r="F9" s="599">
        <v>0</v>
      </c>
      <c r="G9" s="599"/>
      <c r="H9" s="599"/>
      <c r="I9" s="599"/>
      <c r="J9" s="599"/>
      <c r="K9" s="599"/>
      <c r="L9" s="599"/>
      <c r="M9" s="599"/>
      <c r="N9" s="599"/>
      <c r="O9" s="599"/>
      <c r="P9" s="599"/>
      <c r="Q9" s="882">
        <f t="shared" si="1"/>
        <v>0</v>
      </c>
      <c r="R9" s="599">
        <v>0</v>
      </c>
      <c r="S9" s="882">
        <f t="shared" si="0"/>
        <v>0</v>
      </c>
      <c r="T9" s="599">
        <f t="shared" si="0"/>
        <v>0</v>
      </c>
      <c r="U9" s="620"/>
      <c r="V9" s="621"/>
      <c r="W9" s="882">
        <f t="shared" si="2"/>
        <v>0</v>
      </c>
      <c r="X9" s="882">
        <f t="shared" si="3"/>
        <v>0</v>
      </c>
    </row>
    <row r="10" spans="1:24" ht="27" customHeight="1">
      <c r="A10" s="583"/>
      <c r="B10" s="583">
        <v>401</v>
      </c>
      <c r="C10" s="581">
        <v>4</v>
      </c>
      <c r="D10" s="582" t="s">
        <v>1440</v>
      </c>
      <c r="E10" s="583" t="s">
        <v>1266</v>
      </c>
      <c r="F10" s="599">
        <v>-371671743</v>
      </c>
      <c r="G10" s="599"/>
      <c r="H10" s="599"/>
      <c r="I10" s="599"/>
      <c r="J10" s="599"/>
      <c r="K10" s="599"/>
      <c r="L10" s="599"/>
      <c r="M10" s="599"/>
      <c r="N10" s="599"/>
      <c r="O10" s="599"/>
      <c r="P10" s="599"/>
      <c r="Q10" s="882">
        <f t="shared" si="1"/>
        <v>-371671743</v>
      </c>
      <c r="R10" s="599">
        <v>0</v>
      </c>
      <c r="S10" s="882">
        <f t="shared" si="0"/>
        <v>-372</v>
      </c>
      <c r="T10" s="599">
        <f t="shared" si="0"/>
        <v>0</v>
      </c>
      <c r="U10" s="620"/>
      <c r="V10" s="621"/>
      <c r="W10" s="882">
        <f t="shared" si="2"/>
        <v>-371671743</v>
      </c>
      <c r="X10" s="882">
        <f t="shared" si="3"/>
        <v>-372</v>
      </c>
    </row>
    <row r="11" spans="1:24" ht="27" customHeight="1">
      <c r="A11" s="583"/>
      <c r="B11" s="583">
        <v>1009</v>
      </c>
      <c r="C11" s="581">
        <v>10</v>
      </c>
      <c r="D11" s="582" t="s">
        <v>1167</v>
      </c>
      <c r="E11" s="583" t="s">
        <v>1168</v>
      </c>
      <c r="F11" s="599">
        <v>-144181030</v>
      </c>
      <c r="G11" s="599"/>
      <c r="H11" s="599"/>
      <c r="I11" s="599">
        <v>-3053050</v>
      </c>
      <c r="J11" s="599"/>
      <c r="K11" s="599"/>
      <c r="L11" s="599"/>
      <c r="M11" s="599"/>
      <c r="N11" s="599"/>
      <c r="O11" s="599"/>
      <c r="P11" s="599"/>
      <c r="Q11" s="882">
        <f t="shared" si="1"/>
        <v>-147234080</v>
      </c>
      <c r="R11" s="599">
        <v>0</v>
      </c>
      <c r="S11" s="882">
        <f t="shared" si="0"/>
        <v>-147</v>
      </c>
      <c r="T11" s="599">
        <f t="shared" si="0"/>
        <v>0</v>
      </c>
      <c r="U11" s="620"/>
      <c r="V11" s="621"/>
      <c r="W11" s="882">
        <f t="shared" si="2"/>
        <v>-147234080</v>
      </c>
      <c r="X11" s="882">
        <f t="shared" si="3"/>
        <v>-147</v>
      </c>
    </row>
    <row r="12" spans="1:24" ht="27" customHeight="1">
      <c r="A12" s="583"/>
      <c r="B12" s="583">
        <v>1009</v>
      </c>
      <c r="C12" s="581">
        <v>10</v>
      </c>
      <c r="D12" s="582" t="s">
        <v>1227</v>
      </c>
      <c r="E12" s="583" t="s">
        <v>1228</v>
      </c>
      <c r="F12" s="599">
        <v>-16950000</v>
      </c>
      <c r="G12" s="599">
        <v>113450000</v>
      </c>
      <c r="H12" s="599"/>
      <c r="I12" s="599">
        <v>-40000000</v>
      </c>
      <c r="J12" s="599"/>
      <c r="K12" s="599"/>
      <c r="L12" s="599"/>
      <c r="M12" s="599"/>
      <c r="N12" s="599"/>
      <c r="O12" s="599"/>
      <c r="P12" s="599"/>
      <c r="Q12" s="882">
        <f t="shared" si="1"/>
        <v>56500000</v>
      </c>
      <c r="R12" s="599">
        <v>-31135217</v>
      </c>
      <c r="S12" s="882">
        <f t="shared" si="0"/>
        <v>57</v>
      </c>
      <c r="T12" s="599">
        <f t="shared" si="0"/>
        <v>-31</v>
      </c>
      <c r="U12" s="620"/>
      <c r="V12" s="621"/>
      <c r="W12" s="882">
        <f t="shared" si="2"/>
        <v>56500000</v>
      </c>
      <c r="X12" s="882">
        <f t="shared" si="3"/>
        <v>57</v>
      </c>
    </row>
    <row r="13" spans="1:24" ht="27" customHeight="1">
      <c r="A13" s="583"/>
      <c r="B13" s="583">
        <v>1009</v>
      </c>
      <c r="C13" s="581">
        <v>10</v>
      </c>
      <c r="D13" s="582" t="s">
        <v>430</v>
      </c>
      <c r="E13" s="583" t="s">
        <v>431</v>
      </c>
      <c r="F13" s="599">
        <v>104310000</v>
      </c>
      <c r="G13" s="599">
        <v>-113450000</v>
      </c>
      <c r="H13" s="599"/>
      <c r="I13" s="599"/>
      <c r="J13" s="599"/>
      <c r="K13" s="599"/>
      <c r="L13" s="599"/>
      <c r="M13" s="599"/>
      <c r="N13" s="599"/>
      <c r="O13" s="599"/>
      <c r="P13" s="599"/>
      <c r="Q13" s="882">
        <f t="shared" si="1"/>
        <v>-9140000</v>
      </c>
      <c r="R13" s="599">
        <v>-11025194</v>
      </c>
      <c r="S13" s="882">
        <f t="shared" si="0"/>
        <v>-9</v>
      </c>
      <c r="T13" s="599">
        <f t="shared" si="0"/>
        <v>-11</v>
      </c>
      <c r="U13" s="620"/>
      <c r="V13" s="621"/>
      <c r="W13" s="882">
        <f t="shared" si="2"/>
        <v>-9140000</v>
      </c>
      <c r="X13" s="882">
        <f t="shared" si="3"/>
        <v>-9</v>
      </c>
    </row>
    <row r="14" spans="1:24" ht="27" customHeight="1">
      <c r="A14" s="583"/>
      <c r="B14" s="583">
        <v>401</v>
      </c>
      <c r="C14" s="581">
        <v>4</v>
      </c>
      <c r="D14" s="582" t="s">
        <v>432</v>
      </c>
      <c r="E14" s="583" t="s">
        <v>433</v>
      </c>
      <c r="F14" s="599">
        <v>176902000</v>
      </c>
      <c r="G14" s="599">
        <v>0</v>
      </c>
      <c r="H14" s="599"/>
      <c r="I14" s="599"/>
      <c r="J14" s="599"/>
      <c r="K14" s="599"/>
      <c r="L14" s="599"/>
      <c r="M14" s="599"/>
      <c r="N14" s="599"/>
      <c r="O14" s="599"/>
      <c r="P14" s="599"/>
      <c r="Q14" s="882">
        <f t="shared" si="1"/>
        <v>176902000</v>
      </c>
      <c r="R14" s="599">
        <v>80000000</v>
      </c>
      <c r="S14" s="882">
        <f t="shared" si="0"/>
        <v>177</v>
      </c>
      <c r="T14" s="599">
        <f t="shared" si="0"/>
        <v>80</v>
      </c>
      <c r="U14" s="620"/>
      <c r="V14" s="621"/>
      <c r="W14" s="882">
        <f t="shared" si="2"/>
        <v>176902000</v>
      </c>
      <c r="X14" s="882">
        <f t="shared" si="3"/>
        <v>177</v>
      </c>
    </row>
    <row r="15" spans="1:24" ht="27" customHeight="1">
      <c r="A15" s="583"/>
      <c r="B15" s="583">
        <v>401</v>
      </c>
      <c r="C15" s="581">
        <v>4</v>
      </c>
      <c r="D15" s="582" t="s">
        <v>925</v>
      </c>
      <c r="E15" s="583" t="s">
        <v>926</v>
      </c>
      <c r="F15" s="599"/>
      <c r="G15" s="599"/>
      <c r="H15" s="599"/>
      <c r="I15" s="599"/>
      <c r="J15" s="599"/>
      <c r="K15" s="599"/>
      <c r="L15" s="599"/>
      <c r="M15" s="599"/>
      <c r="N15" s="599"/>
      <c r="O15" s="599"/>
      <c r="P15" s="599"/>
      <c r="Q15" s="882">
        <f t="shared" si="1"/>
        <v>0</v>
      </c>
      <c r="R15" s="599">
        <v>0</v>
      </c>
      <c r="S15" s="882">
        <f t="shared" si="0"/>
        <v>0</v>
      </c>
      <c r="T15" s="599">
        <f t="shared" si="0"/>
        <v>0</v>
      </c>
      <c r="U15" s="620"/>
      <c r="V15" s="621"/>
      <c r="W15" s="882">
        <f t="shared" si="2"/>
        <v>0</v>
      </c>
      <c r="X15" s="882">
        <f t="shared" si="3"/>
        <v>0</v>
      </c>
    </row>
    <row r="16" spans="1:24" ht="27" customHeight="1">
      <c r="A16" s="583"/>
      <c r="B16" s="583">
        <v>1009</v>
      </c>
      <c r="C16" s="581">
        <v>10</v>
      </c>
      <c r="D16" s="582" t="s">
        <v>434</v>
      </c>
      <c r="E16" s="583" t="s">
        <v>435</v>
      </c>
      <c r="F16" s="599"/>
      <c r="G16" s="599"/>
      <c r="H16" s="599"/>
      <c r="I16" s="599"/>
      <c r="J16" s="599"/>
      <c r="K16" s="599"/>
      <c r="L16" s="599"/>
      <c r="M16" s="599"/>
      <c r="N16" s="599"/>
      <c r="O16" s="599"/>
      <c r="P16" s="599"/>
      <c r="Q16" s="882">
        <f t="shared" si="1"/>
        <v>0</v>
      </c>
      <c r="R16" s="599">
        <v>0</v>
      </c>
      <c r="S16" s="882">
        <f t="shared" si="0"/>
        <v>0</v>
      </c>
      <c r="T16" s="599">
        <f t="shared" si="0"/>
        <v>0</v>
      </c>
      <c r="U16" s="620"/>
      <c r="V16" s="621"/>
      <c r="W16" s="882">
        <f t="shared" si="2"/>
        <v>0</v>
      </c>
      <c r="X16" s="882">
        <f t="shared" si="3"/>
        <v>0</v>
      </c>
    </row>
    <row r="17" spans="1:24" ht="27" customHeight="1">
      <c r="A17" s="583"/>
      <c r="B17" s="583">
        <v>401</v>
      </c>
      <c r="C17" s="581">
        <v>4</v>
      </c>
      <c r="D17" s="582" t="s">
        <v>436</v>
      </c>
      <c r="E17" s="583" t="s">
        <v>437</v>
      </c>
      <c r="F17" s="599"/>
      <c r="G17" s="599"/>
      <c r="H17" s="599"/>
      <c r="I17" s="599"/>
      <c r="J17" s="599"/>
      <c r="K17" s="599"/>
      <c r="L17" s="599"/>
      <c r="M17" s="599"/>
      <c r="N17" s="599"/>
      <c r="O17" s="599"/>
      <c r="P17" s="599"/>
      <c r="Q17" s="882">
        <f t="shared" si="1"/>
        <v>0</v>
      </c>
      <c r="R17" s="599">
        <v>0</v>
      </c>
      <c r="S17" s="882">
        <f t="shared" si="0"/>
        <v>0</v>
      </c>
      <c r="T17" s="599">
        <f t="shared" si="0"/>
        <v>0</v>
      </c>
      <c r="U17" s="620"/>
      <c r="V17" s="621"/>
      <c r="W17" s="882">
        <f t="shared" si="2"/>
        <v>0</v>
      </c>
      <c r="X17" s="882">
        <f t="shared" si="3"/>
        <v>0</v>
      </c>
    </row>
    <row r="18" spans="1:24" ht="27" customHeight="1">
      <c r="A18" s="583"/>
      <c r="B18" s="583">
        <v>1009</v>
      </c>
      <c r="C18" s="581">
        <v>10</v>
      </c>
      <c r="D18" s="582" t="s">
        <v>438</v>
      </c>
      <c r="E18" s="583" t="s">
        <v>176</v>
      </c>
      <c r="F18" s="599">
        <v>-2589480744</v>
      </c>
      <c r="G18" s="599">
        <v>232677000</v>
      </c>
      <c r="H18" s="599"/>
      <c r="I18" s="599">
        <v>-150395819</v>
      </c>
      <c r="J18" s="599"/>
      <c r="K18" s="599"/>
      <c r="L18" s="599"/>
      <c r="M18" s="599"/>
      <c r="N18" s="599"/>
      <c r="O18" s="599"/>
      <c r="P18" s="599"/>
      <c r="Q18" s="882">
        <f t="shared" si="1"/>
        <v>-2507199563</v>
      </c>
      <c r="R18" s="599">
        <v>-367997795</v>
      </c>
      <c r="S18" s="882">
        <f t="shared" si="0"/>
        <v>-2507</v>
      </c>
      <c r="T18" s="599">
        <f t="shared" si="0"/>
        <v>-368</v>
      </c>
      <c r="U18" s="620"/>
      <c r="V18" s="621"/>
      <c r="W18" s="882">
        <f t="shared" si="2"/>
        <v>-2507199563</v>
      </c>
      <c r="X18" s="882">
        <f t="shared" si="3"/>
        <v>-2507</v>
      </c>
    </row>
    <row r="19" spans="1:24" ht="27" customHeight="1">
      <c r="A19" s="583"/>
      <c r="B19" s="583">
        <v>401</v>
      </c>
      <c r="C19" s="581">
        <v>4</v>
      </c>
      <c r="D19" s="582" t="s">
        <v>1169</v>
      </c>
      <c r="E19" s="583" t="s">
        <v>1102</v>
      </c>
      <c r="F19" s="599">
        <v>-7500000</v>
      </c>
      <c r="G19" s="599"/>
      <c r="H19" s="599"/>
      <c r="I19" s="599">
        <v>7500000</v>
      </c>
      <c r="J19" s="599"/>
      <c r="K19" s="599"/>
      <c r="L19" s="599"/>
      <c r="M19" s="599"/>
      <c r="N19" s="599"/>
      <c r="O19" s="599"/>
      <c r="P19" s="599"/>
      <c r="Q19" s="882">
        <f t="shared" si="1"/>
        <v>0</v>
      </c>
      <c r="R19" s="599">
        <v>0</v>
      </c>
      <c r="S19" s="882">
        <f t="shared" si="0"/>
        <v>0</v>
      </c>
      <c r="T19" s="599">
        <f t="shared" si="0"/>
        <v>0</v>
      </c>
      <c r="U19" s="620"/>
      <c r="V19" s="621"/>
      <c r="W19" s="882">
        <f t="shared" si="2"/>
        <v>0</v>
      </c>
      <c r="X19" s="882">
        <f t="shared" si="3"/>
        <v>0</v>
      </c>
    </row>
    <row r="20" spans="1:24" ht="27" customHeight="1">
      <c r="A20" s="583"/>
      <c r="B20" s="583">
        <v>1009</v>
      </c>
      <c r="C20" s="581">
        <v>10</v>
      </c>
      <c r="D20" s="582" t="s">
        <v>472</v>
      </c>
      <c r="E20" s="583" t="s">
        <v>473</v>
      </c>
      <c r="F20" s="599">
        <v>-3904727707</v>
      </c>
      <c r="G20" s="599"/>
      <c r="H20" s="599"/>
      <c r="I20" s="599">
        <v>-383386578</v>
      </c>
      <c r="J20" s="599"/>
      <c r="K20" s="599"/>
      <c r="L20" s="599"/>
      <c r="M20" s="599"/>
      <c r="N20" s="599"/>
      <c r="O20" s="599"/>
      <c r="P20" s="599"/>
      <c r="Q20" s="882">
        <f t="shared" si="1"/>
        <v>-4288114285</v>
      </c>
      <c r="R20" s="599">
        <v>-2853542202</v>
      </c>
      <c r="S20" s="882">
        <f t="shared" si="0"/>
        <v>-4288</v>
      </c>
      <c r="T20" s="599">
        <f t="shared" si="0"/>
        <v>-2854</v>
      </c>
      <c r="U20" s="620"/>
      <c r="V20" s="621"/>
      <c r="W20" s="882">
        <f t="shared" si="2"/>
        <v>-4288114285</v>
      </c>
      <c r="X20" s="882">
        <f t="shared" si="3"/>
        <v>-4288</v>
      </c>
    </row>
    <row r="21" spans="1:24" ht="27" customHeight="1">
      <c r="A21" s="583"/>
      <c r="B21" s="583">
        <v>1009</v>
      </c>
      <c r="C21" s="581">
        <v>10</v>
      </c>
      <c r="D21" s="582" t="s">
        <v>698</v>
      </c>
      <c r="E21" s="583" t="s">
        <v>927</v>
      </c>
      <c r="F21" s="599"/>
      <c r="G21" s="599"/>
      <c r="H21" s="599"/>
      <c r="I21" s="599"/>
      <c r="J21" s="599"/>
      <c r="K21" s="599"/>
      <c r="L21" s="599"/>
      <c r="M21" s="599"/>
      <c r="N21" s="599"/>
      <c r="O21" s="599"/>
      <c r="P21" s="599"/>
      <c r="Q21" s="882">
        <f t="shared" si="1"/>
        <v>0</v>
      </c>
      <c r="R21" s="599">
        <v>0</v>
      </c>
      <c r="S21" s="882">
        <f t="shared" si="0"/>
        <v>0</v>
      </c>
      <c r="T21" s="599">
        <f t="shared" si="0"/>
        <v>0</v>
      </c>
      <c r="U21" s="620"/>
      <c r="V21" s="621"/>
      <c r="W21" s="882">
        <f t="shared" si="2"/>
        <v>0</v>
      </c>
      <c r="X21" s="882">
        <f t="shared" si="3"/>
        <v>0</v>
      </c>
    </row>
    <row r="22" spans="1:24" ht="27" customHeight="1">
      <c r="A22" s="583"/>
      <c r="B22" s="583">
        <v>1009</v>
      </c>
      <c r="C22" s="581">
        <v>10</v>
      </c>
      <c r="D22" s="582" t="s">
        <v>831</v>
      </c>
      <c r="E22" s="583" t="s">
        <v>552</v>
      </c>
      <c r="F22" s="599"/>
      <c r="G22" s="599"/>
      <c r="H22" s="599"/>
      <c r="I22" s="599"/>
      <c r="J22" s="599"/>
      <c r="K22" s="599"/>
      <c r="L22" s="599"/>
      <c r="M22" s="599"/>
      <c r="N22" s="599"/>
      <c r="O22" s="599"/>
      <c r="P22" s="599"/>
      <c r="Q22" s="882">
        <f t="shared" si="1"/>
        <v>0</v>
      </c>
      <c r="R22" s="599">
        <v>0</v>
      </c>
      <c r="S22" s="882">
        <f t="shared" si="0"/>
        <v>0</v>
      </c>
      <c r="T22" s="599">
        <f t="shared" si="0"/>
        <v>0</v>
      </c>
      <c r="U22" s="620"/>
      <c r="V22" s="621"/>
      <c r="W22" s="882">
        <f t="shared" si="2"/>
        <v>0</v>
      </c>
      <c r="X22" s="882">
        <f t="shared" si="3"/>
        <v>0</v>
      </c>
    </row>
    <row r="23" spans="1:24" ht="27" customHeight="1">
      <c r="A23" s="583"/>
      <c r="B23" s="583">
        <v>401</v>
      </c>
      <c r="C23" s="581">
        <v>4</v>
      </c>
      <c r="D23" s="582" t="s">
        <v>128</v>
      </c>
      <c r="E23" s="583" t="s">
        <v>1083</v>
      </c>
      <c r="F23" s="599"/>
      <c r="G23" s="599"/>
      <c r="H23" s="599"/>
      <c r="I23" s="599"/>
      <c r="J23" s="599"/>
      <c r="K23" s="599"/>
      <c r="L23" s="599"/>
      <c r="M23" s="599"/>
      <c r="N23" s="599"/>
      <c r="O23" s="599"/>
      <c r="P23" s="599"/>
      <c r="Q23" s="882">
        <f t="shared" si="1"/>
        <v>0</v>
      </c>
      <c r="R23" s="599">
        <v>0</v>
      </c>
      <c r="S23" s="882">
        <f t="shared" si="0"/>
        <v>0</v>
      </c>
      <c r="T23" s="599">
        <f t="shared" si="0"/>
        <v>0</v>
      </c>
      <c r="U23" s="620"/>
      <c r="V23" s="621"/>
      <c r="W23" s="882">
        <f t="shared" si="2"/>
        <v>0</v>
      </c>
      <c r="X23" s="882">
        <f t="shared" si="3"/>
        <v>0</v>
      </c>
    </row>
    <row r="24" spans="1:24" ht="27" customHeight="1">
      <c r="A24" s="583"/>
      <c r="B24" s="583">
        <v>1002</v>
      </c>
      <c r="C24" s="581">
        <v>10</v>
      </c>
      <c r="D24" s="582" t="s">
        <v>132</v>
      </c>
      <c r="E24" s="583" t="s">
        <v>133</v>
      </c>
      <c r="F24" s="599">
        <v>-1126991899</v>
      </c>
      <c r="G24" s="599">
        <v>-942890250</v>
      </c>
      <c r="H24" s="599">
        <v>-796288232</v>
      </c>
      <c r="I24" s="599">
        <v>-1513705918</v>
      </c>
      <c r="J24" s="599"/>
      <c r="K24" s="599"/>
      <c r="L24" s="599"/>
      <c r="M24" s="599"/>
      <c r="N24" s="599"/>
      <c r="O24" s="599"/>
      <c r="P24" s="599"/>
      <c r="Q24" s="882">
        <f t="shared" si="1"/>
        <v>-4379876299</v>
      </c>
      <c r="R24" s="599">
        <v>-5567743512</v>
      </c>
      <c r="S24" s="882">
        <f t="shared" si="0"/>
        <v>-4380</v>
      </c>
      <c r="T24" s="599">
        <f t="shared" si="0"/>
        <v>-5568</v>
      </c>
      <c r="U24" s="620"/>
      <c r="V24" s="621"/>
      <c r="W24" s="882">
        <f t="shared" si="2"/>
        <v>-4379876299</v>
      </c>
      <c r="X24" s="882">
        <f t="shared" si="3"/>
        <v>-4380</v>
      </c>
    </row>
    <row r="25" spans="1:24" ht="27" customHeight="1">
      <c r="A25" s="583"/>
      <c r="B25" s="583">
        <v>1301</v>
      </c>
      <c r="C25" s="581">
        <v>12</v>
      </c>
      <c r="D25" s="582" t="s">
        <v>134</v>
      </c>
      <c r="E25" s="583" t="s">
        <v>135</v>
      </c>
      <c r="F25" s="599">
        <v>-15709970555</v>
      </c>
      <c r="G25" s="599">
        <v>-560244600</v>
      </c>
      <c r="H25" s="599">
        <f>-6504675656+5021760242</f>
        <v>-1482915414</v>
      </c>
      <c r="I25" s="599">
        <v>357202727</v>
      </c>
      <c r="J25" s="599"/>
      <c r="K25" s="599"/>
      <c r="L25" s="599"/>
      <c r="M25" s="599"/>
      <c r="N25" s="599"/>
      <c r="O25" s="599"/>
      <c r="P25" s="599"/>
      <c r="Q25" s="882">
        <f t="shared" si="1"/>
        <v>-17395927842</v>
      </c>
      <c r="R25" s="599">
        <v>-18105317951</v>
      </c>
      <c r="S25" s="882">
        <f t="shared" si="0"/>
        <v>-17396</v>
      </c>
      <c r="T25" s="599">
        <f t="shared" si="0"/>
        <v>-18105</v>
      </c>
      <c r="U25" s="620"/>
      <c r="V25" s="621"/>
      <c r="W25" s="882">
        <f t="shared" si="2"/>
        <v>-17395927842</v>
      </c>
      <c r="X25" s="882">
        <f t="shared" si="3"/>
        <v>-17396</v>
      </c>
    </row>
    <row r="26" spans="1:24" ht="27" customHeight="1">
      <c r="A26" s="583"/>
      <c r="B26" s="583">
        <v>1009</v>
      </c>
      <c r="C26" s="581">
        <v>10</v>
      </c>
      <c r="D26" s="582" t="s">
        <v>1170</v>
      </c>
      <c r="E26" s="583" t="s">
        <v>1171</v>
      </c>
      <c r="F26" s="599">
        <v>-5130000</v>
      </c>
      <c r="G26" s="599"/>
      <c r="H26" s="599"/>
      <c r="I26" s="599"/>
      <c r="J26" s="599"/>
      <c r="K26" s="599"/>
      <c r="L26" s="599"/>
      <c r="M26" s="599"/>
      <c r="N26" s="599"/>
      <c r="O26" s="599"/>
      <c r="P26" s="599"/>
      <c r="Q26" s="882">
        <f t="shared" si="1"/>
        <v>-5130000</v>
      </c>
      <c r="R26" s="599">
        <v>0</v>
      </c>
      <c r="S26" s="882">
        <f t="shared" si="0"/>
        <v>-5</v>
      </c>
      <c r="T26" s="599">
        <f t="shared" si="0"/>
        <v>0</v>
      </c>
      <c r="U26" s="620"/>
      <c r="V26" s="621"/>
      <c r="W26" s="882">
        <f t="shared" si="2"/>
        <v>-5130000</v>
      </c>
      <c r="X26" s="882">
        <f t="shared" si="3"/>
        <v>-5</v>
      </c>
    </row>
    <row r="27" spans="1:24" ht="27" customHeight="1">
      <c r="A27" s="583"/>
      <c r="B27" s="583">
        <v>1009</v>
      </c>
      <c r="C27" s="581">
        <v>10</v>
      </c>
      <c r="D27" s="582" t="s">
        <v>1229</v>
      </c>
      <c r="E27" s="583" t="s">
        <v>1084</v>
      </c>
      <c r="F27" s="599"/>
      <c r="G27" s="599"/>
      <c r="H27" s="599"/>
      <c r="I27" s="599"/>
      <c r="J27" s="599"/>
      <c r="K27" s="599"/>
      <c r="L27" s="599"/>
      <c r="M27" s="599"/>
      <c r="N27" s="599"/>
      <c r="O27" s="599"/>
      <c r="P27" s="599"/>
      <c r="Q27" s="882">
        <f t="shared" si="1"/>
        <v>0</v>
      </c>
      <c r="R27" s="599">
        <v>0</v>
      </c>
      <c r="S27" s="882">
        <f t="shared" si="0"/>
        <v>0</v>
      </c>
      <c r="T27" s="599">
        <f t="shared" si="0"/>
        <v>0</v>
      </c>
      <c r="U27" s="620"/>
      <c r="V27" s="621"/>
      <c r="W27" s="882">
        <f t="shared" si="2"/>
        <v>0</v>
      </c>
      <c r="X27" s="882">
        <f t="shared" si="3"/>
        <v>0</v>
      </c>
    </row>
    <row r="28" spans="1:24" ht="27" customHeight="1">
      <c r="A28" s="583"/>
      <c r="B28" s="583">
        <v>1009</v>
      </c>
      <c r="C28" s="581">
        <v>10</v>
      </c>
      <c r="D28" s="582" t="s">
        <v>136</v>
      </c>
      <c r="E28" s="583" t="s">
        <v>700</v>
      </c>
      <c r="F28" s="599">
        <v>317794637</v>
      </c>
      <c r="G28" s="599">
        <v>0</v>
      </c>
      <c r="H28" s="599"/>
      <c r="I28" s="599"/>
      <c r="J28" s="599"/>
      <c r="K28" s="599"/>
      <c r="L28" s="599"/>
      <c r="M28" s="599"/>
      <c r="N28" s="599"/>
      <c r="O28" s="599"/>
      <c r="P28" s="599"/>
      <c r="Q28" s="882">
        <f t="shared" si="1"/>
        <v>317794637</v>
      </c>
      <c r="R28" s="599">
        <v>-23402531</v>
      </c>
      <c r="S28" s="882">
        <f t="shared" si="0"/>
        <v>318</v>
      </c>
      <c r="T28" s="599">
        <f t="shared" si="0"/>
        <v>-23</v>
      </c>
      <c r="U28" s="620"/>
      <c r="V28" s="621"/>
      <c r="W28" s="882">
        <f t="shared" si="2"/>
        <v>317794637</v>
      </c>
      <c r="X28" s="882">
        <f t="shared" si="3"/>
        <v>318</v>
      </c>
    </row>
    <row r="29" spans="1:24" ht="27" customHeight="1">
      <c r="A29" s="583"/>
      <c r="B29" s="583">
        <v>401</v>
      </c>
      <c r="C29" s="581">
        <v>4</v>
      </c>
      <c r="D29" s="582" t="s">
        <v>928</v>
      </c>
      <c r="E29" s="583" t="s">
        <v>929</v>
      </c>
      <c r="F29" s="599">
        <v>256170758002</v>
      </c>
      <c r="G29" s="599">
        <f>1900000-34746062532</f>
        <v>-34744162532</v>
      </c>
      <c r="H29" s="599">
        <f>-16379736341+34200000</f>
        <v>-16345536341</v>
      </c>
      <c r="I29" s="599">
        <v>-205081059129</v>
      </c>
      <c r="J29" s="599"/>
      <c r="K29" s="599"/>
      <c r="L29" s="599"/>
      <c r="M29" s="599"/>
      <c r="N29" s="599"/>
      <c r="O29" s="599"/>
      <c r="P29" s="599"/>
      <c r="Q29" s="882">
        <f t="shared" si="1"/>
        <v>0</v>
      </c>
      <c r="R29" s="599">
        <v>0</v>
      </c>
      <c r="S29" s="882">
        <f t="shared" si="0"/>
        <v>0</v>
      </c>
      <c r="T29" s="599">
        <f t="shared" si="0"/>
        <v>0</v>
      </c>
      <c r="U29" s="620"/>
      <c r="V29" s="621"/>
      <c r="W29" s="882">
        <f t="shared" si="2"/>
        <v>0</v>
      </c>
      <c r="X29" s="882">
        <f t="shared" si="3"/>
        <v>0</v>
      </c>
    </row>
    <row r="30" spans="1:24" ht="27" customHeight="1">
      <c r="A30" s="583"/>
      <c r="B30" s="583">
        <v>1009</v>
      </c>
      <c r="C30" s="581">
        <v>10</v>
      </c>
      <c r="D30" s="582" t="s">
        <v>83</v>
      </c>
      <c r="E30" s="583" t="s">
        <v>931</v>
      </c>
      <c r="F30" s="599">
        <v>-22387703</v>
      </c>
      <c r="G30" s="599"/>
      <c r="H30" s="599">
        <v>13897728</v>
      </c>
      <c r="I30" s="599"/>
      <c r="J30" s="599">
        <v>8489975</v>
      </c>
      <c r="K30" s="599"/>
      <c r="L30" s="599"/>
      <c r="M30" s="599"/>
      <c r="N30" s="599"/>
      <c r="O30" s="599"/>
      <c r="P30" s="599"/>
      <c r="Q30" s="882">
        <f t="shared" si="1"/>
        <v>0</v>
      </c>
      <c r="R30" s="599">
        <v>0</v>
      </c>
      <c r="S30" s="882">
        <f t="shared" si="0"/>
        <v>0</v>
      </c>
      <c r="T30" s="599">
        <f t="shared" si="0"/>
        <v>0</v>
      </c>
      <c r="U30" s="620"/>
      <c r="V30" s="621"/>
      <c r="W30" s="882">
        <f t="shared" si="2"/>
        <v>0</v>
      </c>
      <c r="X30" s="882">
        <f t="shared" si="3"/>
        <v>0</v>
      </c>
    </row>
    <row r="31" spans="1:24" ht="27" customHeight="1">
      <c r="A31" s="583"/>
      <c r="B31" s="583">
        <v>1009</v>
      </c>
      <c r="C31" s="581">
        <v>10</v>
      </c>
      <c r="D31" s="582" t="s">
        <v>212</v>
      </c>
      <c r="E31" s="583" t="s">
        <v>930</v>
      </c>
      <c r="F31" s="599">
        <v>-232809443078</v>
      </c>
      <c r="G31" s="599">
        <v>26095861250</v>
      </c>
      <c r="H31" s="599">
        <v>13351862307</v>
      </c>
      <c r="I31" s="599">
        <v>193361719521</v>
      </c>
      <c r="J31" s="599"/>
      <c r="K31" s="599"/>
      <c r="L31" s="599"/>
      <c r="M31" s="599"/>
      <c r="N31" s="599"/>
      <c r="O31" s="599"/>
      <c r="P31" s="599"/>
      <c r="Q31" s="882">
        <f t="shared" si="1"/>
        <v>0</v>
      </c>
      <c r="R31" s="599">
        <v>0</v>
      </c>
      <c r="S31" s="882">
        <f t="shared" si="0"/>
        <v>0</v>
      </c>
      <c r="T31" s="599">
        <f t="shared" si="0"/>
        <v>0</v>
      </c>
      <c r="U31" s="620"/>
      <c r="V31" s="621"/>
      <c r="W31" s="882">
        <f t="shared" si="2"/>
        <v>0</v>
      </c>
      <c r="X31" s="882">
        <f t="shared" si="3"/>
        <v>0</v>
      </c>
    </row>
    <row r="32" spans="1:24" ht="27" customHeight="1">
      <c r="A32" s="583"/>
      <c r="B32" s="583"/>
      <c r="C32" s="581" t="s">
        <v>765</v>
      </c>
      <c r="D32" s="582" t="s">
        <v>932</v>
      </c>
      <c r="E32" s="583" t="s">
        <v>934</v>
      </c>
      <c r="F32" s="599"/>
      <c r="G32" s="599"/>
      <c r="H32" s="599"/>
      <c r="I32" s="599"/>
      <c r="J32" s="599"/>
      <c r="K32" s="599"/>
      <c r="L32" s="599"/>
      <c r="M32" s="599"/>
      <c r="N32" s="599"/>
      <c r="O32" s="599"/>
      <c r="P32" s="599"/>
      <c r="Q32" s="882">
        <f t="shared" si="1"/>
        <v>0</v>
      </c>
      <c r="R32" s="599">
        <v>0</v>
      </c>
      <c r="S32" s="882">
        <f t="shared" si="0"/>
        <v>0</v>
      </c>
      <c r="T32" s="599">
        <f t="shared" si="0"/>
        <v>0</v>
      </c>
      <c r="U32" s="620"/>
      <c r="V32" s="621"/>
      <c r="W32" s="882">
        <f t="shared" si="2"/>
        <v>0</v>
      </c>
      <c r="X32" s="882">
        <f t="shared" si="3"/>
        <v>0</v>
      </c>
    </row>
    <row r="33" spans="1:24" ht="27" customHeight="1">
      <c r="A33" s="583"/>
      <c r="B33" s="583"/>
      <c r="C33" s="581" t="s">
        <v>765</v>
      </c>
      <c r="D33" s="582" t="s">
        <v>1427</v>
      </c>
      <c r="E33" s="583" t="s">
        <v>935</v>
      </c>
      <c r="F33" s="599"/>
      <c r="G33" s="599"/>
      <c r="H33" s="599"/>
      <c r="I33" s="599"/>
      <c r="J33" s="599"/>
      <c r="K33" s="599"/>
      <c r="L33" s="599"/>
      <c r="M33" s="599"/>
      <c r="N33" s="599"/>
      <c r="O33" s="599"/>
      <c r="P33" s="599"/>
      <c r="Q33" s="882">
        <f t="shared" si="1"/>
        <v>0</v>
      </c>
      <c r="R33" s="599">
        <v>0</v>
      </c>
      <c r="S33" s="882">
        <f t="shared" si="0"/>
        <v>0</v>
      </c>
      <c r="T33" s="599">
        <f t="shared" si="0"/>
        <v>0</v>
      </c>
      <c r="U33" s="620"/>
      <c r="V33" s="621"/>
      <c r="W33" s="882">
        <f t="shared" si="2"/>
        <v>0</v>
      </c>
      <c r="X33" s="882">
        <f t="shared" si="3"/>
        <v>0</v>
      </c>
    </row>
    <row r="34" spans="1:24" ht="27" customHeight="1">
      <c r="A34" s="583"/>
      <c r="B34" s="583">
        <v>1009</v>
      </c>
      <c r="C34" s="581">
        <v>10</v>
      </c>
      <c r="D34" s="582" t="s">
        <v>933</v>
      </c>
      <c r="E34" s="583" t="s">
        <v>936</v>
      </c>
      <c r="F34" s="599">
        <v>-2432100</v>
      </c>
      <c r="G34" s="599"/>
      <c r="H34" s="599">
        <v>2432100</v>
      </c>
      <c r="I34" s="599"/>
      <c r="J34" s="599"/>
      <c r="K34" s="599"/>
      <c r="L34" s="599"/>
      <c r="M34" s="599"/>
      <c r="N34" s="599"/>
      <c r="O34" s="599"/>
      <c r="P34" s="599"/>
      <c r="Q34" s="882">
        <f t="shared" si="1"/>
        <v>0</v>
      </c>
      <c r="R34" s="599">
        <v>0</v>
      </c>
      <c r="S34" s="882">
        <f t="shared" si="0"/>
        <v>0</v>
      </c>
      <c r="T34" s="599">
        <f t="shared" si="0"/>
        <v>0</v>
      </c>
      <c r="U34" s="620"/>
      <c r="V34" s="621"/>
      <c r="W34" s="882">
        <f t="shared" si="2"/>
        <v>0</v>
      </c>
      <c r="X34" s="882">
        <f t="shared" si="3"/>
        <v>0</v>
      </c>
    </row>
    <row r="35" spans="1:24" ht="27" customHeight="1">
      <c r="A35" s="583"/>
      <c r="B35" s="583">
        <v>1009</v>
      </c>
      <c r="C35" s="581">
        <v>10</v>
      </c>
      <c r="D35" s="582" t="s">
        <v>1572</v>
      </c>
      <c r="E35" s="583" t="s">
        <v>1573</v>
      </c>
      <c r="F35" s="599"/>
      <c r="G35" s="599"/>
      <c r="H35" s="599"/>
      <c r="I35" s="599"/>
      <c r="J35" s="599"/>
      <c r="K35" s="599"/>
      <c r="L35" s="599"/>
      <c r="M35" s="599"/>
      <c r="N35" s="599"/>
      <c r="O35" s="599"/>
      <c r="P35" s="599"/>
      <c r="Q35" s="882">
        <f t="shared" si="1"/>
        <v>0</v>
      </c>
      <c r="R35" s="599">
        <v>0</v>
      </c>
      <c r="S35" s="882">
        <f t="shared" si="0"/>
        <v>0</v>
      </c>
      <c r="T35" s="599">
        <f t="shared" si="0"/>
        <v>0</v>
      </c>
      <c r="U35" s="620"/>
      <c r="V35" s="621"/>
      <c r="W35" s="882">
        <f t="shared" si="2"/>
        <v>0</v>
      </c>
      <c r="X35" s="882">
        <f t="shared" si="3"/>
        <v>0</v>
      </c>
    </row>
    <row r="36" spans="1:24" ht="27" customHeight="1">
      <c r="A36" s="583"/>
      <c r="B36" s="583">
        <v>1009</v>
      </c>
      <c r="C36" s="581">
        <v>10</v>
      </c>
      <c r="D36" s="582" t="s">
        <v>1574</v>
      </c>
      <c r="E36" s="583" t="s">
        <v>1575</v>
      </c>
      <c r="F36" s="599"/>
      <c r="G36" s="599"/>
      <c r="H36" s="599"/>
      <c r="I36" s="599"/>
      <c r="J36" s="599"/>
      <c r="K36" s="599"/>
      <c r="L36" s="599"/>
      <c r="M36" s="599"/>
      <c r="N36" s="599"/>
      <c r="O36" s="599"/>
      <c r="P36" s="599"/>
      <c r="Q36" s="882">
        <f t="shared" si="1"/>
        <v>0</v>
      </c>
      <c r="R36" s="599">
        <v>0</v>
      </c>
      <c r="S36" s="882">
        <f t="shared" si="0"/>
        <v>0</v>
      </c>
      <c r="T36" s="599">
        <f t="shared" si="0"/>
        <v>0</v>
      </c>
      <c r="U36" s="620"/>
      <c r="V36" s="621"/>
      <c r="W36" s="882">
        <f t="shared" si="2"/>
        <v>0</v>
      </c>
      <c r="X36" s="882">
        <f t="shared" si="3"/>
        <v>0</v>
      </c>
    </row>
    <row r="37" spans="1:24" ht="27" customHeight="1">
      <c r="A37" s="583"/>
      <c r="B37" s="583">
        <v>1009</v>
      </c>
      <c r="C37" s="581">
        <v>10</v>
      </c>
      <c r="D37" s="582" t="s">
        <v>1230</v>
      </c>
      <c r="E37" s="583" t="s">
        <v>1231</v>
      </c>
      <c r="F37" s="599"/>
      <c r="G37" s="599"/>
      <c r="H37" s="599"/>
      <c r="I37" s="599"/>
      <c r="J37" s="599"/>
      <c r="K37" s="599"/>
      <c r="L37" s="599"/>
      <c r="M37" s="599"/>
      <c r="N37" s="599"/>
      <c r="O37" s="599"/>
      <c r="P37" s="599"/>
      <c r="Q37" s="882">
        <f t="shared" si="1"/>
        <v>0</v>
      </c>
      <c r="R37" s="599">
        <v>0</v>
      </c>
      <c r="S37" s="882">
        <f t="shared" si="0"/>
        <v>0</v>
      </c>
      <c r="T37" s="599">
        <f t="shared" si="0"/>
        <v>0</v>
      </c>
      <c r="U37" s="620"/>
      <c r="V37" s="621"/>
      <c r="W37" s="882">
        <f t="shared" si="2"/>
        <v>0</v>
      </c>
      <c r="X37" s="882">
        <f t="shared" si="3"/>
        <v>0</v>
      </c>
    </row>
    <row r="38" spans="1:24" ht="27" customHeight="1">
      <c r="A38" s="583"/>
      <c r="B38" s="583">
        <v>401</v>
      </c>
      <c r="C38" s="581">
        <v>4</v>
      </c>
      <c r="D38" s="582" t="s">
        <v>1085</v>
      </c>
      <c r="E38" s="583" t="s">
        <v>1086</v>
      </c>
      <c r="F38" s="599"/>
      <c r="G38" s="599"/>
      <c r="H38" s="599"/>
      <c r="I38" s="599"/>
      <c r="J38" s="599"/>
      <c r="K38" s="599"/>
      <c r="L38" s="599"/>
      <c r="M38" s="599"/>
      <c r="N38" s="599"/>
      <c r="O38" s="599"/>
      <c r="P38" s="599"/>
      <c r="Q38" s="882">
        <f t="shared" si="1"/>
        <v>0</v>
      </c>
      <c r="R38" s="599">
        <v>0</v>
      </c>
      <c r="S38" s="882">
        <f t="shared" si="0"/>
        <v>0</v>
      </c>
      <c r="T38" s="599">
        <f t="shared" si="0"/>
        <v>0</v>
      </c>
      <c r="U38" s="620"/>
      <c r="V38" s="621"/>
      <c r="W38" s="882">
        <f t="shared" si="2"/>
        <v>0</v>
      </c>
      <c r="X38" s="882">
        <f t="shared" si="3"/>
        <v>0</v>
      </c>
    </row>
    <row r="39" spans="1:24" ht="27" customHeight="1">
      <c r="A39" s="583"/>
      <c r="B39" s="583">
        <v>1009</v>
      </c>
      <c r="C39" s="581">
        <v>10</v>
      </c>
      <c r="D39" s="582" t="s">
        <v>84</v>
      </c>
      <c r="E39" s="583" t="s">
        <v>699</v>
      </c>
      <c r="F39" s="599">
        <v>-2060233382</v>
      </c>
      <c r="G39" s="599"/>
      <c r="H39" s="599"/>
      <c r="I39" s="599">
        <v>40000000</v>
      </c>
      <c r="J39" s="599"/>
      <c r="K39" s="599"/>
      <c r="L39" s="599"/>
      <c r="M39" s="599"/>
      <c r="N39" s="599"/>
      <c r="O39" s="599"/>
      <c r="P39" s="599"/>
      <c r="Q39" s="882">
        <f t="shared" si="1"/>
        <v>-2020233382</v>
      </c>
      <c r="R39" s="599">
        <v>-4609575</v>
      </c>
      <c r="S39" s="882">
        <f t="shared" si="0"/>
        <v>-2020</v>
      </c>
      <c r="T39" s="599">
        <f t="shared" si="0"/>
        <v>-5</v>
      </c>
      <c r="U39" s="620"/>
      <c r="V39" s="621"/>
      <c r="W39" s="882">
        <f t="shared" si="2"/>
        <v>-2020233382</v>
      </c>
      <c r="X39" s="882">
        <f t="shared" si="3"/>
        <v>-2020</v>
      </c>
    </row>
    <row r="40" spans="1:24" ht="27" customHeight="1">
      <c r="A40" s="583"/>
      <c r="B40" s="583">
        <v>401</v>
      </c>
      <c r="C40" s="581">
        <v>4</v>
      </c>
      <c r="D40" s="582" t="s">
        <v>874</v>
      </c>
      <c r="E40" s="583" t="s">
        <v>875</v>
      </c>
      <c r="F40" s="599">
        <v>408867857</v>
      </c>
      <c r="G40" s="599">
        <v>-8685375</v>
      </c>
      <c r="H40" s="599"/>
      <c r="I40" s="599">
        <v>-400182482</v>
      </c>
      <c r="J40" s="599"/>
      <c r="K40" s="599"/>
      <c r="L40" s="599"/>
      <c r="M40" s="599"/>
      <c r="N40" s="599"/>
      <c r="O40" s="599"/>
      <c r="P40" s="599"/>
      <c r="Q40" s="882">
        <f t="shared" si="1"/>
        <v>0</v>
      </c>
      <c r="R40" s="599">
        <v>0</v>
      </c>
      <c r="S40" s="882">
        <f t="shared" si="0"/>
        <v>0</v>
      </c>
      <c r="T40" s="599">
        <f t="shared" si="0"/>
        <v>0</v>
      </c>
      <c r="U40" s="620"/>
      <c r="V40" s="621"/>
      <c r="W40" s="882">
        <f t="shared" si="2"/>
        <v>0</v>
      </c>
      <c r="X40" s="882">
        <f t="shared" si="3"/>
        <v>0</v>
      </c>
    </row>
    <row r="41" spans="1:24" ht="27" customHeight="1">
      <c r="A41" s="583"/>
      <c r="B41" s="583">
        <v>401</v>
      </c>
      <c r="C41" s="581">
        <v>4</v>
      </c>
      <c r="D41" s="582" t="s">
        <v>86</v>
      </c>
      <c r="E41" s="583" t="s">
        <v>876</v>
      </c>
      <c r="F41" s="599">
        <v>-121498971</v>
      </c>
      <c r="G41" s="599">
        <v>56931734</v>
      </c>
      <c r="H41" s="599"/>
      <c r="I41" s="599">
        <v>64567237</v>
      </c>
      <c r="J41" s="599"/>
      <c r="K41" s="599"/>
      <c r="L41" s="599"/>
      <c r="M41" s="599"/>
      <c r="N41" s="599"/>
      <c r="O41" s="599"/>
      <c r="P41" s="599"/>
      <c r="Q41" s="882">
        <f t="shared" si="1"/>
        <v>0</v>
      </c>
      <c r="R41" s="599">
        <v>0</v>
      </c>
      <c r="S41" s="882">
        <f t="shared" si="0"/>
        <v>0</v>
      </c>
      <c r="T41" s="599">
        <f t="shared" si="0"/>
        <v>0</v>
      </c>
      <c r="U41" s="620"/>
      <c r="V41" s="621"/>
      <c r="W41" s="882">
        <f t="shared" si="2"/>
        <v>0</v>
      </c>
      <c r="X41" s="882">
        <f t="shared" si="3"/>
        <v>0</v>
      </c>
    </row>
    <row r="42" spans="1:24" ht="27" customHeight="1">
      <c r="A42" s="583"/>
      <c r="B42" s="583">
        <v>401</v>
      </c>
      <c r="C42" s="581">
        <v>4</v>
      </c>
      <c r="D42" s="582" t="s">
        <v>1172</v>
      </c>
      <c r="E42" s="583" t="s">
        <v>1173</v>
      </c>
      <c r="F42" s="599">
        <v>359103395</v>
      </c>
      <c r="G42" s="599">
        <v>-26444346</v>
      </c>
      <c r="H42" s="599">
        <v>-38000000</v>
      </c>
      <c r="I42" s="599">
        <v>-294659049</v>
      </c>
      <c r="J42" s="599"/>
      <c r="K42" s="599"/>
      <c r="L42" s="599"/>
      <c r="M42" s="599"/>
      <c r="N42" s="599"/>
      <c r="O42" s="599"/>
      <c r="P42" s="599"/>
      <c r="Q42" s="882">
        <f t="shared" si="1"/>
        <v>0</v>
      </c>
      <c r="R42" s="599">
        <v>0</v>
      </c>
      <c r="S42" s="882">
        <f t="shared" si="0"/>
        <v>0</v>
      </c>
      <c r="T42" s="599">
        <f t="shared" si="0"/>
        <v>0</v>
      </c>
      <c r="U42" s="620"/>
      <c r="V42" s="621"/>
      <c r="W42" s="882">
        <f t="shared" si="2"/>
        <v>0</v>
      </c>
      <c r="X42" s="882">
        <f t="shared" si="3"/>
        <v>0</v>
      </c>
    </row>
    <row r="43" spans="1:24" ht="27" customHeight="1">
      <c r="A43" s="583"/>
      <c r="B43" s="583">
        <v>401</v>
      </c>
      <c r="C43" s="581">
        <v>4</v>
      </c>
      <c r="D43" s="582" t="s">
        <v>1087</v>
      </c>
      <c r="E43" s="583" t="s">
        <v>1088</v>
      </c>
      <c r="F43" s="599">
        <v>455576</v>
      </c>
      <c r="G43" s="599"/>
      <c r="H43" s="599"/>
      <c r="I43" s="599"/>
      <c r="J43" s="599"/>
      <c r="K43" s="599"/>
      <c r="L43" s="599"/>
      <c r="M43" s="599"/>
      <c r="N43" s="599"/>
      <c r="O43" s="599"/>
      <c r="P43" s="599"/>
      <c r="Q43" s="882">
        <f t="shared" si="1"/>
        <v>455576</v>
      </c>
      <c r="R43" s="599">
        <v>455576</v>
      </c>
      <c r="S43" s="882">
        <f t="shared" si="0"/>
        <v>0</v>
      </c>
      <c r="T43" s="599">
        <f t="shared" si="0"/>
        <v>0</v>
      </c>
      <c r="U43" s="620"/>
      <c r="V43" s="621"/>
      <c r="W43" s="882">
        <f t="shared" si="2"/>
        <v>455576</v>
      </c>
      <c r="X43" s="882">
        <f t="shared" si="3"/>
        <v>0</v>
      </c>
    </row>
    <row r="44" spans="1:24" ht="27" customHeight="1">
      <c r="A44" s="583"/>
      <c r="B44" s="583">
        <v>401</v>
      </c>
      <c r="C44" s="581">
        <v>4</v>
      </c>
      <c r="D44" s="582" t="s">
        <v>1232</v>
      </c>
      <c r="E44" s="583" t="s">
        <v>1233</v>
      </c>
      <c r="F44" s="599">
        <v>32303000</v>
      </c>
      <c r="G44" s="599"/>
      <c r="H44" s="599"/>
      <c r="I44" s="599"/>
      <c r="J44" s="599"/>
      <c r="K44" s="599"/>
      <c r="L44" s="599"/>
      <c r="M44" s="599"/>
      <c r="N44" s="599"/>
      <c r="O44" s="599"/>
      <c r="P44" s="599"/>
      <c r="Q44" s="882">
        <f t="shared" si="1"/>
        <v>32303000</v>
      </c>
      <c r="R44" s="599">
        <v>32187000</v>
      </c>
      <c r="S44" s="882">
        <f t="shared" si="0"/>
        <v>32</v>
      </c>
      <c r="T44" s="599">
        <f t="shared" si="0"/>
        <v>32</v>
      </c>
      <c r="U44" s="620"/>
      <c r="V44" s="621"/>
      <c r="W44" s="882">
        <f t="shared" si="2"/>
        <v>32303000</v>
      </c>
      <c r="X44" s="882">
        <f t="shared" si="3"/>
        <v>32</v>
      </c>
    </row>
    <row r="45" spans="1:24" ht="27" customHeight="1">
      <c r="A45" s="583"/>
      <c r="B45" s="583">
        <v>1009</v>
      </c>
      <c r="C45" s="581">
        <v>10</v>
      </c>
      <c r="D45" s="582" t="s">
        <v>89</v>
      </c>
      <c r="E45" s="583" t="s">
        <v>937</v>
      </c>
      <c r="F45" s="599">
        <v>-82881168</v>
      </c>
      <c r="G45" s="599"/>
      <c r="H45" s="599">
        <v>17372160</v>
      </c>
      <c r="I45" s="599">
        <v>65509008</v>
      </c>
      <c r="J45" s="599"/>
      <c r="K45" s="599"/>
      <c r="L45" s="599"/>
      <c r="M45" s="599"/>
      <c r="N45" s="599"/>
      <c r="O45" s="599"/>
      <c r="P45" s="599"/>
      <c r="Q45" s="882">
        <f t="shared" si="1"/>
        <v>0</v>
      </c>
      <c r="R45" s="599">
        <v>0</v>
      </c>
      <c r="S45" s="882">
        <f t="shared" si="0"/>
        <v>0</v>
      </c>
      <c r="T45" s="599">
        <f t="shared" si="0"/>
        <v>0</v>
      </c>
      <c r="U45" s="620"/>
      <c r="V45" s="621"/>
      <c r="W45" s="882">
        <f t="shared" si="2"/>
        <v>0</v>
      </c>
      <c r="X45" s="882">
        <f t="shared" si="3"/>
        <v>0</v>
      </c>
    </row>
    <row r="46" spans="1:24" ht="27" customHeight="1">
      <c r="A46" s="583"/>
      <c r="B46" s="583">
        <v>1009</v>
      </c>
      <c r="C46" s="581">
        <v>10</v>
      </c>
      <c r="D46" s="582" t="s">
        <v>1576</v>
      </c>
      <c r="E46" s="583" t="s">
        <v>1577</v>
      </c>
      <c r="F46" s="599"/>
      <c r="G46" s="599"/>
      <c r="H46" s="599"/>
      <c r="I46" s="599"/>
      <c r="J46" s="599"/>
      <c r="K46" s="599"/>
      <c r="L46" s="599"/>
      <c r="M46" s="599"/>
      <c r="N46" s="599"/>
      <c r="O46" s="599"/>
      <c r="P46" s="599"/>
      <c r="Q46" s="882">
        <f t="shared" si="1"/>
        <v>0</v>
      </c>
      <c r="R46" s="599">
        <v>0</v>
      </c>
      <c r="S46" s="882">
        <f t="shared" si="0"/>
        <v>0</v>
      </c>
      <c r="T46" s="599">
        <f t="shared" si="0"/>
        <v>0</v>
      </c>
      <c r="U46" s="620"/>
      <c r="V46" s="621"/>
      <c r="W46" s="882">
        <f t="shared" si="2"/>
        <v>0</v>
      </c>
      <c r="X46" s="882">
        <f t="shared" si="3"/>
        <v>0</v>
      </c>
    </row>
    <row r="47" spans="1:24" ht="27" customHeight="1">
      <c r="A47" s="583"/>
      <c r="B47" s="583">
        <v>401</v>
      </c>
      <c r="C47" s="581">
        <v>4</v>
      </c>
      <c r="D47" s="582" t="s">
        <v>1089</v>
      </c>
      <c r="E47" s="583" t="s">
        <v>957</v>
      </c>
      <c r="F47" s="599">
        <v>7172677658</v>
      </c>
      <c r="G47" s="599">
        <f>19425020756-20153332050</f>
        <v>-728311294</v>
      </c>
      <c r="H47" s="599">
        <v>0</v>
      </c>
      <c r="I47" s="599">
        <v>-6333769370</v>
      </c>
      <c r="J47" s="599">
        <v>-110596994</v>
      </c>
      <c r="K47" s="599"/>
      <c r="L47" s="599"/>
      <c r="M47" s="599"/>
      <c r="N47" s="599"/>
      <c r="O47" s="599"/>
      <c r="P47" s="599"/>
      <c r="Q47" s="882">
        <f t="shared" si="1"/>
        <v>0</v>
      </c>
      <c r="R47" s="599">
        <v>0</v>
      </c>
      <c r="S47" s="882">
        <f t="shared" si="0"/>
        <v>0</v>
      </c>
      <c r="T47" s="599">
        <f t="shared" si="0"/>
        <v>0</v>
      </c>
      <c r="U47" s="620"/>
      <c r="V47" s="621"/>
      <c r="W47" s="882">
        <f t="shared" si="2"/>
        <v>0</v>
      </c>
      <c r="X47" s="882">
        <f t="shared" si="3"/>
        <v>0</v>
      </c>
    </row>
    <row r="48" spans="1:24" ht="27" customHeight="1">
      <c r="A48" s="583"/>
      <c r="B48" s="583">
        <v>401</v>
      </c>
      <c r="C48" s="581">
        <v>4</v>
      </c>
      <c r="D48" s="582" t="s">
        <v>1578</v>
      </c>
      <c r="E48" s="583" t="s">
        <v>957</v>
      </c>
      <c r="F48" s="599">
        <v>-20</v>
      </c>
      <c r="G48" s="599"/>
      <c r="H48" s="599"/>
      <c r="I48" s="599"/>
      <c r="J48" s="599"/>
      <c r="K48" s="599"/>
      <c r="L48" s="599"/>
      <c r="M48" s="599"/>
      <c r="N48" s="599"/>
      <c r="O48" s="599"/>
      <c r="P48" s="599"/>
      <c r="Q48" s="882">
        <f t="shared" si="1"/>
        <v>-20</v>
      </c>
      <c r="R48" s="599">
        <v>0</v>
      </c>
      <c r="S48" s="882">
        <f t="shared" si="0"/>
        <v>0</v>
      </c>
      <c r="T48" s="599">
        <f t="shared" si="0"/>
        <v>0</v>
      </c>
      <c r="U48" s="620"/>
      <c r="V48" s="621"/>
      <c r="W48" s="882">
        <f t="shared" si="2"/>
        <v>-20</v>
      </c>
      <c r="X48" s="882">
        <f t="shared" si="3"/>
        <v>0</v>
      </c>
    </row>
    <row r="49" spans="1:24" ht="27" customHeight="1">
      <c r="A49" s="583"/>
      <c r="B49" s="583">
        <v>1009</v>
      </c>
      <c r="C49" s="581">
        <v>10</v>
      </c>
      <c r="D49" s="582" t="s">
        <v>1332</v>
      </c>
      <c r="E49" s="583" t="s">
        <v>1331</v>
      </c>
      <c r="F49" s="599">
        <v>0</v>
      </c>
      <c r="G49" s="599"/>
      <c r="H49" s="599"/>
      <c r="I49" s="599"/>
      <c r="J49" s="599"/>
      <c r="K49" s="599"/>
      <c r="L49" s="599"/>
      <c r="M49" s="599"/>
      <c r="N49" s="599"/>
      <c r="O49" s="599"/>
      <c r="P49" s="599"/>
      <c r="Q49" s="882">
        <f t="shared" si="1"/>
        <v>0</v>
      </c>
      <c r="R49" s="599">
        <v>-11700000</v>
      </c>
      <c r="S49" s="882">
        <f t="shared" si="0"/>
        <v>0</v>
      </c>
      <c r="T49" s="599">
        <f t="shared" si="0"/>
        <v>-12</v>
      </c>
      <c r="U49" s="620"/>
      <c r="V49" s="621"/>
      <c r="W49" s="882">
        <f t="shared" si="2"/>
        <v>0</v>
      </c>
      <c r="X49" s="882">
        <f t="shared" si="3"/>
        <v>0</v>
      </c>
    </row>
    <row r="50" spans="1:24" ht="27" customHeight="1">
      <c r="A50" s="583"/>
      <c r="B50" s="583">
        <v>401</v>
      </c>
      <c r="C50" s="581">
        <v>4</v>
      </c>
      <c r="D50" s="582" t="s">
        <v>216</v>
      </c>
      <c r="E50" s="583" t="s">
        <v>706</v>
      </c>
      <c r="F50" s="599">
        <v>115627578</v>
      </c>
      <c r="G50" s="599"/>
      <c r="H50" s="599"/>
      <c r="I50" s="599"/>
      <c r="J50" s="599"/>
      <c r="K50" s="599"/>
      <c r="L50" s="599"/>
      <c r="M50" s="599"/>
      <c r="N50" s="599"/>
      <c r="O50" s="599"/>
      <c r="P50" s="599"/>
      <c r="Q50" s="882">
        <f t="shared" si="1"/>
        <v>115627578</v>
      </c>
      <c r="R50" s="599">
        <v>2528129786</v>
      </c>
      <c r="S50" s="882">
        <f t="shared" si="0"/>
        <v>116</v>
      </c>
      <c r="T50" s="599">
        <f t="shared" si="0"/>
        <v>2528</v>
      </c>
      <c r="U50" s="620"/>
      <c r="V50" s="621"/>
      <c r="W50" s="882">
        <f t="shared" si="2"/>
        <v>115627578</v>
      </c>
      <c r="X50" s="882">
        <f t="shared" si="3"/>
        <v>116</v>
      </c>
    </row>
    <row r="51" spans="1:24" ht="27" customHeight="1">
      <c r="A51" s="583"/>
      <c r="B51" s="583">
        <v>1009</v>
      </c>
      <c r="C51" s="581">
        <v>10</v>
      </c>
      <c r="D51" s="582" t="s">
        <v>562</v>
      </c>
      <c r="E51" s="583" t="s">
        <v>705</v>
      </c>
      <c r="F51" s="599"/>
      <c r="G51" s="599"/>
      <c r="H51" s="599"/>
      <c r="I51" s="599"/>
      <c r="J51" s="599"/>
      <c r="K51" s="599"/>
      <c r="L51" s="599"/>
      <c r="M51" s="599"/>
      <c r="N51" s="599"/>
      <c r="O51" s="599"/>
      <c r="P51" s="599"/>
      <c r="Q51" s="882">
        <f t="shared" si="1"/>
        <v>0</v>
      </c>
      <c r="R51" s="599">
        <v>0</v>
      </c>
      <c r="S51" s="882">
        <f t="shared" si="0"/>
        <v>0</v>
      </c>
      <c r="T51" s="599">
        <f t="shared" si="0"/>
        <v>0</v>
      </c>
      <c r="U51" s="620"/>
      <c r="V51" s="621"/>
      <c r="W51" s="882">
        <f t="shared" si="2"/>
        <v>0</v>
      </c>
      <c r="X51" s="882">
        <f t="shared" si="3"/>
        <v>0</v>
      </c>
    </row>
    <row r="52" spans="1:24" ht="27" customHeight="1">
      <c r="A52" s="583"/>
      <c r="B52" s="583">
        <v>401</v>
      </c>
      <c r="C52" s="581">
        <v>4</v>
      </c>
      <c r="D52" s="582" t="s">
        <v>564</v>
      </c>
      <c r="E52" s="583" t="s">
        <v>704</v>
      </c>
      <c r="F52" s="599">
        <v>74393788</v>
      </c>
      <c r="G52" s="599">
        <v>-4282909</v>
      </c>
      <c r="H52" s="599"/>
      <c r="I52" s="599"/>
      <c r="J52" s="599"/>
      <c r="K52" s="599"/>
      <c r="L52" s="599"/>
      <c r="M52" s="599"/>
      <c r="N52" s="599"/>
      <c r="O52" s="599"/>
      <c r="P52" s="599"/>
      <c r="Q52" s="882">
        <f t="shared" si="1"/>
        <v>70110879</v>
      </c>
      <c r="R52" s="599">
        <v>162115039</v>
      </c>
      <c r="S52" s="882">
        <f t="shared" si="0"/>
        <v>70</v>
      </c>
      <c r="T52" s="599">
        <f t="shared" si="0"/>
        <v>162</v>
      </c>
      <c r="U52" s="620"/>
      <c r="V52" s="621"/>
      <c r="W52" s="882">
        <f t="shared" si="2"/>
        <v>70110879</v>
      </c>
      <c r="X52" s="882">
        <f t="shared" si="3"/>
        <v>70</v>
      </c>
    </row>
    <row r="53" spans="1:24" ht="27" customHeight="1">
      <c r="A53" s="583"/>
      <c r="B53" s="583">
        <v>401</v>
      </c>
      <c r="C53" s="581">
        <v>4</v>
      </c>
      <c r="D53" s="582" t="s">
        <v>184</v>
      </c>
      <c r="E53" s="583" t="s">
        <v>832</v>
      </c>
      <c r="F53" s="599">
        <v>933444</v>
      </c>
      <c r="G53" s="599"/>
      <c r="H53" s="599"/>
      <c r="I53" s="599"/>
      <c r="J53" s="599"/>
      <c r="K53" s="599"/>
      <c r="L53" s="599"/>
      <c r="M53" s="599"/>
      <c r="N53" s="599"/>
      <c r="O53" s="599"/>
      <c r="P53" s="599"/>
      <c r="Q53" s="882">
        <f t="shared" si="1"/>
        <v>933444</v>
      </c>
      <c r="R53" s="599">
        <v>1733436</v>
      </c>
      <c r="S53" s="882">
        <f t="shared" si="0"/>
        <v>1</v>
      </c>
      <c r="T53" s="599">
        <f t="shared" si="0"/>
        <v>2</v>
      </c>
      <c r="U53" s="620"/>
      <c r="V53" s="621"/>
      <c r="W53" s="882">
        <f t="shared" si="2"/>
        <v>933444</v>
      </c>
      <c r="X53" s="882">
        <f t="shared" si="3"/>
        <v>1</v>
      </c>
    </row>
    <row r="54" spans="1:24" ht="27" customHeight="1">
      <c r="A54" s="583"/>
      <c r="B54" s="583">
        <v>401</v>
      </c>
      <c r="C54" s="581">
        <v>4</v>
      </c>
      <c r="D54" s="582" t="s">
        <v>479</v>
      </c>
      <c r="E54" s="583" t="s">
        <v>701</v>
      </c>
      <c r="F54" s="599">
        <v>23565275</v>
      </c>
      <c r="G54" s="599">
        <v>201516895</v>
      </c>
      <c r="H54" s="599"/>
      <c r="I54" s="599"/>
      <c r="J54" s="599"/>
      <c r="K54" s="599"/>
      <c r="L54" s="599"/>
      <c r="M54" s="599"/>
      <c r="N54" s="599"/>
      <c r="O54" s="599"/>
      <c r="P54" s="599"/>
      <c r="Q54" s="882">
        <f t="shared" si="1"/>
        <v>225082170</v>
      </c>
      <c r="R54" s="599">
        <v>1615930496</v>
      </c>
      <c r="S54" s="882">
        <f t="shared" si="0"/>
        <v>225</v>
      </c>
      <c r="T54" s="599">
        <f t="shared" si="0"/>
        <v>1616</v>
      </c>
      <c r="U54" s="620"/>
      <c r="V54" s="621"/>
      <c r="W54" s="882">
        <f t="shared" si="2"/>
        <v>225082170</v>
      </c>
      <c r="X54" s="882">
        <f t="shared" si="3"/>
        <v>225</v>
      </c>
    </row>
    <row r="55" spans="1:24" ht="27" customHeight="1">
      <c r="A55" s="583"/>
      <c r="B55" s="583">
        <v>401</v>
      </c>
      <c r="C55" s="581">
        <v>4</v>
      </c>
      <c r="D55" s="582" t="s">
        <v>480</v>
      </c>
      <c r="E55" s="583" t="s">
        <v>702</v>
      </c>
      <c r="F55" s="599"/>
      <c r="G55" s="599"/>
      <c r="H55" s="599"/>
      <c r="I55" s="599"/>
      <c r="J55" s="599"/>
      <c r="K55" s="599"/>
      <c r="L55" s="599"/>
      <c r="M55" s="599"/>
      <c r="N55" s="599"/>
      <c r="O55" s="599"/>
      <c r="P55" s="599"/>
      <c r="Q55" s="882">
        <f t="shared" si="1"/>
        <v>0</v>
      </c>
      <c r="R55" s="599">
        <v>0</v>
      </c>
      <c r="S55" s="882">
        <f t="shared" si="0"/>
        <v>0</v>
      </c>
      <c r="T55" s="599">
        <f t="shared" si="0"/>
        <v>0</v>
      </c>
      <c r="U55" s="620"/>
      <c r="V55" s="621"/>
      <c r="W55" s="882">
        <f t="shared" si="2"/>
        <v>0</v>
      </c>
      <c r="X55" s="882">
        <f t="shared" si="3"/>
        <v>0</v>
      </c>
    </row>
    <row r="56" spans="1:24" ht="27" customHeight="1">
      <c r="A56" s="583"/>
      <c r="B56" s="583">
        <v>1009</v>
      </c>
      <c r="C56" s="581">
        <v>10</v>
      </c>
      <c r="D56" s="582" t="s">
        <v>481</v>
      </c>
      <c r="E56" s="583" t="s">
        <v>1333</v>
      </c>
      <c r="F56" s="599">
        <v>0</v>
      </c>
      <c r="G56" s="599"/>
      <c r="H56" s="599"/>
      <c r="I56" s="599"/>
      <c r="J56" s="599"/>
      <c r="K56" s="599"/>
      <c r="L56" s="599"/>
      <c r="M56" s="599"/>
      <c r="N56" s="599"/>
      <c r="O56" s="599"/>
      <c r="P56" s="599"/>
      <c r="Q56" s="882">
        <f t="shared" si="1"/>
        <v>0</v>
      </c>
      <c r="R56" s="599">
        <v>-26600000</v>
      </c>
      <c r="S56" s="882">
        <f t="shared" si="0"/>
        <v>0</v>
      </c>
      <c r="T56" s="599">
        <f t="shared" si="0"/>
        <v>-27</v>
      </c>
      <c r="U56" s="620"/>
      <c r="V56" s="621"/>
      <c r="W56" s="882">
        <f t="shared" si="2"/>
        <v>0</v>
      </c>
      <c r="X56" s="882">
        <f t="shared" si="3"/>
        <v>0</v>
      </c>
    </row>
    <row r="57" spans="1:24" ht="27" customHeight="1">
      <c r="A57" s="583"/>
      <c r="B57" s="583">
        <v>401</v>
      </c>
      <c r="C57" s="581">
        <v>4</v>
      </c>
      <c r="D57" s="582" t="s">
        <v>220</v>
      </c>
      <c r="E57" s="583" t="s">
        <v>703</v>
      </c>
      <c r="F57" s="599"/>
      <c r="G57" s="599"/>
      <c r="H57" s="599"/>
      <c r="I57" s="599"/>
      <c r="J57" s="599"/>
      <c r="K57" s="599"/>
      <c r="L57" s="599"/>
      <c r="M57" s="599"/>
      <c r="N57" s="599"/>
      <c r="O57" s="599"/>
      <c r="P57" s="599"/>
      <c r="Q57" s="882">
        <f t="shared" si="1"/>
        <v>0</v>
      </c>
      <c r="R57" s="599">
        <v>0</v>
      </c>
      <c r="S57" s="882">
        <f t="shared" si="0"/>
        <v>0</v>
      </c>
      <c r="T57" s="599">
        <f t="shared" si="0"/>
        <v>0</v>
      </c>
      <c r="U57" s="620"/>
      <c r="V57" s="621"/>
      <c r="W57" s="882">
        <f t="shared" si="2"/>
        <v>0</v>
      </c>
      <c r="X57" s="882">
        <f t="shared" si="3"/>
        <v>0</v>
      </c>
    </row>
    <row r="58" spans="1:24" ht="27" customHeight="1">
      <c r="A58" s="583"/>
      <c r="B58" s="583">
        <v>420</v>
      </c>
      <c r="C58" s="581">
        <v>4</v>
      </c>
      <c r="D58" s="582" t="s">
        <v>483</v>
      </c>
      <c r="E58" s="583" t="s">
        <v>1057</v>
      </c>
      <c r="F58" s="599">
        <v>105799293829</v>
      </c>
      <c r="G58" s="599">
        <v>-2050803582</v>
      </c>
      <c r="H58" s="599">
        <f>4072355166-8788530085</f>
        <v>-4716174919</v>
      </c>
      <c r="I58" s="599">
        <v>-7358527524</v>
      </c>
      <c r="J58" s="599"/>
      <c r="K58" s="599"/>
      <c r="L58" s="599"/>
      <c r="M58" s="599"/>
      <c r="N58" s="599"/>
      <c r="O58" s="599"/>
      <c r="P58" s="599"/>
      <c r="Q58" s="882">
        <f t="shared" si="1"/>
        <v>91673787804</v>
      </c>
      <c r="R58" s="599">
        <v>116042911077</v>
      </c>
      <c r="S58" s="882">
        <f t="shared" si="0"/>
        <v>91674</v>
      </c>
      <c r="T58" s="599">
        <f t="shared" si="0"/>
        <v>116043</v>
      </c>
      <c r="U58" s="620"/>
      <c r="V58" s="621"/>
      <c r="W58" s="882">
        <f t="shared" si="2"/>
        <v>91673787804</v>
      </c>
      <c r="X58" s="882">
        <f t="shared" si="3"/>
        <v>91674</v>
      </c>
    </row>
    <row r="59" spans="1:24" ht="27" customHeight="1">
      <c r="A59" s="583"/>
      <c r="B59" s="583">
        <v>401</v>
      </c>
      <c r="C59" s="581">
        <v>4</v>
      </c>
      <c r="D59" s="582" t="s">
        <v>483</v>
      </c>
      <c r="E59" s="583" t="s">
        <v>1159</v>
      </c>
      <c r="F59" s="599"/>
      <c r="G59" s="599"/>
      <c r="H59" s="599"/>
      <c r="I59" s="599"/>
      <c r="J59" s="599"/>
      <c r="K59" s="599"/>
      <c r="L59" s="599"/>
      <c r="M59" s="599"/>
      <c r="N59" s="599"/>
      <c r="O59" s="599"/>
      <c r="P59" s="599"/>
      <c r="Q59" s="882">
        <f t="shared" si="1"/>
        <v>0</v>
      </c>
      <c r="R59" s="599">
        <v>0</v>
      </c>
      <c r="S59" s="882">
        <f t="shared" si="0"/>
        <v>0</v>
      </c>
      <c r="T59" s="599">
        <f t="shared" si="0"/>
        <v>0</v>
      </c>
      <c r="U59" s="620"/>
      <c r="V59" s="621"/>
      <c r="W59" s="882">
        <f t="shared" si="2"/>
        <v>0</v>
      </c>
      <c r="X59" s="882">
        <f t="shared" si="3"/>
        <v>0</v>
      </c>
    </row>
    <row r="60" spans="1:24" ht="27" customHeight="1">
      <c r="A60" s="583"/>
      <c r="B60" s="583">
        <v>401</v>
      </c>
      <c r="C60" s="581">
        <v>4</v>
      </c>
      <c r="D60" s="582" t="s">
        <v>0</v>
      </c>
      <c r="E60" s="583" t="s">
        <v>1090</v>
      </c>
      <c r="F60" s="599"/>
      <c r="G60" s="599"/>
      <c r="H60" s="599"/>
      <c r="I60" s="599"/>
      <c r="J60" s="599"/>
      <c r="K60" s="599"/>
      <c r="L60" s="599"/>
      <c r="M60" s="599"/>
      <c r="N60" s="599"/>
      <c r="O60" s="599"/>
      <c r="P60" s="599"/>
      <c r="Q60" s="882">
        <f t="shared" si="1"/>
        <v>0</v>
      </c>
      <c r="R60" s="599">
        <v>0</v>
      </c>
      <c r="S60" s="882">
        <f t="shared" si="0"/>
        <v>0</v>
      </c>
      <c r="T60" s="599">
        <f t="shared" si="0"/>
        <v>0</v>
      </c>
      <c r="U60" s="620"/>
      <c r="V60" s="621"/>
      <c r="W60" s="882">
        <f t="shared" si="2"/>
        <v>0</v>
      </c>
      <c r="X60" s="882">
        <f t="shared" si="3"/>
        <v>0</v>
      </c>
    </row>
    <row r="61" spans="1:24" ht="27" customHeight="1">
      <c r="A61" s="583"/>
      <c r="B61" s="583">
        <v>401</v>
      </c>
      <c r="C61" s="581">
        <v>4</v>
      </c>
      <c r="D61" s="582" t="s">
        <v>224</v>
      </c>
      <c r="E61" s="583" t="s">
        <v>474</v>
      </c>
      <c r="F61" s="599">
        <v>737860860</v>
      </c>
      <c r="G61" s="599">
        <v>-15799591</v>
      </c>
      <c r="H61" s="599"/>
      <c r="I61" s="599">
        <v>-36240300</v>
      </c>
      <c r="J61" s="599"/>
      <c r="K61" s="599"/>
      <c r="L61" s="599"/>
      <c r="M61" s="599"/>
      <c r="N61" s="599"/>
      <c r="O61" s="599"/>
      <c r="P61" s="599"/>
      <c r="Q61" s="882">
        <f t="shared" si="1"/>
        <v>685820969</v>
      </c>
      <c r="R61" s="599">
        <v>1865663644</v>
      </c>
      <c r="S61" s="882">
        <f t="shared" si="0"/>
        <v>686</v>
      </c>
      <c r="T61" s="599">
        <f t="shared" si="0"/>
        <v>1866</v>
      </c>
      <c r="U61" s="620"/>
      <c r="V61" s="621"/>
      <c r="W61" s="882">
        <f t="shared" si="2"/>
        <v>685820969</v>
      </c>
      <c r="X61" s="882">
        <f t="shared" si="3"/>
        <v>686</v>
      </c>
    </row>
    <row r="62" spans="1:24" ht="27" customHeight="1">
      <c r="A62" s="583"/>
      <c r="B62" s="583">
        <v>401</v>
      </c>
      <c r="C62" s="581">
        <v>4</v>
      </c>
      <c r="D62" s="582" t="s">
        <v>1234</v>
      </c>
      <c r="E62" s="583" t="s">
        <v>1235</v>
      </c>
      <c r="F62" s="599">
        <v>8710000000</v>
      </c>
      <c r="G62" s="599">
        <v>0</v>
      </c>
      <c r="H62" s="599"/>
      <c r="I62" s="599"/>
      <c r="J62" s="599"/>
      <c r="K62" s="599"/>
      <c r="L62" s="599"/>
      <c r="M62" s="599"/>
      <c r="N62" s="599"/>
      <c r="O62" s="599"/>
      <c r="P62" s="599"/>
      <c r="Q62" s="882">
        <f t="shared" si="1"/>
        <v>8710000000</v>
      </c>
      <c r="R62" s="599">
        <v>4060000000</v>
      </c>
      <c r="S62" s="882">
        <f t="shared" si="0"/>
        <v>8710</v>
      </c>
      <c r="T62" s="599">
        <f t="shared" si="0"/>
        <v>4060</v>
      </c>
      <c r="U62" s="620"/>
      <c r="V62" s="621"/>
      <c r="W62" s="882">
        <f t="shared" si="2"/>
        <v>8710000000</v>
      </c>
      <c r="X62" s="882">
        <f t="shared" si="3"/>
        <v>8710</v>
      </c>
    </row>
    <row r="63" spans="1:24" ht="27" customHeight="1">
      <c r="A63" s="583"/>
      <c r="B63" s="583">
        <v>401</v>
      </c>
      <c r="C63" s="581">
        <v>4</v>
      </c>
      <c r="D63" s="582" t="s">
        <v>1606</v>
      </c>
      <c r="E63" s="583" t="s">
        <v>1607</v>
      </c>
      <c r="F63" s="599">
        <v>-195700000</v>
      </c>
      <c r="G63" s="599">
        <v>140500000</v>
      </c>
      <c r="H63" s="599"/>
      <c r="I63" s="599">
        <v>55200000</v>
      </c>
      <c r="J63" s="599"/>
      <c r="K63" s="599"/>
      <c r="L63" s="599"/>
      <c r="M63" s="599"/>
      <c r="N63" s="599"/>
      <c r="O63" s="599"/>
      <c r="P63" s="599"/>
      <c r="Q63" s="882">
        <f t="shared" si="1"/>
        <v>0</v>
      </c>
      <c r="R63" s="599"/>
      <c r="S63" s="882">
        <f t="shared" si="0"/>
        <v>0</v>
      </c>
      <c r="T63" s="599">
        <f t="shared" si="0"/>
        <v>0</v>
      </c>
      <c r="U63" s="620"/>
      <c r="V63" s="621"/>
      <c r="W63" s="882">
        <f t="shared" si="2"/>
        <v>0</v>
      </c>
      <c r="X63" s="882">
        <f t="shared" si="3"/>
        <v>0</v>
      </c>
    </row>
    <row r="64" spans="1:24" ht="27" customHeight="1">
      <c r="A64" s="583"/>
      <c r="B64" s="583">
        <v>401</v>
      </c>
      <c r="C64" s="581">
        <v>4</v>
      </c>
      <c r="D64" s="582" t="s">
        <v>2</v>
      </c>
      <c r="E64" s="583" t="s">
        <v>877</v>
      </c>
      <c r="F64" s="599">
        <v>-6102932452</v>
      </c>
      <c r="G64" s="599">
        <v>2139390512</v>
      </c>
      <c r="H64" s="599">
        <f>8504230318-3735688493</f>
        <v>4768541825</v>
      </c>
      <c r="I64" s="599">
        <v>7358527524</v>
      </c>
      <c r="J64" s="599"/>
      <c r="K64" s="599"/>
      <c r="L64" s="599"/>
      <c r="M64" s="599"/>
      <c r="N64" s="599"/>
      <c r="O64" s="599"/>
      <c r="P64" s="599"/>
      <c r="Q64" s="882">
        <f t="shared" si="1"/>
        <v>8163527409</v>
      </c>
      <c r="R64" s="599">
        <v>698192619</v>
      </c>
      <c r="S64" s="882">
        <f t="shared" si="0"/>
        <v>8164</v>
      </c>
      <c r="T64" s="599">
        <f t="shared" si="0"/>
        <v>698</v>
      </c>
      <c r="U64" s="620"/>
      <c r="V64" s="621"/>
      <c r="W64" s="882">
        <f t="shared" si="2"/>
        <v>8163527409</v>
      </c>
      <c r="X64" s="882">
        <f t="shared" si="3"/>
        <v>8164</v>
      </c>
    </row>
    <row r="65" spans="1:24" ht="27" customHeight="1">
      <c r="A65" s="583"/>
      <c r="B65" s="583">
        <v>406</v>
      </c>
      <c r="C65" s="581">
        <v>4</v>
      </c>
      <c r="D65" s="582" t="s">
        <v>476</v>
      </c>
      <c r="E65" s="583" t="s">
        <v>1174</v>
      </c>
      <c r="F65" s="599"/>
      <c r="G65" s="599"/>
      <c r="H65" s="599"/>
      <c r="I65" s="599"/>
      <c r="J65" s="599"/>
      <c r="K65" s="599"/>
      <c r="L65" s="599"/>
      <c r="M65" s="599"/>
      <c r="N65" s="599"/>
      <c r="O65" s="599"/>
      <c r="P65" s="599"/>
      <c r="Q65" s="882">
        <f t="shared" si="1"/>
        <v>0</v>
      </c>
      <c r="R65" s="599">
        <v>1200000</v>
      </c>
      <c r="S65" s="882">
        <f t="shared" si="0"/>
        <v>0</v>
      </c>
      <c r="T65" s="599">
        <f t="shared" si="0"/>
        <v>1</v>
      </c>
      <c r="U65" s="620"/>
      <c r="V65" s="621"/>
      <c r="W65" s="882">
        <f t="shared" si="2"/>
        <v>0</v>
      </c>
      <c r="X65" s="882">
        <f t="shared" si="3"/>
        <v>0</v>
      </c>
    </row>
    <row r="66" spans="1:24" ht="27" customHeight="1">
      <c r="A66" s="583"/>
      <c r="B66" s="583">
        <v>1009</v>
      </c>
      <c r="C66" s="581">
        <v>10</v>
      </c>
      <c r="D66" s="582" t="s">
        <v>3</v>
      </c>
      <c r="E66" s="583" t="s">
        <v>938</v>
      </c>
      <c r="F66" s="599"/>
      <c r="G66" s="599"/>
      <c r="H66" s="599"/>
      <c r="I66" s="599"/>
      <c r="J66" s="599"/>
      <c r="K66" s="599"/>
      <c r="L66" s="599"/>
      <c r="M66" s="599"/>
      <c r="N66" s="599"/>
      <c r="O66" s="599"/>
      <c r="P66" s="599"/>
      <c r="Q66" s="882">
        <f t="shared" si="1"/>
        <v>0</v>
      </c>
      <c r="R66" s="599">
        <v>0</v>
      </c>
      <c r="S66" s="882">
        <f t="shared" si="0"/>
        <v>0</v>
      </c>
      <c r="T66" s="599">
        <f t="shared" si="0"/>
        <v>0</v>
      </c>
      <c r="U66" s="620"/>
      <c r="V66" s="621"/>
      <c r="W66" s="882">
        <f t="shared" si="2"/>
        <v>0</v>
      </c>
      <c r="X66" s="882">
        <f t="shared" si="3"/>
        <v>0</v>
      </c>
    </row>
    <row r="67" spans="1:24" ht="27" customHeight="1">
      <c r="A67" s="583"/>
      <c r="B67" s="583">
        <v>1009</v>
      </c>
      <c r="C67" s="581">
        <v>10</v>
      </c>
      <c r="D67" s="582" t="s">
        <v>4</v>
      </c>
      <c r="E67" s="583" t="s">
        <v>440</v>
      </c>
      <c r="F67" s="599">
        <v>-88306070502</v>
      </c>
      <c r="G67" s="599"/>
      <c r="H67" s="599"/>
      <c r="I67" s="599"/>
      <c r="J67" s="599"/>
      <c r="K67" s="599"/>
      <c r="L67" s="599"/>
      <c r="M67" s="599"/>
      <c r="N67" s="599"/>
      <c r="O67" s="599"/>
      <c r="P67" s="599"/>
      <c r="Q67" s="882">
        <f t="shared" si="1"/>
        <v>-88306070502</v>
      </c>
      <c r="R67" s="599">
        <v>0</v>
      </c>
      <c r="S67" s="882">
        <f t="shared" si="0"/>
        <v>-88306</v>
      </c>
      <c r="T67" s="599">
        <f t="shared" si="0"/>
        <v>0</v>
      </c>
      <c r="U67" s="620"/>
      <c r="V67" s="621"/>
      <c r="W67" s="882">
        <f t="shared" si="2"/>
        <v>-88306070502</v>
      </c>
      <c r="X67" s="882">
        <f t="shared" si="3"/>
        <v>-88306</v>
      </c>
    </row>
    <row r="68" spans="1:24" ht="27" customHeight="1">
      <c r="A68" s="583"/>
      <c r="B68" s="583">
        <v>401</v>
      </c>
      <c r="C68" s="581">
        <v>4</v>
      </c>
      <c r="D68" s="582" t="s">
        <v>441</v>
      </c>
      <c r="E68" s="583" t="s">
        <v>442</v>
      </c>
      <c r="F68" s="599">
        <v>452785964</v>
      </c>
      <c r="G68" s="599"/>
      <c r="H68" s="599"/>
      <c r="I68" s="599"/>
      <c r="J68" s="599"/>
      <c r="K68" s="599"/>
      <c r="L68" s="599"/>
      <c r="M68" s="599"/>
      <c r="N68" s="599"/>
      <c r="O68" s="599"/>
      <c r="P68" s="599"/>
      <c r="Q68" s="882">
        <f t="shared" ref="Q68:Q131" si="4">SUM(F68:P68)</f>
        <v>452785964</v>
      </c>
      <c r="R68" s="599">
        <v>1603005968</v>
      </c>
      <c r="S68" s="882">
        <f t="shared" si="0"/>
        <v>453</v>
      </c>
      <c r="T68" s="599">
        <f t="shared" si="0"/>
        <v>1603</v>
      </c>
      <c r="U68" s="620"/>
      <c r="V68" s="621"/>
      <c r="W68" s="882">
        <f t="shared" si="2"/>
        <v>452785964</v>
      </c>
      <c r="X68" s="882">
        <f t="shared" ref="X68:X131" si="5">ROUND((W68/1000000),0)</f>
        <v>453</v>
      </c>
    </row>
    <row r="69" spans="1:24" ht="27" customHeight="1">
      <c r="A69" s="583"/>
      <c r="B69" s="583">
        <v>1009</v>
      </c>
      <c r="C69" s="581">
        <v>10</v>
      </c>
      <c r="D69" s="582" t="s">
        <v>5</v>
      </c>
      <c r="E69" s="583" t="s">
        <v>828</v>
      </c>
      <c r="F69" s="599"/>
      <c r="G69" s="599"/>
      <c r="H69" s="599"/>
      <c r="I69" s="599"/>
      <c r="J69" s="599"/>
      <c r="K69" s="599"/>
      <c r="L69" s="599"/>
      <c r="M69" s="599"/>
      <c r="N69" s="599"/>
      <c r="O69" s="599"/>
      <c r="P69" s="599"/>
      <c r="Q69" s="882">
        <f t="shared" si="4"/>
        <v>0</v>
      </c>
      <c r="R69" s="599">
        <v>0</v>
      </c>
      <c r="S69" s="882">
        <f t="shared" si="0"/>
        <v>0</v>
      </c>
      <c r="T69" s="599">
        <f t="shared" si="0"/>
        <v>0</v>
      </c>
      <c r="U69" s="620"/>
      <c r="V69" s="621"/>
      <c r="W69" s="882">
        <f t="shared" si="2"/>
        <v>0</v>
      </c>
      <c r="X69" s="882">
        <f t="shared" si="5"/>
        <v>0</v>
      </c>
    </row>
    <row r="70" spans="1:24" ht="27" customHeight="1">
      <c r="A70" s="583"/>
      <c r="B70" s="583">
        <v>406</v>
      </c>
      <c r="C70" s="581">
        <v>4</v>
      </c>
      <c r="D70" s="582" t="s">
        <v>1334</v>
      </c>
      <c r="E70" s="583" t="s">
        <v>1611</v>
      </c>
      <c r="F70" s="599">
        <v>90227951830</v>
      </c>
      <c r="G70" s="599"/>
      <c r="H70" s="599"/>
      <c r="I70" s="599"/>
      <c r="J70" s="599"/>
      <c r="K70" s="599"/>
      <c r="L70" s="599"/>
      <c r="M70" s="599"/>
      <c r="N70" s="599"/>
      <c r="O70" s="599"/>
      <c r="P70" s="599"/>
      <c r="Q70" s="882">
        <f t="shared" si="4"/>
        <v>90227951830</v>
      </c>
      <c r="R70" s="599">
        <v>2278495063</v>
      </c>
      <c r="S70" s="882">
        <f t="shared" si="0"/>
        <v>90228</v>
      </c>
      <c r="T70" s="599">
        <f t="shared" si="0"/>
        <v>2278</v>
      </c>
      <c r="U70" s="620"/>
      <c r="V70" s="621"/>
      <c r="W70" s="882">
        <f t="shared" si="2"/>
        <v>90227951830</v>
      </c>
      <c r="X70" s="882">
        <f t="shared" si="5"/>
        <v>90228</v>
      </c>
    </row>
    <row r="71" spans="1:24" ht="27" customHeight="1">
      <c r="A71" s="583"/>
      <c r="B71" s="583">
        <v>1009</v>
      </c>
      <c r="C71" s="581">
        <v>10</v>
      </c>
      <c r="D71" s="582" t="s">
        <v>878</v>
      </c>
      <c r="E71" s="583" t="s">
        <v>879</v>
      </c>
      <c r="F71" s="599">
        <v>-96415434</v>
      </c>
      <c r="G71" s="599"/>
      <c r="H71" s="599"/>
      <c r="I71" s="599"/>
      <c r="J71" s="599">
        <f>96415434</f>
        <v>96415434</v>
      </c>
      <c r="K71" s="599"/>
      <c r="L71" s="599"/>
      <c r="M71" s="599"/>
      <c r="N71" s="599"/>
      <c r="O71" s="599"/>
      <c r="P71" s="599"/>
      <c r="Q71" s="882">
        <f t="shared" si="4"/>
        <v>0</v>
      </c>
      <c r="R71" s="599">
        <v>0</v>
      </c>
      <c r="S71" s="882">
        <f t="shared" si="0"/>
        <v>0</v>
      </c>
      <c r="T71" s="599">
        <f t="shared" si="0"/>
        <v>0</v>
      </c>
      <c r="U71" s="620"/>
      <c r="V71" s="621"/>
      <c r="W71" s="882">
        <f t="shared" si="2"/>
        <v>0</v>
      </c>
      <c r="X71" s="882">
        <f t="shared" si="5"/>
        <v>0</v>
      </c>
    </row>
    <row r="72" spans="1:24" ht="27" customHeight="1">
      <c r="A72" s="583"/>
      <c r="B72" s="583">
        <v>1009</v>
      </c>
      <c r="C72" s="581">
        <v>10</v>
      </c>
      <c r="D72" s="582" t="s">
        <v>1236</v>
      </c>
      <c r="E72" s="583" t="s">
        <v>1237</v>
      </c>
      <c r="F72" s="599">
        <v>-13214267</v>
      </c>
      <c r="G72" s="599"/>
      <c r="H72" s="599"/>
      <c r="I72" s="599">
        <v>-15290000</v>
      </c>
      <c r="J72" s="599"/>
      <c r="K72" s="599"/>
      <c r="L72" s="599"/>
      <c r="M72" s="599"/>
      <c r="N72" s="599"/>
      <c r="O72" s="599"/>
      <c r="P72" s="599"/>
      <c r="Q72" s="882">
        <f t="shared" si="4"/>
        <v>-28504267</v>
      </c>
      <c r="R72" s="599">
        <v>-48364267</v>
      </c>
      <c r="S72" s="882">
        <f t="shared" ref="S72:T135" si="6">ROUND((Q72/1000000),0)</f>
        <v>-29</v>
      </c>
      <c r="T72" s="599">
        <f t="shared" si="6"/>
        <v>-48</v>
      </c>
      <c r="U72" s="620"/>
      <c r="V72" s="621"/>
      <c r="W72" s="882">
        <f t="shared" si="2"/>
        <v>-28504267</v>
      </c>
      <c r="X72" s="882">
        <f t="shared" si="5"/>
        <v>-29</v>
      </c>
    </row>
    <row r="73" spans="1:24" ht="27" customHeight="1">
      <c r="A73" s="583"/>
      <c r="B73" s="583">
        <v>401</v>
      </c>
      <c r="C73" s="581">
        <v>4</v>
      </c>
      <c r="D73" s="582" t="s">
        <v>1175</v>
      </c>
      <c r="E73" s="583" t="s">
        <v>1168</v>
      </c>
      <c r="F73" s="599">
        <v>-162643378</v>
      </c>
      <c r="G73" s="599"/>
      <c r="H73" s="599"/>
      <c r="I73" s="599"/>
      <c r="J73" s="599"/>
      <c r="K73" s="599"/>
      <c r="L73" s="599"/>
      <c r="M73" s="599"/>
      <c r="N73" s="599"/>
      <c r="O73" s="599"/>
      <c r="P73" s="599"/>
      <c r="Q73" s="882">
        <f t="shared" si="4"/>
        <v>-162643378</v>
      </c>
      <c r="R73" s="599">
        <v>3014740</v>
      </c>
      <c r="S73" s="882">
        <f t="shared" si="6"/>
        <v>-163</v>
      </c>
      <c r="T73" s="599">
        <f t="shared" si="6"/>
        <v>3</v>
      </c>
      <c r="U73" s="620"/>
      <c r="V73" s="621"/>
      <c r="W73" s="882">
        <f t="shared" ref="W73:W136" si="7">Q73+V73-U73</f>
        <v>-162643378</v>
      </c>
      <c r="X73" s="882">
        <f t="shared" si="5"/>
        <v>-163</v>
      </c>
    </row>
    <row r="74" spans="1:24" ht="27" customHeight="1">
      <c r="A74" s="583"/>
      <c r="B74" s="583">
        <v>1009</v>
      </c>
      <c r="C74" s="581">
        <v>10</v>
      </c>
      <c r="D74" s="582" t="s">
        <v>833</v>
      </c>
      <c r="E74" s="583" t="s">
        <v>834</v>
      </c>
      <c r="F74" s="599"/>
      <c r="G74" s="599"/>
      <c r="H74" s="599"/>
      <c r="I74" s="599"/>
      <c r="J74" s="599"/>
      <c r="K74" s="599"/>
      <c r="L74" s="599"/>
      <c r="M74" s="599"/>
      <c r="N74" s="599"/>
      <c r="O74" s="599"/>
      <c r="P74" s="599"/>
      <c r="Q74" s="882">
        <f t="shared" si="4"/>
        <v>0</v>
      </c>
      <c r="R74" s="599">
        <v>0</v>
      </c>
      <c r="S74" s="882">
        <f t="shared" si="6"/>
        <v>0</v>
      </c>
      <c r="T74" s="599">
        <f t="shared" si="6"/>
        <v>0</v>
      </c>
      <c r="U74" s="620"/>
      <c r="V74" s="621"/>
      <c r="W74" s="882">
        <f t="shared" si="7"/>
        <v>0</v>
      </c>
      <c r="X74" s="882">
        <f t="shared" si="5"/>
        <v>0</v>
      </c>
    </row>
    <row r="75" spans="1:24" ht="27" customHeight="1">
      <c r="A75" s="583"/>
      <c r="B75" s="583">
        <v>401</v>
      </c>
      <c r="C75" s="581">
        <v>4</v>
      </c>
      <c r="D75" s="582" t="s">
        <v>835</v>
      </c>
      <c r="E75" s="583" t="s">
        <v>836</v>
      </c>
      <c r="F75" s="599">
        <v>10956086291</v>
      </c>
      <c r="G75" s="599">
        <v>-1753181223</v>
      </c>
      <c r="H75" s="599">
        <v>756737419</v>
      </c>
      <c r="I75" s="599"/>
      <c r="J75" s="599"/>
      <c r="K75" s="599"/>
      <c r="L75" s="599"/>
      <c r="M75" s="599"/>
      <c r="N75" s="599"/>
      <c r="O75" s="599"/>
      <c r="P75" s="599"/>
      <c r="Q75" s="882">
        <f t="shared" si="4"/>
        <v>9959642487</v>
      </c>
      <c r="R75" s="599">
        <v>1056530390</v>
      </c>
      <c r="S75" s="882">
        <f t="shared" si="6"/>
        <v>9960</v>
      </c>
      <c r="T75" s="599">
        <f t="shared" si="6"/>
        <v>1057</v>
      </c>
      <c r="U75" s="620"/>
      <c r="V75" s="621"/>
      <c r="W75" s="882">
        <f t="shared" si="7"/>
        <v>9959642487</v>
      </c>
      <c r="X75" s="882">
        <f t="shared" si="5"/>
        <v>9960</v>
      </c>
    </row>
    <row r="76" spans="1:24" ht="27" customHeight="1">
      <c r="A76" s="583"/>
      <c r="B76" s="583">
        <v>401</v>
      </c>
      <c r="C76" s="581">
        <v>4</v>
      </c>
      <c r="D76" s="582" t="s">
        <v>6</v>
      </c>
      <c r="E76" s="583" t="s">
        <v>204</v>
      </c>
      <c r="F76" s="599">
        <v>9092996755</v>
      </c>
      <c r="G76" s="599">
        <v>1045962044</v>
      </c>
      <c r="H76" s="599">
        <f>541502584-2085419213</f>
        <v>-1543916629</v>
      </c>
      <c r="I76" s="599">
        <v>19565631</v>
      </c>
      <c r="J76" s="599"/>
      <c r="K76" s="599"/>
      <c r="L76" s="599"/>
      <c r="M76" s="599"/>
      <c r="N76" s="599"/>
      <c r="O76" s="599"/>
      <c r="P76" s="599"/>
      <c r="Q76" s="882">
        <f t="shared" si="4"/>
        <v>8614607801</v>
      </c>
      <c r="R76" s="599">
        <v>7481012604</v>
      </c>
      <c r="S76" s="882">
        <f t="shared" si="6"/>
        <v>8615</v>
      </c>
      <c r="T76" s="599">
        <f t="shared" si="6"/>
        <v>7481</v>
      </c>
      <c r="U76" s="620"/>
      <c r="V76" s="621"/>
      <c r="W76" s="882">
        <f t="shared" si="7"/>
        <v>8614607801</v>
      </c>
      <c r="X76" s="882">
        <f t="shared" si="5"/>
        <v>8615</v>
      </c>
    </row>
    <row r="77" spans="1:24" ht="27" customHeight="1">
      <c r="A77" s="583"/>
      <c r="B77" s="1130">
        <v>1002</v>
      </c>
      <c r="C77" s="581">
        <v>10</v>
      </c>
      <c r="D77" s="582" t="s">
        <v>939</v>
      </c>
      <c r="E77" s="583" t="s">
        <v>940</v>
      </c>
      <c r="F77" s="599">
        <v>17924352455</v>
      </c>
      <c r="G77" s="599"/>
      <c r="H77" s="599">
        <v>-19527977165</v>
      </c>
      <c r="I77" s="599">
        <v>1603624710</v>
      </c>
      <c r="J77" s="599"/>
      <c r="K77" s="599"/>
      <c r="L77" s="599"/>
      <c r="M77" s="599"/>
      <c r="N77" s="599"/>
      <c r="O77" s="599"/>
      <c r="P77" s="599"/>
      <c r="Q77" s="882">
        <f t="shared" si="4"/>
        <v>0</v>
      </c>
      <c r="R77" s="599">
        <v>0</v>
      </c>
      <c r="S77" s="882">
        <f t="shared" si="6"/>
        <v>0</v>
      </c>
      <c r="T77" s="599">
        <f t="shared" si="6"/>
        <v>0</v>
      </c>
      <c r="U77" s="620"/>
      <c r="V77" s="621"/>
      <c r="W77" s="882">
        <f t="shared" si="7"/>
        <v>0</v>
      </c>
      <c r="X77" s="882">
        <f t="shared" si="5"/>
        <v>0</v>
      </c>
    </row>
    <row r="78" spans="1:24" ht="27" customHeight="1">
      <c r="A78" s="583"/>
      <c r="B78" s="583">
        <v>1009</v>
      </c>
      <c r="C78" s="581">
        <v>10</v>
      </c>
      <c r="D78" s="582" t="s">
        <v>8</v>
      </c>
      <c r="E78" s="583" t="s">
        <v>203</v>
      </c>
      <c r="F78" s="599">
        <v>-9225382651</v>
      </c>
      <c r="G78" s="599">
        <v>-2877954</v>
      </c>
      <c r="H78" s="599">
        <v>1687656129</v>
      </c>
      <c r="I78" s="599">
        <v>276088417</v>
      </c>
      <c r="J78" s="599"/>
      <c r="K78" s="599"/>
      <c r="L78" s="599"/>
      <c r="M78" s="599"/>
      <c r="N78" s="599"/>
      <c r="O78" s="599"/>
      <c r="P78" s="599"/>
      <c r="Q78" s="882">
        <f t="shared" si="4"/>
        <v>-7264516059</v>
      </c>
      <c r="R78" s="599">
        <v>-6081081997</v>
      </c>
      <c r="S78" s="882">
        <f t="shared" si="6"/>
        <v>-7265</v>
      </c>
      <c r="T78" s="599">
        <f t="shared" si="6"/>
        <v>-6081</v>
      </c>
      <c r="U78" s="620"/>
      <c r="V78" s="621"/>
      <c r="W78" s="882">
        <f t="shared" si="7"/>
        <v>-7264516059</v>
      </c>
      <c r="X78" s="882">
        <f t="shared" si="5"/>
        <v>-7265</v>
      </c>
    </row>
    <row r="79" spans="1:24" ht="27" customHeight="1">
      <c r="A79" s="583"/>
      <c r="B79" s="583">
        <v>401</v>
      </c>
      <c r="C79" s="581">
        <v>4</v>
      </c>
      <c r="D79" s="582" t="s">
        <v>1238</v>
      </c>
      <c r="E79" s="583" t="s">
        <v>1239</v>
      </c>
      <c r="F79" s="599"/>
      <c r="G79" s="599"/>
      <c r="H79" s="599"/>
      <c r="I79" s="599"/>
      <c r="J79" s="599"/>
      <c r="K79" s="599"/>
      <c r="L79" s="599"/>
      <c r="M79" s="599"/>
      <c r="N79" s="599"/>
      <c r="O79" s="599"/>
      <c r="P79" s="599"/>
      <c r="Q79" s="882">
        <f t="shared" si="4"/>
        <v>0</v>
      </c>
      <c r="R79" s="599">
        <v>0</v>
      </c>
      <c r="S79" s="882">
        <f t="shared" si="6"/>
        <v>0</v>
      </c>
      <c r="T79" s="599">
        <f t="shared" si="6"/>
        <v>0</v>
      </c>
      <c r="U79" s="620"/>
      <c r="V79" s="621"/>
      <c r="W79" s="882">
        <f t="shared" si="7"/>
        <v>0</v>
      </c>
      <c r="X79" s="882">
        <f t="shared" si="5"/>
        <v>0</v>
      </c>
    </row>
    <row r="80" spans="1:24" ht="27" customHeight="1">
      <c r="A80" s="583"/>
      <c r="B80" s="583">
        <v>1009</v>
      </c>
      <c r="C80" s="581">
        <v>10</v>
      </c>
      <c r="D80" s="582" t="s">
        <v>549</v>
      </c>
      <c r="E80" s="583" t="s">
        <v>550</v>
      </c>
      <c r="F80" s="599">
        <v>-171583327</v>
      </c>
      <c r="G80" s="599">
        <v>63541084</v>
      </c>
      <c r="H80" s="599"/>
      <c r="I80" s="599">
        <v>64188043</v>
      </c>
      <c r="J80" s="599"/>
      <c r="K80" s="599"/>
      <c r="L80" s="599"/>
      <c r="M80" s="599"/>
      <c r="N80" s="599"/>
      <c r="O80" s="599"/>
      <c r="P80" s="599"/>
      <c r="Q80" s="882">
        <f t="shared" si="4"/>
        <v>-43854200</v>
      </c>
      <c r="R80" s="599">
        <v>49119121</v>
      </c>
      <c r="S80" s="882">
        <f t="shared" si="6"/>
        <v>-44</v>
      </c>
      <c r="T80" s="599">
        <f t="shared" si="6"/>
        <v>49</v>
      </c>
      <c r="U80" s="620"/>
      <c r="V80" s="621"/>
      <c r="W80" s="882">
        <f t="shared" si="7"/>
        <v>-43854200</v>
      </c>
      <c r="X80" s="882">
        <f t="shared" si="5"/>
        <v>-44</v>
      </c>
    </row>
    <row r="81" spans="1:24" ht="27" customHeight="1">
      <c r="A81" s="583"/>
      <c r="B81" s="583">
        <v>1301</v>
      </c>
      <c r="C81" s="581">
        <v>12</v>
      </c>
      <c r="D81" s="582" t="s">
        <v>9</v>
      </c>
      <c r="E81" s="583" t="s">
        <v>590</v>
      </c>
      <c r="F81" s="599">
        <v>-3443740268333</v>
      </c>
      <c r="G81" s="599">
        <v>11847953853</v>
      </c>
      <c r="H81" s="599">
        <f>325360659099-69969535551</f>
        <v>255391123548</v>
      </c>
      <c r="I81" s="599">
        <v>-89949645558</v>
      </c>
      <c r="J81" s="599">
        <v>323241791</v>
      </c>
      <c r="K81" s="599"/>
      <c r="L81" s="599"/>
      <c r="M81" s="599"/>
      <c r="N81" s="599"/>
      <c r="O81" s="599"/>
      <c r="P81" s="599"/>
      <c r="Q81" s="882">
        <f t="shared" si="4"/>
        <v>-3266127594699</v>
      </c>
      <c r="R81" s="599">
        <v>-2847974575461</v>
      </c>
      <c r="S81" s="882">
        <f t="shared" si="6"/>
        <v>-3266128</v>
      </c>
      <c r="T81" s="599">
        <f t="shared" si="6"/>
        <v>-2847975</v>
      </c>
      <c r="U81" s="620"/>
      <c r="V81" s="621"/>
      <c r="W81" s="882">
        <f t="shared" si="7"/>
        <v>-3266127594699</v>
      </c>
      <c r="X81" s="882">
        <f t="shared" si="5"/>
        <v>-3266128</v>
      </c>
    </row>
    <row r="82" spans="1:24" ht="27" customHeight="1">
      <c r="A82" s="583"/>
      <c r="B82" s="583">
        <v>1009</v>
      </c>
      <c r="C82" s="581">
        <v>10</v>
      </c>
      <c r="D82" s="582" t="s">
        <v>11</v>
      </c>
      <c r="E82" s="583" t="s">
        <v>551</v>
      </c>
      <c r="F82" s="599">
        <v>-83175568</v>
      </c>
      <c r="G82" s="599">
        <v>17838070</v>
      </c>
      <c r="H82" s="599"/>
      <c r="I82" s="599"/>
      <c r="J82" s="599"/>
      <c r="K82" s="599"/>
      <c r="L82" s="599"/>
      <c r="M82" s="599"/>
      <c r="N82" s="599"/>
      <c r="O82" s="599"/>
      <c r="P82" s="599"/>
      <c r="Q82" s="882">
        <f t="shared" si="4"/>
        <v>-65337498</v>
      </c>
      <c r="R82" s="599">
        <v>-52200000</v>
      </c>
      <c r="S82" s="882">
        <f t="shared" si="6"/>
        <v>-65</v>
      </c>
      <c r="T82" s="599">
        <f t="shared" si="6"/>
        <v>-52</v>
      </c>
      <c r="U82" s="620"/>
      <c r="V82" s="621"/>
      <c r="W82" s="882">
        <f t="shared" si="7"/>
        <v>-65337498</v>
      </c>
      <c r="X82" s="882">
        <f t="shared" si="5"/>
        <v>-65</v>
      </c>
    </row>
    <row r="83" spans="1:24" ht="27" customHeight="1">
      <c r="A83" s="583"/>
      <c r="B83" s="583">
        <v>1009</v>
      </c>
      <c r="C83" s="581">
        <v>10</v>
      </c>
      <c r="D83" s="582" t="s">
        <v>12</v>
      </c>
      <c r="E83" s="583" t="s">
        <v>13</v>
      </c>
      <c r="F83" s="599">
        <v>29398932</v>
      </c>
      <c r="G83" s="599"/>
      <c r="H83" s="599"/>
      <c r="I83" s="599"/>
      <c r="J83" s="599"/>
      <c r="K83" s="599"/>
      <c r="L83" s="599"/>
      <c r="M83" s="599"/>
      <c r="N83" s="599"/>
      <c r="O83" s="599"/>
      <c r="P83" s="599"/>
      <c r="Q83" s="882">
        <f t="shared" si="4"/>
        <v>29398932</v>
      </c>
      <c r="R83" s="599">
        <v>-52540000</v>
      </c>
      <c r="S83" s="882">
        <f t="shared" si="6"/>
        <v>29</v>
      </c>
      <c r="T83" s="599">
        <f t="shared" si="6"/>
        <v>-53</v>
      </c>
      <c r="U83" s="620"/>
      <c r="V83" s="621"/>
      <c r="W83" s="882">
        <f t="shared" si="7"/>
        <v>29398932</v>
      </c>
      <c r="X83" s="882">
        <f t="shared" si="5"/>
        <v>29</v>
      </c>
    </row>
    <row r="84" spans="1:24" ht="27" customHeight="1">
      <c r="A84" s="583"/>
      <c r="B84" s="583">
        <v>1009</v>
      </c>
      <c r="C84" s="581">
        <v>10</v>
      </c>
      <c r="D84" s="582" t="s">
        <v>1091</v>
      </c>
      <c r="E84" s="583" t="s">
        <v>1092</v>
      </c>
      <c r="F84" s="599"/>
      <c r="G84" s="599"/>
      <c r="H84" s="599"/>
      <c r="I84" s="599"/>
      <c r="J84" s="599"/>
      <c r="K84" s="599"/>
      <c r="L84" s="599"/>
      <c r="M84" s="599"/>
      <c r="N84" s="599"/>
      <c r="O84" s="599"/>
      <c r="P84" s="599"/>
      <c r="Q84" s="882">
        <f t="shared" si="4"/>
        <v>0</v>
      </c>
      <c r="R84" s="599">
        <v>0</v>
      </c>
      <c r="S84" s="882">
        <f t="shared" si="6"/>
        <v>0</v>
      </c>
      <c r="T84" s="599">
        <f t="shared" si="6"/>
        <v>0</v>
      </c>
      <c r="U84" s="620"/>
      <c r="V84" s="621"/>
      <c r="W84" s="882">
        <f t="shared" si="7"/>
        <v>0</v>
      </c>
      <c r="X84" s="882">
        <f t="shared" si="5"/>
        <v>0</v>
      </c>
    </row>
    <row r="85" spans="1:24" ht="27" customHeight="1">
      <c r="A85" s="583"/>
      <c r="B85" s="583">
        <v>1009</v>
      </c>
      <c r="C85" s="581">
        <v>10</v>
      </c>
      <c r="D85" s="582" t="s">
        <v>14</v>
      </c>
      <c r="E85" s="583" t="s">
        <v>363</v>
      </c>
      <c r="F85" s="599">
        <v>-14924569106</v>
      </c>
      <c r="G85" s="599">
        <v>1553376000</v>
      </c>
      <c r="H85" s="599"/>
      <c r="I85" s="599">
        <v>-418166163</v>
      </c>
      <c r="J85" s="599"/>
      <c r="K85" s="599"/>
      <c r="L85" s="599"/>
      <c r="M85" s="599"/>
      <c r="N85" s="599"/>
      <c r="O85" s="599"/>
      <c r="P85" s="599"/>
      <c r="Q85" s="882">
        <f t="shared" si="4"/>
        <v>-13789359269</v>
      </c>
      <c r="R85" s="599">
        <v>-12623033729</v>
      </c>
      <c r="S85" s="882">
        <f t="shared" si="6"/>
        <v>-13789</v>
      </c>
      <c r="T85" s="599">
        <f t="shared" si="6"/>
        <v>-12623</v>
      </c>
      <c r="U85" s="620"/>
      <c r="V85" s="621"/>
      <c r="W85" s="882">
        <f t="shared" si="7"/>
        <v>-13789359269</v>
      </c>
      <c r="X85" s="882">
        <f t="shared" si="5"/>
        <v>-13789</v>
      </c>
    </row>
    <row r="86" spans="1:24" ht="27" customHeight="1">
      <c r="A86" s="583"/>
      <c r="B86" s="583">
        <v>1009</v>
      </c>
      <c r="C86" s="581">
        <v>10</v>
      </c>
      <c r="D86" s="582" t="s">
        <v>15</v>
      </c>
      <c r="E86" s="583" t="s">
        <v>552</v>
      </c>
      <c r="F86" s="599">
        <v>7225000</v>
      </c>
      <c r="G86" s="599"/>
      <c r="H86" s="599"/>
      <c r="I86" s="599">
        <v>-7225000</v>
      </c>
      <c r="J86" s="599"/>
      <c r="K86" s="599"/>
      <c r="L86" s="599"/>
      <c r="M86" s="599"/>
      <c r="N86" s="599"/>
      <c r="O86" s="599"/>
      <c r="P86" s="599"/>
      <c r="Q86" s="882">
        <f t="shared" si="4"/>
        <v>0</v>
      </c>
      <c r="R86" s="599">
        <v>-455756291</v>
      </c>
      <c r="S86" s="882">
        <f t="shared" si="6"/>
        <v>0</v>
      </c>
      <c r="T86" s="599">
        <f t="shared" si="6"/>
        <v>-456</v>
      </c>
      <c r="U86" s="620"/>
      <c r="V86" s="621"/>
      <c r="W86" s="882">
        <f t="shared" si="7"/>
        <v>0</v>
      </c>
      <c r="X86" s="882">
        <f t="shared" si="5"/>
        <v>0</v>
      </c>
    </row>
    <row r="87" spans="1:24" ht="27" customHeight="1">
      <c r="A87" s="583"/>
      <c r="B87" s="583">
        <v>1009</v>
      </c>
      <c r="C87" s="581">
        <v>10</v>
      </c>
      <c r="D87" s="582" t="s">
        <v>744</v>
      </c>
      <c r="E87" s="583" t="s">
        <v>1093</v>
      </c>
      <c r="F87" s="599">
        <v>-983703113</v>
      </c>
      <c r="G87" s="599">
        <v>-55896094</v>
      </c>
      <c r="H87" s="599">
        <v>429092921</v>
      </c>
      <c r="I87" s="599">
        <v>610749809</v>
      </c>
      <c r="J87" s="599">
        <f>-243523</f>
        <v>-243523</v>
      </c>
      <c r="K87" s="599"/>
      <c r="L87" s="599"/>
      <c r="M87" s="599"/>
      <c r="N87" s="599"/>
      <c r="O87" s="599"/>
      <c r="P87" s="599"/>
      <c r="Q87" s="882">
        <f t="shared" si="4"/>
        <v>0</v>
      </c>
      <c r="R87" s="599">
        <v>0</v>
      </c>
      <c r="S87" s="882">
        <f t="shared" si="6"/>
        <v>0</v>
      </c>
      <c r="T87" s="599">
        <f t="shared" si="6"/>
        <v>0</v>
      </c>
      <c r="U87" s="620"/>
      <c r="V87" s="621"/>
      <c r="W87" s="882">
        <f t="shared" si="7"/>
        <v>0</v>
      </c>
      <c r="X87" s="882">
        <f t="shared" si="5"/>
        <v>0</v>
      </c>
    </row>
    <row r="88" spans="1:24" ht="27" customHeight="1">
      <c r="A88" s="583"/>
      <c r="B88" s="583">
        <v>1002</v>
      </c>
      <c r="C88" s="581">
        <v>10</v>
      </c>
      <c r="D88" s="582" t="s">
        <v>39</v>
      </c>
      <c r="E88" s="583" t="s">
        <v>181</v>
      </c>
      <c r="F88" s="599">
        <v>-146724097069</v>
      </c>
      <c r="G88" s="599">
        <v>-92331459</v>
      </c>
      <c r="H88" s="599">
        <f>19534159447-6182282</f>
        <v>19527977165</v>
      </c>
      <c r="I88" s="599">
        <v>-1603624710</v>
      </c>
      <c r="J88" s="599"/>
      <c r="K88" s="599"/>
      <c r="L88" s="599"/>
      <c r="M88" s="599"/>
      <c r="N88" s="599"/>
      <c r="O88" s="599"/>
      <c r="P88" s="599"/>
      <c r="Q88" s="882">
        <f t="shared" si="4"/>
        <v>-128892076073</v>
      </c>
      <c r="R88" s="599">
        <v>-146228858721</v>
      </c>
      <c r="S88" s="882">
        <f t="shared" si="6"/>
        <v>-128892</v>
      </c>
      <c r="T88" s="599">
        <f t="shared" si="6"/>
        <v>-146229</v>
      </c>
      <c r="U88" s="620"/>
      <c r="V88" s="621"/>
      <c r="W88" s="882">
        <f t="shared" si="7"/>
        <v>-128892076073</v>
      </c>
      <c r="X88" s="882">
        <f t="shared" si="5"/>
        <v>-128892</v>
      </c>
    </row>
    <row r="89" spans="1:24" ht="27" customHeight="1">
      <c r="A89" s="583"/>
      <c r="B89" s="583">
        <v>1009</v>
      </c>
      <c r="C89" s="581">
        <v>10</v>
      </c>
      <c r="D89" s="582" t="s">
        <v>941</v>
      </c>
      <c r="E89" s="583" t="s">
        <v>942</v>
      </c>
      <c r="F89" s="599"/>
      <c r="G89" s="599"/>
      <c r="H89" s="599"/>
      <c r="I89" s="599"/>
      <c r="J89" s="599"/>
      <c r="K89" s="599"/>
      <c r="L89" s="599"/>
      <c r="M89" s="599"/>
      <c r="N89" s="599"/>
      <c r="O89" s="599"/>
      <c r="P89" s="599"/>
      <c r="Q89" s="882">
        <f t="shared" si="4"/>
        <v>0</v>
      </c>
      <c r="R89" s="599">
        <v>0</v>
      </c>
      <c r="S89" s="882">
        <f t="shared" si="6"/>
        <v>0</v>
      </c>
      <c r="T89" s="599">
        <f t="shared" si="6"/>
        <v>0</v>
      </c>
      <c r="U89" s="620"/>
      <c r="V89" s="621"/>
      <c r="W89" s="882">
        <f t="shared" si="7"/>
        <v>0</v>
      </c>
      <c r="X89" s="882">
        <f t="shared" si="5"/>
        <v>0</v>
      </c>
    </row>
    <row r="90" spans="1:24" ht="27" customHeight="1">
      <c r="A90" s="583"/>
      <c r="B90" s="583">
        <v>1009</v>
      </c>
      <c r="C90" s="581">
        <v>10</v>
      </c>
      <c r="D90" s="582" t="s">
        <v>40</v>
      </c>
      <c r="E90" s="583" t="s">
        <v>41</v>
      </c>
      <c r="F90" s="599"/>
      <c r="G90" s="599"/>
      <c r="H90" s="599"/>
      <c r="I90" s="599"/>
      <c r="J90" s="599"/>
      <c r="K90" s="599"/>
      <c r="L90" s="599"/>
      <c r="M90" s="599"/>
      <c r="N90" s="599"/>
      <c r="O90" s="599"/>
      <c r="P90" s="599"/>
      <c r="Q90" s="882">
        <f t="shared" si="4"/>
        <v>0</v>
      </c>
      <c r="R90" s="599">
        <v>0</v>
      </c>
      <c r="S90" s="882">
        <f t="shared" si="6"/>
        <v>0</v>
      </c>
      <c r="T90" s="599">
        <f t="shared" si="6"/>
        <v>0</v>
      </c>
      <c r="U90" s="620"/>
      <c r="V90" s="621"/>
      <c r="W90" s="882">
        <f t="shared" si="7"/>
        <v>0</v>
      </c>
      <c r="X90" s="882">
        <f t="shared" si="5"/>
        <v>0</v>
      </c>
    </row>
    <row r="91" spans="1:24" ht="27" customHeight="1">
      <c r="A91" s="583"/>
      <c r="B91" s="583">
        <v>1009</v>
      </c>
      <c r="C91" s="581">
        <v>10</v>
      </c>
      <c r="D91" s="582" t="s">
        <v>1094</v>
      </c>
      <c r="E91" s="583" t="s">
        <v>1095</v>
      </c>
      <c r="F91" s="599">
        <v>-368274766</v>
      </c>
      <c r="G91" s="599">
        <v>101653976</v>
      </c>
      <c r="H91" s="599">
        <v>247014186</v>
      </c>
      <c r="I91" s="599">
        <v>36646088</v>
      </c>
      <c r="J91" s="599">
        <f>-17039484</f>
        <v>-17039484</v>
      </c>
      <c r="K91" s="599"/>
      <c r="L91" s="599"/>
      <c r="M91" s="599"/>
      <c r="N91" s="599"/>
      <c r="O91" s="599"/>
      <c r="P91" s="599"/>
      <c r="Q91" s="882">
        <f t="shared" si="4"/>
        <v>0</v>
      </c>
      <c r="R91" s="599">
        <v>0</v>
      </c>
      <c r="S91" s="882">
        <f t="shared" si="6"/>
        <v>0</v>
      </c>
      <c r="T91" s="599">
        <f t="shared" si="6"/>
        <v>0</v>
      </c>
      <c r="U91" s="620"/>
      <c r="V91" s="621"/>
      <c r="W91" s="882">
        <f t="shared" si="7"/>
        <v>0</v>
      </c>
      <c r="X91" s="882">
        <f t="shared" si="5"/>
        <v>0</v>
      </c>
    </row>
    <row r="92" spans="1:24" ht="27" customHeight="1">
      <c r="A92" s="583"/>
      <c r="B92" s="583">
        <v>1009</v>
      </c>
      <c r="C92" s="581">
        <v>10</v>
      </c>
      <c r="D92" s="582" t="s">
        <v>1096</v>
      </c>
      <c r="E92" s="583" t="s">
        <v>1097</v>
      </c>
      <c r="F92" s="599">
        <v>120000</v>
      </c>
      <c r="G92" s="599"/>
      <c r="H92" s="599">
        <v>-360000</v>
      </c>
      <c r="I92" s="599">
        <v>240000</v>
      </c>
      <c r="J92" s="599"/>
      <c r="K92" s="599"/>
      <c r="L92" s="599"/>
      <c r="M92" s="599"/>
      <c r="N92" s="599"/>
      <c r="O92" s="599"/>
      <c r="P92" s="599"/>
      <c r="Q92" s="882">
        <f t="shared" si="4"/>
        <v>0</v>
      </c>
      <c r="R92" s="599">
        <v>0</v>
      </c>
      <c r="S92" s="882">
        <f t="shared" si="6"/>
        <v>0</v>
      </c>
      <c r="T92" s="599">
        <f t="shared" si="6"/>
        <v>0</v>
      </c>
      <c r="U92" s="620"/>
      <c r="V92" s="621"/>
      <c r="W92" s="882">
        <f t="shared" si="7"/>
        <v>0</v>
      </c>
      <c r="X92" s="882">
        <f t="shared" si="5"/>
        <v>0</v>
      </c>
    </row>
    <row r="93" spans="1:24" ht="27" customHeight="1">
      <c r="A93" s="583"/>
      <c r="B93" s="583">
        <v>1009</v>
      </c>
      <c r="C93" s="581">
        <v>10</v>
      </c>
      <c r="D93" s="582" t="s">
        <v>854</v>
      </c>
      <c r="E93" s="583" t="s">
        <v>1098</v>
      </c>
      <c r="F93" s="599">
        <v>-81993031</v>
      </c>
      <c r="G93" s="599">
        <v>-32730975</v>
      </c>
      <c r="H93" s="599">
        <v>84715492</v>
      </c>
      <c r="I93" s="599">
        <v>60017028</v>
      </c>
      <c r="J93" s="599">
        <f>-30008514</f>
        <v>-30008514</v>
      </c>
      <c r="K93" s="599"/>
      <c r="L93" s="599"/>
      <c r="M93" s="599"/>
      <c r="N93" s="599"/>
      <c r="O93" s="599"/>
      <c r="P93" s="599"/>
      <c r="Q93" s="882">
        <f t="shared" si="4"/>
        <v>0</v>
      </c>
      <c r="R93" s="599">
        <v>0</v>
      </c>
      <c r="S93" s="882">
        <f t="shared" si="6"/>
        <v>0</v>
      </c>
      <c r="T93" s="599">
        <f t="shared" si="6"/>
        <v>0</v>
      </c>
      <c r="U93" s="620"/>
      <c r="V93" s="621"/>
      <c r="W93" s="882">
        <f t="shared" si="7"/>
        <v>0</v>
      </c>
      <c r="X93" s="882">
        <f t="shared" si="5"/>
        <v>0</v>
      </c>
    </row>
    <row r="94" spans="1:24" ht="27" customHeight="1">
      <c r="A94" s="583"/>
      <c r="B94" s="583">
        <v>401</v>
      </c>
      <c r="C94" s="581">
        <v>4</v>
      </c>
      <c r="D94" s="582" t="s">
        <v>42</v>
      </c>
      <c r="E94" s="583" t="s">
        <v>943</v>
      </c>
      <c r="F94" s="599">
        <v>-48730352</v>
      </c>
      <c r="G94" s="599"/>
      <c r="H94" s="599">
        <v>48730352</v>
      </c>
      <c r="I94" s="599"/>
      <c r="J94" s="599"/>
      <c r="K94" s="599"/>
      <c r="L94" s="599"/>
      <c r="M94" s="599"/>
      <c r="N94" s="599"/>
      <c r="O94" s="599"/>
      <c r="P94" s="599"/>
      <c r="Q94" s="882">
        <f t="shared" si="4"/>
        <v>0</v>
      </c>
      <c r="R94" s="599">
        <v>0</v>
      </c>
      <c r="S94" s="882">
        <f t="shared" si="6"/>
        <v>0</v>
      </c>
      <c r="T94" s="599">
        <f t="shared" si="6"/>
        <v>0</v>
      </c>
      <c r="U94" s="620"/>
      <c r="V94" s="621"/>
      <c r="W94" s="882">
        <f t="shared" si="7"/>
        <v>0</v>
      </c>
      <c r="X94" s="882">
        <f t="shared" si="5"/>
        <v>0</v>
      </c>
    </row>
    <row r="95" spans="1:24" ht="27" customHeight="1">
      <c r="A95" s="583"/>
      <c r="B95" s="583">
        <v>1009</v>
      </c>
      <c r="C95" s="581">
        <v>10</v>
      </c>
      <c r="D95" s="582" t="s">
        <v>1099</v>
      </c>
      <c r="E95" s="583" t="s">
        <v>1084</v>
      </c>
      <c r="F95" s="599">
        <v>-50994888</v>
      </c>
      <c r="G95" s="599"/>
      <c r="H95" s="599"/>
      <c r="I95" s="599">
        <v>-7500000</v>
      </c>
      <c r="J95" s="599"/>
      <c r="K95" s="599"/>
      <c r="L95" s="599"/>
      <c r="M95" s="599"/>
      <c r="N95" s="599"/>
      <c r="O95" s="599"/>
      <c r="P95" s="599"/>
      <c r="Q95" s="882">
        <f t="shared" si="4"/>
        <v>-58494888</v>
      </c>
      <c r="R95" s="599">
        <v>-1262635888</v>
      </c>
      <c r="S95" s="882">
        <f t="shared" si="6"/>
        <v>-58</v>
      </c>
      <c r="T95" s="599">
        <f t="shared" si="6"/>
        <v>-1263</v>
      </c>
      <c r="U95" s="620"/>
      <c r="V95" s="621"/>
      <c r="W95" s="882">
        <f t="shared" si="7"/>
        <v>-58494888</v>
      </c>
      <c r="X95" s="882">
        <f t="shared" si="5"/>
        <v>-58</v>
      </c>
    </row>
    <row r="96" spans="1:24" ht="27" customHeight="1">
      <c r="A96" s="583"/>
      <c r="B96" s="583">
        <v>401</v>
      </c>
      <c r="C96" s="581">
        <v>4</v>
      </c>
      <c r="D96" s="582" t="s">
        <v>1100</v>
      </c>
      <c r="E96" s="583" t="s">
        <v>1102</v>
      </c>
      <c r="F96" s="599"/>
      <c r="G96" s="599"/>
      <c r="H96" s="599"/>
      <c r="I96" s="599"/>
      <c r="J96" s="599"/>
      <c r="K96" s="599"/>
      <c r="L96" s="599"/>
      <c r="M96" s="599"/>
      <c r="N96" s="599"/>
      <c r="O96" s="599"/>
      <c r="P96" s="599"/>
      <c r="Q96" s="882">
        <f t="shared" si="4"/>
        <v>0</v>
      </c>
      <c r="R96" s="599">
        <v>0</v>
      </c>
      <c r="S96" s="882">
        <f t="shared" si="6"/>
        <v>0</v>
      </c>
      <c r="T96" s="599">
        <f t="shared" si="6"/>
        <v>0</v>
      </c>
      <c r="U96" s="620"/>
      <c r="V96" s="621"/>
      <c r="W96" s="882">
        <f t="shared" si="7"/>
        <v>0</v>
      </c>
      <c r="X96" s="882">
        <f t="shared" si="5"/>
        <v>0</v>
      </c>
    </row>
    <row r="97" spans="1:24" ht="27" customHeight="1">
      <c r="A97" s="583"/>
      <c r="B97" s="583">
        <v>1009</v>
      </c>
      <c r="C97" s="581">
        <v>10</v>
      </c>
      <c r="D97" s="582" t="s">
        <v>1101</v>
      </c>
      <c r="E97" s="583" t="s">
        <v>1103</v>
      </c>
      <c r="F97" s="599">
        <v>-19528350</v>
      </c>
      <c r="G97" s="599">
        <v>19528350</v>
      </c>
      <c r="H97" s="599"/>
      <c r="I97" s="599"/>
      <c r="J97" s="599"/>
      <c r="K97" s="599"/>
      <c r="L97" s="599"/>
      <c r="M97" s="599"/>
      <c r="N97" s="599"/>
      <c r="O97" s="599"/>
      <c r="P97" s="599"/>
      <c r="Q97" s="882">
        <f t="shared" si="4"/>
        <v>0</v>
      </c>
      <c r="R97" s="599">
        <v>0</v>
      </c>
      <c r="S97" s="882">
        <f t="shared" si="6"/>
        <v>0</v>
      </c>
      <c r="T97" s="599">
        <f t="shared" si="6"/>
        <v>0</v>
      </c>
      <c r="U97" s="620"/>
      <c r="V97" s="621"/>
      <c r="W97" s="882">
        <f t="shared" si="7"/>
        <v>0</v>
      </c>
      <c r="X97" s="882">
        <f t="shared" si="5"/>
        <v>0</v>
      </c>
    </row>
    <row r="98" spans="1:24" ht="27" customHeight="1">
      <c r="A98" s="583"/>
      <c r="B98" s="583">
        <v>406</v>
      </c>
      <c r="C98" s="581">
        <v>4</v>
      </c>
      <c r="D98" s="582" t="s">
        <v>43</v>
      </c>
      <c r="E98" s="583" t="s">
        <v>1002</v>
      </c>
      <c r="F98" s="599">
        <v>3996000</v>
      </c>
      <c r="G98" s="599"/>
      <c r="H98" s="599"/>
      <c r="I98" s="599"/>
      <c r="J98" s="599"/>
      <c r="K98" s="599"/>
      <c r="L98" s="599"/>
      <c r="M98" s="599"/>
      <c r="N98" s="599"/>
      <c r="O98" s="599"/>
      <c r="P98" s="599"/>
      <c r="Q98" s="882">
        <f t="shared" si="4"/>
        <v>3996000</v>
      </c>
      <c r="R98" s="599">
        <v>142302000</v>
      </c>
      <c r="S98" s="882">
        <f t="shared" si="6"/>
        <v>4</v>
      </c>
      <c r="T98" s="599">
        <f t="shared" si="6"/>
        <v>142</v>
      </c>
      <c r="U98" s="620"/>
      <c r="V98" s="621"/>
      <c r="W98" s="882">
        <f t="shared" si="7"/>
        <v>3996000</v>
      </c>
      <c r="X98" s="882">
        <f t="shared" si="5"/>
        <v>4</v>
      </c>
    </row>
    <row r="99" spans="1:24" ht="27" customHeight="1">
      <c r="A99" s="583"/>
      <c r="B99" s="583">
        <v>401</v>
      </c>
      <c r="C99" s="581">
        <v>4</v>
      </c>
      <c r="D99" s="582" t="s">
        <v>1176</v>
      </c>
      <c r="E99" s="583" t="s">
        <v>1171</v>
      </c>
      <c r="F99" s="599">
        <v>-1810004</v>
      </c>
      <c r="G99" s="599"/>
      <c r="H99" s="599"/>
      <c r="I99" s="599"/>
      <c r="J99" s="599"/>
      <c r="K99" s="599"/>
      <c r="L99" s="599"/>
      <c r="M99" s="599"/>
      <c r="N99" s="599"/>
      <c r="O99" s="599"/>
      <c r="P99" s="599"/>
      <c r="Q99" s="882">
        <f t="shared" si="4"/>
        <v>-1810004</v>
      </c>
      <c r="R99" s="599">
        <v>0</v>
      </c>
      <c r="S99" s="882">
        <f t="shared" si="6"/>
        <v>-2</v>
      </c>
      <c r="T99" s="599">
        <f t="shared" si="6"/>
        <v>0</v>
      </c>
      <c r="U99" s="620"/>
      <c r="V99" s="621"/>
      <c r="W99" s="882">
        <f t="shared" si="7"/>
        <v>-1810004</v>
      </c>
      <c r="X99" s="882">
        <f t="shared" si="5"/>
        <v>-2</v>
      </c>
    </row>
    <row r="100" spans="1:24" ht="27" customHeight="1">
      <c r="A100" s="583"/>
      <c r="B100" s="583">
        <v>1009</v>
      </c>
      <c r="C100" s="581">
        <v>10</v>
      </c>
      <c r="D100" s="582" t="s">
        <v>44</v>
      </c>
      <c r="E100" s="583" t="s">
        <v>898</v>
      </c>
      <c r="F100" s="599"/>
      <c r="G100" s="599"/>
      <c r="H100" s="599"/>
      <c r="I100" s="599"/>
      <c r="J100" s="599"/>
      <c r="K100" s="599"/>
      <c r="L100" s="599"/>
      <c r="M100" s="599"/>
      <c r="N100" s="599"/>
      <c r="O100" s="599"/>
      <c r="P100" s="599"/>
      <c r="Q100" s="882">
        <f t="shared" si="4"/>
        <v>0</v>
      </c>
      <c r="R100" s="599">
        <v>0</v>
      </c>
      <c r="S100" s="882">
        <f t="shared" si="6"/>
        <v>0</v>
      </c>
      <c r="T100" s="599">
        <f t="shared" si="6"/>
        <v>0</v>
      </c>
      <c r="U100" s="620"/>
      <c r="V100" s="621"/>
      <c r="W100" s="882">
        <f t="shared" si="7"/>
        <v>0</v>
      </c>
      <c r="X100" s="882">
        <f t="shared" si="5"/>
        <v>0</v>
      </c>
    </row>
    <row r="101" spans="1:24" ht="27" customHeight="1">
      <c r="A101" s="583"/>
      <c r="B101" s="583">
        <v>401</v>
      </c>
      <c r="C101" s="581">
        <v>4</v>
      </c>
      <c r="D101" s="582" t="s">
        <v>944</v>
      </c>
      <c r="E101" s="583" t="s">
        <v>945</v>
      </c>
      <c r="F101" s="599">
        <v>3986199393620</v>
      </c>
      <c r="G101" s="599">
        <v>-721679050197</v>
      </c>
      <c r="H101" s="599">
        <v>-3264520343423</v>
      </c>
      <c r="I101" s="599"/>
      <c r="J101" s="599"/>
      <c r="K101" s="599"/>
      <c r="L101" s="599"/>
      <c r="M101" s="599"/>
      <c r="N101" s="599"/>
      <c r="O101" s="599"/>
      <c r="P101" s="599"/>
      <c r="Q101" s="882">
        <f t="shared" si="4"/>
        <v>0</v>
      </c>
      <c r="R101" s="599">
        <v>0</v>
      </c>
      <c r="S101" s="882">
        <f t="shared" si="6"/>
        <v>0</v>
      </c>
      <c r="T101" s="599">
        <f t="shared" si="6"/>
        <v>0</v>
      </c>
      <c r="U101" s="620"/>
      <c r="V101" s="621"/>
      <c r="W101" s="882">
        <f t="shared" si="7"/>
        <v>0</v>
      </c>
      <c r="X101" s="882">
        <f t="shared" si="5"/>
        <v>0</v>
      </c>
    </row>
    <row r="102" spans="1:24" ht="27" customHeight="1">
      <c r="A102" s="583"/>
      <c r="B102" s="583">
        <v>401</v>
      </c>
      <c r="C102" s="581">
        <v>4</v>
      </c>
      <c r="D102" s="582" t="s">
        <v>946</v>
      </c>
      <c r="E102" s="583" t="s">
        <v>947</v>
      </c>
      <c r="F102" s="599">
        <v>28308552694</v>
      </c>
      <c r="G102" s="599">
        <v>-2679613163</v>
      </c>
      <c r="H102" s="599">
        <v>-25628939531</v>
      </c>
      <c r="I102" s="599"/>
      <c r="J102" s="599"/>
      <c r="K102" s="599"/>
      <c r="L102" s="599"/>
      <c r="M102" s="599"/>
      <c r="N102" s="599"/>
      <c r="O102" s="599"/>
      <c r="P102" s="599"/>
      <c r="Q102" s="882">
        <f t="shared" si="4"/>
        <v>0</v>
      </c>
      <c r="R102" s="599">
        <v>0</v>
      </c>
      <c r="S102" s="882">
        <f t="shared" si="6"/>
        <v>0</v>
      </c>
      <c r="T102" s="599">
        <f t="shared" si="6"/>
        <v>0</v>
      </c>
      <c r="U102" s="620"/>
      <c r="V102" s="621"/>
      <c r="W102" s="882">
        <f t="shared" si="7"/>
        <v>0</v>
      </c>
      <c r="X102" s="882">
        <f t="shared" si="5"/>
        <v>0</v>
      </c>
    </row>
    <row r="103" spans="1:24" ht="27" customHeight="1">
      <c r="A103" s="583"/>
      <c r="B103" s="583">
        <v>401</v>
      </c>
      <c r="C103" s="581">
        <v>4</v>
      </c>
      <c r="D103" s="582" t="s">
        <v>948</v>
      </c>
      <c r="E103" s="583" t="s">
        <v>949</v>
      </c>
      <c r="F103" s="599">
        <v>247398064</v>
      </c>
      <c r="G103" s="599"/>
      <c r="H103" s="599">
        <v>-247398064</v>
      </c>
      <c r="I103" s="599"/>
      <c r="J103" s="599"/>
      <c r="K103" s="599"/>
      <c r="L103" s="599"/>
      <c r="M103" s="599"/>
      <c r="N103" s="599"/>
      <c r="O103" s="599"/>
      <c r="P103" s="599"/>
      <c r="Q103" s="882">
        <f t="shared" si="4"/>
        <v>0</v>
      </c>
      <c r="R103" s="599">
        <v>0</v>
      </c>
      <c r="S103" s="882">
        <f t="shared" si="6"/>
        <v>0</v>
      </c>
      <c r="T103" s="599">
        <f t="shared" si="6"/>
        <v>0</v>
      </c>
      <c r="U103" s="620"/>
      <c r="V103" s="621"/>
      <c r="W103" s="882">
        <f t="shared" si="7"/>
        <v>0</v>
      </c>
      <c r="X103" s="882">
        <f t="shared" si="5"/>
        <v>0</v>
      </c>
    </row>
    <row r="104" spans="1:24" ht="27" customHeight="1">
      <c r="A104" s="583"/>
      <c r="B104" s="583">
        <v>1009</v>
      </c>
      <c r="C104" s="581">
        <v>10</v>
      </c>
      <c r="D104" s="582" t="s">
        <v>950</v>
      </c>
      <c r="E104" s="583" t="s">
        <v>951</v>
      </c>
      <c r="F104" s="599">
        <v>-4014722038044</v>
      </c>
      <c r="G104" s="599">
        <v>724358663360</v>
      </c>
      <c r="H104" s="599">
        <v>3290363374684</v>
      </c>
      <c r="I104" s="599"/>
      <c r="J104" s="599"/>
      <c r="K104" s="599"/>
      <c r="L104" s="599"/>
      <c r="M104" s="599"/>
      <c r="N104" s="599"/>
      <c r="O104" s="599"/>
      <c r="P104" s="599"/>
      <c r="Q104" s="882">
        <f t="shared" si="4"/>
        <v>0</v>
      </c>
      <c r="R104" s="599">
        <v>0</v>
      </c>
      <c r="S104" s="882">
        <f t="shared" si="6"/>
        <v>0</v>
      </c>
      <c r="T104" s="599">
        <f t="shared" si="6"/>
        <v>0</v>
      </c>
      <c r="U104" s="620"/>
      <c r="V104" s="621"/>
      <c r="W104" s="882">
        <f t="shared" si="7"/>
        <v>0</v>
      </c>
      <c r="X104" s="882">
        <f t="shared" si="5"/>
        <v>0</v>
      </c>
    </row>
    <row r="105" spans="1:24" ht="27" customHeight="1">
      <c r="A105" s="583"/>
      <c r="B105" s="583">
        <v>401</v>
      </c>
      <c r="C105" s="581">
        <v>4</v>
      </c>
      <c r="D105" s="582" t="s">
        <v>45</v>
      </c>
      <c r="E105" s="583" t="s">
        <v>46</v>
      </c>
      <c r="F105" s="599">
        <v>472421462</v>
      </c>
      <c r="G105" s="599">
        <v>-593536604</v>
      </c>
      <c r="H105" s="599">
        <f>40767000-946667314</f>
        <v>-905900314</v>
      </c>
      <c r="I105" s="599">
        <v>-657342990</v>
      </c>
      <c r="J105" s="599">
        <v>-387344527</v>
      </c>
      <c r="K105" s="599">
        <v>387344527</v>
      </c>
      <c r="L105" s="599">
        <v>-154225853</v>
      </c>
      <c r="M105" s="599"/>
      <c r="N105" s="599"/>
      <c r="O105" s="599"/>
      <c r="P105" s="599"/>
      <c r="Q105" s="882">
        <f t="shared" si="4"/>
        <v>-1838584299</v>
      </c>
      <c r="R105" s="599">
        <v>-77355486</v>
      </c>
      <c r="S105" s="882">
        <f t="shared" si="6"/>
        <v>-1839</v>
      </c>
      <c r="T105" s="599">
        <f t="shared" si="6"/>
        <v>-77</v>
      </c>
      <c r="U105" s="620"/>
      <c r="V105" s="621"/>
      <c r="W105" s="882">
        <f t="shared" si="7"/>
        <v>-1838584299</v>
      </c>
      <c r="X105" s="882">
        <f t="shared" si="5"/>
        <v>-1839</v>
      </c>
    </row>
    <row r="106" spans="1:24" ht="27" customHeight="1">
      <c r="A106" s="583" t="s">
        <v>1767</v>
      </c>
      <c r="B106" s="583">
        <v>401</v>
      </c>
      <c r="C106" s="581">
        <v>4</v>
      </c>
      <c r="D106" s="582" t="s">
        <v>47</v>
      </c>
      <c r="E106" s="583" t="s">
        <v>1493</v>
      </c>
      <c r="F106" s="599">
        <v>-4645225392</v>
      </c>
      <c r="G106" s="599">
        <v>-12966333</v>
      </c>
      <c r="H106" s="599"/>
      <c r="I106" s="599"/>
      <c r="J106" s="599"/>
      <c r="K106" s="599"/>
      <c r="L106" s="599"/>
      <c r="M106" s="599"/>
      <c r="N106" s="599"/>
      <c r="O106" s="599"/>
      <c r="P106" s="599"/>
      <c r="Q106" s="882">
        <f t="shared" si="4"/>
        <v>-4658191725</v>
      </c>
      <c r="R106" s="599">
        <v>-3350004000</v>
      </c>
      <c r="S106" s="882">
        <f t="shared" si="6"/>
        <v>-4658</v>
      </c>
      <c r="T106" s="599">
        <f t="shared" si="6"/>
        <v>-3350</v>
      </c>
      <c r="U106" s="620"/>
      <c r="V106" s="621"/>
      <c r="W106" s="882">
        <f t="shared" si="7"/>
        <v>-4658191725</v>
      </c>
      <c r="X106" s="882">
        <f t="shared" si="5"/>
        <v>-4658</v>
      </c>
    </row>
    <row r="107" spans="1:24" ht="27" customHeight="1">
      <c r="A107" s="583"/>
      <c r="B107" s="583">
        <v>1009</v>
      </c>
      <c r="C107" s="581">
        <v>10</v>
      </c>
      <c r="D107" s="582" t="s">
        <v>47</v>
      </c>
      <c r="E107" s="583" t="s">
        <v>555</v>
      </c>
      <c r="F107" s="599"/>
      <c r="G107" s="599"/>
      <c r="H107" s="599"/>
      <c r="I107" s="599"/>
      <c r="J107" s="599"/>
      <c r="K107" s="599"/>
      <c r="L107" s="599"/>
      <c r="M107" s="599"/>
      <c r="N107" s="599"/>
      <c r="O107" s="599"/>
      <c r="P107" s="599"/>
      <c r="Q107" s="882">
        <f t="shared" si="4"/>
        <v>0</v>
      </c>
      <c r="R107" s="599">
        <v>-597537314</v>
      </c>
      <c r="S107" s="882">
        <f t="shared" si="6"/>
        <v>0</v>
      </c>
      <c r="T107" s="599">
        <f t="shared" si="6"/>
        <v>-598</v>
      </c>
      <c r="U107" s="620"/>
      <c r="V107" s="621"/>
      <c r="W107" s="882">
        <f t="shared" si="7"/>
        <v>0</v>
      </c>
      <c r="X107" s="882">
        <f t="shared" si="5"/>
        <v>0</v>
      </c>
    </row>
    <row r="108" spans="1:24" ht="27" customHeight="1">
      <c r="A108" s="583"/>
      <c r="B108" s="583">
        <v>401</v>
      </c>
      <c r="C108" s="581">
        <v>4</v>
      </c>
      <c r="D108" s="582" t="s">
        <v>952</v>
      </c>
      <c r="E108" s="583" t="s">
        <v>953</v>
      </c>
      <c r="F108" s="599"/>
      <c r="G108" s="599"/>
      <c r="H108" s="599"/>
      <c r="I108" s="599"/>
      <c r="J108" s="599"/>
      <c r="K108" s="599"/>
      <c r="L108" s="599"/>
      <c r="M108" s="599"/>
      <c r="N108" s="599"/>
      <c r="O108" s="599"/>
      <c r="P108" s="599"/>
      <c r="Q108" s="882">
        <f t="shared" si="4"/>
        <v>0</v>
      </c>
      <c r="R108" s="599">
        <v>0</v>
      </c>
      <c r="S108" s="882">
        <f t="shared" si="6"/>
        <v>0</v>
      </c>
      <c r="T108" s="599">
        <f t="shared" si="6"/>
        <v>0</v>
      </c>
      <c r="U108" s="620"/>
      <c r="V108" s="621"/>
      <c r="W108" s="882">
        <f t="shared" si="7"/>
        <v>0</v>
      </c>
      <c r="X108" s="882">
        <f t="shared" si="5"/>
        <v>0</v>
      </c>
    </row>
    <row r="109" spans="1:24" ht="27" customHeight="1">
      <c r="A109" s="583"/>
      <c r="B109" s="583">
        <v>401</v>
      </c>
      <c r="C109" s="581">
        <v>4</v>
      </c>
      <c r="D109" s="582" t="s">
        <v>837</v>
      </c>
      <c r="E109" s="583" t="s">
        <v>954</v>
      </c>
      <c r="F109" s="599">
        <v>417939781</v>
      </c>
      <c r="G109" s="599">
        <v>-22800000</v>
      </c>
      <c r="H109" s="599">
        <v>-177814544</v>
      </c>
      <c r="I109" s="599"/>
      <c r="J109" s="599">
        <f>-217325237</f>
        <v>-217325237</v>
      </c>
      <c r="K109" s="599"/>
      <c r="L109" s="599"/>
      <c r="M109" s="599"/>
      <c r="N109" s="599"/>
      <c r="O109" s="599"/>
      <c r="P109" s="599"/>
      <c r="Q109" s="882">
        <f t="shared" si="4"/>
        <v>0</v>
      </c>
      <c r="R109" s="599">
        <v>0</v>
      </c>
      <c r="S109" s="882">
        <f t="shared" si="6"/>
        <v>0</v>
      </c>
      <c r="T109" s="599">
        <f t="shared" si="6"/>
        <v>0</v>
      </c>
      <c r="U109" s="620"/>
      <c r="V109" s="621"/>
      <c r="W109" s="882">
        <f t="shared" si="7"/>
        <v>0</v>
      </c>
      <c r="X109" s="882">
        <f t="shared" si="5"/>
        <v>0</v>
      </c>
    </row>
    <row r="110" spans="1:24" ht="27" customHeight="1">
      <c r="A110" s="583"/>
      <c r="B110" s="583">
        <v>1009</v>
      </c>
      <c r="C110" s="581">
        <v>10</v>
      </c>
      <c r="D110" s="582" t="s">
        <v>955</v>
      </c>
      <c r="E110" s="583" t="s">
        <v>956</v>
      </c>
      <c r="F110" s="599">
        <v>-6887387985</v>
      </c>
      <c r="G110" s="599">
        <v>258292837</v>
      </c>
      <c r="H110" s="599">
        <v>4985801526</v>
      </c>
      <c r="I110" s="599">
        <v>1643293622</v>
      </c>
      <c r="J110" s="599"/>
      <c r="K110" s="599"/>
      <c r="L110" s="599"/>
      <c r="M110" s="599"/>
      <c r="N110" s="599"/>
      <c r="O110" s="599"/>
      <c r="P110" s="599"/>
      <c r="Q110" s="882">
        <f t="shared" si="4"/>
        <v>0</v>
      </c>
      <c r="R110" s="599">
        <v>0</v>
      </c>
      <c r="S110" s="882">
        <f t="shared" si="6"/>
        <v>0</v>
      </c>
      <c r="T110" s="599">
        <f t="shared" si="6"/>
        <v>0</v>
      </c>
      <c r="U110" s="620"/>
      <c r="V110" s="621"/>
      <c r="W110" s="882">
        <f t="shared" si="7"/>
        <v>0</v>
      </c>
      <c r="X110" s="882">
        <f t="shared" si="5"/>
        <v>0</v>
      </c>
    </row>
    <row r="111" spans="1:24" ht="27" customHeight="1">
      <c r="A111" s="583"/>
      <c r="B111" s="583">
        <v>1009</v>
      </c>
      <c r="C111" s="581">
        <v>10</v>
      </c>
      <c r="D111" s="582" t="s">
        <v>1104</v>
      </c>
      <c r="E111" s="583" t="s">
        <v>1105</v>
      </c>
      <c r="F111" s="599">
        <v>-1235652</v>
      </c>
      <c r="G111" s="599"/>
      <c r="H111" s="599"/>
      <c r="I111" s="599"/>
      <c r="J111" s="599">
        <f>1235652</f>
        <v>1235652</v>
      </c>
      <c r="K111" s="599"/>
      <c r="L111" s="599"/>
      <c r="M111" s="599"/>
      <c r="N111" s="599"/>
      <c r="O111" s="599"/>
      <c r="P111" s="599"/>
      <c r="Q111" s="882">
        <f t="shared" si="4"/>
        <v>0</v>
      </c>
      <c r="R111" s="599">
        <v>0</v>
      </c>
      <c r="S111" s="882">
        <f t="shared" si="6"/>
        <v>0</v>
      </c>
      <c r="T111" s="599">
        <f t="shared" si="6"/>
        <v>0</v>
      </c>
      <c r="U111" s="620"/>
      <c r="V111" s="621"/>
      <c r="W111" s="882">
        <f t="shared" si="7"/>
        <v>0</v>
      </c>
      <c r="X111" s="882">
        <f t="shared" si="5"/>
        <v>0</v>
      </c>
    </row>
    <row r="112" spans="1:24" ht="27" customHeight="1">
      <c r="A112" s="583"/>
      <c r="B112" s="583">
        <v>401</v>
      </c>
      <c r="C112" s="581">
        <v>4</v>
      </c>
      <c r="D112" s="582" t="s">
        <v>881</v>
      </c>
      <c r="E112" s="583" t="s">
        <v>880</v>
      </c>
      <c r="F112" s="599">
        <v>5386137821</v>
      </c>
      <c r="G112" s="599">
        <v>-3723822946</v>
      </c>
      <c r="H112" s="599">
        <f>9971348002-11100803699</f>
        <v>-1129455697</v>
      </c>
      <c r="I112" s="599">
        <v>-441163798</v>
      </c>
      <c r="J112" s="599">
        <v>-709781825</v>
      </c>
      <c r="K112" s="599"/>
      <c r="L112" s="599"/>
      <c r="M112" s="599"/>
      <c r="N112" s="599"/>
      <c r="O112" s="599"/>
      <c r="P112" s="599"/>
      <c r="Q112" s="882">
        <f t="shared" si="4"/>
        <v>-618086445</v>
      </c>
      <c r="R112" s="599">
        <v>-2208974033</v>
      </c>
      <c r="S112" s="882">
        <f t="shared" si="6"/>
        <v>-618</v>
      </c>
      <c r="T112" s="599">
        <f t="shared" si="6"/>
        <v>-2209</v>
      </c>
      <c r="U112" s="620"/>
      <c r="V112" s="621"/>
      <c r="W112" s="882">
        <f t="shared" si="7"/>
        <v>-618086445</v>
      </c>
      <c r="X112" s="882">
        <f t="shared" si="5"/>
        <v>-618</v>
      </c>
    </row>
    <row r="113" spans="1:24" ht="27" customHeight="1">
      <c r="A113" s="583"/>
      <c r="B113" s="583">
        <v>401</v>
      </c>
      <c r="C113" s="581">
        <v>4</v>
      </c>
      <c r="D113" s="582" t="s">
        <v>556</v>
      </c>
      <c r="E113" s="583" t="s">
        <v>957</v>
      </c>
      <c r="F113" s="599">
        <v>22968515744</v>
      </c>
      <c r="G113" s="599">
        <v>-767172912</v>
      </c>
      <c r="H113" s="599">
        <f>67213199532-67218447532</f>
        <v>-5248000</v>
      </c>
      <c r="I113" s="599">
        <v>-22184830638</v>
      </c>
      <c r="J113" s="599">
        <v>-7081394</v>
      </c>
      <c r="K113" s="599"/>
      <c r="L113" s="599"/>
      <c r="M113" s="599"/>
      <c r="N113" s="599"/>
      <c r="O113" s="599"/>
      <c r="P113" s="599"/>
      <c r="Q113" s="882">
        <f t="shared" si="4"/>
        <v>4182800</v>
      </c>
      <c r="R113" s="599">
        <v>0</v>
      </c>
      <c r="S113" s="882">
        <f t="shared" si="6"/>
        <v>4</v>
      </c>
      <c r="T113" s="599">
        <f t="shared" si="6"/>
        <v>0</v>
      </c>
      <c r="U113" s="620"/>
      <c r="V113" s="621"/>
      <c r="W113" s="882">
        <f t="shared" si="7"/>
        <v>4182800</v>
      </c>
      <c r="X113" s="882">
        <f t="shared" si="5"/>
        <v>4</v>
      </c>
    </row>
    <row r="114" spans="1:24" ht="27" customHeight="1">
      <c r="A114" s="583"/>
      <c r="B114" s="583">
        <v>402</v>
      </c>
      <c r="C114" s="581">
        <v>4</v>
      </c>
      <c r="D114" s="582" t="s">
        <v>48</v>
      </c>
      <c r="E114" s="583" t="s">
        <v>49</v>
      </c>
      <c r="F114" s="599">
        <v>10608448586</v>
      </c>
      <c r="G114" s="599">
        <v>0</v>
      </c>
      <c r="H114" s="599"/>
      <c r="I114" s="599"/>
      <c r="J114" s="599"/>
      <c r="K114" s="599"/>
      <c r="L114" s="599"/>
      <c r="M114" s="599"/>
      <c r="N114" s="599"/>
      <c r="O114" s="599"/>
      <c r="P114" s="599"/>
      <c r="Q114" s="882">
        <f t="shared" si="4"/>
        <v>10608448586</v>
      </c>
      <c r="R114" s="599">
        <v>10608448586</v>
      </c>
      <c r="S114" s="882">
        <f t="shared" si="6"/>
        <v>10608</v>
      </c>
      <c r="T114" s="599">
        <f t="shared" si="6"/>
        <v>10608</v>
      </c>
      <c r="U114" s="620"/>
      <c r="V114" s="621"/>
      <c r="W114" s="882">
        <f t="shared" si="7"/>
        <v>10608448586</v>
      </c>
      <c r="X114" s="882">
        <f t="shared" si="5"/>
        <v>10608</v>
      </c>
    </row>
    <row r="115" spans="1:24" ht="27" customHeight="1">
      <c r="A115" s="583"/>
      <c r="B115" s="583">
        <v>1024</v>
      </c>
      <c r="C115" s="581">
        <v>10</v>
      </c>
      <c r="D115" s="582" t="s">
        <v>50</v>
      </c>
      <c r="E115" s="583" t="s">
        <v>205</v>
      </c>
      <c r="F115" s="599">
        <v>-33557959949</v>
      </c>
      <c r="G115" s="599">
        <v>6681728381</v>
      </c>
      <c r="H115" s="599">
        <f>48720000-17337361190</f>
        <v>-17288641190</v>
      </c>
      <c r="I115" s="599">
        <v>349999736</v>
      </c>
      <c r="J115" s="599"/>
      <c r="K115" s="599"/>
      <c r="L115" s="599"/>
      <c r="M115" s="599"/>
      <c r="N115" s="599"/>
      <c r="O115" s="599"/>
      <c r="P115" s="599"/>
      <c r="Q115" s="882">
        <f t="shared" si="4"/>
        <v>-43814873022</v>
      </c>
      <c r="R115" s="599">
        <v>-66298693812</v>
      </c>
      <c r="S115" s="882">
        <f t="shared" si="6"/>
        <v>-43815</v>
      </c>
      <c r="T115" s="599">
        <f t="shared" si="6"/>
        <v>-66299</v>
      </c>
      <c r="U115" s="620"/>
      <c r="V115" s="621"/>
      <c r="W115" s="882">
        <f t="shared" si="7"/>
        <v>-43814873022</v>
      </c>
      <c r="X115" s="882">
        <f t="shared" si="5"/>
        <v>-43815</v>
      </c>
    </row>
    <row r="116" spans="1:24" ht="27" customHeight="1">
      <c r="A116" s="583"/>
      <c r="B116" s="583">
        <v>404</v>
      </c>
      <c r="C116" s="581">
        <v>4</v>
      </c>
      <c r="D116" s="582" t="s">
        <v>51</v>
      </c>
      <c r="E116" s="583" t="s">
        <v>155</v>
      </c>
      <c r="F116" s="599">
        <v>50500107179</v>
      </c>
      <c r="G116" s="599">
        <v>2519003024</v>
      </c>
      <c r="H116" s="599">
        <v>1131363083</v>
      </c>
      <c r="I116" s="599">
        <v>-37970944</v>
      </c>
      <c r="J116" s="599">
        <v>613366391</v>
      </c>
      <c r="K116" s="599"/>
      <c r="L116" s="599"/>
      <c r="M116" s="599"/>
      <c r="N116" s="599"/>
      <c r="O116" s="599"/>
      <c r="P116" s="599"/>
      <c r="Q116" s="882">
        <f t="shared" si="4"/>
        <v>54725868733</v>
      </c>
      <c r="R116" s="599">
        <v>38584669497</v>
      </c>
      <c r="S116" s="882">
        <f t="shared" si="6"/>
        <v>54726</v>
      </c>
      <c r="T116" s="599">
        <f t="shared" si="6"/>
        <v>38585</v>
      </c>
      <c r="U116" s="620"/>
      <c r="V116" s="621"/>
      <c r="W116" s="882">
        <f t="shared" si="7"/>
        <v>54725868733</v>
      </c>
      <c r="X116" s="882">
        <f t="shared" si="5"/>
        <v>54726</v>
      </c>
    </row>
    <row r="117" spans="1:24" ht="27" customHeight="1">
      <c r="A117" s="583"/>
      <c r="B117" s="583">
        <v>406</v>
      </c>
      <c r="C117" s="581">
        <v>4</v>
      </c>
      <c r="D117" s="582" t="s">
        <v>52</v>
      </c>
      <c r="E117" s="583" t="s">
        <v>206</v>
      </c>
      <c r="F117" s="599">
        <v>4041733401</v>
      </c>
      <c r="G117" s="599">
        <v>2520696166</v>
      </c>
      <c r="H117" s="599"/>
      <c r="I117" s="599"/>
      <c r="J117" s="599"/>
      <c r="K117" s="599"/>
      <c r="L117" s="599"/>
      <c r="M117" s="599"/>
      <c r="N117" s="599"/>
      <c r="O117" s="599"/>
      <c r="P117" s="599"/>
      <c r="Q117" s="882">
        <f t="shared" si="4"/>
        <v>6562429567</v>
      </c>
      <c r="R117" s="599">
        <v>2018966716</v>
      </c>
      <c r="S117" s="882">
        <f t="shared" si="6"/>
        <v>6562</v>
      </c>
      <c r="T117" s="599">
        <f t="shared" si="6"/>
        <v>2019</v>
      </c>
      <c r="U117" s="620"/>
      <c r="V117" s="621"/>
      <c r="W117" s="882">
        <f t="shared" si="7"/>
        <v>6562429567</v>
      </c>
      <c r="X117" s="882">
        <f t="shared" si="5"/>
        <v>6562</v>
      </c>
    </row>
    <row r="118" spans="1:24" ht="27" customHeight="1">
      <c r="A118" s="583"/>
      <c r="B118" s="583">
        <v>403</v>
      </c>
      <c r="C118" s="581">
        <v>4</v>
      </c>
      <c r="D118" s="582" t="s">
        <v>53</v>
      </c>
      <c r="E118" s="583" t="s">
        <v>757</v>
      </c>
      <c r="F118" s="599">
        <v>4487024463</v>
      </c>
      <c r="G118" s="599">
        <v>-4487024457</v>
      </c>
      <c r="H118" s="599"/>
      <c r="I118" s="599"/>
      <c r="J118" s="599"/>
      <c r="K118" s="599"/>
      <c r="L118" s="599"/>
      <c r="M118" s="599"/>
      <c r="N118" s="599"/>
      <c r="O118" s="599"/>
      <c r="P118" s="599"/>
      <c r="Q118" s="882">
        <f t="shared" si="4"/>
        <v>6</v>
      </c>
      <c r="R118" s="599">
        <v>17614317287</v>
      </c>
      <c r="S118" s="882">
        <f t="shared" si="6"/>
        <v>0</v>
      </c>
      <c r="T118" s="599">
        <f t="shared" si="6"/>
        <v>17614</v>
      </c>
      <c r="U118" s="620"/>
      <c r="V118" s="621"/>
      <c r="W118" s="882">
        <f t="shared" si="7"/>
        <v>6</v>
      </c>
      <c r="X118" s="882">
        <f t="shared" si="5"/>
        <v>0</v>
      </c>
    </row>
    <row r="119" spans="1:24" ht="27" customHeight="1">
      <c r="A119" s="583"/>
      <c r="B119" s="583">
        <v>406</v>
      </c>
      <c r="C119" s="581">
        <v>4</v>
      </c>
      <c r="D119" s="582" t="s">
        <v>55</v>
      </c>
      <c r="E119" s="583" t="s">
        <v>547</v>
      </c>
      <c r="F119" s="599">
        <v>830173309</v>
      </c>
      <c r="G119" s="599">
        <v>128250</v>
      </c>
      <c r="H119" s="599"/>
      <c r="I119" s="599">
        <v>-76950</v>
      </c>
      <c r="J119" s="599"/>
      <c r="K119" s="599"/>
      <c r="L119" s="599"/>
      <c r="M119" s="599"/>
      <c r="N119" s="599"/>
      <c r="O119" s="599"/>
      <c r="P119" s="599"/>
      <c r="Q119" s="882">
        <f t="shared" si="4"/>
        <v>830224609</v>
      </c>
      <c r="R119" s="599">
        <v>425865673</v>
      </c>
      <c r="S119" s="882">
        <f t="shared" si="6"/>
        <v>830</v>
      </c>
      <c r="T119" s="599">
        <f t="shared" si="6"/>
        <v>426</v>
      </c>
      <c r="U119" s="620"/>
      <c r="V119" s="621"/>
      <c r="W119" s="882">
        <f t="shared" si="7"/>
        <v>830224609</v>
      </c>
      <c r="X119" s="882">
        <f t="shared" si="5"/>
        <v>830</v>
      </c>
    </row>
    <row r="120" spans="1:24" ht="27" customHeight="1">
      <c r="A120" s="583"/>
      <c r="B120" s="583">
        <v>1009</v>
      </c>
      <c r="C120" s="581">
        <v>10</v>
      </c>
      <c r="D120" s="582" t="s">
        <v>56</v>
      </c>
      <c r="E120" s="583" t="s">
        <v>597</v>
      </c>
      <c r="F120" s="599"/>
      <c r="G120" s="599"/>
      <c r="H120" s="599"/>
      <c r="I120" s="599"/>
      <c r="J120" s="599"/>
      <c r="K120" s="599"/>
      <c r="L120" s="599"/>
      <c r="M120" s="599"/>
      <c r="N120" s="599"/>
      <c r="O120" s="599"/>
      <c r="P120" s="599"/>
      <c r="Q120" s="882">
        <f t="shared" si="4"/>
        <v>0</v>
      </c>
      <c r="R120" s="599">
        <v>-1937100</v>
      </c>
      <c r="S120" s="882">
        <f t="shared" si="6"/>
        <v>0</v>
      </c>
      <c r="T120" s="599">
        <f t="shared" si="6"/>
        <v>-2</v>
      </c>
      <c r="U120" s="620"/>
      <c r="V120" s="621"/>
      <c r="W120" s="882">
        <f t="shared" si="7"/>
        <v>0</v>
      </c>
      <c r="X120" s="882">
        <f t="shared" si="5"/>
        <v>0</v>
      </c>
    </row>
    <row r="121" spans="1:24" ht="27" customHeight="1">
      <c r="A121" s="583"/>
      <c r="B121" s="583">
        <v>1001</v>
      </c>
      <c r="C121" s="581">
        <v>10</v>
      </c>
      <c r="D121" s="582" t="s">
        <v>715</v>
      </c>
      <c r="E121" s="583" t="s">
        <v>716</v>
      </c>
      <c r="F121" s="599">
        <v>-142424657</v>
      </c>
      <c r="G121" s="599"/>
      <c r="H121" s="599">
        <v>-265828577</v>
      </c>
      <c r="I121" s="599"/>
      <c r="J121" s="599"/>
      <c r="K121" s="599"/>
      <c r="L121" s="599"/>
      <c r="M121" s="599"/>
      <c r="N121" s="599"/>
      <c r="O121" s="599"/>
      <c r="P121" s="599"/>
      <c r="Q121" s="882">
        <f t="shared" si="4"/>
        <v>-408253234</v>
      </c>
      <c r="R121" s="599">
        <v>46</v>
      </c>
      <c r="S121" s="882">
        <f t="shared" si="6"/>
        <v>-408</v>
      </c>
      <c r="T121" s="599">
        <f t="shared" si="6"/>
        <v>0</v>
      </c>
      <c r="U121" s="620"/>
      <c r="V121" s="621"/>
      <c r="W121" s="882">
        <f t="shared" si="7"/>
        <v>-408253234</v>
      </c>
      <c r="X121" s="882">
        <f t="shared" si="5"/>
        <v>-408</v>
      </c>
    </row>
    <row r="122" spans="1:24" ht="27" customHeight="1">
      <c r="A122" s="583"/>
      <c r="B122" s="583">
        <v>406</v>
      </c>
      <c r="C122" s="581">
        <v>4</v>
      </c>
      <c r="D122" s="582" t="s">
        <v>412</v>
      </c>
      <c r="E122" s="583" t="s">
        <v>17</v>
      </c>
      <c r="F122" s="599">
        <v>27206400</v>
      </c>
      <c r="G122" s="599">
        <v>-23805600</v>
      </c>
      <c r="H122" s="599"/>
      <c r="I122" s="599"/>
      <c r="J122" s="599"/>
      <c r="K122" s="599"/>
      <c r="L122" s="599"/>
      <c r="M122" s="599"/>
      <c r="N122" s="599"/>
      <c r="O122" s="599"/>
      <c r="P122" s="599"/>
      <c r="Q122" s="882">
        <f t="shared" si="4"/>
        <v>3400800</v>
      </c>
      <c r="R122" s="599">
        <v>13603200</v>
      </c>
      <c r="S122" s="882">
        <f t="shared" si="6"/>
        <v>3</v>
      </c>
      <c r="T122" s="599">
        <f t="shared" si="6"/>
        <v>14</v>
      </c>
      <c r="U122" s="620"/>
      <c r="V122" s="621"/>
      <c r="W122" s="882">
        <f t="shared" si="7"/>
        <v>3400800</v>
      </c>
      <c r="X122" s="882">
        <f t="shared" si="5"/>
        <v>3</v>
      </c>
    </row>
    <row r="123" spans="1:24" ht="27" customHeight="1">
      <c r="A123" s="583"/>
      <c r="B123" s="583">
        <v>1025</v>
      </c>
      <c r="C123" s="581">
        <v>10</v>
      </c>
      <c r="D123" s="582" t="s">
        <v>57</v>
      </c>
      <c r="E123" s="583" t="s">
        <v>137</v>
      </c>
      <c r="F123" s="599">
        <v>-8126476004</v>
      </c>
      <c r="G123" s="599">
        <v>-870095552</v>
      </c>
      <c r="H123" s="599"/>
      <c r="I123" s="599"/>
      <c r="J123" s="599"/>
      <c r="K123" s="599"/>
      <c r="L123" s="599"/>
      <c r="M123" s="599"/>
      <c r="N123" s="599"/>
      <c r="O123" s="599"/>
      <c r="P123" s="599"/>
      <c r="Q123" s="882">
        <f t="shared" si="4"/>
        <v>-8996571556</v>
      </c>
      <c r="R123" s="599">
        <v>-8307854868</v>
      </c>
      <c r="S123" s="882">
        <f t="shared" si="6"/>
        <v>-8997</v>
      </c>
      <c r="T123" s="599">
        <f t="shared" si="6"/>
        <v>-8308</v>
      </c>
      <c r="U123" s="620"/>
      <c r="V123" s="621"/>
      <c r="W123" s="882">
        <f t="shared" si="7"/>
        <v>-8996571556</v>
      </c>
      <c r="X123" s="882">
        <f t="shared" si="5"/>
        <v>-8997</v>
      </c>
    </row>
    <row r="124" spans="1:24" ht="27" customHeight="1">
      <c r="A124" s="583"/>
      <c r="B124" s="583">
        <v>407</v>
      </c>
      <c r="C124" s="581">
        <v>4</v>
      </c>
      <c r="D124" s="582" t="s">
        <v>58</v>
      </c>
      <c r="E124" s="583" t="s">
        <v>139</v>
      </c>
      <c r="F124" s="599">
        <v>-2154867102107</v>
      </c>
      <c r="G124" s="599"/>
      <c r="H124" s="599">
        <v>2154867102107</v>
      </c>
      <c r="I124" s="599"/>
      <c r="J124" s="599"/>
      <c r="K124" s="599"/>
      <c r="L124" s="599"/>
      <c r="M124" s="599"/>
      <c r="N124" s="599"/>
      <c r="O124" s="599"/>
      <c r="P124" s="599"/>
      <c r="Q124" s="882">
        <f t="shared" si="4"/>
        <v>0</v>
      </c>
      <c r="R124" s="599">
        <v>-345354084592</v>
      </c>
      <c r="S124" s="882">
        <f t="shared" si="6"/>
        <v>0</v>
      </c>
      <c r="T124" s="599">
        <f t="shared" si="6"/>
        <v>-345354</v>
      </c>
      <c r="U124" s="620"/>
      <c r="V124" s="621"/>
      <c r="W124" s="882">
        <f t="shared" si="7"/>
        <v>0</v>
      </c>
      <c r="X124" s="882">
        <f t="shared" si="5"/>
        <v>0</v>
      </c>
    </row>
    <row r="125" spans="1:24" ht="27" customHeight="1">
      <c r="A125" s="583"/>
      <c r="B125" s="583">
        <v>407</v>
      </c>
      <c r="C125" s="581">
        <v>4</v>
      </c>
      <c r="D125" s="582" t="s">
        <v>1373</v>
      </c>
      <c r="E125" s="583" t="s">
        <v>1374</v>
      </c>
      <c r="F125" s="599">
        <v>2218038002457</v>
      </c>
      <c r="G125" s="599">
        <v>7190788630</v>
      </c>
      <c r="H125" s="599">
        <f>862437000-2155928648607</f>
        <v>-2155066211607</v>
      </c>
      <c r="I125" s="599">
        <v>76951816567</v>
      </c>
      <c r="J125" s="599"/>
      <c r="K125" s="599"/>
      <c r="L125" s="599"/>
      <c r="M125" s="599"/>
      <c r="N125" s="599"/>
      <c r="O125" s="599"/>
      <c r="P125" s="599"/>
      <c r="Q125" s="882">
        <f t="shared" si="4"/>
        <v>147114396047</v>
      </c>
      <c r="R125" s="599">
        <v>471349075867</v>
      </c>
      <c r="S125" s="882">
        <f t="shared" si="6"/>
        <v>147114</v>
      </c>
      <c r="T125" s="599">
        <f t="shared" si="6"/>
        <v>471349</v>
      </c>
      <c r="U125" s="620"/>
      <c r="V125" s="621"/>
      <c r="W125" s="882">
        <f t="shared" si="7"/>
        <v>147114396047</v>
      </c>
      <c r="X125" s="882">
        <f t="shared" si="5"/>
        <v>147114</v>
      </c>
    </row>
    <row r="126" spans="1:24" ht="27" customHeight="1">
      <c r="A126" s="583"/>
      <c r="B126" s="583">
        <v>10040</v>
      </c>
      <c r="C126" s="581">
        <v>4</v>
      </c>
      <c r="D126" s="582" t="s">
        <v>59</v>
      </c>
      <c r="E126" s="583" t="s">
        <v>342</v>
      </c>
      <c r="F126" s="599">
        <v>5780890941612</v>
      </c>
      <c r="G126" s="599">
        <v>180071807531</v>
      </c>
      <c r="H126" s="599">
        <f>50771703-292695838</f>
        <v>-241924135</v>
      </c>
      <c r="I126" s="599">
        <v>-160085654524</v>
      </c>
      <c r="J126" s="599">
        <v>197711302427</v>
      </c>
      <c r="K126" s="599">
        <v>-49659986327</v>
      </c>
      <c r="L126" s="599"/>
      <c r="M126" s="599"/>
      <c r="N126" s="599">
        <f>-78918155730-892598785000</f>
        <v>-971516940730</v>
      </c>
      <c r="O126" s="599">
        <f>49659986327-344614164285</f>
        <v>-294954177958</v>
      </c>
      <c r="P126" s="599"/>
      <c r="Q126" s="599">
        <f t="shared" si="4"/>
        <v>4682215367896</v>
      </c>
      <c r="R126" s="599">
        <v>-2522192687949</v>
      </c>
      <c r="S126" s="599">
        <f t="shared" si="6"/>
        <v>4682215</v>
      </c>
      <c r="T126" s="599">
        <f t="shared" si="6"/>
        <v>-2522193</v>
      </c>
      <c r="U126" s="620"/>
      <c r="V126" s="621"/>
      <c r="W126" s="882">
        <f t="shared" si="7"/>
        <v>4682215367896</v>
      </c>
      <c r="X126" s="882">
        <f t="shared" si="5"/>
        <v>4682215</v>
      </c>
    </row>
    <row r="127" spans="1:24" ht="27" customHeight="1">
      <c r="A127" s="583"/>
      <c r="B127" s="583">
        <v>10040</v>
      </c>
      <c r="C127" s="581">
        <v>4</v>
      </c>
      <c r="D127" s="582" t="s">
        <v>59</v>
      </c>
      <c r="E127" s="583" t="s">
        <v>923</v>
      </c>
      <c r="F127" s="599"/>
      <c r="G127" s="599"/>
      <c r="H127" s="599"/>
      <c r="I127" s="599"/>
      <c r="J127" s="599"/>
      <c r="K127" s="599"/>
      <c r="L127" s="599"/>
      <c r="M127" s="599"/>
      <c r="N127" s="599"/>
      <c r="O127" s="599"/>
      <c r="P127" s="599"/>
      <c r="Q127" s="599">
        <f t="shared" si="4"/>
        <v>0</v>
      </c>
      <c r="R127" s="599">
        <v>0</v>
      </c>
      <c r="S127" s="599">
        <f t="shared" si="6"/>
        <v>0</v>
      </c>
      <c r="T127" s="599">
        <f t="shared" si="6"/>
        <v>0</v>
      </c>
      <c r="U127" s="620"/>
      <c r="V127" s="621"/>
      <c r="W127" s="882">
        <f t="shared" si="7"/>
        <v>0</v>
      </c>
      <c r="X127" s="882">
        <f t="shared" si="5"/>
        <v>0</v>
      </c>
    </row>
    <row r="128" spans="1:24" ht="27" customHeight="1">
      <c r="A128" s="583"/>
      <c r="B128" s="583">
        <v>10040</v>
      </c>
      <c r="C128" s="581">
        <v>4</v>
      </c>
      <c r="D128" s="582" t="s">
        <v>59</v>
      </c>
      <c r="E128" s="583" t="s">
        <v>923</v>
      </c>
      <c r="F128" s="599"/>
      <c r="G128" s="599"/>
      <c r="H128" s="599"/>
      <c r="I128" s="599"/>
      <c r="J128" s="599"/>
      <c r="K128" s="599"/>
      <c r="L128" s="599"/>
      <c r="M128" s="599"/>
      <c r="N128" s="599"/>
      <c r="O128" s="599"/>
      <c r="P128" s="599"/>
      <c r="Q128" s="599">
        <f t="shared" si="4"/>
        <v>0</v>
      </c>
      <c r="R128" s="599">
        <v>0</v>
      </c>
      <c r="S128" s="599">
        <f t="shared" si="6"/>
        <v>0</v>
      </c>
      <c r="T128" s="599">
        <f t="shared" si="6"/>
        <v>0</v>
      </c>
      <c r="U128" s="620"/>
      <c r="V128" s="621"/>
      <c r="W128" s="882">
        <f t="shared" si="7"/>
        <v>0</v>
      </c>
      <c r="X128" s="882">
        <f t="shared" si="5"/>
        <v>0</v>
      </c>
    </row>
    <row r="129" spans="1:24" ht="27" customHeight="1">
      <c r="A129" s="583"/>
      <c r="B129" s="583">
        <v>406</v>
      </c>
      <c r="C129" s="581">
        <v>4</v>
      </c>
      <c r="D129" s="582" t="s">
        <v>378</v>
      </c>
      <c r="E129" s="583" t="s">
        <v>958</v>
      </c>
      <c r="F129" s="599">
        <v>57960900</v>
      </c>
      <c r="G129" s="599"/>
      <c r="H129" s="599"/>
      <c r="I129" s="599"/>
      <c r="J129" s="599"/>
      <c r="K129" s="599"/>
      <c r="L129" s="599"/>
      <c r="M129" s="599"/>
      <c r="N129" s="599"/>
      <c r="O129" s="599"/>
      <c r="P129" s="599"/>
      <c r="Q129" s="882">
        <f t="shared" si="4"/>
        <v>57960900</v>
      </c>
      <c r="R129" s="599">
        <v>0</v>
      </c>
      <c r="S129" s="882">
        <f t="shared" si="6"/>
        <v>58</v>
      </c>
      <c r="T129" s="599">
        <f t="shared" si="6"/>
        <v>0</v>
      </c>
      <c r="U129" s="620"/>
      <c r="V129" s="621"/>
      <c r="W129" s="882">
        <f t="shared" si="7"/>
        <v>57960900</v>
      </c>
      <c r="X129" s="882">
        <f t="shared" si="5"/>
        <v>58</v>
      </c>
    </row>
    <row r="130" spans="1:24" ht="27" customHeight="1">
      <c r="A130" s="583"/>
      <c r="B130" s="583">
        <v>1022</v>
      </c>
      <c r="C130" s="581">
        <v>4</v>
      </c>
      <c r="D130" s="582" t="s">
        <v>60</v>
      </c>
      <c r="E130" s="583" t="s">
        <v>1375</v>
      </c>
      <c r="F130" s="599">
        <v>264426000079</v>
      </c>
      <c r="G130" s="599">
        <v>-79532220</v>
      </c>
      <c r="H130" s="599">
        <v>-72909373</v>
      </c>
      <c r="I130" s="599">
        <v>-1142815516</v>
      </c>
      <c r="J130" s="599"/>
      <c r="K130" s="599">
        <f>219765387</f>
        <v>219765387</v>
      </c>
      <c r="L130" s="599"/>
      <c r="M130" s="599"/>
      <c r="N130" s="599"/>
      <c r="O130" s="599"/>
      <c r="P130" s="599"/>
      <c r="Q130" s="882">
        <f t="shared" si="4"/>
        <v>263350508357</v>
      </c>
      <c r="R130" s="599">
        <v>262538144441</v>
      </c>
      <c r="S130" s="882">
        <f t="shared" si="6"/>
        <v>263351</v>
      </c>
      <c r="T130" s="599">
        <f t="shared" si="6"/>
        <v>262538</v>
      </c>
      <c r="U130" s="620"/>
      <c r="V130" s="621"/>
      <c r="W130" s="882">
        <f t="shared" si="7"/>
        <v>263350508357</v>
      </c>
      <c r="X130" s="882">
        <f t="shared" si="5"/>
        <v>263351</v>
      </c>
    </row>
    <row r="131" spans="1:24" ht="27" customHeight="1">
      <c r="A131" s="583"/>
      <c r="B131" s="583">
        <v>1022</v>
      </c>
      <c r="C131" s="581">
        <v>4</v>
      </c>
      <c r="D131" s="582" t="s">
        <v>1327</v>
      </c>
      <c r="E131" s="583" t="s">
        <v>778</v>
      </c>
      <c r="F131" s="599">
        <v>4159155645468</v>
      </c>
      <c r="G131" s="599">
        <v>752546881000</v>
      </c>
      <c r="H131" s="599"/>
      <c r="I131" s="599">
        <v>-4864751753069</v>
      </c>
      <c r="J131" s="599"/>
      <c r="K131" s="599">
        <f>-219765387</f>
        <v>-219765387</v>
      </c>
      <c r="L131" s="599"/>
      <c r="M131" s="599"/>
      <c r="N131" s="599">
        <f>-150882514835+892598785000</f>
        <v>741716270165</v>
      </c>
      <c r="O131" s="599"/>
      <c r="P131" s="599"/>
      <c r="Q131" s="882">
        <f t="shared" si="4"/>
        <v>788447278177</v>
      </c>
      <c r="R131" s="599">
        <v>-545017702533</v>
      </c>
      <c r="S131" s="882">
        <f t="shared" si="6"/>
        <v>788447</v>
      </c>
      <c r="T131" s="599">
        <f t="shared" si="6"/>
        <v>-545018</v>
      </c>
      <c r="U131" s="620"/>
      <c r="V131" s="621"/>
      <c r="W131" s="882">
        <f t="shared" si="7"/>
        <v>788447278177</v>
      </c>
      <c r="X131" s="882">
        <f t="shared" si="5"/>
        <v>788447</v>
      </c>
    </row>
    <row r="132" spans="1:24" ht="27" customHeight="1">
      <c r="A132" s="583"/>
      <c r="B132" s="583">
        <v>406</v>
      </c>
      <c r="C132" s="581">
        <v>4</v>
      </c>
      <c r="D132" s="582" t="s">
        <v>565</v>
      </c>
      <c r="E132" s="583" t="s">
        <v>566</v>
      </c>
      <c r="F132" s="599">
        <v>1838070340</v>
      </c>
      <c r="G132" s="599">
        <v>0</v>
      </c>
      <c r="H132" s="599"/>
      <c r="I132" s="599"/>
      <c r="J132" s="599"/>
      <c r="K132" s="599"/>
      <c r="L132" s="599"/>
      <c r="M132" s="599"/>
      <c r="N132" s="599"/>
      <c r="O132" s="599"/>
      <c r="P132" s="599"/>
      <c r="Q132" s="882">
        <f t="shared" ref="Q132:Q195" si="8">SUM(F132:P132)</f>
        <v>1838070340</v>
      </c>
      <c r="R132" s="599">
        <v>1714875360</v>
      </c>
      <c r="S132" s="882">
        <f t="shared" si="6"/>
        <v>1838</v>
      </c>
      <c r="T132" s="599">
        <f t="shared" si="6"/>
        <v>1715</v>
      </c>
      <c r="U132" s="620"/>
      <c r="V132" s="621"/>
      <c r="W132" s="882">
        <f t="shared" si="7"/>
        <v>1838070340</v>
      </c>
      <c r="X132" s="882">
        <f t="shared" ref="X132:X195" si="9">ROUND((W132/1000000),0)</f>
        <v>1838</v>
      </c>
    </row>
    <row r="133" spans="1:24" ht="27" customHeight="1">
      <c r="A133" s="583"/>
      <c r="B133" s="583">
        <v>1001</v>
      </c>
      <c r="C133" s="581">
        <v>10</v>
      </c>
      <c r="D133" s="582" t="s">
        <v>567</v>
      </c>
      <c r="E133" s="583" t="s">
        <v>777</v>
      </c>
      <c r="F133" s="599">
        <v>-251533549</v>
      </c>
      <c r="G133" s="599">
        <v>-254506905</v>
      </c>
      <c r="H133" s="599">
        <v>-10763226</v>
      </c>
      <c r="I133" s="599"/>
      <c r="J133" s="599"/>
      <c r="K133" s="599"/>
      <c r="L133" s="599"/>
      <c r="M133" s="599"/>
      <c r="N133" s="599"/>
      <c r="O133" s="599"/>
      <c r="P133" s="599"/>
      <c r="Q133" s="882">
        <f t="shared" si="8"/>
        <v>-516803680</v>
      </c>
      <c r="R133" s="599">
        <v>-1310417890</v>
      </c>
      <c r="S133" s="882">
        <f t="shared" si="6"/>
        <v>-517</v>
      </c>
      <c r="T133" s="599">
        <f t="shared" si="6"/>
        <v>-1310</v>
      </c>
      <c r="U133" s="620"/>
      <c r="V133" s="621"/>
      <c r="W133" s="882">
        <f t="shared" si="7"/>
        <v>-516803680</v>
      </c>
      <c r="X133" s="882">
        <f t="shared" si="9"/>
        <v>-517</v>
      </c>
    </row>
    <row r="134" spans="1:24" ht="27" customHeight="1">
      <c r="A134" s="583"/>
      <c r="B134" s="583">
        <v>406</v>
      </c>
      <c r="C134" s="581">
        <v>4</v>
      </c>
      <c r="D134" s="582" t="s">
        <v>361</v>
      </c>
      <c r="E134" s="583" t="s">
        <v>253</v>
      </c>
      <c r="F134" s="599"/>
      <c r="G134" s="599"/>
      <c r="H134" s="599"/>
      <c r="I134" s="599"/>
      <c r="J134" s="599"/>
      <c r="K134" s="599"/>
      <c r="L134" s="599"/>
      <c r="M134" s="599"/>
      <c r="N134" s="599"/>
      <c r="O134" s="599"/>
      <c r="P134" s="599"/>
      <c r="Q134" s="882">
        <f t="shared" si="8"/>
        <v>0</v>
      </c>
      <c r="R134" s="599">
        <v>0</v>
      </c>
      <c r="S134" s="882">
        <f t="shared" si="6"/>
        <v>0</v>
      </c>
      <c r="T134" s="599">
        <f t="shared" si="6"/>
        <v>0</v>
      </c>
      <c r="U134" s="620"/>
      <c r="V134" s="621"/>
      <c r="W134" s="882">
        <f t="shared" si="7"/>
        <v>0</v>
      </c>
      <c r="X134" s="882">
        <f t="shared" si="9"/>
        <v>0</v>
      </c>
    </row>
    <row r="135" spans="1:24" ht="27" customHeight="1">
      <c r="A135" s="583">
        <v>3214</v>
      </c>
      <c r="B135" s="583">
        <v>1028</v>
      </c>
      <c r="C135" s="581">
        <v>10</v>
      </c>
      <c r="D135" s="582" t="s">
        <v>568</v>
      </c>
      <c r="E135" s="583" t="s">
        <v>153</v>
      </c>
      <c r="F135" s="599">
        <v>-31418568071</v>
      </c>
      <c r="G135" s="599">
        <v>36450000</v>
      </c>
      <c r="H135" s="599">
        <v>-1059398507</v>
      </c>
      <c r="I135" s="599">
        <v>4522400000</v>
      </c>
      <c r="J135" s="599">
        <v>1000000</v>
      </c>
      <c r="K135" s="599"/>
      <c r="L135" s="599"/>
      <c r="M135" s="599"/>
      <c r="N135" s="599"/>
      <c r="O135" s="599"/>
      <c r="P135" s="599"/>
      <c r="Q135" s="882">
        <f t="shared" si="8"/>
        <v>-27918116578</v>
      </c>
      <c r="R135" s="599">
        <v>125244113940</v>
      </c>
      <c r="S135" s="882">
        <f t="shared" si="6"/>
        <v>-27918</v>
      </c>
      <c r="T135" s="599">
        <f t="shared" si="6"/>
        <v>125244</v>
      </c>
      <c r="U135" s="620"/>
      <c r="V135" s="621"/>
      <c r="W135" s="882">
        <f t="shared" si="7"/>
        <v>-27918116578</v>
      </c>
      <c r="X135" s="882">
        <f t="shared" si="9"/>
        <v>-27918</v>
      </c>
    </row>
    <row r="136" spans="1:24" ht="27" customHeight="1">
      <c r="A136" s="583"/>
      <c r="B136" s="583">
        <v>406</v>
      </c>
      <c r="C136" s="581">
        <v>4</v>
      </c>
      <c r="D136" s="582" t="s">
        <v>254</v>
      </c>
      <c r="E136" s="583" t="s">
        <v>959</v>
      </c>
      <c r="F136" s="599">
        <v>19017089977</v>
      </c>
      <c r="G136" s="599"/>
      <c r="H136" s="599"/>
      <c r="I136" s="599"/>
      <c r="J136" s="599"/>
      <c r="K136" s="599"/>
      <c r="L136" s="599"/>
      <c r="M136" s="599"/>
      <c r="N136" s="599"/>
      <c r="O136" s="599"/>
      <c r="P136" s="599"/>
      <c r="Q136" s="882">
        <f t="shared" si="8"/>
        <v>19017089977</v>
      </c>
      <c r="R136" s="599">
        <v>17215931290</v>
      </c>
      <c r="S136" s="882">
        <f t="shared" ref="S136:T201" si="10">ROUND((Q136/1000000),0)</f>
        <v>19017</v>
      </c>
      <c r="T136" s="599">
        <f t="shared" si="10"/>
        <v>17216</v>
      </c>
      <c r="U136" s="620"/>
      <c r="V136" s="621"/>
      <c r="W136" s="882">
        <f t="shared" si="7"/>
        <v>19017089977</v>
      </c>
      <c r="X136" s="882">
        <f t="shared" si="9"/>
        <v>19017</v>
      </c>
    </row>
    <row r="137" spans="1:24" ht="27" customHeight="1">
      <c r="A137" s="583"/>
      <c r="B137" s="583">
        <v>1001</v>
      </c>
      <c r="C137" s="581">
        <v>10</v>
      </c>
      <c r="D137" s="582" t="s">
        <v>569</v>
      </c>
      <c r="E137" s="583" t="s">
        <v>961</v>
      </c>
      <c r="F137" s="599"/>
      <c r="G137" s="599"/>
      <c r="H137" s="599"/>
      <c r="I137" s="599"/>
      <c r="J137" s="599"/>
      <c r="K137" s="599"/>
      <c r="L137" s="599"/>
      <c r="M137" s="599"/>
      <c r="N137" s="599"/>
      <c r="O137" s="599"/>
      <c r="P137" s="599"/>
      <c r="Q137" s="882">
        <f t="shared" si="8"/>
        <v>0</v>
      </c>
      <c r="R137" s="599">
        <v>-47653078</v>
      </c>
      <c r="S137" s="882">
        <f t="shared" si="10"/>
        <v>0</v>
      </c>
      <c r="T137" s="599">
        <f t="shared" si="10"/>
        <v>-48</v>
      </c>
      <c r="U137" s="620"/>
      <c r="V137" s="621"/>
      <c r="W137" s="882">
        <f t="shared" ref="W137:W202" si="11">Q137+V137-U137</f>
        <v>0</v>
      </c>
      <c r="X137" s="882">
        <f t="shared" si="9"/>
        <v>0</v>
      </c>
    </row>
    <row r="138" spans="1:24" ht="27" customHeight="1">
      <c r="A138" s="583"/>
      <c r="B138" s="583">
        <v>406</v>
      </c>
      <c r="C138" s="581">
        <v>4</v>
      </c>
      <c r="D138" s="582" t="s">
        <v>960</v>
      </c>
      <c r="E138" s="583" t="s">
        <v>962</v>
      </c>
      <c r="F138" s="599">
        <v>1818151118</v>
      </c>
      <c r="G138" s="599"/>
      <c r="H138" s="599"/>
      <c r="I138" s="599"/>
      <c r="J138" s="599"/>
      <c r="K138" s="599"/>
      <c r="L138" s="599"/>
      <c r="M138" s="599"/>
      <c r="N138" s="599"/>
      <c r="O138" s="599"/>
      <c r="P138" s="599"/>
      <c r="Q138" s="882">
        <f t="shared" si="8"/>
        <v>1818151118</v>
      </c>
      <c r="R138" s="599">
        <v>1153713868</v>
      </c>
      <c r="S138" s="882">
        <f t="shared" si="10"/>
        <v>1818</v>
      </c>
      <c r="T138" s="599">
        <f t="shared" si="10"/>
        <v>1154</v>
      </c>
      <c r="U138" s="620"/>
      <c r="V138" s="621"/>
      <c r="W138" s="882">
        <f t="shared" si="11"/>
        <v>1818151118</v>
      </c>
      <c r="X138" s="882">
        <f t="shared" si="9"/>
        <v>1818</v>
      </c>
    </row>
    <row r="139" spans="1:24" ht="27" customHeight="1">
      <c r="A139" s="583"/>
      <c r="B139" s="583">
        <v>406</v>
      </c>
      <c r="C139" s="581">
        <v>4</v>
      </c>
      <c r="D139" s="582" t="s">
        <v>733</v>
      </c>
      <c r="E139" s="583" t="s">
        <v>963</v>
      </c>
      <c r="F139" s="599"/>
      <c r="G139" s="599"/>
      <c r="H139" s="599"/>
      <c r="I139" s="599"/>
      <c r="J139" s="599"/>
      <c r="K139" s="599"/>
      <c r="L139" s="599"/>
      <c r="M139" s="599"/>
      <c r="N139" s="599"/>
      <c r="O139" s="599"/>
      <c r="P139" s="599"/>
      <c r="Q139" s="882">
        <f t="shared" si="8"/>
        <v>0</v>
      </c>
      <c r="R139" s="599">
        <v>659580150</v>
      </c>
      <c r="S139" s="882">
        <f t="shared" si="10"/>
        <v>0</v>
      </c>
      <c r="T139" s="599">
        <f t="shared" si="10"/>
        <v>660</v>
      </c>
      <c r="U139" s="620"/>
      <c r="V139" s="621"/>
      <c r="W139" s="882">
        <f t="shared" si="11"/>
        <v>0</v>
      </c>
      <c r="X139" s="882">
        <f t="shared" si="9"/>
        <v>0</v>
      </c>
    </row>
    <row r="140" spans="1:24" ht="27" customHeight="1">
      <c r="A140" s="583"/>
      <c r="B140" s="583">
        <v>406</v>
      </c>
      <c r="C140" s="581">
        <v>4</v>
      </c>
      <c r="D140" s="582" t="s">
        <v>570</v>
      </c>
      <c r="E140" s="583" t="s">
        <v>257</v>
      </c>
      <c r="F140" s="599">
        <v>591678100</v>
      </c>
      <c r="G140" s="599">
        <v>-8451000</v>
      </c>
      <c r="H140" s="599"/>
      <c r="I140" s="599"/>
      <c r="J140" s="599"/>
      <c r="K140" s="599"/>
      <c r="L140" s="599"/>
      <c r="M140" s="599"/>
      <c r="N140" s="599"/>
      <c r="O140" s="599"/>
      <c r="P140" s="599"/>
      <c r="Q140" s="882">
        <f t="shared" si="8"/>
        <v>583227100</v>
      </c>
      <c r="R140" s="599">
        <v>6237000</v>
      </c>
      <c r="S140" s="882">
        <f t="shared" si="10"/>
        <v>583</v>
      </c>
      <c r="T140" s="599">
        <f t="shared" si="10"/>
        <v>6</v>
      </c>
      <c r="U140" s="620"/>
      <c r="V140" s="621"/>
      <c r="W140" s="882">
        <f t="shared" si="11"/>
        <v>583227100</v>
      </c>
      <c r="X140" s="882">
        <f t="shared" si="9"/>
        <v>583</v>
      </c>
    </row>
    <row r="141" spans="1:24" ht="27" customHeight="1">
      <c r="A141" s="583"/>
      <c r="B141" s="583">
        <v>406</v>
      </c>
      <c r="C141" s="581">
        <v>4</v>
      </c>
      <c r="D141" s="582" t="s">
        <v>256</v>
      </c>
      <c r="E141" s="583" t="s">
        <v>258</v>
      </c>
      <c r="F141" s="599"/>
      <c r="G141" s="599"/>
      <c r="H141" s="599"/>
      <c r="I141" s="599"/>
      <c r="J141" s="599"/>
      <c r="K141" s="599"/>
      <c r="L141" s="599"/>
      <c r="M141" s="599"/>
      <c r="N141" s="599"/>
      <c r="O141" s="599"/>
      <c r="P141" s="599"/>
      <c r="Q141" s="882">
        <f t="shared" si="8"/>
        <v>0</v>
      </c>
      <c r="R141" s="599">
        <v>0</v>
      </c>
      <c r="S141" s="882">
        <f t="shared" si="10"/>
        <v>0</v>
      </c>
      <c r="T141" s="599">
        <f t="shared" si="10"/>
        <v>0</v>
      </c>
      <c r="U141" s="620"/>
      <c r="V141" s="621"/>
      <c r="W141" s="882">
        <f t="shared" si="11"/>
        <v>0</v>
      </c>
      <c r="X141" s="882">
        <f t="shared" si="9"/>
        <v>0</v>
      </c>
    </row>
    <row r="142" spans="1:24" ht="27" customHeight="1">
      <c r="A142" s="583"/>
      <c r="B142" s="583">
        <v>406</v>
      </c>
      <c r="C142" s="581">
        <v>4</v>
      </c>
      <c r="D142" s="582" t="s">
        <v>571</v>
      </c>
      <c r="E142" s="583" t="s">
        <v>259</v>
      </c>
      <c r="F142" s="599">
        <v>74120000</v>
      </c>
      <c r="G142" s="599"/>
      <c r="H142" s="599"/>
      <c r="I142" s="599"/>
      <c r="J142" s="599"/>
      <c r="K142" s="599"/>
      <c r="L142" s="599"/>
      <c r="M142" s="599"/>
      <c r="N142" s="599"/>
      <c r="O142" s="599"/>
      <c r="P142" s="599"/>
      <c r="Q142" s="882">
        <f t="shared" si="8"/>
        <v>74120000</v>
      </c>
      <c r="R142" s="599">
        <v>-50727994</v>
      </c>
      <c r="S142" s="882">
        <f t="shared" si="10"/>
        <v>74</v>
      </c>
      <c r="T142" s="599">
        <f t="shared" si="10"/>
        <v>-51</v>
      </c>
      <c r="U142" s="620"/>
      <c r="V142" s="621"/>
      <c r="W142" s="882">
        <f t="shared" si="11"/>
        <v>74120000</v>
      </c>
      <c r="X142" s="882">
        <f t="shared" si="9"/>
        <v>74</v>
      </c>
    </row>
    <row r="143" spans="1:24" ht="27" customHeight="1">
      <c r="A143" s="583"/>
      <c r="B143" s="583">
        <v>406</v>
      </c>
      <c r="C143" s="581">
        <v>4</v>
      </c>
      <c r="D143" s="582" t="s">
        <v>964</v>
      </c>
      <c r="E143" s="583" t="s">
        <v>965</v>
      </c>
      <c r="F143" s="599">
        <v>113374800</v>
      </c>
      <c r="G143" s="599"/>
      <c r="H143" s="599"/>
      <c r="I143" s="599"/>
      <c r="J143" s="599"/>
      <c r="K143" s="599"/>
      <c r="L143" s="599"/>
      <c r="M143" s="599"/>
      <c r="N143" s="599"/>
      <c r="O143" s="599"/>
      <c r="P143" s="599"/>
      <c r="Q143" s="882">
        <f t="shared" si="8"/>
        <v>113374800</v>
      </c>
      <c r="R143" s="599">
        <v>120997800</v>
      </c>
      <c r="S143" s="882">
        <f t="shared" si="10"/>
        <v>113</v>
      </c>
      <c r="T143" s="599">
        <f t="shared" si="10"/>
        <v>121</v>
      </c>
      <c r="U143" s="620"/>
      <c r="V143" s="621"/>
      <c r="W143" s="882">
        <f t="shared" si="11"/>
        <v>113374800</v>
      </c>
      <c r="X143" s="882">
        <f t="shared" si="9"/>
        <v>113</v>
      </c>
    </row>
    <row r="144" spans="1:24" ht="27" customHeight="1">
      <c r="A144" s="583"/>
      <c r="B144" s="583">
        <v>406</v>
      </c>
      <c r="C144" s="581">
        <v>4</v>
      </c>
      <c r="D144" s="582" t="s">
        <v>643</v>
      </c>
      <c r="E144" s="583" t="s">
        <v>642</v>
      </c>
      <c r="F144" s="599">
        <v>1214795820</v>
      </c>
      <c r="G144" s="599">
        <v>1572050000</v>
      </c>
      <c r="H144" s="599"/>
      <c r="I144" s="599"/>
      <c r="J144" s="599"/>
      <c r="K144" s="599"/>
      <c r="L144" s="599"/>
      <c r="M144" s="599"/>
      <c r="N144" s="599"/>
      <c r="O144" s="599"/>
      <c r="P144" s="599"/>
      <c r="Q144" s="882">
        <f t="shared" si="8"/>
        <v>2786845820</v>
      </c>
      <c r="R144" s="599">
        <v>118519900</v>
      </c>
      <c r="S144" s="882">
        <f t="shared" si="10"/>
        <v>2787</v>
      </c>
      <c r="T144" s="599">
        <f t="shared" si="10"/>
        <v>119</v>
      </c>
      <c r="U144" s="620"/>
      <c r="V144" s="621"/>
      <c r="W144" s="882">
        <f t="shared" si="11"/>
        <v>2786845820</v>
      </c>
      <c r="X144" s="882">
        <f t="shared" si="9"/>
        <v>2787</v>
      </c>
    </row>
    <row r="145" spans="1:24" ht="27" customHeight="1">
      <c r="A145" s="583"/>
      <c r="B145" s="583">
        <v>406</v>
      </c>
      <c r="C145" s="581">
        <v>4</v>
      </c>
      <c r="D145" s="582" t="s">
        <v>572</v>
      </c>
      <c r="E145" s="583" t="s">
        <v>168</v>
      </c>
      <c r="F145" s="599">
        <v>1332241000</v>
      </c>
      <c r="G145" s="599">
        <v>688195105</v>
      </c>
      <c r="H145" s="599"/>
      <c r="I145" s="599"/>
      <c r="J145" s="599"/>
      <c r="K145" s="599"/>
      <c r="L145" s="599"/>
      <c r="M145" s="599"/>
      <c r="N145" s="599"/>
      <c r="O145" s="599"/>
      <c r="P145" s="599"/>
      <c r="Q145" s="882">
        <f t="shared" si="8"/>
        <v>2020436105</v>
      </c>
      <c r="R145" s="599">
        <v>3307190358</v>
      </c>
      <c r="S145" s="882">
        <f t="shared" si="10"/>
        <v>2020</v>
      </c>
      <c r="T145" s="599">
        <f t="shared" si="10"/>
        <v>3307</v>
      </c>
      <c r="U145" s="620"/>
      <c r="V145" s="621"/>
      <c r="W145" s="882">
        <f t="shared" si="11"/>
        <v>2020436105</v>
      </c>
      <c r="X145" s="882">
        <f t="shared" si="9"/>
        <v>2020</v>
      </c>
    </row>
    <row r="146" spans="1:24" ht="27" customHeight="1">
      <c r="A146" s="583"/>
      <c r="B146" s="583">
        <v>1001</v>
      </c>
      <c r="C146" s="581">
        <v>10</v>
      </c>
      <c r="D146" s="582" t="s">
        <v>573</v>
      </c>
      <c r="E146" s="583" t="s">
        <v>966</v>
      </c>
      <c r="F146" s="599">
        <v>-192407109</v>
      </c>
      <c r="G146" s="599">
        <v>-230382463</v>
      </c>
      <c r="H146" s="599">
        <v>205469926</v>
      </c>
      <c r="I146" s="599"/>
      <c r="J146" s="599"/>
      <c r="K146" s="599"/>
      <c r="L146" s="599"/>
      <c r="M146" s="599"/>
      <c r="N146" s="599"/>
      <c r="O146" s="599"/>
      <c r="P146" s="599"/>
      <c r="Q146" s="882">
        <f t="shared" si="8"/>
        <v>-217319646</v>
      </c>
      <c r="R146" s="599">
        <v>-3043524469</v>
      </c>
      <c r="S146" s="882">
        <f t="shared" si="10"/>
        <v>-217</v>
      </c>
      <c r="T146" s="599">
        <f t="shared" si="10"/>
        <v>-3044</v>
      </c>
      <c r="U146" s="620"/>
      <c r="V146" s="621"/>
      <c r="W146" s="882">
        <f t="shared" si="11"/>
        <v>-217319646</v>
      </c>
      <c r="X146" s="882">
        <f t="shared" si="9"/>
        <v>-217</v>
      </c>
    </row>
    <row r="147" spans="1:24" ht="27" customHeight="1">
      <c r="A147" s="583"/>
      <c r="B147" s="583">
        <v>1001</v>
      </c>
      <c r="C147" s="581">
        <v>10</v>
      </c>
      <c r="D147" s="582" t="s">
        <v>575</v>
      </c>
      <c r="E147" s="583" t="s">
        <v>1608</v>
      </c>
      <c r="F147" s="599"/>
      <c r="G147" s="599"/>
      <c r="H147" s="599"/>
      <c r="I147" s="599"/>
      <c r="J147" s="599"/>
      <c r="K147" s="599"/>
      <c r="L147" s="599"/>
      <c r="M147" s="599"/>
      <c r="N147" s="599"/>
      <c r="O147" s="599"/>
      <c r="P147" s="599"/>
      <c r="Q147" s="882">
        <f t="shared" si="8"/>
        <v>0</v>
      </c>
      <c r="R147" s="599"/>
      <c r="S147" s="882">
        <f t="shared" si="10"/>
        <v>0</v>
      </c>
      <c r="T147" s="599">
        <f t="shared" si="10"/>
        <v>0</v>
      </c>
      <c r="U147" s="620"/>
      <c r="V147" s="621"/>
      <c r="W147" s="882">
        <f t="shared" si="11"/>
        <v>0</v>
      </c>
      <c r="X147" s="882">
        <f t="shared" si="9"/>
        <v>0</v>
      </c>
    </row>
    <row r="148" spans="1:24" ht="27" customHeight="1">
      <c r="A148" s="583"/>
      <c r="B148" s="583">
        <v>1018</v>
      </c>
      <c r="C148" s="581">
        <v>10</v>
      </c>
      <c r="D148" s="582" t="s">
        <v>577</v>
      </c>
      <c r="E148" s="583" t="s">
        <v>578</v>
      </c>
      <c r="F148" s="599">
        <v>-17923341969</v>
      </c>
      <c r="G148" s="599">
        <v>-22978290</v>
      </c>
      <c r="H148" s="599"/>
      <c r="I148" s="599">
        <v>-360880877</v>
      </c>
      <c r="J148" s="599">
        <v>6320000</v>
      </c>
      <c r="K148" s="599"/>
      <c r="L148" s="599">
        <v>-6320000</v>
      </c>
      <c r="M148" s="599"/>
      <c r="N148" s="599"/>
      <c r="O148" s="599"/>
      <c r="P148" s="599"/>
      <c r="Q148" s="882">
        <f t="shared" si="8"/>
        <v>-18307201136</v>
      </c>
      <c r="R148" s="599">
        <v>-5000644771</v>
      </c>
      <c r="S148" s="882">
        <f t="shared" si="10"/>
        <v>-18307</v>
      </c>
      <c r="T148" s="599">
        <f t="shared" si="10"/>
        <v>-5001</v>
      </c>
      <c r="U148" s="620"/>
      <c r="V148" s="621"/>
      <c r="W148" s="882">
        <f t="shared" si="11"/>
        <v>-18307201136</v>
      </c>
      <c r="X148" s="882">
        <f t="shared" si="9"/>
        <v>-18307</v>
      </c>
    </row>
    <row r="149" spans="1:24" ht="27" customHeight="1">
      <c r="A149" s="583"/>
      <c r="B149" s="583">
        <v>1001</v>
      </c>
      <c r="C149" s="581">
        <v>10</v>
      </c>
      <c r="D149" s="582" t="s">
        <v>1177</v>
      </c>
      <c r="E149" s="583" t="s">
        <v>1178</v>
      </c>
      <c r="F149" s="599">
        <v>-1909616588</v>
      </c>
      <c r="G149" s="599"/>
      <c r="H149" s="599"/>
      <c r="I149" s="599"/>
      <c r="J149" s="599"/>
      <c r="K149" s="599"/>
      <c r="L149" s="599"/>
      <c r="M149" s="599"/>
      <c r="N149" s="599"/>
      <c r="O149" s="599"/>
      <c r="P149" s="599"/>
      <c r="Q149" s="882">
        <f t="shared" si="8"/>
        <v>-1909616588</v>
      </c>
      <c r="R149" s="599">
        <v>937934287</v>
      </c>
      <c r="S149" s="882">
        <f t="shared" si="10"/>
        <v>-1910</v>
      </c>
      <c r="T149" s="599">
        <f t="shared" si="10"/>
        <v>938</v>
      </c>
      <c r="U149" s="620"/>
      <c r="V149" s="621"/>
      <c r="W149" s="882">
        <f t="shared" si="11"/>
        <v>-1909616588</v>
      </c>
      <c r="X149" s="882">
        <f t="shared" si="9"/>
        <v>-1910</v>
      </c>
    </row>
    <row r="150" spans="1:24" ht="27" customHeight="1">
      <c r="A150" s="583"/>
      <c r="B150" s="583">
        <v>406</v>
      </c>
      <c r="C150" s="581">
        <v>4</v>
      </c>
      <c r="D150" s="582" t="s">
        <v>579</v>
      </c>
      <c r="E150" s="583" t="s">
        <v>580</v>
      </c>
      <c r="F150" s="599">
        <v>2531362670</v>
      </c>
      <c r="G150" s="599"/>
      <c r="H150" s="599"/>
      <c r="I150" s="599"/>
      <c r="J150" s="599"/>
      <c r="K150" s="599"/>
      <c r="L150" s="599"/>
      <c r="M150" s="599"/>
      <c r="N150" s="599"/>
      <c r="O150" s="599"/>
      <c r="P150" s="599"/>
      <c r="Q150" s="882">
        <f t="shared" si="8"/>
        <v>2531362670</v>
      </c>
      <c r="R150" s="599">
        <v>2531362670</v>
      </c>
      <c r="S150" s="882">
        <f t="shared" si="10"/>
        <v>2531</v>
      </c>
      <c r="T150" s="599">
        <f t="shared" si="10"/>
        <v>2531</v>
      </c>
      <c r="U150" s="620"/>
      <c r="V150" s="621"/>
      <c r="W150" s="882">
        <f t="shared" si="11"/>
        <v>2531362670</v>
      </c>
      <c r="X150" s="882">
        <f t="shared" si="9"/>
        <v>2531</v>
      </c>
    </row>
    <row r="151" spans="1:24" ht="27" customHeight="1">
      <c r="A151" s="583"/>
      <c r="B151" s="583">
        <v>406</v>
      </c>
      <c r="C151" s="581">
        <v>4</v>
      </c>
      <c r="D151" s="582" t="s">
        <v>581</v>
      </c>
      <c r="E151" s="583" t="s">
        <v>756</v>
      </c>
      <c r="F151" s="599">
        <v>11666972238</v>
      </c>
      <c r="G151" s="599">
        <v>6626231946</v>
      </c>
      <c r="H151" s="599">
        <v>-134052909</v>
      </c>
      <c r="I151" s="599"/>
      <c r="J151" s="599"/>
      <c r="K151" s="599"/>
      <c r="L151" s="599"/>
      <c r="M151" s="599"/>
      <c r="N151" s="599"/>
      <c r="O151" s="599"/>
      <c r="P151" s="599"/>
      <c r="Q151" s="882">
        <f t="shared" si="8"/>
        <v>18159151275</v>
      </c>
      <c r="R151" s="599">
        <v>1792280901</v>
      </c>
      <c r="S151" s="882">
        <f t="shared" si="10"/>
        <v>18159</v>
      </c>
      <c r="T151" s="599">
        <f t="shared" si="10"/>
        <v>1792</v>
      </c>
      <c r="U151" s="620"/>
      <c r="V151" s="621"/>
      <c r="W151" s="882">
        <f t="shared" si="11"/>
        <v>18159151275</v>
      </c>
      <c r="X151" s="882">
        <f t="shared" si="9"/>
        <v>18159</v>
      </c>
    </row>
    <row r="152" spans="1:24" ht="27" customHeight="1">
      <c r="A152" s="583"/>
      <c r="B152" s="583">
        <v>406</v>
      </c>
      <c r="C152" s="581">
        <v>4</v>
      </c>
      <c r="D152" s="582" t="s">
        <v>882</v>
      </c>
      <c r="E152" s="583" t="s">
        <v>883</v>
      </c>
      <c r="F152" s="599"/>
      <c r="G152" s="599"/>
      <c r="H152" s="599"/>
      <c r="I152" s="599"/>
      <c r="J152" s="599"/>
      <c r="K152" s="599"/>
      <c r="L152" s="599"/>
      <c r="M152" s="599"/>
      <c r="N152" s="599"/>
      <c r="O152" s="599"/>
      <c r="P152" s="599"/>
      <c r="Q152" s="882">
        <f t="shared" si="8"/>
        <v>0</v>
      </c>
      <c r="R152" s="599">
        <v>11047000</v>
      </c>
      <c r="S152" s="882">
        <f t="shared" si="10"/>
        <v>0</v>
      </c>
      <c r="T152" s="599">
        <f t="shared" si="10"/>
        <v>11</v>
      </c>
      <c r="U152" s="620"/>
      <c r="V152" s="621"/>
      <c r="W152" s="882">
        <f t="shared" si="11"/>
        <v>0</v>
      </c>
      <c r="X152" s="882">
        <f t="shared" si="9"/>
        <v>0</v>
      </c>
    </row>
    <row r="153" spans="1:24" ht="27" customHeight="1">
      <c r="A153" s="583"/>
      <c r="B153" s="583">
        <v>1001</v>
      </c>
      <c r="C153" s="581">
        <v>10</v>
      </c>
      <c r="D153" s="582" t="s">
        <v>582</v>
      </c>
      <c r="E153" s="583" t="s">
        <v>583</v>
      </c>
      <c r="F153" s="599">
        <v>-2014476805</v>
      </c>
      <c r="G153" s="599">
        <v>-5988000</v>
      </c>
      <c r="H153" s="599"/>
      <c r="I153" s="599"/>
      <c r="J153" s="599"/>
      <c r="K153" s="599"/>
      <c r="L153" s="599"/>
      <c r="M153" s="599"/>
      <c r="N153" s="599"/>
      <c r="O153" s="599"/>
      <c r="P153" s="599"/>
      <c r="Q153" s="882">
        <f t="shared" si="8"/>
        <v>-2020464805</v>
      </c>
      <c r="R153" s="599">
        <v>-1594497865</v>
      </c>
      <c r="S153" s="882">
        <f t="shared" si="10"/>
        <v>-2020</v>
      </c>
      <c r="T153" s="599">
        <f t="shared" si="10"/>
        <v>-1594</v>
      </c>
      <c r="U153" s="620"/>
      <c r="V153" s="621"/>
      <c r="W153" s="882">
        <f t="shared" si="11"/>
        <v>-2020464805</v>
      </c>
      <c r="X153" s="882">
        <f t="shared" si="9"/>
        <v>-2020</v>
      </c>
    </row>
    <row r="154" spans="1:24" ht="27" customHeight="1">
      <c r="A154" s="583"/>
      <c r="B154" s="583">
        <v>406</v>
      </c>
      <c r="C154" s="581">
        <v>4</v>
      </c>
      <c r="D154" s="582" t="s">
        <v>260</v>
      </c>
      <c r="E154" s="583" t="s">
        <v>261</v>
      </c>
      <c r="F154" s="599">
        <v>58369500</v>
      </c>
      <c r="G154" s="599"/>
      <c r="H154" s="599"/>
      <c r="I154" s="599"/>
      <c r="J154" s="599"/>
      <c r="K154" s="599"/>
      <c r="L154" s="599"/>
      <c r="M154" s="599"/>
      <c r="N154" s="599"/>
      <c r="O154" s="599"/>
      <c r="P154" s="599"/>
      <c r="Q154" s="882">
        <f t="shared" si="8"/>
        <v>58369500</v>
      </c>
      <c r="R154" s="599">
        <v>25015500</v>
      </c>
      <c r="S154" s="882">
        <f t="shared" si="10"/>
        <v>58</v>
      </c>
      <c r="T154" s="599">
        <f t="shared" si="10"/>
        <v>25</v>
      </c>
      <c r="U154" s="620"/>
      <c r="V154" s="621"/>
      <c r="W154" s="882">
        <f t="shared" si="11"/>
        <v>58369500</v>
      </c>
      <c r="X154" s="882">
        <f t="shared" si="9"/>
        <v>58</v>
      </c>
    </row>
    <row r="155" spans="1:24" ht="27" customHeight="1">
      <c r="A155" s="583"/>
      <c r="B155" s="583">
        <v>1001</v>
      </c>
      <c r="C155" s="581">
        <v>10</v>
      </c>
      <c r="D155" s="582" t="s">
        <v>262</v>
      </c>
      <c r="E155" s="583" t="s">
        <v>263</v>
      </c>
      <c r="F155" s="599">
        <v>-740244473</v>
      </c>
      <c r="G155" s="599">
        <v>-662387673</v>
      </c>
      <c r="H155" s="599"/>
      <c r="I155" s="599">
        <v>-77626476</v>
      </c>
      <c r="J155" s="599"/>
      <c r="K155" s="599"/>
      <c r="L155" s="599"/>
      <c r="M155" s="599"/>
      <c r="N155" s="599"/>
      <c r="O155" s="599"/>
      <c r="P155" s="599"/>
      <c r="Q155" s="882">
        <f t="shared" si="8"/>
        <v>-1480258622</v>
      </c>
      <c r="R155" s="599">
        <v>-618616174</v>
      </c>
      <c r="S155" s="882">
        <f t="shared" si="10"/>
        <v>-1480</v>
      </c>
      <c r="T155" s="599">
        <f t="shared" si="10"/>
        <v>-619</v>
      </c>
      <c r="U155" s="620"/>
      <c r="V155" s="621"/>
      <c r="W155" s="882">
        <f t="shared" si="11"/>
        <v>-1480258622</v>
      </c>
      <c r="X155" s="882">
        <f t="shared" si="9"/>
        <v>-1480</v>
      </c>
    </row>
    <row r="156" spans="1:24" ht="27" customHeight="1">
      <c r="A156" s="583"/>
      <c r="B156" s="583">
        <v>1001</v>
      </c>
      <c r="C156" s="581">
        <v>10</v>
      </c>
      <c r="D156" s="582" t="s">
        <v>584</v>
      </c>
      <c r="E156" s="583" t="s">
        <v>645</v>
      </c>
      <c r="F156" s="599">
        <v>-303669378</v>
      </c>
      <c r="G156" s="599">
        <v>430215718</v>
      </c>
      <c r="H156" s="599"/>
      <c r="I156" s="599"/>
      <c r="J156" s="599"/>
      <c r="K156" s="599"/>
      <c r="L156" s="599"/>
      <c r="M156" s="599"/>
      <c r="N156" s="599"/>
      <c r="O156" s="599"/>
      <c r="P156" s="599"/>
      <c r="Q156" s="882">
        <f t="shared" si="8"/>
        <v>126546340</v>
      </c>
      <c r="R156" s="599">
        <v>-89072489</v>
      </c>
      <c r="S156" s="882">
        <f t="shared" si="10"/>
        <v>127</v>
      </c>
      <c r="T156" s="599">
        <f t="shared" si="10"/>
        <v>-89</v>
      </c>
      <c r="U156" s="620"/>
      <c r="V156" s="621"/>
      <c r="W156" s="882">
        <f t="shared" si="11"/>
        <v>126546340</v>
      </c>
      <c r="X156" s="882">
        <f t="shared" si="9"/>
        <v>127</v>
      </c>
    </row>
    <row r="157" spans="1:24" ht="27" customHeight="1">
      <c r="A157" s="583"/>
      <c r="B157" s="583">
        <v>1001</v>
      </c>
      <c r="C157" s="581">
        <v>10</v>
      </c>
      <c r="D157" s="582" t="s">
        <v>546</v>
      </c>
      <c r="E157" s="583" t="s">
        <v>170</v>
      </c>
      <c r="F157" s="599">
        <v>-7788747382</v>
      </c>
      <c r="G157" s="599">
        <v>-1117131553</v>
      </c>
      <c r="H157" s="599">
        <v>-581059937</v>
      </c>
      <c r="I157" s="599">
        <v>-397926737</v>
      </c>
      <c r="J157" s="599"/>
      <c r="K157" s="599"/>
      <c r="L157" s="599"/>
      <c r="M157" s="599"/>
      <c r="N157" s="599"/>
      <c r="O157" s="599"/>
      <c r="P157" s="599"/>
      <c r="Q157" s="882">
        <f t="shared" si="8"/>
        <v>-9884865609</v>
      </c>
      <c r="R157" s="599">
        <v>-6546392448</v>
      </c>
      <c r="S157" s="882">
        <f t="shared" si="10"/>
        <v>-9885</v>
      </c>
      <c r="T157" s="599">
        <f t="shared" si="10"/>
        <v>-6546</v>
      </c>
      <c r="U157" s="620"/>
      <c r="V157" s="621"/>
      <c r="W157" s="882">
        <f t="shared" si="11"/>
        <v>-9884865609</v>
      </c>
      <c r="X157" s="882">
        <f t="shared" si="9"/>
        <v>-9885</v>
      </c>
    </row>
    <row r="158" spans="1:24" ht="27" customHeight="1">
      <c r="A158" s="583"/>
      <c r="B158" s="583">
        <v>406</v>
      </c>
      <c r="C158" s="581">
        <v>4</v>
      </c>
      <c r="D158" s="582" t="s">
        <v>162</v>
      </c>
      <c r="E158" s="583" t="s">
        <v>171</v>
      </c>
      <c r="F158" s="599">
        <v>1586580473</v>
      </c>
      <c r="G158" s="599"/>
      <c r="H158" s="599"/>
      <c r="I158" s="599"/>
      <c r="J158" s="599"/>
      <c r="K158" s="599"/>
      <c r="L158" s="599"/>
      <c r="M158" s="599"/>
      <c r="N158" s="599"/>
      <c r="O158" s="599"/>
      <c r="P158" s="599"/>
      <c r="Q158" s="882">
        <f t="shared" si="8"/>
        <v>1586580473</v>
      </c>
      <c r="R158" s="599">
        <v>4060937514</v>
      </c>
      <c r="S158" s="882">
        <f t="shared" si="10"/>
        <v>1587</v>
      </c>
      <c r="T158" s="599">
        <f t="shared" si="10"/>
        <v>4061</v>
      </c>
      <c r="U158" s="620"/>
      <c r="V158" s="621"/>
      <c r="W158" s="882">
        <f t="shared" si="11"/>
        <v>1586580473</v>
      </c>
      <c r="X158" s="882">
        <f t="shared" si="9"/>
        <v>1587</v>
      </c>
    </row>
    <row r="159" spans="1:24" ht="27" customHeight="1">
      <c r="A159" s="583"/>
      <c r="B159" s="583">
        <v>406</v>
      </c>
      <c r="C159" s="581">
        <v>4</v>
      </c>
      <c r="D159" s="582" t="s">
        <v>299</v>
      </c>
      <c r="E159" s="583" t="s">
        <v>644</v>
      </c>
      <c r="F159" s="599">
        <v>74821109</v>
      </c>
      <c r="G159" s="599"/>
      <c r="H159" s="599"/>
      <c r="I159" s="599"/>
      <c r="J159" s="599"/>
      <c r="K159" s="599"/>
      <c r="L159" s="599"/>
      <c r="M159" s="599"/>
      <c r="N159" s="599"/>
      <c r="O159" s="599"/>
      <c r="P159" s="599"/>
      <c r="Q159" s="882">
        <f t="shared" si="8"/>
        <v>74821109</v>
      </c>
      <c r="R159" s="599">
        <v>98745960</v>
      </c>
      <c r="S159" s="882">
        <f t="shared" si="10"/>
        <v>75</v>
      </c>
      <c r="T159" s="599">
        <f t="shared" si="10"/>
        <v>99</v>
      </c>
      <c r="U159" s="620"/>
      <c r="V159" s="621"/>
      <c r="W159" s="882">
        <f t="shared" si="11"/>
        <v>74821109</v>
      </c>
      <c r="X159" s="882">
        <f t="shared" si="9"/>
        <v>75</v>
      </c>
    </row>
    <row r="160" spans="1:24" ht="27" customHeight="1">
      <c r="A160" s="583"/>
      <c r="B160" s="583">
        <v>406</v>
      </c>
      <c r="C160" s="581">
        <v>4</v>
      </c>
      <c r="D160" s="582" t="s">
        <v>839</v>
      </c>
      <c r="E160" s="583" t="s">
        <v>838</v>
      </c>
      <c r="F160" s="599">
        <v>393575214</v>
      </c>
      <c r="G160" s="599"/>
      <c r="H160" s="599"/>
      <c r="I160" s="599"/>
      <c r="J160" s="599"/>
      <c r="K160" s="599"/>
      <c r="L160" s="599"/>
      <c r="M160" s="599"/>
      <c r="N160" s="599"/>
      <c r="O160" s="599"/>
      <c r="P160" s="599"/>
      <c r="Q160" s="882">
        <f t="shared" si="8"/>
        <v>393575214</v>
      </c>
      <c r="R160" s="599">
        <v>396570654</v>
      </c>
      <c r="S160" s="882">
        <f t="shared" si="10"/>
        <v>394</v>
      </c>
      <c r="T160" s="599">
        <f t="shared" si="10"/>
        <v>397</v>
      </c>
      <c r="U160" s="620"/>
      <c r="V160" s="621"/>
      <c r="W160" s="882">
        <f t="shared" si="11"/>
        <v>393575214</v>
      </c>
      <c r="X160" s="882">
        <f t="shared" si="9"/>
        <v>394</v>
      </c>
    </row>
    <row r="161" spans="1:24" ht="27" customHeight="1">
      <c r="A161" s="583"/>
      <c r="B161" s="583">
        <v>406</v>
      </c>
      <c r="C161" s="581">
        <v>4</v>
      </c>
      <c r="D161" s="582" t="s">
        <v>884</v>
      </c>
      <c r="E161" s="583" t="s">
        <v>885</v>
      </c>
      <c r="F161" s="599">
        <v>65912922</v>
      </c>
      <c r="G161" s="599"/>
      <c r="H161" s="599"/>
      <c r="I161" s="599"/>
      <c r="J161" s="599"/>
      <c r="K161" s="599"/>
      <c r="L161" s="599"/>
      <c r="M161" s="599"/>
      <c r="N161" s="599"/>
      <c r="O161" s="599"/>
      <c r="P161" s="599"/>
      <c r="Q161" s="882">
        <f t="shared" si="8"/>
        <v>65912922</v>
      </c>
      <c r="R161" s="599">
        <v>57574422</v>
      </c>
      <c r="S161" s="882">
        <f t="shared" si="10"/>
        <v>66</v>
      </c>
      <c r="T161" s="599">
        <f t="shared" si="10"/>
        <v>58</v>
      </c>
      <c r="U161" s="620"/>
      <c r="V161" s="621"/>
      <c r="W161" s="882">
        <f t="shared" si="11"/>
        <v>65912922</v>
      </c>
      <c r="X161" s="882">
        <f t="shared" si="9"/>
        <v>66</v>
      </c>
    </row>
    <row r="162" spans="1:24" ht="27" customHeight="1">
      <c r="A162" s="583"/>
      <c r="B162" s="583">
        <v>1001</v>
      </c>
      <c r="C162" s="581">
        <v>10</v>
      </c>
      <c r="D162" s="582" t="s">
        <v>301</v>
      </c>
      <c r="E162" s="583" t="s">
        <v>886</v>
      </c>
      <c r="F162" s="599">
        <v>-29418821</v>
      </c>
      <c r="G162" s="599"/>
      <c r="H162" s="599"/>
      <c r="I162" s="599"/>
      <c r="J162" s="599"/>
      <c r="K162" s="599"/>
      <c r="L162" s="599"/>
      <c r="M162" s="599"/>
      <c r="N162" s="599"/>
      <c r="O162" s="599"/>
      <c r="P162" s="599"/>
      <c r="Q162" s="882">
        <f t="shared" si="8"/>
        <v>-29418821</v>
      </c>
      <c r="R162" s="599">
        <v>-122459140</v>
      </c>
      <c r="S162" s="882">
        <f t="shared" si="10"/>
        <v>-29</v>
      </c>
      <c r="T162" s="599">
        <f t="shared" si="10"/>
        <v>-122</v>
      </c>
      <c r="U162" s="620"/>
      <c r="V162" s="621"/>
      <c r="W162" s="882">
        <f t="shared" si="11"/>
        <v>-29418821</v>
      </c>
      <c r="X162" s="882">
        <f t="shared" si="9"/>
        <v>-29</v>
      </c>
    </row>
    <row r="163" spans="1:24" ht="27" customHeight="1">
      <c r="A163" s="583"/>
      <c r="B163" s="583">
        <v>406</v>
      </c>
      <c r="C163" s="581">
        <v>4</v>
      </c>
      <c r="D163" s="582" t="s">
        <v>303</v>
      </c>
      <c r="E163" s="583" t="s">
        <v>304</v>
      </c>
      <c r="F163" s="599"/>
      <c r="G163" s="599"/>
      <c r="H163" s="599"/>
      <c r="I163" s="599"/>
      <c r="J163" s="599"/>
      <c r="K163" s="599"/>
      <c r="L163" s="599"/>
      <c r="M163" s="599"/>
      <c r="N163" s="599"/>
      <c r="O163" s="599"/>
      <c r="P163" s="599"/>
      <c r="Q163" s="882">
        <f t="shared" si="8"/>
        <v>0</v>
      </c>
      <c r="R163" s="599">
        <v>8000</v>
      </c>
      <c r="S163" s="882">
        <f t="shared" si="10"/>
        <v>0</v>
      </c>
      <c r="T163" s="599">
        <f t="shared" si="10"/>
        <v>0</v>
      </c>
      <c r="U163" s="620"/>
      <c r="V163" s="621"/>
      <c r="W163" s="882">
        <f t="shared" si="11"/>
        <v>0</v>
      </c>
      <c r="X163" s="882">
        <f t="shared" si="9"/>
        <v>0</v>
      </c>
    </row>
    <row r="164" spans="1:24" ht="27" customHeight="1">
      <c r="A164" s="583"/>
      <c r="B164" s="583">
        <v>406</v>
      </c>
      <c r="C164" s="581">
        <v>4</v>
      </c>
      <c r="D164" s="582" t="s">
        <v>647</v>
      </c>
      <c r="E164" s="583" t="s">
        <v>646</v>
      </c>
      <c r="F164" s="599"/>
      <c r="G164" s="599"/>
      <c r="H164" s="599"/>
      <c r="I164" s="599"/>
      <c r="J164" s="599"/>
      <c r="K164" s="599"/>
      <c r="L164" s="599"/>
      <c r="M164" s="599"/>
      <c r="N164" s="599"/>
      <c r="O164" s="599"/>
      <c r="P164" s="599"/>
      <c r="Q164" s="882">
        <f t="shared" si="8"/>
        <v>0</v>
      </c>
      <c r="R164" s="599">
        <v>0</v>
      </c>
      <c r="S164" s="882">
        <f t="shared" si="10"/>
        <v>0</v>
      </c>
      <c r="T164" s="599">
        <f t="shared" si="10"/>
        <v>0</v>
      </c>
      <c r="U164" s="620"/>
      <c r="V164" s="621"/>
      <c r="W164" s="882">
        <f t="shared" si="11"/>
        <v>0</v>
      </c>
      <c r="X164" s="882">
        <f t="shared" si="9"/>
        <v>0</v>
      </c>
    </row>
    <row r="165" spans="1:24" ht="27" customHeight="1">
      <c r="A165" s="583"/>
      <c r="B165" s="583">
        <v>1026</v>
      </c>
      <c r="C165" s="581">
        <v>10</v>
      </c>
      <c r="D165" s="582" t="s">
        <v>305</v>
      </c>
      <c r="E165" s="583" t="s">
        <v>172</v>
      </c>
      <c r="F165" s="599">
        <v>-6568123686</v>
      </c>
      <c r="G165" s="599">
        <v>322833397</v>
      </c>
      <c r="H165" s="599">
        <f>27910000-152560182</f>
        <v>-124650182</v>
      </c>
      <c r="I165" s="599"/>
      <c r="J165" s="599"/>
      <c r="K165" s="599"/>
      <c r="L165" s="599"/>
      <c r="M165" s="599"/>
      <c r="N165" s="599"/>
      <c r="O165" s="599"/>
      <c r="P165" s="599"/>
      <c r="Q165" s="882">
        <f t="shared" si="8"/>
        <v>-6369940471</v>
      </c>
      <c r="R165" s="599">
        <v>-4556214445</v>
      </c>
      <c r="S165" s="882">
        <f t="shared" si="10"/>
        <v>-6370</v>
      </c>
      <c r="T165" s="599">
        <f t="shared" si="10"/>
        <v>-4556</v>
      </c>
      <c r="U165" s="620"/>
      <c r="V165" s="621"/>
      <c r="W165" s="882">
        <f t="shared" si="11"/>
        <v>-6369940471</v>
      </c>
      <c r="X165" s="882">
        <f t="shared" si="9"/>
        <v>-6370</v>
      </c>
    </row>
    <row r="166" spans="1:24" ht="27" customHeight="1">
      <c r="A166" s="583"/>
      <c r="B166" s="583">
        <v>406</v>
      </c>
      <c r="C166" s="581">
        <v>4</v>
      </c>
      <c r="D166" s="582" t="s">
        <v>306</v>
      </c>
      <c r="E166" s="583" t="s">
        <v>307</v>
      </c>
      <c r="F166" s="599">
        <v>943872294</v>
      </c>
      <c r="G166" s="599">
        <v>-1607600</v>
      </c>
      <c r="H166" s="599">
        <v>3368306</v>
      </c>
      <c r="I166" s="599">
        <v>-803800</v>
      </c>
      <c r="J166" s="599">
        <v>-39940800</v>
      </c>
      <c r="K166" s="599"/>
      <c r="L166" s="599"/>
      <c r="M166" s="599"/>
      <c r="N166" s="599"/>
      <c r="O166" s="599"/>
      <c r="P166" s="599"/>
      <c r="Q166" s="882">
        <f t="shared" si="8"/>
        <v>904888400</v>
      </c>
      <c r="R166" s="599">
        <v>327857089</v>
      </c>
      <c r="S166" s="882">
        <f t="shared" si="10"/>
        <v>905</v>
      </c>
      <c r="T166" s="599">
        <f t="shared" si="10"/>
        <v>328</v>
      </c>
      <c r="U166" s="620"/>
      <c r="V166" s="621"/>
      <c r="W166" s="882">
        <f t="shared" si="11"/>
        <v>904888400</v>
      </c>
      <c r="X166" s="882">
        <f t="shared" si="9"/>
        <v>905</v>
      </c>
    </row>
    <row r="167" spans="1:24" ht="27" customHeight="1">
      <c r="A167" s="583"/>
      <c r="B167" s="583">
        <v>406</v>
      </c>
      <c r="C167" s="581">
        <v>4</v>
      </c>
      <c r="D167" s="582" t="s">
        <v>308</v>
      </c>
      <c r="E167" s="583" t="s">
        <v>309</v>
      </c>
      <c r="F167" s="599">
        <v>580318179</v>
      </c>
      <c r="G167" s="599"/>
      <c r="H167" s="599"/>
      <c r="I167" s="599"/>
      <c r="J167" s="599"/>
      <c r="K167" s="599"/>
      <c r="L167" s="599"/>
      <c r="M167" s="599"/>
      <c r="N167" s="599"/>
      <c r="O167" s="599"/>
      <c r="P167" s="599"/>
      <c r="Q167" s="882">
        <f t="shared" si="8"/>
        <v>580318179</v>
      </c>
      <c r="R167" s="599">
        <v>425501570</v>
      </c>
      <c r="S167" s="882">
        <f t="shared" si="10"/>
        <v>580</v>
      </c>
      <c r="T167" s="599">
        <f t="shared" si="10"/>
        <v>426</v>
      </c>
      <c r="U167" s="620"/>
      <c r="V167" s="621"/>
      <c r="W167" s="882">
        <f t="shared" si="11"/>
        <v>580318179</v>
      </c>
      <c r="X167" s="882">
        <f t="shared" si="9"/>
        <v>580</v>
      </c>
    </row>
    <row r="168" spans="1:24" ht="27" customHeight="1">
      <c r="A168" s="583"/>
      <c r="B168" s="583">
        <v>1001</v>
      </c>
      <c r="C168" s="581">
        <v>10</v>
      </c>
      <c r="D168" s="582" t="s">
        <v>310</v>
      </c>
      <c r="E168" s="583" t="s">
        <v>967</v>
      </c>
      <c r="F168" s="599">
        <v>-9745000</v>
      </c>
      <c r="G168" s="599"/>
      <c r="H168" s="599"/>
      <c r="I168" s="599"/>
      <c r="J168" s="599"/>
      <c r="K168" s="599"/>
      <c r="L168" s="599"/>
      <c r="M168" s="599"/>
      <c r="N168" s="599"/>
      <c r="O168" s="599"/>
      <c r="P168" s="599"/>
      <c r="Q168" s="882">
        <f t="shared" si="8"/>
        <v>-9745000</v>
      </c>
      <c r="R168" s="599">
        <v>-87019472</v>
      </c>
      <c r="S168" s="882">
        <f t="shared" si="10"/>
        <v>-10</v>
      </c>
      <c r="T168" s="599">
        <f t="shared" si="10"/>
        <v>-87</v>
      </c>
      <c r="U168" s="620"/>
      <c r="V168" s="621"/>
      <c r="W168" s="882">
        <f t="shared" si="11"/>
        <v>-9745000</v>
      </c>
      <c r="X168" s="882">
        <f t="shared" si="9"/>
        <v>-10</v>
      </c>
    </row>
    <row r="169" spans="1:24" ht="27" customHeight="1">
      <c r="A169" s="583"/>
      <c r="B169" s="583">
        <v>406</v>
      </c>
      <c r="C169" s="581">
        <v>4</v>
      </c>
      <c r="D169" s="582" t="s">
        <v>1059</v>
      </c>
      <c r="E169" s="583" t="s">
        <v>1058</v>
      </c>
      <c r="F169" s="599">
        <v>754655645</v>
      </c>
      <c r="G169" s="599"/>
      <c r="H169" s="599"/>
      <c r="I169" s="599"/>
      <c r="J169" s="599"/>
      <c r="K169" s="599"/>
      <c r="L169" s="599"/>
      <c r="M169" s="599"/>
      <c r="N169" s="599"/>
      <c r="O169" s="599"/>
      <c r="P169" s="599"/>
      <c r="Q169" s="882">
        <f t="shared" si="8"/>
        <v>754655645</v>
      </c>
      <c r="R169" s="599">
        <v>503883503</v>
      </c>
      <c r="S169" s="882">
        <f t="shared" si="10"/>
        <v>755</v>
      </c>
      <c r="T169" s="599">
        <f t="shared" si="10"/>
        <v>504</v>
      </c>
      <c r="U169" s="620"/>
      <c r="V169" s="621"/>
      <c r="W169" s="882">
        <f t="shared" si="11"/>
        <v>754655645</v>
      </c>
      <c r="X169" s="882">
        <f t="shared" si="9"/>
        <v>755</v>
      </c>
    </row>
    <row r="170" spans="1:24" ht="27" customHeight="1">
      <c r="A170" s="583"/>
      <c r="B170" s="583">
        <v>406</v>
      </c>
      <c r="C170" s="581">
        <v>4</v>
      </c>
      <c r="D170" s="582" t="s">
        <v>109</v>
      </c>
      <c r="E170" s="583" t="s">
        <v>840</v>
      </c>
      <c r="F170" s="599">
        <v>1232111745</v>
      </c>
      <c r="G170" s="599">
        <v>6199776</v>
      </c>
      <c r="H170" s="599"/>
      <c r="I170" s="599"/>
      <c r="J170" s="599"/>
      <c r="K170" s="599"/>
      <c r="L170" s="599"/>
      <c r="M170" s="599"/>
      <c r="N170" s="599"/>
      <c r="O170" s="599"/>
      <c r="P170" s="599"/>
      <c r="Q170" s="882">
        <f t="shared" si="8"/>
        <v>1238311521</v>
      </c>
      <c r="R170" s="599">
        <v>3213180300</v>
      </c>
      <c r="S170" s="882">
        <f t="shared" si="10"/>
        <v>1238</v>
      </c>
      <c r="T170" s="599">
        <f t="shared" si="10"/>
        <v>3213</v>
      </c>
      <c r="U170" s="620"/>
      <c r="V170" s="621"/>
      <c r="W170" s="882">
        <f t="shared" si="11"/>
        <v>1238311521</v>
      </c>
      <c r="X170" s="882">
        <f t="shared" si="9"/>
        <v>1238</v>
      </c>
    </row>
    <row r="171" spans="1:24" ht="27" customHeight="1">
      <c r="A171" s="583"/>
      <c r="B171" s="583">
        <v>406</v>
      </c>
      <c r="C171" s="581">
        <v>4</v>
      </c>
      <c r="D171" s="582" t="s">
        <v>110</v>
      </c>
      <c r="E171" s="583" t="s">
        <v>174</v>
      </c>
      <c r="F171" s="599">
        <v>1975639234</v>
      </c>
      <c r="G171" s="599">
        <v>-64688041</v>
      </c>
      <c r="H171" s="599"/>
      <c r="I171" s="599"/>
      <c r="J171" s="599"/>
      <c r="K171" s="599"/>
      <c r="L171" s="599"/>
      <c r="M171" s="599"/>
      <c r="N171" s="599"/>
      <c r="O171" s="599"/>
      <c r="P171" s="599"/>
      <c r="Q171" s="882">
        <f t="shared" si="8"/>
        <v>1910951193</v>
      </c>
      <c r="R171" s="599">
        <v>2196710253</v>
      </c>
      <c r="S171" s="882">
        <f t="shared" si="10"/>
        <v>1911</v>
      </c>
      <c r="T171" s="599">
        <f t="shared" si="10"/>
        <v>2197</v>
      </c>
      <c r="U171" s="620"/>
      <c r="V171" s="621"/>
      <c r="W171" s="882">
        <f t="shared" si="11"/>
        <v>1910951193</v>
      </c>
      <c r="X171" s="882">
        <f t="shared" si="9"/>
        <v>1911</v>
      </c>
    </row>
    <row r="172" spans="1:24" ht="27" customHeight="1">
      <c r="A172" s="583"/>
      <c r="B172" s="583">
        <v>1001</v>
      </c>
      <c r="C172" s="581">
        <v>10</v>
      </c>
      <c r="D172" s="582" t="s">
        <v>335</v>
      </c>
      <c r="E172" s="583" t="s">
        <v>763</v>
      </c>
      <c r="F172" s="599"/>
      <c r="G172" s="599"/>
      <c r="H172" s="599"/>
      <c r="I172" s="599"/>
      <c r="J172" s="599"/>
      <c r="K172" s="599"/>
      <c r="L172" s="599"/>
      <c r="M172" s="599"/>
      <c r="N172" s="599"/>
      <c r="O172" s="599"/>
      <c r="P172" s="599"/>
      <c r="Q172" s="882">
        <f t="shared" si="8"/>
        <v>0</v>
      </c>
      <c r="R172" s="599">
        <v>0</v>
      </c>
      <c r="S172" s="882">
        <f t="shared" si="10"/>
        <v>0</v>
      </c>
      <c r="T172" s="599">
        <f t="shared" si="10"/>
        <v>0</v>
      </c>
      <c r="U172" s="620"/>
      <c r="V172" s="621"/>
      <c r="W172" s="882">
        <f t="shared" si="11"/>
        <v>0</v>
      </c>
      <c r="X172" s="882">
        <f t="shared" si="9"/>
        <v>0</v>
      </c>
    </row>
    <row r="173" spans="1:24" ht="27" customHeight="1">
      <c r="A173" s="583"/>
      <c r="B173" s="583">
        <v>406</v>
      </c>
      <c r="C173" s="581">
        <v>4</v>
      </c>
      <c r="D173" s="582" t="s">
        <v>336</v>
      </c>
      <c r="E173" s="583" t="s">
        <v>656</v>
      </c>
      <c r="F173" s="599">
        <v>3717648362</v>
      </c>
      <c r="G173" s="599">
        <v>1185754320</v>
      </c>
      <c r="H173" s="599">
        <v>-2395680</v>
      </c>
      <c r="I173" s="599"/>
      <c r="J173" s="599"/>
      <c r="K173" s="599"/>
      <c r="L173" s="599">
        <v>-1769040</v>
      </c>
      <c r="M173" s="599"/>
      <c r="N173" s="599">
        <v>-31191540</v>
      </c>
      <c r="O173" s="599"/>
      <c r="P173" s="599"/>
      <c r="Q173" s="882">
        <f t="shared" si="8"/>
        <v>4868046422</v>
      </c>
      <c r="R173" s="599">
        <v>4978771160</v>
      </c>
      <c r="S173" s="882">
        <f t="shared" si="10"/>
        <v>4868</v>
      </c>
      <c r="T173" s="599">
        <f t="shared" si="10"/>
        <v>4979</v>
      </c>
      <c r="U173" s="620"/>
      <c r="V173" s="621"/>
      <c r="W173" s="882">
        <f t="shared" si="11"/>
        <v>4868046422</v>
      </c>
      <c r="X173" s="882">
        <f t="shared" si="9"/>
        <v>4868</v>
      </c>
    </row>
    <row r="174" spans="1:24" ht="27" customHeight="1">
      <c r="A174" s="583"/>
      <c r="B174" s="583">
        <v>409</v>
      </c>
      <c r="C174" s="581">
        <v>4</v>
      </c>
      <c r="D174" s="582" t="s">
        <v>336</v>
      </c>
      <c r="E174" s="583" t="s">
        <v>655</v>
      </c>
      <c r="F174" s="599"/>
      <c r="G174" s="599"/>
      <c r="H174" s="599"/>
      <c r="I174" s="599"/>
      <c r="J174" s="599"/>
      <c r="K174" s="599"/>
      <c r="L174" s="599"/>
      <c r="M174" s="599"/>
      <c r="N174" s="599"/>
      <c r="O174" s="599"/>
      <c r="P174" s="599"/>
      <c r="Q174" s="882">
        <f t="shared" si="8"/>
        <v>0</v>
      </c>
      <c r="R174" s="599">
        <v>1339078831</v>
      </c>
      <c r="S174" s="882">
        <f t="shared" si="10"/>
        <v>0</v>
      </c>
      <c r="T174" s="599">
        <f t="shared" si="10"/>
        <v>1339</v>
      </c>
      <c r="U174" s="620"/>
      <c r="V174" s="621"/>
      <c r="W174" s="882">
        <f t="shared" si="11"/>
        <v>0</v>
      </c>
      <c r="X174" s="882">
        <f t="shared" si="9"/>
        <v>0</v>
      </c>
    </row>
    <row r="175" spans="1:24" ht="27" customHeight="1">
      <c r="A175" s="583"/>
      <c r="B175" s="583">
        <v>414</v>
      </c>
      <c r="C175" s="581">
        <v>4</v>
      </c>
      <c r="D175" s="582" t="s">
        <v>338</v>
      </c>
      <c r="E175" s="583" t="s">
        <v>152</v>
      </c>
      <c r="F175" s="599">
        <v>4963718210</v>
      </c>
      <c r="G175" s="599">
        <v>-498583765</v>
      </c>
      <c r="H175" s="599">
        <v>-810469411</v>
      </c>
      <c r="I175" s="599"/>
      <c r="J175" s="599"/>
      <c r="K175" s="599"/>
      <c r="L175" s="599"/>
      <c r="M175" s="599"/>
      <c r="N175" s="599"/>
      <c r="O175" s="599"/>
      <c r="P175" s="599"/>
      <c r="Q175" s="882">
        <f t="shared" si="8"/>
        <v>3654665034</v>
      </c>
      <c r="R175" s="599">
        <v>3151186826405</v>
      </c>
      <c r="S175" s="882">
        <f t="shared" si="10"/>
        <v>3655</v>
      </c>
      <c r="T175" s="599">
        <f t="shared" si="10"/>
        <v>3151187</v>
      </c>
      <c r="U175" s="620"/>
      <c r="V175" s="621"/>
      <c r="W175" s="882">
        <f t="shared" si="11"/>
        <v>3654665034</v>
      </c>
      <c r="X175" s="882">
        <f t="shared" si="9"/>
        <v>3655</v>
      </c>
    </row>
    <row r="176" spans="1:24" ht="27" customHeight="1">
      <c r="A176" s="583"/>
      <c r="B176" s="583">
        <v>414</v>
      </c>
      <c r="C176" s="581">
        <v>4</v>
      </c>
      <c r="D176" s="582" t="s">
        <v>1376</v>
      </c>
      <c r="E176" s="583" t="s">
        <v>1377</v>
      </c>
      <c r="F176" s="599">
        <v>1196467265112</v>
      </c>
      <c r="G176" s="599">
        <v>118470348094</v>
      </c>
      <c r="H176" s="599"/>
      <c r="I176" s="599">
        <v>-1314937613206</v>
      </c>
      <c r="J176" s="599"/>
      <c r="K176" s="599"/>
      <c r="L176" s="599"/>
      <c r="M176" s="599"/>
      <c r="N176" s="599"/>
      <c r="O176" s="599"/>
      <c r="P176" s="599"/>
      <c r="Q176" s="882">
        <f t="shared" si="8"/>
        <v>0</v>
      </c>
      <c r="R176" s="599">
        <v>-1057062232353</v>
      </c>
      <c r="S176" s="882">
        <f t="shared" si="10"/>
        <v>0</v>
      </c>
      <c r="T176" s="599">
        <f t="shared" si="10"/>
        <v>-1057062</v>
      </c>
      <c r="U176" s="620"/>
      <c r="V176" s="621"/>
      <c r="W176" s="882">
        <f t="shared" si="11"/>
        <v>0</v>
      </c>
      <c r="X176" s="882">
        <f t="shared" si="9"/>
        <v>0</v>
      </c>
    </row>
    <row r="177" spans="1:24" ht="27" customHeight="1">
      <c r="A177" s="583"/>
      <c r="B177" s="583">
        <v>1005</v>
      </c>
      <c r="C177" s="581">
        <v>10</v>
      </c>
      <c r="D177" s="582" t="s">
        <v>527</v>
      </c>
      <c r="E177" s="583" t="s">
        <v>528</v>
      </c>
      <c r="F177" s="599">
        <v>-1319042205</v>
      </c>
      <c r="G177" s="599">
        <v>-1096193898</v>
      </c>
      <c r="H177" s="599">
        <v>-585447811</v>
      </c>
      <c r="I177" s="599">
        <v>-86561870</v>
      </c>
      <c r="J177" s="599"/>
      <c r="K177" s="599"/>
      <c r="L177" s="599"/>
      <c r="M177" s="599"/>
      <c r="N177" s="599"/>
      <c r="O177" s="599"/>
      <c r="P177" s="599"/>
      <c r="Q177" s="882">
        <f t="shared" si="8"/>
        <v>-3087245784</v>
      </c>
      <c r="R177" s="599">
        <v>708009700083</v>
      </c>
      <c r="S177" s="882">
        <f t="shared" si="10"/>
        <v>-3087</v>
      </c>
      <c r="T177" s="599">
        <f t="shared" si="10"/>
        <v>708010</v>
      </c>
      <c r="U177" s="620"/>
      <c r="V177" s="621"/>
      <c r="W177" s="882">
        <f t="shared" si="11"/>
        <v>-3087245784</v>
      </c>
      <c r="X177" s="882">
        <f t="shared" si="9"/>
        <v>-3087</v>
      </c>
    </row>
    <row r="178" spans="1:24" ht="27" customHeight="1">
      <c r="A178" s="583"/>
      <c r="B178" s="583">
        <v>416</v>
      </c>
      <c r="C178" s="581">
        <v>4</v>
      </c>
      <c r="D178" s="582" t="s">
        <v>1378</v>
      </c>
      <c r="E178" s="583" t="s">
        <v>1379</v>
      </c>
      <c r="F178" s="599">
        <v>285554873028</v>
      </c>
      <c r="G178" s="599">
        <v>27218355556</v>
      </c>
      <c r="H178" s="599"/>
      <c r="I178" s="599">
        <v>-312773228584</v>
      </c>
      <c r="J178" s="599"/>
      <c r="K178" s="599"/>
      <c r="L178" s="599"/>
      <c r="M178" s="599"/>
      <c r="N178" s="599"/>
      <c r="O178" s="599"/>
      <c r="P178" s="599"/>
      <c r="Q178" s="882">
        <f t="shared" si="8"/>
        <v>0</v>
      </c>
      <c r="R178" s="599">
        <v>-253915272203</v>
      </c>
      <c r="S178" s="882">
        <f t="shared" si="10"/>
        <v>0</v>
      </c>
      <c r="T178" s="599">
        <f t="shared" si="10"/>
        <v>-253915</v>
      </c>
      <c r="U178" s="620"/>
      <c r="V178" s="621"/>
      <c r="W178" s="882">
        <f t="shared" si="11"/>
        <v>0</v>
      </c>
      <c r="X178" s="882">
        <f t="shared" si="9"/>
        <v>0</v>
      </c>
    </row>
    <row r="179" spans="1:24" ht="27" customHeight="1">
      <c r="A179" s="583"/>
      <c r="B179" s="583">
        <v>1006</v>
      </c>
      <c r="C179" s="581">
        <v>10</v>
      </c>
      <c r="D179" s="582" t="s">
        <v>529</v>
      </c>
      <c r="E179" s="583" t="s">
        <v>156</v>
      </c>
      <c r="F179" s="599">
        <v>-25931709369</v>
      </c>
      <c r="G179" s="599">
        <v>-249140363</v>
      </c>
      <c r="H179" s="599"/>
      <c r="I179" s="599">
        <v>-1258748576</v>
      </c>
      <c r="J179" s="599">
        <v>-101776333</v>
      </c>
      <c r="K179" s="599"/>
      <c r="L179" s="599">
        <f>-885879074-2766065143</f>
        <v>-3651944217</v>
      </c>
      <c r="M179" s="599"/>
      <c r="N179" s="599"/>
      <c r="O179" s="599"/>
      <c r="P179" s="599"/>
      <c r="Q179" s="882">
        <f t="shared" si="8"/>
        <v>-31193318858</v>
      </c>
      <c r="R179" s="599">
        <v>4796597726503</v>
      </c>
      <c r="S179" s="882">
        <f t="shared" si="10"/>
        <v>-31193</v>
      </c>
      <c r="T179" s="599">
        <f t="shared" si="10"/>
        <v>4796598</v>
      </c>
      <c r="U179" s="620"/>
      <c r="V179" s="621"/>
      <c r="W179" s="882">
        <f t="shared" si="11"/>
        <v>-31193318858</v>
      </c>
      <c r="X179" s="882">
        <f t="shared" si="9"/>
        <v>-31193</v>
      </c>
    </row>
    <row r="180" spans="1:24" ht="27" customHeight="1">
      <c r="A180" s="583"/>
      <c r="B180" s="583">
        <v>413</v>
      </c>
      <c r="C180" s="581">
        <v>4</v>
      </c>
      <c r="D180" s="582" t="s">
        <v>1381</v>
      </c>
      <c r="E180" s="583" t="s">
        <v>1380</v>
      </c>
      <c r="F180" s="599">
        <v>1701357714916</v>
      </c>
      <c r="G180" s="599">
        <v>161722483846</v>
      </c>
      <c r="H180" s="599"/>
      <c r="I180" s="599">
        <v>-1863080198762</v>
      </c>
      <c r="J180" s="599"/>
      <c r="K180" s="599"/>
      <c r="L180" s="599"/>
      <c r="M180" s="599"/>
      <c r="N180" s="599"/>
      <c r="O180" s="599"/>
      <c r="P180" s="599"/>
      <c r="Q180" s="882">
        <f t="shared" si="8"/>
        <v>0</v>
      </c>
      <c r="R180" s="599">
        <v>-1633118556313</v>
      </c>
      <c r="S180" s="882">
        <f t="shared" si="10"/>
        <v>0</v>
      </c>
      <c r="T180" s="599">
        <f t="shared" si="10"/>
        <v>-1633119</v>
      </c>
      <c r="U180" s="620"/>
      <c r="V180" s="621"/>
      <c r="W180" s="882">
        <f t="shared" si="11"/>
        <v>0</v>
      </c>
      <c r="X180" s="882">
        <f t="shared" si="9"/>
        <v>0</v>
      </c>
    </row>
    <row r="181" spans="1:24" ht="27" customHeight="1">
      <c r="A181" s="583"/>
      <c r="B181" s="583">
        <v>415</v>
      </c>
      <c r="C181" s="581">
        <v>4</v>
      </c>
      <c r="D181" s="582" t="s">
        <v>157</v>
      </c>
      <c r="E181" s="583" t="s">
        <v>558</v>
      </c>
      <c r="F181" s="599">
        <v>-1015766771</v>
      </c>
      <c r="G181" s="599">
        <v>-2505379392</v>
      </c>
      <c r="H181" s="599"/>
      <c r="I181" s="599">
        <v>32684490278</v>
      </c>
      <c r="J181" s="599"/>
      <c r="K181" s="599"/>
      <c r="L181" s="599"/>
      <c r="M181" s="599"/>
      <c r="N181" s="599"/>
      <c r="O181" s="599"/>
      <c r="P181" s="599"/>
      <c r="Q181" s="882">
        <f t="shared" si="8"/>
        <v>29163344115</v>
      </c>
      <c r="R181" s="599">
        <v>1093802723052</v>
      </c>
      <c r="S181" s="882">
        <f t="shared" si="10"/>
        <v>29163</v>
      </c>
      <c r="T181" s="599">
        <f t="shared" si="10"/>
        <v>1093803</v>
      </c>
      <c r="U181" s="620"/>
      <c r="V181" s="621"/>
      <c r="W181" s="882">
        <f t="shared" si="11"/>
        <v>29163344115</v>
      </c>
      <c r="X181" s="882">
        <f t="shared" si="9"/>
        <v>29163</v>
      </c>
    </row>
    <row r="182" spans="1:24" ht="27" customHeight="1">
      <c r="A182" s="583"/>
      <c r="B182" s="583">
        <v>415</v>
      </c>
      <c r="C182" s="581">
        <v>4</v>
      </c>
      <c r="D182" s="582" t="s">
        <v>1328</v>
      </c>
      <c r="E182" s="583" t="s">
        <v>558</v>
      </c>
      <c r="F182" s="599">
        <v>563775716143</v>
      </c>
      <c r="G182" s="599">
        <v>51775535714</v>
      </c>
      <c r="H182" s="599"/>
      <c r="I182" s="599">
        <v>-615551251857</v>
      </c>
      <c r="J182" s="599"/>
      <c r="K182" s="599"/>
      <c r="L182" s="599"/>
      <c r="M182" s="599"/>
      <c r="N182" s="599"/>
      <c r="O182" s="599"/>
      <c r="P182" s="599"/>
      <c r="Q182" s="882">
        <f t="shared" si="8"/>
        <v>0</v>
      </c>
      <c r="R182" s="599">
        <v>2032358267</v>
      </c>
      <c r="S182" s="882">
        <f t="shared" si="10"/>
        <v>0</v>
      </c>
      <c r="T182" s="599">
        <f t="shared" si="10"/>
        <v>2032</v>
      </c>
      <c r="U182" s="620"/>
      <c r="V182" s="621"/>
      <c r="W182" s="882">
        <f t="shared" si="11"/>
        <v>0</v>
      </c>
      <c r="X182" s="882">
        <f t="shared" si="9"/>
        <v>0</v>
      </c>
    </row>
    <row r="183" spans="1:24" ht="27" customHeight="1">
      <c r="A183" s="583"/>
      <c r="B183" s="583">
        <v>1019</v>
      </c>
      <c r="C183" s="581">
        <v>10</v>
      </c>
      <c r="D183" s="582" t="s">
        <v>158</v>
      </c>
      <c r="E183" s="583" t="s">
        <v>159</v>
      </c>
      <c r="F183" s="599">
        <v>-3458488300</v>
      </c>
      <c r="G183" s="599">
        <v>21422880</v>
      </c>
      <c r="H183" s="599">
        <v>-1478519345</v>
      </c>
      <c r="I183" s="599">
        <v>-2409149622</v>
      </c>
      <c r="J183" s="599"/>
      <c r="K183" s="599"/>
      <c r="L183" s="599">
        <v>-64268640</v>
      </c>
      <c r="M183" s="599"/>
      <c r="N183" s="599"/>
      <c r="O183" s="599"/>
      <c r="P183" s="599"/>
      <c r="Q183" s="882">
        <f t="shared" si="8"/>
        <v>-7389003027</v>
      </c>
      <c r="R183" s="599">
        <v>307459125956</v>
      </c>
      <c r="S183" s="882">
        <f t="shared" si="10"/>
        <v>-7389</v>
      </c>
      <c r="T183" s="599">
        <f t="shared" si="10"/>
        <v>307459</v>
      </c>
      <c r="U183" s="620"/>
      <c r="V183" s="621"/>
      <c r="W183" s="882">
        <f t="shared" si="11"/>
        <v>-7389003027</v>
      </c>
      <c r="X183" s="882">
        <f t="shared" si="9"/>
        <v>-7389</v>
      </c>
    </row>
    <row r="184" spans="1:24" ht="27" customHeight="1">
      <c r="A184" s="583"/>
      <c r="B184" s="583">
        <v>417</v>
      </c>
      <c r="C184" s="581">
        <v>4</v>
      </c>
      <c r="D184" s="582" t="s">
        <v>1570</v>
      </c>
      <c r="E184" s="583" t="s">
        <v>159</v>
      </c>
      <c r="F184" s="599">
        <v>78910613709</v>
      </c>
      <c r="G184" s="599">
        <v>11597050990</v>
      </c>
      <c r="H184" s="599"/>
      <c r="I184" s="599">
        <v>-90507664699</v>
      </c>
      <c r="J184" s="599"/>
      <c r="K184" s="599"/>
      <c r="L184" s="599"/>
      <c r="M184" s="599"/>
      <c r="N184" s="599"/>
      <c r="O184" s="599"/>
      <c r="P184" s="599"/>
      <c r="Q184" s="882">
        <f t="shared" si="8"/>
        <v>0</v>
      </c>
      <c r="R184" s="599">
        <v>-117969868390</v>
      </c>
      <c r="S184" s="882">
        <f t="shared" si="10"/>
        <v>0</v>
      </c>
      <c r="T184" s="599">
        <f t="shared" si="10"/>
        <v>-117970</v>
      </c>
      <c r="U184" s="620"/>
      <c r="V184" s="621"/>
      <c r="W184" s="882">
        <f t="shared" si="11"/>
        <v>0</v>
      </c>
      <c r="X184" s="882">
        <f t="shared" si="9"/>
        <v>0</v>
      </c>
    </row>
    <row r="185" spans="1:24" ht="27" customHeight="1">
      <c r="A185" s="583"/>
      <c r="B185" s="583">
        <v>1023</v>
      </c>
      <c r="C185" s="581">
        <v>10</v>
      </c>
      <c r="D185" s="582" t="s">
        <v>521</v>
      </c>
      <c r="E185" s="583" t="s">
        <v>207</v>
      </c>
      <c r="F185" s="599">
        <v>5869233137</v>
      </c>
      <c r="G185" s="599">
        <v>11212431911</v>
      </c>
      <c r="H185" s="599">
        <v>-40595276223</v>
      </c>
      <c r="I185" s="599">
        <v>-5154836154</v>
      </c>
      <c r="J185" s="599">
        <v>-100774071</v>
      </c>
      <c r="K185" s="599">
        <v>-3546114462</v>
      </c>
      <c r="L185" s="599">
        <v>-1203420793</v>
      </c>
      <c r="M185" s="599"/>
      <c r="N185" s="599"/>
      <c r="O185" s="599"/>
      <c r="P185" s="599"/>
      <c r="Q185" s="882">
        <f t="shared" si="8"/>
        <v>-33518756655</v>
      </c>
      <c r="R185" s="599">
        <v>-162003574279</v>
      </c>
      <c r="S185" s="882">
        <f t="shared" si="10"/>
        <v>-33519</v>
      </c>
      <c r="T185" s="599">
        <f t="shared" si="10"/>
        <v>-162004</v>
      </c>
      <c r="U185" s="620"/>
      <c r="V185" s="621"/>
      <c r="W185" s="882">
        <f t="shared" si="11"/>
        <v>-33518756655</v>
      </c>
      <c r="X185" s="882">
        <f t="shared" si="9"/>
        <v>-33519</v>
      </c>
    </row>
    <row r="186" spans="1:24" ht="27" customHeight="1">
      <c r="A186" s="583"/>
      <c r="B186" s="583">
        <v>1023</v>
      </c>
      <c r="C186" s="581">
        <v>10</v>
      </c>
      <c r="D186" s="582" t="s">
        <v>1329</v>
      </c>
      <c r="E186" s="583" t="s">
        <v>207</v>
      </c>
      <c r="F186" s="599">
        <v>475508675665</v>
      </c>
      <c r="G186" s="599">
        <v>65473699648</v>
      </c>
      <c r="H186" s="599">
        <v>-46411230</v>
      </c>
      <c r="I186" s="599">
        <v>-540935964083</v>
      </c>
      <c r="J186" s="599"/>
      <c r="K186" s="599"/>
      <c r="L186" s="599"/>
      <c r="M186" s="599"/>
      <c r="N186" s="599"/>
      <c r="O186" s="599"/>
      <c r="P186" s="599"/>
      <c r="Q186" s="882">
        <f t="shared" si="8"/>
        <v>0</v>
      </c>
      <c r="R186" s="599">
        <v>-1060842884</v>
      </c>
      <c r="S186" s="882">
        <f t="shared" si="10"/>
        <v>0</v>
      </c>
      <c r="T186" s="599">
        <f t="shared" si="10"/>
        <v>-1061</v>
      </c>
      <c r="U186" s="620"/>
      <c r="V186" s="621"/>
      <c r="W186" s="882">
        <f t="shared" si="11"/>
        <v>0</v>
      </c>
      <c r="X186" s="882">
        <f t="shared" si="9"/>
        <v>0</v>
      </c>
    </row>
    <row r="187" spans="1:24" ht="27" customHeight="1">
      <c r="A187" s="583"/>
      <c r="B187" s="583">
        <v>1003</v>
      </c>
      <c r="C187" s="581">
        <v>10</v>
      </c>
      <c r="D187" s="582" t="s">
        <v>208</v>
      </c>
      <c r="E187" s="583" t="s">
        <v>209</v>
      </c>
      <c r="F187" s="599">
        <v>2457351283</v>
      </c>
      <c r="G187" s="599">
        <v>-610078119</v>
      </c>
      <c r="H187" s="599">
        <v>420246336</v>
      </c>
      <c r="I187" s="599">
        <v>-2454774302</v>
      </c>
      <c r="J187" s="599"/>
      <c r="K187" s="599">
        <v>32289000</v>
      </c>
      <c r="L187" s="599">
        <v>-26768825</v>
      </c>
      <c r="M187" s="599"/>
      <c r="N187" s="599">
        <v>2720700</v>
      </c>
      <c r="O187" s="599"/>
      <c r="P187" s="599"/>
      <c r="Q187" s="882">
        <f t="shared" si="8"/>
        <v>-179013927</v>
      </c>
      <c r="R187" s="599">
        <v>-261474355428</v>
      </c>
      <c r="S187" s="882">
        <f t="shared" si="10"/>
        <v>-179</v>
      </c>
      <c r="T187" s="599">
        <f t="shared" si="10"/>
        <v>-261474</v>
      </c>
      <c r="U187" s="620"/>
      <c r="V187" s="621"/>
      <c r="W187" s="882">
        <f t="shared" si="11"/>
        <v>-179013927</v>
      </c>
      <c r="X187" s="882">
        <f t="shared" si="9"/>
        <v>-179</v>
      </c>
    </row>
    <row r="188" spans="1:24" ht="27" customHeight="1">
      <c r="A188" s="583"/>
      <c r="B188" s="583">
        <v>1003</v>
      </c>
      <c r="C188" s="581">
        <v>10</v>
      </c>
      <c r="D188" s="582" t="s">
        <v>1330</v>
      </c>
      <c r="E188" s="583" t="s">
        <v>209</v>
      </c>
      <c r="F188" s="599">
        <v>1025584903029</v>
      </c>
      <c r="G188" s="599">
        <v>117007509640</v>
      </c>
      <c r="H188" s="599"/>
      <c r="I188" s="599">
        <v>-1142592412669</v>
      </c>
      <c r="J188" s="599"/>
      <c r="K188" s="599"/>
      <c r="L188" s="599"/>
      <c r="M188" s="599"/>
      <c r="N188" s="599"/>
      <c r="O188" s="599"/>
      <c r="P188" s="599"/>
      <c r="Q188" s="882">
        <f t="shared" si="8"/>
        <v>0</v>
      </c>
      <c r="R188" s="599">
        <v>-3130579001</v>
      </c>
      <c r="S188" s="882">
        <f t="shared" si="10"/>
        <v>0</v>
      </c>
      <c r="T188" s="599">
        <f t="shared" si="10"/>
        <v>-3131</v>
      </c>
      <c r="U188" s="620"/>
      <c r="V188" s="621"/>
      <c r="W188" s="882">
        <f t="shared" si="11"/>
        <v>0</v>
      </c>
      <c r="X188" s="882">
        <f t="shared" si="9"/>
        <v>0</v>
      </c>
    </row>
    <row r="189" spans="1:24" ht="27" customHeight="1">
      <c r="A189" s="583"/>
      <c r="B189" s="583">
        <v>1021</v>
      </c>
      <c r="C189" s="581">
        <v>10</v>
      </c>
      <c r="D189" s="582" t="s">
        <v>343</v>
      </c>
      <c r="E189" s="583" t="s">
        <v>344</v>
      </c>
      <c r="F189" s="599">
        <v>-74366110178</v>
      </c>
      <c r="G189" s="599">
        <v>-21521695203</v>
      </c>
      <c r="H189" s="599"/>
      <c r="I189" s="599">
        <v>-12806485602</v>
      </c>
      <c r="J189" s="599"/>
      <c r="K189" s="599">
        <f>-116006158-1409908896</f>
        <v>-1525915054</v>
      </c>
      <c r="L189" s="599"/>
      <c r="M189" s="599"/>
      <c r="N189" s="599"/>
      <c r="O189" s="599"/>
      <c r="P189" s="599"/>
      <c r="Q189" s="882">
        <f t="shared" si="8"/>
        <v>-110220206037</v>
      </c>
      <c r="R189" s="599">
        <v>-66741436087</v>
      </c>
      <c r="S189" s="882">
        <f t="shared" si="10"/>
        <v>-110220</v>
      </c>
      <c r="T189" s="599">
        <f t="shared" si="10"/>
        <v>-66741</v>
      </c>
      <c r="U189" s="620"/>
      <c r="V189" s="621"/>
      <c r="W189" s="882">
        <f t="shared" si="11"/>
        <v>-110220206037</v>
      </c>
      <c r="X189" s="882">
        <f t="shared" si="9"/>
        <v>-110220</v>
      </c>
    </row>
    <row r="190" spans="1:24" ht="27" customHeight="1">
      <c r="A190" s="583"/>
      <c r="B190" s="583">
        <v>406</v>
      </c>
      <c r="C190" s="581">
        <v>4</v>
      </c>
      <c r="D190" s="582" t="s">
        <v>266</v>
      </c>
      <c r="E190" s="583" t="s">
        <v>267</v>
      </c>
      <c r="F190" s="599">
        <v>259829761</v>
      </c>
      <c r="G190" s="599">
        <v>-141019</v>
      </c>
      <c r="H190" s="599"/>
      <c r="I190" s="599"/>
      <c r="J190" s="599"/>
      <c r="K190" s="599"/>
      <c r="L190" s="599"/>
      <c r="M190" s="599"/>
      <c r="N190" s="599"/>
      <c r="O190" s="599"/>
      <c r="P190" s="599"/>
      <c r="Q190" s="882">
        <f t="shared" si="8"/>
        <v>259688742</v>
      </c>
      <c r="R190" s="599">
        <v>-1288204715</v>
      </c>
      <c r="S190" s="882">
        <f t="shared" si="10"/>
        <v>260</v>
      </c>
      <c r="T190" s="599">
        <f t="shared" si="10"/>
        <v>-1288</v>
      </c>
      <c r="U190" s="620"/>
      <c r="V190" s="621"/>
      <c r="W190" s="882">
        <f t="shared" si="11"/>
        <v>259688742</v>
      </c>
      <c r="X190" s="882">
        <f t="shared" si="9"/>
        <v>260</v>
      </c>
    </row>
    <row r="191" spans="1:24" ht="27" customHeight="1">
      <c r="A191" s="583"/>
      <c r="B191" s="583">
        <v>1001</v>
      </c>
      <c r="C191" s="581">
        <v>10</v>
      </c>
      <c r="D191" s="582" t="s">
        <v>393</v>
      </c>
      <c r="E191" s="583" t="s">
        <v>394</v>
      </c>
      <c r="F191" s="599"/>
      <c r="G191" s="599"/>
      <c r="H191" s="599"/>
      <c r="I191" s="599"/>
      <c r="J191" s="599"/>
      <c r="K191" s="599"/>
      <c r="L191" s="599"/>
      <c r="M191" s="599"/>
      <c r="N191" s="599"/>
      <c r="O191" s="599"/>
      <c r="P191" s="599"/>
      <c r="Q191" s="882">
        <f t="shared" si="8"/>
        <v>0</v>
      </c>
      <c r="R191" s="599">
        <v>0</v>
      </c>
      <c r="S191" s="882">
        <f t="shared" si="10"/>
        <v>0</v>
      </c>
      <c r="T191" s="599">
        <f t="shared" si="10"/>
        <v>0</v>
      </c>
      <c r="U191" s="620"/>
      <c r="V191" s="621"/>
      <c r="W191" s="882">
        <f t="shared" si="11"/>
        <v>0</v>
      </c>
      <c r="X191" s="882">
        <f t="shared" si="9"/>
        <v>0</v>
      </c>
    </row>
    <row r="192" spans="1:24" ht="27" customHeight="1">
      <c r="A192" s="583"/>
      <c r="B192" s="583">
        <v>406</v>
      </c>
      <c r="C192" s="581">
        <v>4</v>
      </c>
      <c r="D192" s="582" t="s">
        <v>345</v>
      </c>
      <c r="E192" s="583" t="s">
        <v>1336</v>
      </c>
      <c r="F192" s="599">
        <v>66708000</v>
      </c>
      <c r="G192" s="599"/>
      <c r="H192" s="599"/>
      <c r="I192" s="599"/>
      <c r="J192" s="599"/>
      <c r="K192" s="599"/>
      <c r="L192" s="599"/>
      <c r="M192" s="599"/>
      <c r="N192" s="599"/>
      <c r="O192" s="599"/>
      <c r="P192" s="599"/>
      <c r="Q192" s="882">
        <f t="shared" si="8"/>
        <v>66708000</v>
      </c>
      <c r="R192" s="599">
        <v>33354000</v>
      </c>
      <c r="S192" s="882">
        <f t="shared" si="10"/>
        <v>67</v>
      </c>
      <c r="T192" s="599">
        <f t="shared" si="10"/>
        <v>33</v>
      </c>
      <c r="U192" s="620"/>
      <c r="V192" s="621"/>
      <c r="W192" s="882">
        <f t="shared" si="11"/>
        <v>66708000</v>
      </c>
      <c r="X192" s="882">
        <f t="shared" si="9"/>
        <v>67</v>
      </c>
    </row>
    <row r="193" spans="1:24" ht="27" customHeight="1">
      <c r="A193" s="583"/>
      <c r="B193" s="583">
        <v>1001</v>
      </c>
      <c r="C193" s="581">
        <v>10</v>
      </c>
      <c r="D193" s="582" t="s">
        <v>269</v>
      </c>
      <c r="E193" s="583" t="s">
        <v>268</v>
      </c>
      <c r="F193" s="599">
        <v>-94998484</v>
      </c>
      <c r="G193" s="599"/>
      <c r="H193" s="599"/>
      <c r="I193" s="599"/>
      <c r="J193" s="599"/>
      <c r="K193" s="599"/>
      <c r="L193" s="599"/>
      <c r="M193" s="599"/>
      <c r="N193" s="599"/>
      <c r="O193" s="599"/>
      <c r="P193" s="599"/>
      <c r="Q193" s="882">
        <f t="shared" si="8"/>
        <v>-94998484</v>
      </c>
      <c r="R193" s="599">
        <v>2660153060</v>
      </c>
      <c r="S193" s="882">
        <f t="shared" si="10"/>
        <v>-95</v>
      </c>
      <c r="T193" s="599">
        <f t="shared" si="10"/>
        <v>2660</v>
      </c>
      <c r="U193" s="620"/>
      <c r="V193" s="621"/>
      <c r="W193" s="882">
        <f t="shared" si="11"/>
        <v>-94998484</v>
      </c>
      <c r="X193" s="882">
        <f t="shared" si="9"/>
        <v>-95</v>
      </c>
    </row>
    <row r="194" spans="1:24" ht="27" customHeight="1">
      <c r="A194" s="583"/>
      <c r="B194" s="583">
        <v>1001</v>
      </c>
      <c r="C194" s="581">
        <v>10</v>
      </c>
      <c r="D194" s="582" t="s">
        <v>535</v>
      </c>
      <c r="E194" s="583" t="s">
        <v>64</v>
      </c>
      <c r="F194" s="599">
        <v>-171832310</v>
      </c>
      <c r="G194" s="599"/>
      <c r="H194" s="599"/>
      <c r="I194" s="599"/>
      <c r="J194" s="599"/>
      <c r="K194" s="599"/>
      <c r="L194" s="599"/>
      <c r="M194" s="599"/>
      <c r="N194" s="599"/>
      <c r="O194" s="599"/>
      <c r="P194" s="599"/>
      <c r="Q194" s="882">
        <f t="shared" si="8"/>
        <v>-171832310</v>
      </c>
      <c r="R194" s="599">
        <v>0</v>
      </c>
      <c r="S194" s="882">
        <f t="shared" si="10"/>
        <v>-172</v>
      </c>
      <c r="T194" s="599">
        <f t="shared" si="10"/>
        <v>0</v>
      </c>
      <c r="U194" s="620"/>
      <c r="V194" s="621"/>
      <c r="W194" s="882">
        <f t="shared" si="11"/>
        <v>-171832310</v>
      </c>
      <c r="X194" s="882">
        <f t="shared" si="9"/>
        <v>-172</v>
      </c>
    </row>
    <row r="195" spans="1:24" ht="27" customHeight="1">
      <c r="A195" s="583"/>
      <c r="B195" s="583">
        <v>406</v>
      </c>
      <c r="C195" s="581">
        <v>4</v>
      </c>
      <c r="D195" s="582" t="s">
        <v>347</v>
      </c>
      <c r="E195" s="583" t="s">
        <v>1060</v>
      </c>
      <c r="F195" s="599"/>
      <c r="G195" s="599"/>
      <c r="H195" s="599"/>
      <c r="I195" s="599"/>
      <c r="J195" s="599"/>
      <c r="K195" s="599"/>
      <c r="L195" s="599"/>
      <c r="M195" s="599"/>
      <c r="N195" s="599"/>
      <c r="O195" s="599"/>
      <c r="P195" s="599"/>
      <c r="Q195" s="882">
        <f t="shared" si="8"/>
        <v>0</v>
      </c>
      <c r="R195" s="599">
        <v>3205885</v>
      </c>
      <c r="S195" s="882">
        <f t="shared" si="10"/>
        <v>0</v>
      </c>
      <c r="T195" s="599">
        <f t="shared" si="10"/>
        <v>3</v>
      </c>
      <c r="U195" s="620"/>
      <c r="V195" s="621"/>
      <c r="W195" s="882">
        <f t="shared" si="11"/>
        <v>0</v>
      </c>
      <c r="X195" s="882">
        <f t="shared" si="9"/>
        <v>0</v>
      </c>
    </row>
    <row r="196" spans="1:24" ht="27" customHeight="1">
      <c r="A196" s="583"/>
      <c r="B196" s="583">
        <v>406</v>
      </c>
      <c r="C196" s="581">
        <v>4</v>
      </c>
      <c r="D196" s="582" t="s">
        <v>270</v>
      </c>
      <c r="E196" s="583" t="s">
        <v>271</v>
      </c>
      <c r="F196" s="599"/>
      <c r="G196" s="599"/>
      <c r="H196" s="599"/>
      <c r="I196" s="599"/>
      <c r="J196" s="599"/>
      <c r="K196" s="599"/>
      <c r="L196" s="599"/>
      <c r="M196" s="599"/>
      <c r="N196" s="599"/>
      <c r="O196" s="599"/>
      <c r="P196" s="599"/>
      <c r="Q196" s="882">
        <f t="shared" ref="Q196:Q259" si="12">SUM(F196:P196)</f>
        <v>0</v>
      </c>
      <c r="R196" s="599">
        <v>0</v>
      </c>
      <c r="S196" s="882">
        <f t="shared" si="10"/>
        <v>0</v>
      </c>
      <c r="T196" s="599">
        <f t="shared" si="10"/>
        <v>0</v>
      </c>
      <c r="U196" s="620"/>
      <c r="V196" s="621"/>
      <c r="W196" s="882">
        <f t="shared" si="11"/>
        <v>0</v>
      </c>
      <c r="X196" s="882">
        <f t="shared" ref="X196:X260" si="13">ROUND((W196/1000000),0)</f>
        <v>0</v>
      </c>
    </row>
    <row r="197" spans="1:24" ht="27" customHeight="1">
      <c r="A197" s="583"/>
      <c r="B197" s="583">
        <v>1001</v>
      </c>
      <c r="C197" s="581">
        <v>10</v>
      </c>
      <c r="D197" s="582" t="s">
        <v>968</v>
      </c>
      <c r="E197" s="583" t="s">
        <v>969</v>
      </c>
      <c r="F197" s="599"/>
      <c r="G197" s="599"/>
      <c r="H197" s="599"/>
      <c r="I197" s="599"/>
      <c r="J197" s="599"/>
      <c r="K197" s="599"/>
      <c r="L197" s="599"/>
      <c r="M197" s="599"/>
      <c r="N197" s="599"/>
      <c r="O197" s="599"/>
      <c r="P197" s="599"/>
      <c r="Q197" s="882">
        <f t="shared" si="12"/>
        <v>0</v>
      </c>
      <c r="R197" s="599">
        <v>-1164937025</v>
      </c>
      <c r="S197" s="882">
        <f t="shared" si="10"/>
        <v>0</v>
      </c>
      <c r="T197" s="599">
        <f t="shared" si="10"/>
        <v>-1165</v>
      </c>
      <c r="U197" s="620"/>
      <c r="V197" s="621"/>
      <c r="W197" s="882">
        <f t="shared" si="11"/>
        <v>0</v>
      </c>
      <c r="X197" s="882">
        <f t="shared" si="13"/>
        <v>0</v>
      </c>
    </row>
    <row r="198" spans="1:24" ht="27" customHeight="1">
      <c r="A198" s="583"/>
      <c r="B198" s="583">
        <v>1001</v>
      </c>
      <c r="C198" s="581">
        <v>10</v>
      </c>
      <c r="D198" s="582" t="s">
        <v>349</v>
      </c>
      <c r="E198" s="583" t="s">
        <v>285</v>
      </c>
      <c r="F198" s="599"/>
      <c r="G198" s="599"/>
      <c r="H198" s="599"/>
      <c r="I198" s="599"/>
      <c r="J198" s="599"/>
      <c r="K198" s="599"/>
      <c r="L198" s="599"/>
      <c r="M198" s="599"/>
      <c r="N198" s="599"/>
      <c r="O198" s="599"/>
      <c r="P198" s="599"/>
      <c r="Q198" s="882">
        <f t="shared" si="12"/>
        <v>0</v>
      </c>
      <c r="R198" s="599">
        <v>0</v>
      </c>
      <c r="S198" s="882">
        <f t="shared" si="10"/>
        <v>0</v>
      </c>
      <c r="T198" s="599">
        <f t="shared" si="10"/>
        <v>0</v>
      </c>
      <c r="U198" s="620"/>
      <c r="V198" s="621"/>
      <c r="W198" s="882">
        <f t="shared" si="11"/>
        <v>0</v>
      </c>
      <c r="X198" s="882">
        <f t="shared" si="13"/>
        <v>0</v>
      </c>
    </row>
    <row r="199" spans="1:24" ht="27" customHeight="1">
      <c r="A199" s="583"/>
      <c r="B199" s="583">
        <v>1001</v>
      </c>
      <c r="C199" s="581">
        <v>10</v>
      </c>
      <c r="D199" s="582" t="s">
        <v>1064</v>
      </c>
      <c r="E199" s="583" t="s">
        <v>1240</v>
      </c>
      <c r="F199" s="599">
        <v>-166410000</v>
      </c>
      <c r="G199" s="599"/>
      <c r="H199" s="599"/>
      <c r="I199" s="599"/>
      <c r="J199" s="599"/>
      <c r="K199" s="599"/>
      <c r="L199" s="599"/>
      <c r="M199" s="599"/>
      <c r="N199" s="599"/>
      <c r="O199" s="599"/>
      <c r="P199" s="599"/>
      <c r="Q199" s="882">
        <f t="shared" si="12"/>
        <v>-166410000</v>
      </c>
      <c r="R199" s="599">
        <v>-324000000</v>
      </c>
      <c r="S199" s="882">
        <f t="shared" si="10"/>
        <v>-166</v>
      </c>
      <c r="T199" s="599">
        <f t="shared" si="10"/>
        <v>-324</v>
      </c>
      <c r="U199" s="620"/>
      <c r="V199" s="621"/>
      <c r="W199" s="882">
        <f t="shared" si="11"/>
        <v>-166410000</v>
      </c>
      <c r="X199" s="882">
        <f t="shared" si="13"/>
        <v>-166</v>
      </c>
    </row>
    <row r="200" spans="1:24" ht="27" customHeight="1">
      <c r="A200" s="583"/>
      <c r="B200" s="583">
        <v>406</v>
      </c>
      <c r="C200" s="581">
        <v>4</v>
      </c>
      <c r="D200" s="582" t="s">
        <v>1061</v>
      </c>
      <c r="E200" s="583" t="s">
        <v>1062</v>
      </c>
      <c r="F200" s="599">
        <v>537808263</v>
      </c>
      <c r="G200" s="599"/>
      <c r="H200" s="599"/>
      <c r="I200" s="599"/>
      <c r="J200" s="599"/>
      <c r="K200" s="599"/>
      <c r="L200" s="599"/>
      <c r="M200" s="599"/>
      <c r="N200" s="599"/>
      <c r="O200" s="599"/>
      <c r="P200" s="599"/>
      <c r="Q200" s="882">
        <f t="shared" si="12"/>
        <v>537808263</v>
      </c>
      <c r="R200" s="599">
        <v>537808263</v>
      </c>
      <c r="S200" s="882">
        <f t="shared" si="10"/>
        <v>538</v>
      </c>
      <c r="T200" s="599">
        <f t="shared" si="10"/>
        <v>538</v>
      </c>
      <c r="U200" s="620"/>
      <c r="V200" s="621"/>
      <c r="W200" s="882">
        <f t="shared" si="11"/>
        <v>537808263</v>
      </c>
      <c r="X200" s="882">
        <f t="shared" si="13"/>
        <v>538</v>
      </c>
    </row>
    <row r="201" spans="1:24" ht="27" customHeight="1">
      <c r="A201" s="583"/>
      <c r="B201" s="583">
        <v>1001</v>
      </c>
      <c r="C201" s="581">
        <v>10</v>
      </c>
      <c r="D201" s="582" t="s">
        <v>657</v>
      </c>
      <c r="E201" s="583" t="s">
        <v>658</v>
      </c>
      <c r="F201" s="599"/>
      <c r="G201" s="599"/>
      <c r="H201" s="599"/>
      <c r="I201" s="599"/>
      <c r="J201" s="599"/>
      <c r="K201" s="599"/>
      <c r="L201" s="599"/>
      <c r="M201" s="599"/>
      <c r="N201" s="599"/>
      <c r="O201" s="599"/>
      <c r="P201" s="599"/>
      <c r="Q201" s="882">
        <f t="shared" si="12"/>
        <v>0</v>
      </c>
      <c r="R201" s="599">
        <v>0</v>
      </c>
      <c r="S201" s="882">
        <f t="shared" si="10"/>
        <v>0</v>
      </c>
      <c r="T201" s="599">
        <f t="shared" si="10"/>
        <v>0</v>
      </c>
      <c r="U201" s="620"/>
      <c r="V201" s="621"/>
      <c r="W201" s="882">
        <f t="shared" si="11"/>
        <v>0</v>
      </c>
      <c r="X201" s="882">
        <f t="shared" si="13"/>
        <v>0</v>
      </c>
    </row>
    <row r="202" spans="1:24" ht="27" customHeight="1">
      <c r="A202" s="583"/>
      <c r="B202" s="583">
        <v>406</v>
      </c>
      <c r="C202" s="581">
        <v>4</v>
      </c>
      <c r="D202" s="582" t="s">
        <v>272</v>
      </c>
      <c r="E202" s="583" t="s">
        <v>970</v>
      </c>
      <c r="F202" s="599"/>
      <c r="G202" s="599"/>
      <c r="H202" s="599"/>
      <c r="I202" s="599"/>
      <c r="J202" s="599"/>
      <c r="K202" s="599"/>
      <c r="L202" s="599"/>
      <c r="M202" s="599"/>
      <c r="N202" s="599"/>
      <c r="O202" s="599"/>
      <c r="P202" s="599"/>
      <c r="Q202" s="882">
        <f t="shared" si="12"/>
        <v>0</v>
      </c>
      <c r="R202" s="599">
        <v>191255809</v>
      </c>
      <c r="S202" s="882">
        <f t="shared" ref="S202:T276" si="14">ROUND((Q202/1000000),0)</f>
        <v>0</v>
      </c>
      <c r="T202" s="599">
        <f t="shared" si="14"/>
        <v>191</v>
      </c>
      <c r="U202" s="620"/>
      <c r="V202" s="621"/>
      <c r="W202" s="882">
        <f t="shared" si="11"/>
        <v>0</v>
      </c>
      <c r="X202" s="882">
        <f t="shared" si="13"/>
        <v>0</v>
      </c>
    </row>
    <row r="203" spans="1:24" ht="27" customHeight="1">
      <c r="A203" s="583"/>
      <c r="B203" s="583">
        <v>406</v>
      </c>
      <c r="C203" s="581">
        <v>4</v>
      </c>
      <c r="D203" s="582" t="s">
        <v>235</v>
      </c>
      <c r="E203" s="583" t="s">
        <v>1063</v>
      </c>
      <c r="F203" s="599"/>
      <c r="G203" s="599"/>
      <c r="H203" s="599"/>
      <c r="I203" s="599"/>
      <c r="J203" s="599"/>
      <c r="K203" s="599"/>
      <c r="L203" s="599"/>
      <c r="M203" s="599"/>
      <c r="N203" s="599"/>
      <c r="O203" s="599"/>
      <c r="P203" s="599"/>
      <c r="Q203" s="882">
        <f t="shared" si="12"/>
        <v>0</v>
      </c>
      <c r="R203" s="599">
        <v>631810529</v>
      </c>
      <c r="S203" s="882">
        <f t="shared" si="14"/>
        <v>0</v>
      </c>
      <c r="T203" s="599">
        <f t="shared" si="14"/>
        <v>632</v>
      </c>
      <c r="U203" s="620"/>
      <c r="V203" s="621"/>
      <c r="W203" s="882">
        <f t="shared" ref="W203:W277" si="15">Q203+V203-U203</f>
        <v>0</v>
      </c>
      <c r="X203" s="882">
        <f t="shared" si="13"/>
        <v>0</v>
      </c>
    </row>
    <row r="204" spans="1:24" ht="27" customHeight="1">
      <c r="A204" s="583"/>
      <c r="B204" s="583">
        <v>1001</v>
      </c>
      <c r="C204" s="581">
        <v>10</v>
      </c>
      <c r="D204" s="582" t="s">
        <v>237</v>
      </c>
      <c r="E204" s="583" t="s">
        <v>1003</v>
      </c>
      <c r="F204" s="599"/>
      <c r="G204" s="599"/>
      <c r="H204" s="599"/>
      <c r="I204" s="599"/>
      <c r="J204" s="599"/>
      <c r="K204" s="599"/>
      <c r="L204" s="599"/>
      <c r="M204" s="599"/>
      <c r="N204" s="599"/>
      <c r="O204" s="599"/>
      <c r="P204" s="599"/>
      <c r="Q204" s="882">
        <f t="shared" si="12"/>
        <v>0</v>
      </c>
      <c r="R204" s="599">
        <v>-70333100</v>
      </c>
      <c r="S204" s="882">
        <f t="shared" si="14"/>
        <v>0</v>
      </c>
      <c r="T204" s="599">
        <f t="shared" si="14"/>
        <v>-70</v>
      </c>
      <c r="U204" s="620"/>
      <c r="V204" s="621"/>
      <c r="W204" s="882">
        <f t="shared" si="15"/>
        <v>0</v>
      </c>
      <c r="X204" s="882">
        <f t="shared" si="13"/>
        <v>0</v>
      </c>
    </row>
    <row r="205" spans="1:24" ht="27" customHeight="1">
      <c r="A205" s="583"/>
      <c r="B205" s="583">
        <v>406</v>
      </c>
      <c r="C205" s="581">
        <v>4</v>
      </c>
      <c r="D205" s="582" t="s">
        <v>971</v>
      </c>
      <c r="E205" s="583" t="s">
        <v>972</v>
      </c>
      <c r="F205" s="599">
        <v>625347393</v>
      </c>
      <c r="G205" s="599"/>
      <c r="H205" s="599"/>
      <c r="I205" s="599"/>
      <c r="J205" s="599"/>
      <c r="K205" s="599"/>
      <c r="L205" s="599"/>
      <c r="M205" s="599"/>
      <c r="N205" s="599"/>
      <c r="O205" s="599"/>
      <c r="P205" s="599"/>
      <c r="Q205" s="882">
        <f t="shared" si="12"/>
        <v>625347393</v>
      </c>
      <c r="R205" s="599">
        <v>281224593</v>
      </c>
      <c r="S205" s="882">
        <f t="shared" si="14"/>
        <v>625</v>
      </c>
      <c r="T205" s="599">
        <f t="shared" si="14"/>
        <v>281</v>
      </c>
      <c r="U205" s="620"/>
      <c r="V205" s="621"/>
      <c r="W205" s="882">
        <f t="shared" si="15"/>
        <v>625347393</v>
      </c>
      <c r="X205" s="882">
        <f t="shared" si="13"/>
        <v>625</v>
      </c>
    </row>
    <row r="206" spans="1:24" ht="27" customHeight="1">
      <c r="A206" s="583"/>
      <c r="B206" s="583">
        <v>406</v>
      </c>
      <c r="C206" s="581">
        <v>4</v>
      </c>
      <c r="D206" s="582" t="s">
        <v>1267</v>
      </c>
      <c r="E206" s="583" t="s">
        <v>1065</v>
      </c>
      <c r="F206" s="599"/>
      <c r="G206" s="599"/>
      <c r="H206" s="599"/>
      <c r="I206" s="599"/>
      <c r="J206" s="599"/>
      <c r="K206" s="599"/>
      <c r="L206" s="599"/>
      <c r="M206" s="599"/>
      <c r="N206" s="599"/>
      <c r="O206" s="599"/>
      <c r="P206" s="599"/>
      <c r="Q206" s="882">
        <f t="shared" si="12"/>
        <v>0</v>
      </c>
      <c r="R206" s="599">
        <v>0</v>
      </c>
      <c r="S206" s="882">
        <f t="shared" si="14"/>
        <v>0</v>
      </c>
      <c r="T206" s="599">
        <f t="shared" si="14"/>
        <v>0</v>
      </c>
      <c r="U206" s="620"/>
      <c r="V206" s="621"/>
      <c r="W206" s="882">
        <f t="shared" si="15"/>
        <v>0</v>
      </c>
      <c r="X206" s="882">
        <f t="shared" si="13"/>
        <v>0</v>
      </c>
    </row>
    <row r="207" spans="1:24" ht="27" customHeight="1">
      <c r="A207" s="583"/>
      <c r="B207" s="583">
        <v>406</v>
      </c>
      <c r="C207" s="581">
        <v>4</v>
      </c>
      <c r="D207" s="582" t="s">
        <v>210</v>
      </c>
      <c r="E207" s="583" t="s">
        <v>211</v>
      </c>
      <c r="F207" s="599">
        <v>521475926</v>
      </c>
      <c r="G207" s="599"/>
      <c r="H207" s="599"/>
      <c r="I207" s="599"/>
      <c r="J207" s="599"/>
      <c r="K207" s="599"/>
      <c r="L207" s="599"/>
      <c r="M207" s="599"/>
      <c r="N207" s="599"/>
      <c r="O207" s="599"/>
      <c r="P207" s="599"/>
      <c r="Q207" s="882">
        <f t="shared" si="12"/>
        <v>521475926</v>
      </c>
      <c r="R207" s="599">
        <v>474224426</v>
      </c>
      <c r="S207" s="882">
        <f t="shared" si="14"/>
        <v>521</v>
      </c>
      <c r="T207" s="599">
        <f t="shared" si="14"/>
        <v>474</v>
      </c>
      <c r="U207" s="620"/>
      <c r="V207" s="621"/>
      <c r="W207" s="882">
        <f t="shared" si="15"/>
        <v>521475926</v>
      </c>
      <c r="X207" s="882">
        <f t="shared" si="13"/>
        <v>521</v>
      </c>
    </row>
    <row r="208" spans="1:24" ht="27" customHeight="1">
      <c r="A208" s="583"/>
      <c r="B208" s="583">
        <v>406</v>
      </c>
      <c r="C208" s="581">
        <v>4</v>
      </c>
      <c r="D208" s="582" t="s">
        <v>274</v>
      </c>
      <c r="E208" s="583" t="s">
        <v>276</v>
      </c>
      <c r="F208" s="599"/>
      <c r="G208" s="599"/>
      <c r="H208" s="599"/>
      <c r="I208" s="599"/>
      <c r="J208" s="599"/>
      <c r="K208" s="599"/>
      <c r="L208" s="599"/>
      <c r="M208" s="599"/>
      <c r="N208" s="599"/>
      <c r="O208" s="599"/>
      <c r="P208" s="599"/>
      <c r="Q208" s="882">
        <f t="shared" si="12"/>
        <v>0</v>
      </c>
      <c r="R208" s="599">
        <v>0</v>
      </c>
      <c r="S208" s="882">
        <f t="shared" si="14"/>
        <v>0</v>
      </c>
      <c r="T208" s="599">
        <f t="shared" si="14"/>
        <v>0</v>
      </c>
      <c r="U208" s="620"/>
      <c r="V208" s="621"/>
      <c r="W208" s="882">
        <f t="shared" si="15"/>
        <v>0</v>
      </c>
      <c r="X208" s="882">
        <f t="shared" si="13"/>
        <v>0</v>
      </c>
    </row>
    <row r="209" spans="1:24" ht="27" customHeight="1">
      <c r="A209" s="583"/>
      <c r="B209" s="583">
        <v>406</v>
      </c>
      <c r="C209" s="581">
        <v>4</v>
      </c>
      <c r="D209" s="582" t="s">
        <v>1031</v>
      </c>
      <c r="E209" s="583" t="s">
        <v>1032</v>
      </c>
      <c r="F209" s="599"/>
      <c r="G209" s="599"/>
      <c r="H209" s="599"/>
      <c r="I209" s="599"/>
      <c r="J209" s="599"/>
      <c r="K209" s="599"/>
      <c r="L209" s="599"/>
      <c r="M209" s="599"/>
      <c r="N209" s="599"/>
      <c r="O209" s="599"/>
      <c r="P209" s="599"/>
      <c r="Q209" s="882">
        <f t="shared" si="12"/>
        <v>0</v>
      </c>
      <c r="R209" s="599">
        <v>32791521</v>
      </c>
      <c r="S209" s="882">
        <f t="shared" si="14"/>
        <v>0</v>
      </c>
      <c r="T209" s="599">
        <f t="shared" si="14"/>
        <v>33</v>
      </c>
      <c r="U209" s="620"/>
      <c r="V209" s="621"/>
      <c r="W209" s="882">
        <f t="shared" si="15"/>
        <v>0</v>
      </c>
      <c r="X209" s="882">
        <f t="shared" si="13"/>
        <v>0</v>
      </c>
    </row>
    <row r="210" spans="1:24" ht="27" customHeight="1">
      <c r="A210" s="583"/>
      <c r="B210" s="583">
        <v>406</v>
      </c>
      <c r="C210" s="581">
        <v>4</v>
      </c>
      <c r="D210" s="582" t="s">
        <v>1005</v>
      </c>
      <c r="E210" s="583" t="s">
        <v>841</v>
      </c>
      <c r="F210" s="599"/>
      <c r="G210" s="599"/>
      <c r="H210" s="599"/>
      <c r="I210" s="599"/>
      <c r="J210" s="599"/>
      <c r="K210" s="599"/>
      <c r="L210" s="599"/>
      <c r="M210" s="599"/>
      <c r="N210" s="599"/>
      <c r="O210" s="599"/>
      <c r="P210" s="599"/>
      <c r="Q210" s="882">
        <f t="shared" si="12"/>
        <v>0</v>
      </c>
      <c r="R210" s="599">
        <v>0</v>
      </c>
      <c r="S210" s="882">
        <f t="shared" si="14"/>
        <v>0</v>
      </c>
      <c r="T210" s="599">
        <f t="shared" si="14"/>
        <v>0</v>
      </c>
      <c r="U210" s="620"/>
      <c r="V210" s="621"/>
      <c r="W210" s="882">
        <f t="shared" si="15"/>
        <v>0</v>
      </c>
      <c r="X210" s="882">
        <f t="shared" si="13"/>
        <v>0</v>
      </c>
    </row>
    <row r="211" spans="1:24" ht="27" customHeight="1">
      <c r="A211" s="583"/>
      <c r="B211" s="583">
        <v>1001</v>
      </c>
      <c r="C211" s="581">
        <v>10</v>
      </c>
      <c r="D211" s="582" t="s">
        <v>65</v>
      </c>
      <c r="E211" s="583" t="s">
        <v>1337</v>
      </c>
      <c r="F211" s="599"/>
      <c r="G211" s="599"/>
      <c r="H211" s="599"/>
      <c r="I211" s="599"/>
      <c r="J211" s="599"/>
      <c r="K211" s="599"/>
      <c r="L211" s="599"/>
      <c r="M211" s="599"/>
      <c r="N211" s="599"/>
      <c r="O211" s="599"/>
      <c r="P211" s="599"/>
      <c r="Q211" s="882">
        <f t="shared" si="12"/>
        <v>0</v>
      </c>
      <c r="R211" s="599">
        <v>-50135441</v>
      </c>
      <c r="S211" s="882">
        <f t="shared" si="14"/>
        <v>0</v>
      </c>
      <c r="T211" s="599">
        <f t="shared" si="14"/>
        <v>-50</v>
      </c>
      <c r="U211" s="620"/>
      <c r="V211" s="621"/>
      <c r="W211" s="882">
        <f t="shared" si="15"/>
        <v>0</v>
      </c>
      <c r="X211" s="882">
        <f t="shared" si="13"/>
        <v>0</v>
      </c>
    </row>
    <row r="212" spans="1:24" ht="27" customHeight="1">
      <c r="A212" s="583"/>
      <c r="B212" s="583">
        <v>1001</v>
      </c>
      <c r="C212" s="581">
        <v>10</v>
      </c>
      <c r="D212" s="582" t="s">
        <v>1066</v>
      </c>
      <c r="E212" s="583" t="s">
        <v>1067</v>
      </c>
      <c r="F212" s="599"/>
      <c r="G212" s="599"/>
      <c r="H212" s="599"/>
      <c r="I212" s="599"/>
      <c r="J212" s="599"/>
      <c r="K212" s="599"/>
      <c r="L212" s="599"/>
      <c r="M212" s="599"/>
      <c r="N212" s="599"/>
      <c r="O212" s="599"/>
      <c r="P212" s="599"/>
      <c r="Q212" s="882">
        <f t="shared" si="12"/>
        <v>0</v>
      </c>
      <c r="R212" s="599">
        <v>0</v>
      </c>
      <c r="S212" s="882">
        <f t="shared" si="14"/>
        <v>0</v>
      </c>
      <c r="T212" s="599">
        <f t="shared" si="14"/>
        <v>0</v>
      </c>
      <c r="U212" s="620"/>
      <c r="V212" s="621"/>
      <c r="W212" s="882">
        <f t="shared" si="15"/>
        <v>0</v>
      </c>
      <c r="X212" s="882">
        <f t="shared" si="13"/>
        <v>0</v>
      </c>
    </row>
    <row r="213" spans="1:24" ht="27" customHeight="1">
      <c r="A213" s="583"/>
      <c r="B213" s="583">
        <v>406</v>
      </c>
      <c r="C213" s="581">
        <v>4</v>
      </c>
      <c r="D213" s="582" t="s">
        <v>1068</v>
      </c>
      <c r="E213" s="583" t="s">
        <v>1069</v>
      </c>
      <c r="F213" s="599"/>
      <c r="G213" s="599"/>
      <c r="H213" s="599"/>
      <c r="I213" s="599"/>
      <c r="J213" s="599"/>
      <c r="K213" s="599"/>
      <c r="L213" s="599"/>
      <c r="M213" s="599"/>
      <c r="N213" s="599"/>
      <c r="O213" s="599"/>
      <c r="P213" s="599"/>
      <c r="Q213" s="882">
        <f t="shared" si="12"/>
        <v>0</v>
      </c>
      <c r="R213" s="599">
        <v>97274274</v>
      </c>
      <c r="S213" s="882">
        <f t="shared" si="14"/>
        <v>0</v>
      </c>
      <c r="T213" s="599">
        <f t="shared" si="14"/>
        <v>97</v>
      </c>
      <c r="U213" s="620"/>
      <c r="V213" s="621"/>
      <c r="W213" s="882">
        <f t="shared" si="15"/>
        <v>0</v>
      </c>
      <c r="X213" s="882">
        <f t="shared" si="13"/>
        <v>0</v>
      </c>
    </row>
    <row r="214" spans="1:24" ht="27" customHeight="1">
      <c r="A214" s="583"/>
      <c r="B214" s="583">
        <v>406</v>
      </c>
      <c r="C214" s="581">
        <v>4</v>
      </c>
      <c r="D214" s="582" t="s">
        <v>1070</v>
      </c>
      <c r="E214" s="583" t="s">
        <v>1071</v>
      </c>
      <c r="F214" s="599">
        <v>126060060</v>
      </c>
      <c r="G214" s="599"/>
      <c r="H214" s="599"/>
      <c r="I214" s="599"/>
      <c r="J214" s="599"/>
      <c r="K214" s="599"/>
      <c r="L214" s="599"/>
      <c r="M214" s="599"/>
      <c r="N214" s="599"/>
      <c r="O214" s="599"/>
      <c r="P214" s="599"/>
      <c r="Q214" s="882">
        <f t="shared" si="12"/>
        <v>126060060</v>
      </c>
      <c r="R214" s="599">
        <v>102917700</v>
      </c>
      <c r="S214" s="882">
        <f t="shared" si="14"/>
        <v>126</v>
      </c>
      <c r="T214" s="599">
        <f t="shared" si="14"/>
        <v>103</v>
      </c>
      <c r="U214" s="620"/>
      <c r="V214" s="621"/>
      <c r="W214" s="882">
        <f t="shared" si="15"/>
        <v>126060060</v>
      </c>
      <c r="X214" s="882">
        <f t="shared" si="13"/>
        <v>126</v>
      </c>
    </row>
    <row r="215" spans="1:24" ht="27" customHeight="1">
      <c r="A215" s="583"/>
      <c r="B215" s="583">
        <v>1001</v>
      </c>
      <c r="C215" s="581">
        <v>10</v>
      </c>
      <c r="D215" s="582" t="s">
        <v>1073</v>
      </c>
      <c r="E215" s="583" t="s">
        <v>1072</v>
      </c>
      <c r="F215" s="599"/>
      <c r="G215" s="599"/>
      <c r="H215" s="599"/>
      <c r="I215" s="599"/>
      <c r="J215" s="599"/>
      <c r="K215" s="599"/>
      <c r="L215" s="599"/>
      <c r="M215" s="599"/>
      <c r="N215" s="599"/>
      <c r="O215" s="599"/>
      <c r="P215" s="599"/>
      <c r="Q215" s="882">
        <f t="shared" si="12"/>
        <v>0</v>
      </c>
      <c r="R215" s="599">
        <v>0</v>
      </c>
      <c r="S215" s="882">
        <f t="shared" si="14"/>
        <v>0</v>
      </c>
      <c r="T215" s="599">
        <f t="shared" si="14"/>
        <v>0</v>
      </c>
      <c r="U215" s="620"/>
      <c r="V215" s="621"/>
      <c r="W215" s="882">
        <f t="shared" si="15"/>
        <v>0</v>
      </c>
      <c r="X215" s="882">
        <f t="shared" si="13"/>
        <v>0</v>
      </c>
    </row>
    <row r="216" spans="1:24" ht="27" customHeight="1">
      <c r="A216" s="583"/>
      <c r="B216" s="583">
        <v>406</v>
      </c>
      <c r="C216" s="581">
        <v>4</v>
      </c>
      <c r="D216" s="582" t="s">
        <v>974</v>
      </c>
      <c r="E216" s="583" t="s">
        <v>973</v>
      </c>
      <c r="F216" s="599"/>
      <c r="G216" s="599"/>
      <c r="H216" s="599"/>
      <c r="I216" s="599"/>
      <c r="J216" s="599"/>
      <c r="K216" s="599"/>
      <c r="L216" s="599"/>
      <c r="M216" s="599"/>
      <c r="N216" s="599"/>
      <c r="O216" s="599"/>
      <c r="P216" s="599"/>
      <c r="Q216" s="882">
        <f t="shared" si="12"/>
        <v>0</v>
      </c>
      <c r="R216" s="599">
        <v>0</v>
      </c>
      <c r="S216" s="882">
        <f t="shared" si="14"/>
        <v>0</v>
      </c>
      <c r="T216" s="599">
        <f t="shared" si="14"/>
        <v>0</v>
      </c>
      <c r="U216" s="620"/>
      <c r="V216" s="621"/>
      <c r="W216" s="882">
        <f t="shared" si="15"/>
        <v>0</v>
      </c>
      <c r="X216" s="882">
        <f t="shared" si="13"/>
        <v>0</v>
      </c>
    </row>
    <row r="217" spans="1:24" ht="27" customHeight="1">
      <c r="A217" s="583"/>
      <c r="B217" s="583">
        <v>406</v>
      </c>
      <c r="C217" s="581">
        <v>4</v>
      </c>
      <c r="D217" s="582" t="s">
        <v>975</v>
      </c>
      <c r="E217" s="583" t="s">
        <v>976</v>
      </c>
      <c r="F217" s="599">
        <v>496544636</v>
      </c>
      <c r="G217" s="599"/>
      <c r="H217" s="599"/>
      <c r="I217" s="599"/>
      <c r="J217" s="599">
        <v>-123891869</v>
      </c>
      <c r="K217" s="599"/>
      <c r="L217" s="599"/>
      <c r="M217" s="599"/>
      <c r="N217" s="599"/>
      <c r="O217" s="599"/>
      <c r="P217" s="599"/>
      <c r="Q217" s="882">
        <f t="shared" si="12"/>
        <v>372652767</v>
      </c>
      <c r="R217" s="599">
        <v>29739600</v>
      </c>
      <c r="S217" s="882">
        <f>ROUND((Q217/1000000),0)+1</f>
        <v>374</v>
      </c>
      <c r="T217" s="599">
        <f t="shared" si="14"/>
        <v>30</v>
      </c>
      <c r="U217" s="620"/>
      <c r="V217" s="621"/>
      <c r="W217" s="882">
        <f t="shared" si="15"/>
        <v>372652767</v>
      </c>
      <c r="X217" s="882">
        <f t="shared" si="13"/>
        <v>373</v>
      </c>
    </row>
    <row r="218" spans="1:24" ht="27" customHeight="1">
      <c r="A218" s="583"/>
      <c r="B218" s="583">
        <v>1001</v>
      </c>
      <c r="C218" s="581">
        <v>10</v>
      </c>
      <c r="D218" s="582" t="s">
        <v>977</v>
      </c>
      <c r="E218" s="583" t="s">
        <v>978</v>
      </c>
      <c r="F218" s="599"/>
      <c r="G218" s="599"/>
      <c r="H218" s="599"/>
      <c r="I218" s="599"/>
      <c r="J218" s="599"/>
      <c r="K218" s="599"/>
      <c r="L218" s="599"/>
      <c r="M218" s="599"/>
      <c r="N218" s="599"/>
      <c r="O218" s="599"/>
      <c r="P218" s="599"/>
      <c r="Q218" s="882">
        <f t="shared" si="12"/>
        <v>0</v>
      </c>
      <c r="R218" s="599">
        <v>-135245103</v>
      </c>
      <c r="S218" s="882">
        <f t="shared" si="14"/>
        <v>0</v>
      </c>
      <c r="T218" s="599">
        <f t="shared" si="14"/>
        <v>-135</v>
      </c>
      <c r="U218" s="620"/>
      <c r="V218" s="621"/>
      <c r="W218" s="882">
        <f t="shared" si="15"/>
        <v>0</v>
      </c>
      <c r="X218" s="882">
        <f t="shared" si="13"/>
        <v>0</v>
      </c>
    </row>
    <row r="219" spans="1:24" ht="27" customHeight="1">
      <c r="A219" s="583"/>
      <c r="B219" s="583">
        <v>1001</v>
      </c>
      <c r="C219" s="581">
        <v>10</v>
      </c>
      <c r="D219" s="582" t="s">
        <v>746</v>
      </c>
      <c r="E219" s="583" t="s">
        <v>745</v>
      </c>
      <c r="F219" s="599">
        <v>-80000000</v>
      </c>
      <c r="G219" s="599"/>
      <c r="H219" s="599"/>
      <c r="I219" s="599"/>
      <c r="J219" s="599"/>
      <c r="K219" s="599"/>
      <c r="L219" s="599"/>
      <c r="M219" s="599"/>
      <c r="N219" s="599"/>
      <c r="O219" s="599"/>
      <c r="P219" s="599"/>
      <c r="Q219" s="882">
        <f t="shared" si="12"/>
        <v>-80000000</v>
      </c>
      <c r="R219" s="599">
        <v>-49599999</v>
      </c>
      <c r="S219" s="882">
        <f t="shared" si="14"/>
        <v>-80</v>
      </c>
      <c r="T219" s="599">
        <f t="shared" si="14"/>
        <v>-50</v>
      </c>
      <c r="U219" s="620"/>
      <c r="V219" s="621"/>
      <c r="W219" s="882">
        <f t="shared" si="15"/>
        <v>-80000000</v>
      </c>
      <c r="X219" s="882">
        <f t="shared" si="13"/>
        <v>-80</v>
      </c>
    </row>
    <row r="220" spans="1:24" ht="27" customHeight="1">
      <c r="A220" s="583"/>
      <c r="B220" s="583">
        <v>1001</v>
      </c>
      <c r="C220" s="581">
        <v>10</v>
      </c>
      <c r="D220" s="582" t="s">
        <v>979</v>
      </c>
      <c r="E220" s="583" t="s">
        <v>980</v>
      </c>
      <c r="F220" s="599">
        <v>-573153861</v>
      </c>
      <c r="G220" s="599">
        <v>-925227975</v>
      </c>
      <c r="H220" s="599"/>
      <c r="I220" s="599"/>
      <c r="J220" s="599"/>
      <c r="K220" s="599"/>
      <c r="L220" s="599"/>
      <c r="M220" s="599"/>
      <c r="N220" s="599"/>
      <c r="O220" s="599"/>
      <c r="P220" s="599"/>
      <c r="Q220" s="882">
        <f t="shared" si="12"/>
        <v>-1498381836</v>
      </c>
      <c r="R220" s="599">
        <v>-188555697</v>
      </c>
      <c r="S220" s="882">
        <f>ROUND((Q220/1000000),0)</f>
        <v>-1498</v>
      </c>
      <c r="T220" s="599">
        <f t="shared" si="14"/>
        <v>-189</v>
      </c>
      <c r="U220" s="620"/>
      <c r="V220" s="621"/>
      <c r="W220" s="882">
        <f t="shared" si="15"/>
        <v>-1498381836</v>
      </c>
      <c r="X220" s="882">
        <f t="shared" si="13"/>
        <v>-1498</v>
      </c>
    </row>
    <row r="221" spans="1:24" ht="27" customHeight="1">
      <c r="A221" s="583"/>
      <c r="B221" s="583">
        <v>1001</v>
      </c>
      <c r="C221" s="581">
        <v>10</v>
      </c>
      <c r="D221" s="582" t="s">
        <v>275</v>
      </c>
      <c r="E221" s="583" t="s">
        <v>844</v>
      </c>
      <c r="F221" s="599"/>
      <c r="G221" s="599"/>
      <c r="H221" s="599"/>
      <c r="I221" s="599"/>
      <c r="J221" s="599"/>
      <c r="K221" s="599"/>
      <c r="L221" s="599"/>
      <c r="M221" s="599"/>
      <c r="N221" s="599"/>
      <c r="O221" s="599"/>
      <c r="P221" s="599"/>
      <c r="Q221" s="882">
        <f t="shared" si="12"/>
        <v>0</v>
      </c>
      <c r="R221" s="599">
        <v>0</v>
      </c>
      <c r="S221" s="882">
        <f t="shared" si="14"/>
        <v>0</v>
      </c>
      <c r="T221" s="599">
        <f t="shared" si="14"/>
        <v>0</v>
      </c>
      <c r="U221" s="620"/>
      <c r="V221" s="621"/>
      <c r="W221" s="882">
        <f t="shared" si="15"/>
        <v>0</v>
      </c>
      <c r="X221" s="882">
        <f t="shared" si="13"/>
        <v>0</v>
      </c>
    </row>
    <row r="222" spans="1:24" ht="27" customHeight="1">
      <c r="A222" s="583"/>
      <c r="B222" s="583">
        <v>406</v>
      </c>
      <c r="C222" s="581">
        <v>4</v>
      </c>
      <c r="D222" s="582" t="s">
        <v>981</v>
      </c>
      <c r="E222" s="583" t="s">
        <v>982</v>
      </c>
      <c r="F222" s="599"/>
      <c r="G222" s="599"/>
      <c r="H222" s="599"/>
      <c r="I222" s="599"/>
      <c r="J222" s="599"/>
      <c r="K222" s="599"/>
      <c r="L222" s="599"/>
      <c r="M222" s="599"/>
      <c r="N222" s="599"/>
      <c r="O222" s="599"/>
      <c r="P222" s="599"/>
      <c r="Q222" s="882">
        <f t="shared" si="12"/>
        <v>0</v>
      </c>
      <c r="R222" s="599">
        <v>6000000</v>
      </c>
      <c r="S222" s="882">
        <f t="shared" si="14"/>
        <v>0</v>
      </c>
      <c r="T222" s="599">
        <f t="shared" si="14"/>
        <v>6</v>
      </c>
      <c r="U222" s="620"/>
      <c r="V222" s="621"/>
      <c r="W222" s="882">
        <f t="shared" si="15"/>
        <v>0</v>
      </c>
      <c r="X222" s="882">
        <f t="shared" si="13"/>
        <v>0</v>
      </c>
    </row>
    <row r="223" spans="1:24" ht="27" customHeight="1">
      <c r="A223" s="583"/>
      <c r="B223" s="583">
        <v>406</v>
      </c>
      <c r="C223" s="581">
        <v>4</v>
      </c>
      <c r="D223" s="582" t="s">
        <v>983</v>
      </c>
      <c r="E223" s="583" t="s">
        <v>984</v>
      </c>
      <c r="F223" s="599"/>
      <c r="G223" s="599"/>
      <c r="H223" s="599"/>
      <c r="I223" s="599"/>
      <c r="J223" s="599"/>
      <c r="K223" s="599"/>
      <c r="L223" s="599"/>
      <c r="M223" s="599"/>
      <c r="N223" s="599"/>
      <c r="O223" s="599"/>
      <c r="P223" s="599"/>
      <c r="Q223" s="882">
        <f t="shared" si="12"/>
        <v>0</v>
      </c>
      <c r="R223" s="599">
        <v>0</v>
      </c>
      <c r="S223" s="882">
        <f t="shared" si="14"/>
        <v>0</v>
      </c>
      <c r="T223" s="599">
        <f t="shared" si="14"/>
        <v>0</v>
      </c>
      <c r="U223" s="620"/>
      <c r="V223" s="621"/>
      <c r="W223" s="882">
        <f t="shared" si="15"/>
        <v>0</v>
      </c>
      <c r="X223" s="882">
        <f t="shared" si="13"/>
        <v>0</v>
      </c>
    </row>
    <row r="224" spans="1:24" ht="27" customHeight="1">
      <c r="A224" s="583"/>
      <c r="B224" s="583">
        <v>406</v>
      </c>
      <c r="C224" s="581">
        <v>4</v>
      </c>
      <c r="D224" s="582" t="s">
        <v>1338</v>
      </c>
      <c r="E224" s="583" t="s">
        <v>1339</v>
      </c>
      <c r="F224" s="599">
        <v>13797354</v>
      </c>
      <c r="G224" s="599">
        <v>-11253784</v>
      </c>
      <c r="H224" s="599"/>
      <c r="I224" s="599"/>
      <c r="J224" s="599"/>
      <c r="K224" s="599"/>
      <c r="L224" s="599"/>
      <c r="M224" s="599"/>
      <c r="N224" s="599"/>
      <c r="O224" s="599"/>
      <c r="P224" s="599"/>
      <c r="Q224" s="882">
        <f t="shared" si="12"/>
        <v>2543570</v>
      </c>
      <c r="R224" s="599">
        <v>-95972588</v>
      </c>
      <c r="S224" s="882">
        <f t="shared" si="14"/>
        <v>3</v>
      </c>
      <c r="T224" s="599">
        <f t="shared" si="14"/>
        <v>-96</v>
      </c>
      <c r="U224" s="620"/>
      <c r="V224" s="621"/>
      <c r="W224" s="882">
        <f t="shared" si="15"/>
        <v>2543570</v>
      </c>
      <c r="X224" s="882">
        <f t="shared" si="13"/>
        <v>3</v>
      </c>
    </row>
    <row r="225" spans="1:24" ht="27" customHeight="1">
      <c r="A225" s="583"/>
      <c r="B225" s="583">
        <v>406</v>
      </c>
      <c r="C225" s="581">
        <v>4</v>
      </c>
      <c r="D225" s="582" t="s">
        <v>985</v>
      </c>
      <c r="E225" s="583" t="s">
        <v>986</v>
      </c>
      <c r="F225" s="599"/>
      <c r="G225" s="599"/>
      <c r="H225" s="599"/>
      <c r="I225" s="599"/>
      <c r="J225" s="599"/>
      <c r="K225" s="599"/>
      <c r="L225" s="599"/>
      <c r="M225" s="599"/>
      <c r="N225" s="599"/>
      <c r="O225" s="599"/>
      <c r="P225" s="599"/>
      <c r="Q225" s="882">
        <f t="shared" si="12"/>
        <v>0</v>
      </c>
      <c r="R225" s="599">
        <v>0</v>
      </c>
      <c r="S225" s="882">
        <f t="shared" si="14"/>
        <v>0</v>
      </c>
      <c r="T225" s="599">
        <f t="shared" si="14"/>
        <v>0</v>
      </c>
      <c r="U225" s="620"/>
      <c r="V225" s="621"/>
      <c r="W225" s="882">
        <f t="shared" si="15"/>
        <v>0</v>
      </c>
      <c r="X225" s="882">
        <f t="shared" si="13"/>
        <v>0</v>
      </c>
    </row>
    <row r="226" spans="1:24" ht="27" customHeight="1">
      <c r="A226" s="583"/>
      <c r="B226" s="583">
        <v>1001</v>
      </c>
      <c r="C226" s="581">
        <v>10</v>
      </c>
      <c r="D226" s="582" t="s">
        <v>1074</v>
      </c>
      <c r="E226" s="583" t="s">
        <v>1075</v>
      </c>
      <c r="F226" s="599"/>
      <c r="G226" s="599"/>
      <c r="H226" s="599"/>
      <c r="I226" s="599"/>
      <c r="J226" s="599"/>
      <c r="K226" s="599"/>
      <c r="L226" s="599"/>
      <c r="M226" s="599"/>
      <c r="N226" s="599"/>
      <c r="O226" s="599"/>
      <c r="P226" s="599"/>
      <c r="Q226" s="882">
        <f t="shared" si="12"/>
        <v>0</v>
      </c>
      <c r="R226" s="599">
        <v>0</v>
      </c>
      <c r="S226" s="882">
        <f t="shared" si="14"/>
        <v>0</v>
      </c>
      <c r="T226" s="599">
        <f t="shared" si="14"/>
        <v>0</v>
      </c>
      <c r="U226" s="620"/>
      <c r="V226" s="621"/>
      <c r="W226" s="882">
        <f t="shared" si="15"/>
        <v>0</v>
      </c>
      <c r="X226" s="882">
        <f t="shared" si="13"/>
        <v>0</v>
      </c>
    </row>
    <row r="227" spans="1:24" ht="27" customHeight="1">
      <c r="A227" s="583"/>
      <c r="B227" s="583">
        <v>1001</v>
      </c>
      <c r="C227" s="581">
        <v>10</v>
      </c>
      <c r="D227" s="582" t="s">
        <v>1241</v>
      </c>
      <c r="E227" s="583" t="s">
        <v>1242</v>
      </c>
      <c r="F227" s="599"/>
      <c r="G227" s="599"/>
      <c r="H227" s="599"/>
      <c r="I227" s="599"/>
      <c r="J227" s="599"/>
      <c r="K227" s="599"/>
      <c r="L227" s="599"/>
      <c r="M227" s="599"/>
      <c r="N227" s="599"/>
      <c r="O227" s="599"/>
      <c r="P227" s="599"/>
      <c r="Q227" s="882">
        <f t="shared" si="12"/>
        <v>0</v>
      </c>
      <c r="R227" s="599">
        <v>-144808599</v>
      </c>
      <c r="S227" s="882">
        <f t="shared" si="14"/>
        <v>0</v>
      </c>
      <c r="T227" s="599">
        <f t="shared" si="14"/>
        <v>-145</v>
      </c>
      <c r="U227" s="620"/>
      <c r="V227" s="621"/>
      <c r="W227" s="882">
        <f t="shared" si="15"/>
        <v>0</v>
      </c>
      <c r="X227" s="882">
        <f t="shared" si="13"/>
        <v>0</v>
      </c>
    </row>
    <row r="228" spans="1:24" ht="27" customHeight="1">
      <c r="A228" s="583"/>
      <c r="B228" s="583">
        <v>406</v>
      </c>
      <c r="C228" s="581">
        <v>4</v>
      </c>
      <c r="D228" s="582" t="s">
        <v>987</v>
      </c>
      <c r="E228" s="583" t="s">
        <v>988</v>
      </c>
      <c r="F228" s="599">
        <v>712800</v>
      </c>
      <c r="G228" s="599"/>
      <c r="H228" s="599"/>
      <c r="I228" s="599"/>
      <c r="J228" s="599"/>
      <c r="K228" s="599"/>
      <c r="L228" s="599"/>
      <c r="M228" s="599"/>
      <c r="N228" s="599"/>
      <c r="O228" s="599"/>
      <c r="P228" s="599"/>
      <c r="Q228" s="882">
        <f t="shared" si="12"/>
        <v>712800</v>
      </c>
      <c r="R228" s="599">
        <v>273371250</v>
      </c>
      <c r="S228" s="882">
        <f t="shared" si="14"/>
        <v>1</v>
      </c>
      <c r="T228" s="599">
        <f t="shared" si="14"/>
        <v>273</v>
      </c>
      <c r="U228" s="620"/>
      <c r="V228" s="621"/>
      <c r="W228" s="882">
        <f t="shared" si="15"/>
        <v>712800</v>
      </c>
      <c r="X228" s="882">
        <f t="shared" si="13"/>
        <v>1</v>
      </c>
    </row>
    <row r="229" spans="1:24" ht="27" customHeight="1">
      <c r="A229" s="583"/>
      <c r="B229" s="583">
        <v>1001</v>
      </c>
      <c r="C229" s="581">
        <v>10</v>
      </c>
      <c r="D229" s="582" t="s">
        <v>1076</v>
      </c>
      <c r="E229" s="583" t="s">
        <v>1077</v>
      </c>
      <c r="F229" s="599">
        <v>-1607144239</v>
      </c>
      <c r="G229" s="599"/>
      <c r="H229" s="599"/>
      <c r="I229" s="599"/>
      <c r="J229" s="599"/>
      <c r="K229" s="599"/>
      <c r="L229" s="599"/>
      <c r="M229" s="599"/>
      <c r="N229" s="599"/>
      <c r="O229" s="599"/>
      <c r="P229" s="599"/>
      <c r="Q229" s="882">
        <f t="shared" si="12"/>
        <v>-1607144239</v>
      </c>
      <c r="R229" s="599">
        <v>23760781</v>
      </c>
      <c r="S229" s="882">
        <f>ROUND((Q229/1000000),0)</f>
        <v>-1607</v>
      </c>
      <c r="T229" s="599">
        <f t="shared" si="14"/>
        <v>24</v>
      </c>
      <c r="U229" s="620"/>
      <c r="V229" s="621"/>
      <c r="W229" s="882">
        <f t="shared" si="15"/>
        <v>-1607144239</v>
      </c>
      <c r="X229" s="882">
        <f t="shared" si="13"/>
        <v>-1607</v>
      </c>
    </row>
    <row r="230" spans="1:24" ht="27" customHeight="1">
      <c r="A230" s="583"/>
      <c r="B230" s="583">
        <v>1001</v>
      </c>
      <c r="C230" s="581">
        <v>10</v>
      </c>
      <c r="D230" s="582" t="s">
        <v>1076</v>
      </c>
      <c r="E230" s="583" t="s">
        <v>1642</v>
      </c>
      <c r="F230" s="599"/>
      <c r="G230" s="599">
        <v>-391592728</v>
      </c>
      <c r="H230" s="599"/>
      <c r="I230" s="599"/>
      <c r="J230" s="599"/>
      <c r="K230" s="599"/>
      <c r="L230" s="599"/>
      <c r="M230" s="599"/>
      <c r="N230" s="599"/>
      <c r="O230" s="599"/>
      <c r="P230" s="599"/>
      <c r="Q230" s="882">
        <f t="shared" si="12"/>
        <v>-391592728</v>
      </c>
      <c r="R230" s="599"/>
      <c r="S230" s="882">
        <f>ROUND((Q230/1000000),0)+1</f>
        <v>-391</v>
      </c>
      <c r="T230" s="599">
        <f t="shared" si="14"/>
        <v>0</v>
      </c>
      <c r="U230" s="620"/>
      <c r="V230" s="621"/>
      <c r="W230" s="882">
        <f t="shared" si="15"/>
        <v>-391592728</v>
      </c>
      <c r="X230" s="882">
        <f t="shared" si="13"/>
        <v>-392</v>
      </c>
    </row>
    <row r="231" spans="1:24" ht="27" customHeight="1">
      <c r="A231" s="583"/>
      <c r="B231" s="583">
        <v>1001</v>
      </c>
      <c r="C231" s="581">
        <v>10</v>
      </c>
      <c r="D231" s="582" t="s">
        <v>1609</v>
      </c>
      <c r="E231" s="583" t="s">
        <v>1610</v>
      </c>
      <c r="F231" s="599">
        <v>-229957140</v>
      </c>
      <c r="G231" s="599">
        <v>-2985080</v>
      </c>
      <c r="H231" s="599"/>
      <c r="I231" s="599"/>
      <c r="J231" s="599"/>
      <c r="K231" s="599"/>
      <c r="L231" s="599"/>
      <c r="M231" s="599"/>
      <c r="N231" s="599"/>
      <c r="O231" s="599"/>
      <c r="P231" s="599"/>
      <c r="Q231" s="882">
        <f t="shared" si="12"/>
        <v>-232942220</v>
      </c>
      <c r="R231" s="599"/>
      <c r="S231" s="882">
        <f>ROUND((Q231/1000000),0)</f>
        <v>-233</v>
      </c>
      <c r="T231" s="599">
        <f t="shared" si="14"/>
        <v>0</v>
      </c>
      <c r="U231" s="620"/>
      <c r="V231" s="621"/>
      <c r="W231" s="882">
        <f t="shared" si="15"/>
        <v>-232942220</v>
      </c>
      <c r="X231" s="882">
        <f t="shared" si="13"/>
        <v>-233</v>
      </c>
    </row>
    <row r="232" spans="1:24" ht="27" customHeight="1">
      <c r="A232" s="583"/>
      <c r="B232" s="583">
        <v>1001</v>
      </c>
      <c r="C232" s="581">
        <v>10</v>
      </c>
      <c r="D232" s="582" t="s">
        <v>1243</v>
      </c>
      <c r="E232" s="583" t="s">
        <v>1244</v>
      </c>
      <c r="F232" s="599">
        <v>-3942158</v>
      </c>
      <c r="G232" s="599"/>
      <c r="H232" s="599"/>
      <c r="I232" s="599"/>
      <c r="J232" s="599"/>
      <c r="K232" s="599"/>
      <c r="L232" s="599"/>
      <c r="M232" s="599"/>
      <c r="N232" s="599"/>
      <c r="O232" s="599"/>
      <c r="P232" s="599"/>
      <c r="Q232" s="882">
        <f t="shared" si="12"/>
        <v>-3942158</v>
      </c>
      <c r="R232" s="599">
        <v>-130582467</v>
      </c>
      <c r="S232" s="882">
        <f t="shared" si="14"/>
        <v>-4</v>
      </c>
      <c r="T232" s="599">
        <f t="shared" si="14"/>
        <v>-131</v>
      </c>
      <c r="U232" s="620"/>
      <c r="V232" s="621"/>
      <c r="W232" s="882">
        <f t="shared" si="15"/>
        <v>-3942158</v>
      </c>
      <c r="X232" s="882">
        <f t="shared" si="13"/>
        <v>-4</v>
      </c>
    </row>
    <row r="233" spans="1:24" ht="27" customHeight="1">
      <c r="A233" s="583"/>
      <c r="B233" s="583">
        <v>1001</v>
      </c>
      <c r="C233" s="581">
        <v>10</v>
      </c>
      <c r="D233" s="582" t="s">
        <v>241</v>
      </c>
      <c r="E233" s="583" t="s">
        <v>755</v>
      </c>
      <c r="F233" s="599">
        <v>22792553</v>
      </c>
      <c r="G233" s="599"/>
      <c r="H233" s="599"/>
      <c r="I233" s="599"/>
      <c r="J233" s="599"/>
      <c r="K233" s="599"/>
      <c r="L233" s="599"/>
      <c r="M233" s="599"/>
      <c r="N233" s="599"/>
      <c r="O233" s="599"/>
      <c r="P233" s="599"/>
      <c r="Q233" s="882">
        <f t="shared" si="12"/>
        <v>22792553</v>
      </c>
      <c r="R233" s="599">
        <v>-41753248</v>
      </c>
      <c r="S233" s="882">
        <f t="shared" si="14"/>
        <v>23</v>
      </c>
      <c r="T233" s="599">
        <f t="shared" si="14"/>
        <v>-42</v>
      </c>
      <c r="U233" s="620"/>
      <c r="V233" s="621"/>
      <c r="W233" s="882">
        <f t="shared" si="15"/>
        <v>22792553</v>
      </c>
      <c r="X233" s="882">
        <f t="shared" si="13"/>
        <v>23</v>
      </c>
    </row>
    <row r="234" spans="1:24" ht="27" customHeight="1">
      <c r="A234" s="583"/>
      <c r="B234" s="583">
        <v>406</v>
      </c>
      <c r="C234" s="581">
        <v>4</v>
      </c>
      <c r="D234" s="582" t="s">
        <v>1246</v>
      </c>
      <c r="E234" s="583" t="s">
        <v>1245</v>
      </c>
      <c r="F234" s="599">
        <v>42771997</v>
      </c>
      <c r="G234" s="599"/>
      <c r="H234" s="599"/>
      <c r="I234" s="599"/>
      <c r="J234" s="599"/>
      <c r="K234" s="599"/>
      <c r="L234" s="599"/>
      <c r="M234" s="599"/>
      <c r="N234" s="599"/>
      <c r="O234" s="599"/>
      <c r="P234" s="599"/>
      <c r="Q234" s="882">
        <f t="shared" si="12"/>
        <v>42771997</v>
      </c>
      <c r="R234" s="599">
        <v>42771997</v>
      </c>
      <c r="S234" s="882">
        <f t="shared" si="14"/>
        <v>43</v>
      </c>
      <c r="T234" s="599">
        <f t="shared" si="14"/>
        <v>43</v>
      </c>
      <c r="U234" s="620"/>
      <c r="V234" s="621"/>
      <c r="W234" s="882">
        <f t="shared" si="15"/>
        <v>42771997</v>
      </c>
      <c r="X234" s="882">
        <f t="shared" si="13"/>
        <v>43</v>
      </c>
    </row>
    <row r="235" spans="1:24" ht="27" customHeight="1">
      <c r="A235" s="583"/>
      <c r="B235" s="583">
        <v>1001</v>
      </c>
      <c r="C235" s="581">
        <v>10</v>
      </c>
      <c r="D235" s="582" t="s">
        <v>491</v>
      </c>
      <c r="E235" s="583" t="s">
        <v>659</v>
      </c>
      <c r="F235" s="599"/>
      <c r="G235" s="599">
        <v>-6530116</v>
      </c>
      <c r="H235" s="599"/>
      <c r="I235" s="599"/>
      <c r="J235" s="599"/>
      <c r="K235" s="599"/>
      <c r="L235" s="599"/>
      <c r="M235" s="599"/>
      <c r="N235" s="599"/>
      <c r="O235" s="599"/>
      <c r="P235" s="599"/>
      <c r="Q235" s="882">
        <f t="shared" si="12"/>
        <v>-6530116</v>
      </c>
      <c r="R235" s="599">
        <v>57543009</v>
      </c>
      <c r="S235" s="882">
        <f>ROUND((Q235/1000000),0)</f>
        <v>-7</v>
      </c>
      <c r="T235" s="599">
        <f t="shared" si="14"/>
        <v>58</v>
      </c>
      <c r="U235" s="620"/>
      <c r="V235" s="621"/>
      <c r="W235" s="882">
        <f t="shared" si="15"/>
        <v>-6530116</v>
      </c>
      <c r="X235" s="882">
        <f t="shared" si="13"/>
        <v>-7</v>
      </c>
    </row>
    <row r="236" spans="1:24" ht="27" customHeight="1">
      <c r="A236" s="583"/>
      <c r="B236" s="583">
        <v>1001</v>
      </c>
      <c r="C236" s="581">
        <v>10</v>
      </c>
      <c r="D236" s="582" t="s">
        <v>1033</v>
      </c>
      <c r="E236" s="583" t="s">
        <v>1034</v>
      </c>
      <c r="F236" s="599">
        <v>87318030</v>
      </c>
      <c r="G236" s="599">
        <v>-347438197</v>
      </c>
      <c r="H236" s="599"/>
      <c r="I236" s="599"/>
      <c r="J236" s="599"/>
      <c r="K236" s="599">
        <v>-4287750</v>
      </c>
      <c r="L236" s="599"/>
      <c r="M236" s="599"/>
      <c r="N236" s="599"/>
      <c r="O236" s="599"/>
      <c r="P236" s="599"/>
      <c r="Q236" s="882">
        <f t="shared" si="12"/>
        <v>-264407917</v>
      </c>
      <c r="R236" s="599">
        <v>889165580</v>
      </c>
      <c r="S236" s="882">
        <f t="shared" si="14"/>
        <v>-264</v>
      </c>
      <c r="T236" s="599">
        <f t="shared" si="14"/>
        <v>889</v>
      </c>
      <c r="U236" s="620"/>
      <c r="V236" s="621"/>
      <c r="W236" s="882">
        <f t="shared" si="15"/>
        <v>-264407917</v>
      </c>
      <c r="X236" s="882">
        <f t="shared" si="13"/>
        <v>-264</v>
      </c>
    </row>
    <row r="237" spans="1:24" ht="27" customHeight="1">
      <c r="A237" s="583"/>
      <c r="B237" s="583">
        <v>406</v>
      </c>
      <c r="C237" s="581">
        <v>4</v>
      </c>
      <c r="D237" s="582" t="s">
        <v>660</v>
      </c>
      <c r="E237" s="583" t="s">
        <v>661</v>
      </c>
      <c r="F237" s="599">
        <v>-613657269</v>
      </c>
      <c r="G237" s="599">
        <v>-85928627</v>
      </c>
      <c r="H237" s="599">
        <f>323844366-237915739</f>
        <v>85928627</v>
      </c>
      <c r="I237" s="599">
        <v>760246366</v>
      </c>
      <c r="J237" s="599"/>
      <c r="K237" s="599"/>
      <c r="L237" s="599"/>
      <c r="M237" s="599"/>
      <c r="N237" s="599"/>
      <c r="O237" s="599"/>
      <c r="P237" s="599"/>
      <c r="Q237" s="882">
        <f t="shared" si="12"/>
        <v>146589097</v>
      </c>
      <c r="R237" s="599">
        <v>100714224</v>
      </c>
      <c r="S237" s="882">
        <f t="shared" si="14"/>
        <v>147</v>
      </c>
      <c r="T237" s="599">
        <f t="shared" si="14"/>
        <v>101</v>
      </c>
      <c r="U237" s="620"/>
      <c r="V237" s="621"/>
      <c r="W237" s="882">
        <f t="shared" si="15"/>
        <v>146589097</v>
      </c>
      <c r="X237" s="882">
        <f t="shared" si="13"/>
        <v>147</v>
      </c>
    </row>
    <row r="238" spans="1:24" ht="27" customHeight="1">
      <c r="A238" s="583"/>
      <c r="B238" s="583">
        <v>1001</v>
      </c>
      <c r="C238" s="581">
        <v>10</v>
      </c>
      <c r="D238" s="582" t="s">
        <v>888</v>
      </c>
      <c r="E238" s="583" t="s">
        <v>887</v>
      </c>
      <c r="F238" s="599"/>
      <c r="G238" s="599"/>
      <c r="H238" s="599"/>
      <c r="I238" s="599"/>
      <c r="J238" s="599"/>
      <c r="K238" s="599"/>
      <c r="L238" s="599"/>
      <c r="M238" s="599"/>
      <c r="N238" s="599"/>
      <c r="O238" s="599"/>
      <c r="P238" s="599"/>
      <c r="Q238" s="882">
        <f t="shared" si="12"/>
        <v>0</v>
      </c>
      <c r="R238" s="599">
        <v>0</v>
      </c>
      <c r="S238" s="882">
        <f t="shared" si="14"/>
        <v>0</v>
      </c>
      <c r="T238" s="599">
        <f t="shared" si="14"/>
        <v>0</v>
      </c>
      <c r="U238" s="620"/>
      <c r="V238" s="621"/>
      <c r="W238" s="882">
        <f t="shared" si="15"/>
        <v>0</v>
      </c>
      <c r="X238" s="882">
        <f t="shared" si="13"/>
        <v>0</v>
      </c>
    </row>
    <row r="239" spans="1:24" ht="27" customHeight="1">
      <c r="A239" s="583"/>
      <c r="B239" s="583">
        <v>406</v>
      </c>
      <c r="C239" s="581">
        <v>4</v>
      </c>
      <c r="D239" s="582" t="s">
        <v>493</v>
      </c>
      <c r="E239" s="583" t="s">
        <v>891</v>
      </c>
      <c r="F239" s="599"/>
      <c r="G239" s="599"/>
      <c r="H239" s="599"/>
      <c r="I239" s="599"/>
      <c r="J239" s="599"/>
      <c r="K239" s="599"/>
      <c r="L239" s="599"/>
      <c r="M239" s="599"/>
      <c r="N239" s="599"/>
      <c r="O239" s="599"/>
      <c r="P239" s="599"/>
      <c r="Q239" s="882">
        <f t="shared" si="12"/>
        <v>0</v>
      </c>
      <c r="R239" s="599">
        <v>0</v>
      </c>
      <c r="S239" s="882">
        <f t="shared" si="14"/>
        <v>0</v>
      </c>
      <c r="T239" s="599">
        <f t="shared" si="14"/>
        <v>0</v>
      </c>
      <c r="U239" s="620"/>
      <c r="V239" s="621"/>
      <c r="W239" s="882">
        <f t="shared" si="15"/>
        <v>0</v>
      </c>
      <c r="X239" s="882">
        <f t="shared" si="13"/>
        <v>0</v>
      </c>
    </row>
    <row r="240" spans="1:24" ht="27" customHeight="1">
      <c r="A240" s="583"/>
      <c r="B240" s="583"/>
      <c r="C240" s="581">
        <v>4</v>
      </c>
      <c r="D240" s="582" t="s">
        <v>842</v>
      </c>
      <c r="E240" s="583" t="s">
        <v>1247</v>
      </c>
      <c r="F240" s="599"/>
      <c r="G240" s="599"/>
      <c r="H240" s="599"/>
      <c r="I240" s="599"/>
      <c r="J240" s="599"/>
      <c r="K240" s="599"/>
      <c r="L240" s="599"/>
      <c r="M240" s="599"/>
      <c r="N240" s="599"/>
      <c r="O240" s="599"/>
      <c r="P240" s="599"/>
      <c r="Q240" s="882">
        <f t="shared" si="12"/>
        <v>0</v>
      </c>
      <c r="R240" s="599">
        <v>0</v>
      </c>
      <c r="S240" s="882">
        <f t="shared" si="14"/>
        <v>0</v>
      </c>
      <c r="T240" s="599">
        <f t="shared" si="14"/>
        <v>0</v>
      </c>
      <c r="U240" s="620"/>
      <c r="V240" s="621"/>
      <c r="W240" s="882">
        <f t="shared" si="15"/>
        <v>0</v>
      </c>
      <c r="X240" s="882">
        <f t="shared" si="13"/>
        <v>0</v>
      </c>
    </row>
    <row r="241" spans="1:24" ht="27" customHeight="1">
      <c r="A241" s="583"/>
      <c r="B241" s="583">
        <v>406</v>
      </c>
      <c r="C241" s="581">
        <v>4</v>
      </c>
      <c r="D241" s="582" t="s">
        <v>843</v>
      </c>
      <c r="E241" s="583" t="s">
        <v>889</v>
      </c>
      <c r="F241" s="599"/>
      <c r="G241" s="599"/>
      <c r="H241" s="599"/>
      <c r="I241" s="599"/>
      <c r="J241" s="599"/>
      <c r="K241" s="599"/>
      <c r="L241" s="599"/>
      <c r="M241" s="599"/>
      <c r="N241" s="599"/>
      <c r="O241" s="599"/>
      <c r="P241" s="599"/>
      <c r="Q241" s="882">
        <f t="shared" si="12"/>
        <v>0</v>
      </c>
      <c r="R241" s="599">
        <v>0</v>
      </c>
      <c r="S241" s="882">
        <f t="shared" si="14"/>
        <v>0</v>
      </c>
      <c r="T241" s="599">
        <f t="shared" si="14"/>
        <v>0</v>
      </c>
      <c r="U241" s="620"/>
      <c r="V241" s="621"/>
      <c r="W241" s="882">
        <f t="shared" si="15"/>
        <v>0</v>
      </c>
      <c r="X241" s="882">
        <f t="shared" si="13"/>
        <v>0</v>
      </c>
    </row>
    <row r="242" spans="1:24" ht="27" customHeight="1">
      <c r="A242" s="583"/>
      <c r="B242" s="583">
        <v>406</v>
      </c>
      <c r="C242" s="581">
        <v>4</v>
      </c>
      <c r="D242" s="582" t="s">
        <v>1078</v>
      </c>
      <c r="E242" s="583" t="s">
        <v>1079</v>
      </c>
      <c r="F242" s="599"/>
      <c r="G242" s="599"/>
      <c r="H242" s="599"/>
      <c r="I242" s="599"/>
      <c r="J242" s="599"/>
      <c r="K242" s="599"/>
      <c r="L242" s="599"/>
      <c r="M242" s="599"/>
      <c r="N242" s="599"/>
      <c r="O242" s="599"/>
      <c r="P242" s="599"/>
      <c r="Q242" s="882">
        <f t="shared" si="12"/>
        <v>0</v>
      </c>
      <c r="R242" s="599">
        <v>0</v>
      </c>
      <c r="S242" s="882">
        <f t="shared" si="14"/>
        <v>0</v>
      </c>
      <c r="T242" s="599">
        <f t="shared" si="14"/>
        <v>0</v>
      </c>
      <c r="U242" s="620"/>
      <c r="V242" s="621"/>
      <c r="W242" s="882">
        <f t="shared" si="15"/>
        <v>0</v>
      </c>
      <c r="X242" s="882">
        <f t="shared" si="13"/>
        <v>0</v>
      </c>
    </row>
    <row r="243" spans="1:24" ht="27" customHeight="1">
      <c r="A243" s="583"/>
      <c r="B243" s="583">
        <v>1001</v>
      </c>
      <c r="C243" s="581">
        <v>10</v>
      </c>
      <c r="D243" s="582" t="s">
        <v>1671</v>
      </c>
      <c r="E243" s="583" t="s">
        <v>1672</v>
      </c>
      <c r="F243" s="599"/>
      <c r="G243" s="599"/>
      <c r="H243" s="599"/>
      <c r="I243" s="599"/>
      <c r="J243" s="599">
        <v>-113265040</v>
      </c>
      <c r="K243" s="599"/>
      <c r="L243" s="599"/>
      <c r="M243" s="599"/>
      <c r="N243" s="599"/>
      <c r="O243" s="599"/>
      <c r="P243" s="599"/>
      <c r="Q243" s="882">
        <f t="shared" si="12"/>
        <v>-113265040</v>
      </c>
      <c r="R243" s="599">
        <v>0</v>
      </c>
      <c r="S243" s="882">
        <f t="shared" si="14"/>
        <v>-113</v>
      </c>
      <c r="T243" s="599">
        <f t="shared" si="14"/>
        <v>0</v>
      </c>
      <c r="U243" s="620"/>
      <c r="V243" s="621"/>
      <c r="W243" s="882">
        <f t="shared" si="15"/>
        <v>-113265040</v>
      </c>
      <c r="X243" s="882">
        <f t="shared" si="13"/>
        <v>-113</v>
      </c>
    </row>
    <row r="244" spans="1:24" ht="27" customHeight="1">
      <c r="A244" s="583"/>
      <c r="B244" s="583">
        <v>406</v>
      </c>
      <c r="C244" s="581">
        <v>4</v>
      </c>
      <c r="D244" s="582" t="s">
        <v>1080</v>
      </c>
      <c r="E244" s="583" t="s">
        <v>1081</v>
      </c>
      <c r="F244" s="599"/>
      <c r="G244" s="599"/>
      <c r="H244" s="599"/>
      <c r="I244" s="599"/>
      <c r="J244" s="599"/>
      <c r="K244" s="599"/>
      <c r="L244" s="599"/>
      <c r="M244" s="599"/>
      <c r="N244" s="599"/>
      <c r="O244" s="599"/>
      <c r="P244" s="599"/>
      <c r="Q244" s="882">
        <f t="shared" si="12"/>
        <v>0</v>
      </c>
      <c r="R244" s="599">
        <v>0</v>
      </c>
      <c r="S244" s="882">
        <f t="shared" si="14"/>
        <v>0</v>
      </c>
      <c r="T244" s="599">
        <f t="shared" si="14"/>
        <v>0</v>
      </c>
      <c r="U244" s="620"/>
      <c r="V244" s="621"/>
      <c r="W244" s="882">
        <f t="shared" si="15"/>
        <v>0</v>
      </c>
      <c r="X244" s="882">
        <f t="shared" si="13"/>
        <v>0</v>
      </c>
    </row>
    <row r="245" spans="1:24" ht="27" customHeight="1">
      <c r="A245" s="583"/>
      <c r="B245" s="583">
        <v>406</v>
      </c>
      <c r="C245" s="581">
        <v>4</v>
      </c>
      <c r="D245" s="582" t="s">
        <v>560</v>
      </c>
      <c r="E245" s="583" t="s">
        <v>1181</v>
      </c>
      <c r="F245" s="599">
        <v>1338356479</v>
      </c>
      <c r="G245" s="599"/>
      <c r="H245" s="599"/>
      <c r="I245" s="599"/>
      <c r="J245" s="599"/>
      <c r="K245" s="599"/>
      <c r="L245" s="599"/>
      <c r="M245" s="599"/>
      <c r="N245" s="599"/>
      <c r="O245" s="599"/>
      <c r="P245" s="599"/>
      <c r="Q245" s="882">
        <f t="shared" si="12"/>
        <v>1338356479</v>
      </c>
      <c r="R245" s="599">
        <v>1338356479</v>
      </c>
      <c r="S245" s="882">
        <f t="shared" si="14"/>
        <v>1338</v>
      </c>
      <c r="T245" s="599">
        <f t="shared" si="14"/>
        <v>1338</v>
      </c>
      <c r="U245" s="620"/>
      <c r="V245" s="621"/>
      <c r="W245" s="882">
        <f t="shared" si="15"/>
        <v>1338356479</v>
      </c>
      <c r="X245" s="882">
        <f t="shared" si="13"/>
        <v>1338</v>
      </c>
    </row>
    <row r="246" spans="1:24" ht="27" customHeight="1">
      <c r="A246" s="583"/>
      <c r="B246" s="583">
        <v>406</v>
      </c>
      <c r="C246" s="581">
        <v>4</v>
      </c>
      <c r="D246" s="582" t="s">
        <v>1248</v>
      </c>
      <c r="E246" s="583" t="s">
        <v>1249</v>
      </c>
      <c r="F246" s="599"/>
      <c r="G246" s="599"/>
      <c r="H246" s="599"/>
      <c r="I246" s="599"/>
      <c r="J246" s="599"/>
      <c r="K246" s="599"/>
      <c r="L246" s="599"/>
      <c r="M246" s="599"/>
      <c r="N246" s="599"/>
      <c r="O246" s="599"/>
      <c r="P246" s="599"/>
      <c r="Q246" s="882">
        <f t="shared" si="12"/>
        <v>0</v>
      </c>
      <c r="R246" s="599">
        <v>236402848</v>
      </c>
      <c r="S246" s="882">
        <f t="shared" si="14"/>
        <v>0</v>
      </c>
      <c r="T246" s="599">
        <f t="shared" si="14"/>
        <v>236</v>
      </c>
      <c r="U246" s="620"/>
      <c r="V246" s="621"/>
      <c r="W246" s="882">
        <f t="shared" si="15"/>
        <v>0</v>
      </c>
      <c r="X246" s="882">
        <f t="shared" si="13"/>
        <v>0</v>
      </c>
    </row>
    <row r="247" spans="1:24" ht="27" customHeight="1">
      <c r="A247" s="583"/>
      <c r="B247" s="583">
        <v>406</v>
      </c>
      <c r="C247" s="581">
        <v>4</v>
      </c>
      <c r="D247" s="582" t="s">
        <v>662</v>
      </c>
      <c r="E247" s="583" t="s">
        <v>989</v>
      </c>
      <c r="F247" s="599">
        <v>12983140818</v>
      </c>
      <c r="G247" s="599">
        <v>100533318</v>
      </c>
      <c r="H247" s="599"/>
      <c r="I247" s="599">
        <v>-2158200</v>
      </c>
      <c r="J247" s="599">
        <v>387344527</v>
      </c>
      <c r="K247" s="599">
        <v>-387344527</v>
      </c>
      <c r="L247" s="599">
        <v>154225853</v>
      </c>
      <c r="M247" s="599"/>
      <c r="N247" s="599"/>
      <c r="O247" s="599"/>
      <c r="P247" s="599"/>
      <c r="Q247" s="882">
        <f t="shared" si="12"/>
        <v>13235741789</v>
      </c>
      <c r="R247" s="599">
        <v>8790702656</v>
      </c>
      <c r="S247" s="882">
        <f>ROUND((Q247/1000000),0)+1</f>
        <v>13237</v>
      </c>
      <c r="T247" s="599">
        <f t="shared" si="14"/>
        <v>8791</v>
      </c>
      <c r="U247" s="620"/>
      <c r="V247" s="621"/>
      <c r="W247" s="882">
        <f t="shared" si="15"/>
        <v>13235741789</v>
      </c>
      <c r="X247" s="882">
        <f t="shared" si="13"/>
        <v>13236</v>
      </c>
    </row>
    <row r="248" spans="1:24" ht="27" customHeight="1">
      <c r="A248" s="583"/>
      <c r="B248" s="583">
        <v>1018</v>
      </c>
      <c r="C248" s="581">
        <v>10</v>
      </c>
      <c r="D248" s="582" t="s">
        <v>890</v>
      </c>
      <c r="E248" s="583" t="s">
        <v>892</v>
      </c>
      <c r="F248" s="599"/>
      <c r="G248" s="599"/>
      <c r="H248" s="599"/>
      <c r="I248" s="599"/>
      <c r="J248" s="599"/>
      <c r="K248" s="599"/>
      <c r="L248" s="599"/>
      <c r="M248" s="599"/>
      <c r="N248" s="599"/>
      <c r="O248" s="599"/>
      <c r="P248" s="599"/>
      <c r="Q248" s="882">
        <f t="shared" si="12"/>
        <v>0</v>
      </c>
      <c r="R248" s="599">
        <v>0</v>
      </c>
      <c r="S248" s="882">
        <f t="shared" si="14"/>
        <v>0</v>
      </c>
      <c r="T248" s="599">
        <f t="shared" si="14"/>
        <v>0</v>
      </c>
      <c r="U248" s="620"/>
      <c r="V248" s="621"/>
      <c r="W248" s="882">
        <f t="shared" si="15"/>
        <v>0</v>
      </c>
      <c r="X248" s="882">
        <f t="shared" si="13"/>
        <v>0</v>
      </c>
    </row>
    <row r="249" spans="1:24" ht="27" customHeight="1">
      <c r="A249" s="583"/>
      <c r="B249" s="583">
        <v>1001</v>
      </c>
      <c r="C249" s="581">
        <v>10</v>
      </c>
      <c r="D249" s="582" t="s">
        <v>116</v>
      </c>
      <c r="E249" s="583" t="s">
        <v>1268</v>
      </c>
      <c r="F249" s="599">
        <v>-3100000</v>
      </c>
      <c r="G249" s="599"/>
      <c r="H249" s="599"/>
      <c r="I249" s="599">
        <v>3100000</v>
      </c>
      <c r="J249" s="599"/>
      <c r="K249" s="599"/>
      <c r="L249" s="599"/>
      <c r="M249" s="599"/>
      <c r="N249" s="599"/>
      <c r="O249" s="599"/>
      <c r="P249" s="599"/>
      <c r="Q249" s="882">
        <f t="shared" si="12"/>
        <v>0</v>
      </c>
      <c r="R249" s="599">
        <v>-179950000</v>
      </c>
      <c r="S249" s="882">
        <f t="shared" si="14"/>
        <v>0</v>
      </c>
      <c r="T249" s="599">
        <f t="shared" si="14"/>
        <v>-180</v>
      </c>
      <c r="U249" s="620"/>
      <c r="V249" s="621"/>
      <c r="W249" s="882">
        <f t="shared" si="15"/>
        <v>0</v>
      </c>
      <c r="X249" s="882">
        <f t="shared" si="13"/>
        <v>0</v>
      </c>
    </row>
    <row r="250" spans="1:24" ht="27" customHeight="1">
      <c r="A250" s="583"/>
      <c r="B250" s="583">
        <v>1001</v>
      </c>
      <c r="C250" s="581">
        <v>10</v>
      </c>
      <c r="D250" s="582" t="s">
        <v>485</v>
      </c>
      <c r="E250" s="583" t="s">
        <v>899</v>
      </c>
      <c r="F250" s="599">
        <v>-153856933</v>
      </c>
      <c r="G250" s="599">
        <v>-30000</v>
      </c>
      <c r="H250" s="599"/>
      <c r="I250" s="599">
        <v>153886933</v>
      </c>
      <c r="J250" s="599"/>
      <c r="K250" s="599"/>
      <c r="L250" s="599"/>
      <c r="M250" s="599"/>
      <c r="N250" s="599"/>
      <c r="O250" s="599"/>
      <c r="P250" s="599"/>
      <c r="Q250" s="882">
        <f t="shared" si="12"/>
        <v>0</v>
      </c>
      <c r="R250" s="599">
        <v>19475411</v>
      </c>
      <c r="S250" s="882">
        <f t="shared" si="14"/>
        <v>0</v>
      </c>
      <c r="T250" s="599">
        <f t="shared" si="14"/>
        <v>19</v>
      </c>
      <c r="U250" s="620"/>
      <c r="V250" s="621"/>
      <c r="W250" s="882">
        <f t="shared" si="15"/>
        <v>0</v>
      </c>
      <c r="X250" s="882">
        <f t="shared" si="13"/>
        <v>0</v>
      </c>
    </row>
    <row r="251" spans="1:24" ht="27" customHeight="1">
      <c r="A251" s="583"/>
      <c r="B251" s="583">
        <v>1001</v>
      </c>
      <c r="C251" s="581">
        <v>10</v>
      </c>
      <c r="D251" s="582" t="s">
        <v>485</v>
      </c>
      <c r="E251" s="583" t="s">
        <v>899</v>
      </c>
      <c r="F251" s="599"/>
      <c r="G251" s="599"/>
      <c r="H251" s="599"/>
      <c r="I251" s="599"/>
      <c r="J251" s="599"/>
      <c r="K251" s="599"/>
      <c r="L251" s="599"/>
      <c r="M251" s="599"/>
      <c r="N251" s="599"/>
      <c r="O251" s="599"/>
      <c r="P251" s="599"/>
      <c r="Q251" s="882">
        <f t="shared" si="12"/>
        <v>0</v>
      </c>
      <c r="R251" s="599"/>
      <c r="S251" s="882">
        <f t="shared" si="14"/>
        <v>0</v>
      </c>
      <c r="T251" s="599">
        <f t="shared" si="14"/>
        <v>0</v>
      </c>
      <c r="U251" s="620"/>
      <c r="V251" s="621"/>
      <c r="W251" s="882">
        <f t="shared" si="15"/>
        <v>0</v>
      </c>
      <c r="X251" s="882">
        <f t="shared" si="13"/>
        <v>0</v>
      </c>
    </row>
    <row r="252" spans="1:24" ht="27" customHeight="1">
      <c r="A252" s="583"/>
      <c r="B252" s="583">
        <v>1018</v>
      </c>
      <c r="C252" s="581">
        <v>10</v>
      </c>
      <c r="D252" s="582" t="s">
        <v>846</v>
      </c>
      <c r="E252" s="583" t="s">
        <v>900</v>
      </c>
      <c r="F252" s="599">
        <v>-73159944</v>
      </c>
      <c r="G252" s="599">
        <v>260000</v>
      </c>
      <c r="H252" s="599"/>
      <c r="I252" s="599">
        <v>72899944</v>
      </c>
      <c r="J252" s="599"/>
      <c r="K252" s="599"/>
      <c r="L252" s="599"/>
      <c r="M252" s="599"/>
      <c r="N252" s="599"/>
      <c r="O252" s="599"/>
      <c r="P252" s="599"/>
      <c r="Q252" s="882">
        <f t="shared" si="12"/>
        <v>0</v>
      </c>
      <c r="R252" s="599">
        <v>0</v>
      </c>
      <c r="S252" s="882">
        <f t="shared" si="14"/>
        <v>0</v>
      </c>
      <c r="T252" s="599">
        <f t="shared" si="14"/>
        <v>0</v>
      </c>
      <c r="U252" s="620"/>
      <c r="V252" s="621"/>
      <c r="W252" s="882">
        <f t="shared" si="15"/>
        <v>0</v>
      </c>
      <c r="X252" s="882">
        <f t="shared" si="13"/>
        <v>0</v>
      </c>
    </row>
    <row r="253" spans="1:24" ht="27" customHeight="1">
      <c r="A253" s="583"/>
      <c r="B253" s="583">
        <v>1018</v>
      </c>
      <c r="C253" s="581">
        <v>10</v>
      </c>
      <c r="D253" s="582" t="s">
        <v>893</v>
      </c>
      <c r="E253" s="583" t="s">
        <v>1182</v>
      </c>
      <c r="F253" s="599">
        <v>-13336199</v>
      </c>
      <c r="G253" s="599">
        <v>-20000</v>
      </c>
      <c r="H253" s="599"/>
      <c r="I253" s="599">
        <v>1560000</v>
      </c>
      <c r="J253" s="599"/>
      <c r="K253" s="599"/>
      <c r="L253" s="599"/>
      <c r="M253" s="599"/>
      <c r="N253" s="599"/>
      <c r="O253" s="599"/>
      <c r="P253" s="599"/>
      <c r="Q253" s="882">
        <f t="shared" si="12"/>
        <v>-11796199</v>
      </c>
      <c r="R253" s="599">
        <v>-11796199</v>
      </c>
      <c r="S253" s="882">
        <f t="shared" si="14"/>
        <v>-12</v>
      </c>
      <c r="T253" s="599">
        <f t="shared" si="14"/>
        <v>-12</v>
      </c>
      <c r="U253" s="620"/>
      <c r="V253" s="621"/>
      <c r="W253" s="882">
        <f t="shared" si="15"/>
        <v>-11796199</v>
      </c>
      <c r="X253" s="882">
        <f t="shared" si="13"/>
        <v>-12</v>
      </c>
    </row>
    <row r="254" spans="1:24" ht="27" customHeight="1">
      <c r="A254" s="583"/>
      <c r="B254" s="583">
        <v>1018</v>
      </c>
      <c r="C254" s="581">
        <v>10</v>
      </c>
      <c r="D254" s="582" t="s">
        <v>1183</v>
      </c>
      <c r="E254" s="583" t="s">
        <v>1184</v>
      </c>
      <c r="F254" s="599">
        <v>-270000</v>
      </c>
      <c r="G254" s="599"/>
      <c r="H254" s="599"/>
      <c r="I254" s="599">
        <v>270000</v>
      </c>
      <c r="J254" s="599"/>
      <c r="K254" s="599"/>
      <c r="L254" s="599"/>
      <c r="M254" s="599"/>
      <c r="N254" s="599"/>
      <c r="O254" s="599"/>
      <c r="P254" s="599"/>
      <c r="Q254" s="882">
        <f t="shared" si="12"/>
        <v>0</v>
      </c>
      <c r="R254" s="599">
        <v>0</v>
      </c>
      <c r="S254" s="882">
        <f t="shared" si="14"/>
        <v>0</v>
      </c>
      <c r="T254" s="599">
        <f t="shared" si="14"/>
        <v>0</v>
      </c>
      <c r="U254" s="620"/>
      <c r="V254" s="621"/>
      <c r="W254" s="882">
        <f t="shared" si="15"/>
        <v>0</v>
      </c>
      <c r="X254" s="882">
        <f t="shared" si="13"/>
        <v>0</v>
      </c>
    </row>
    <row r="255" spans="1:24" ht="27" customHeight="1">
      <c r="A255" s="583"/>
      <c r="B255" s="583">
        <v>1018</v>
      </c>
      <c r="C255" s="581">
        <v>10</v>
      </c>
      <c r="D255" s="582" t="s">
        <v>1185</v>
      </c>
      <c r="E255" s="583" t="s">
        <v>1186</v>
      </c>
      <c r="F255" s="599">
        <v>-6320000</v>
      </c>
      <c r="G255" s="599"/>
      <c r="H255" s="599"/>
      <c r="I255" s="599"/>
      <c r="J255" s="599"/>
      <c r="K255" s="599"/>
      <c r="L255" s="599">
        <v>6320000</v>
      </c>
      <c r="M255" s="599"/>
      <c r="N255" s="599"/>
      <c r="O255" s="599"/>
      <c r="P255" s="599"/>
      <c r="Q255" s="882">
        <f t="shared" si="12"/>
        <v>0</v>
      </c>
      <c r="R255" s="599">
        <v>-6320000</v>
      </c>
      <c r="S255" s="882">
        <f t="shared" si="14"/>
        <v>0</v>
      </c>
      <c r="T255" s="599">
        <f t="shared" si="14"/>
        <v>-6</v>
      </c>
      <c r="U255" s="620"/>
      <c r="V255" s="621"/>
      <c r="W255" s="882">
        <f t="shared" si="15"/>
        <v>0</v>
      </c>
      <c r="X255" s="882">
        <f t="shared" si="13"/>
        <v>0</v>
      </c>
    </row>
    <row r="256" spans="1:24" ht="27" customHeight="1">
      <c r="A256" s="583"/>
      <c r="B256" s="583">
        <v>1018</v>
      </c>
      <c r="C256" s="581">
        <v>10</v>
      </c>
      <c r="D256" s="582" t="s">
        <v>1187</v>
      </c>
      <c r="E256" s="583" t="s">
        <v>1188</v>
      </c>
      <c r="F256" s="599">
        <v>-620000</v>
      </c>
      <c r="G256" s="599"/>
      <c r="H256" s="599"/>
      <c r="I256" s="599">
        <v>620000</v>
      </c>
      <c r="J256" s="599"/>
      <c r="K256" s="599"/>
      <c r="L256" s="599"/>
      <c r="M256" s="599"/>
      <c r="N256" s="599"/>
      <c r="O256" s="599"/>
      <c r="P256" s="599"/>
      <c r="Q256" s="882">
        <f t="shared" si="12"/>
        <v>0</v>
      </c>
      <c r="R256" s="599">
        <v>0</v>
      </c>
      <c r="S256" s="882">
        <f t="shared" si="14"/>
        <v>0</v>
      </c>
      <c r="T256" s="599">
        <f t="shared" si="14"/>
        <v>0</v>
      </c>
      <c r="U256" s="620"/>
      <c r="V256" s="621"/>
      <c r="W256" s="882">
        <f t="shared" si="15"/>
        <v>0</v>
      </c>
      <c r="X256" s="882">
        <f t="shared" si="13"/>
        <v>0</v>
      </c>
    </row>
    <row r="257" spans="1:24" ht="27" customHeight="1">
      <c r="A257" s="583"/>
      <c r="B257" s="583">
        <v>1018</v>
      </c>
      <c r="C257" s="581">
        <v>10</v>
      </c>
      <c r="D257" s="582" t="s">
        <v>845</v>
      </c>
      <c r="E257" s="583" t="s">
        <v>1189</v>
      </c>
      <c r="F257" s="599">
        <v>-440000</v>
      </c>
      <c r="G257" s="599"/>
      <c r="H257" s="599"/>
      <c r="I257" s="599">
        <v>440000</v>
      </c>
      <c r="J257" s="599"/>
      <c r="K257" s="599"/>
      <c r="L257" s="599"/>
      <c r="M257" s="599"/>
      <c r="N257" s="599"/>
      <c r="O257" s="599"/>
      <c r="P257" s="599"/>
      <c r="Q257" s="882">
        <f t="shared" si="12"/>
        <v>0</v>
      </c>
      <c r="R257" s="599">
        <v>0</v>
      </c>
      <c r="S257" s="882">
        <f t="shared" si="14"/>
        <v>0</v>
      </c>
      <c r="T257" s="599">
        <f t="shared" si="14"/>
        <v>0</v>
      </c>
      <c r="U257" s="620"/>
      <c r="V257" s="621"/>
      <c r="W257" s="882">
        <f t="shared" si="15"/>
        <v>0</v>
      </c>
      <c r="X257" s="882">
        <f t="shared" si="13"/>
        <v>0</v>
      </c>
    </row>
    <row r="258" spans="1:24" ht="27" customHeight="1">
      <c r="A258" s="583"/>
      <c r="B258" s="583">
        <v>1018</v>
      </c>
      <c r="C258" s="581">
        <v>10</v>
      </c>
      <c r="D258" s="582" t="s">
        <v>1250</v>
      </c>
      <c r="E258" s="583" t="s">
        <v>1106</v>
      </c>
      <c r="F258" s="599">
        <v>-580000</v>
      </c>
      <c r="G258" s="599"/>
      <c r="H258" s="599"/>
      <c r="I258" s="599">
        <v>580000</v>
      </c>
      <c r="J258" s="599"/>
      <c r="K258" s="599"/>
      <c r="L258" s="599"/>
      <c r="M258" s="599"/>
      <c r="N258" s="599"/>
      <c r="O258" s="599"/>
      <c r="P258" s="599"/>
      <c r="Q258" s="882">
        <f t="shared" si="12"/>
        <v>0</v>
      </c>
      <c r="R258" s="599">
        <v>0</v>
      </c>
      <c r="S258" s="882">
        <f t="shared" si="14"/>
        <v>0</v>
      </c>
      <c r="T258" s="599">
        <f t="shared" si="14"/>
        <v>0</v>
      </c>
      <c r="U258" s="620"/>
      <c r="V258" s="621"/>
      <c r="W258" s="882">
        <f t="shared" si="15"/>
        <v>0</v>
      </c>
      <c r="X258" s="882">
        <f t="shared" si="13"/>
        <v>0</v>
      </c>
    </row>
    <row r="259" spans="1:24" ht="27" customHeight="1">
      <c r="A259" s="583"/>
      <c r="B259" s="583">
        <v>401</v>
      </c>
      <c r="C259" s="581">
        <v>4</v>
      </c>
      <c r="D259" s="582" t="s">
        <v>487</v>
      </c>
      <c r="E259" s="583" t="s">
        <v>663</v>
      </c>
      <c r="F259" s="599"/>
      <c r="G259" s="599"/>
      <c r="H259" s="599"/>
      <c r="I259" s="599"/>
      <c r="J259" s="599"/>
      <c r="K259" s="599"/>
      <c r="L259" s="599"/>
      <c r="M259" s="599"/>
      <c r="N259" s="599"/>
      <c r="O259" s="599"/>
      <c r="P259" s="599"/>
      <c r="Q259" s="882">
        <f t="shared" si="12"/>
        <v>0</v>
      </c>
      <c r="R259" s="599">
        <v>0</v>
      </c>
      <c r="S259" s="882">
        <f t="shared" si="14"/>
        <v>0</v>
      </c>
      <c r="T259" s="599">
        <f t="shared" si="14"/>
        <v>0</v>
      </c>
      <c r="U259" s="620"/>
      <c r="V259" s="621"/>
      <c r="W259" s="882">
        <f t="shared" si="15"/>
        <v>0</v>
      </c>
      <c r="X259" s="882">
        <f t="shared" si="13"/>
        <v>0</v>
      </c>
    </row>
    <row r="260" spans="1:24" ht="27" customHeight="1">
      <c r="A260" s="583"/>
      <c r="B260" s="583">
        <v>401</v>
      </c>
      <c r="C260" s="581">
        <v>4</v>
      </c>
      <c r="D260" s="582" t="s">
        <v>847</v>
      </c>
      <c r="E260" s="583" t="s">
        <v>848</v>
      </c>
      <c r="F260" s="599"/>
      <c r="G260" s="599"/>
      <c r="H260" s="599"/>
      <c r="I260" s="599"/>
      <c r="J260" s="599"/>
      <c r="K260" s="599"/>
      <c r="L260" s="599"/>
      <c r="M260" s="599"/>
      <c r="N260" s="599"/>
      <c r="O260" s="599"/>
      <c r="P260" s="599"/>
      <c r="Q260" s="882">
        <f t="shared" ref="Q260:Q323" si="16">SUM(F260:P260)</f>
        <v>0</v>
      </c>
      <c r="R260" s="599">
        <v>0</v>
      </c>
      <c r="S260" s="882">
        <f t="shared" si="14"/>
        <v>0</v>
      </c>
      <c r="T260" s="599">
        <f t="shared" si="14"/>
        <v>0</v>
      </c>
      <c r="U260" s="620"/>
      <c r="V260" s="621"/>
      <c r="W260" s="882">
        <f t="shared" si="15"/>
        <v>0</v>
      </c>
      <c r="X260" s="882">
        <f t="shared" si="13"/>
        <v>0</v>
      </c>
    </row>
    <row r="261" spans="1:24" ht="27" customHeight="1">
      <c r="A261" s="583"/>
      <c r="B261" s="583">
        <v>1018</v>
      </c>
      <c r="C261" s="581">
        <v>10</v>
      </c>
      <c r="D261" s="582" t="s">
        <v>1190</v>
      </c>
      <c r="E261" s="583" t="s">
        <v>1191</v>
      </c>
      <c r="F261" s="599">
        <v>-335530700</v>
      </c>
      <c r="G261" s="599"/>
      <c r="H261" s="599"/>
      <c r="I261" s="599"/>
      <c r="J261" s="599"/>
      <c r="K261" s="599"/>
      <c r="L261" s="599"/>
      <c r="M261" s="599"/>
      <c r="N261" s="599"/>
      <c r="O261" s="599"/>
      <c r="P261" s="599"/>
      <c r="Q261" s="882">
        <f t="shared" si="16"/>
        <v>-335530700</v>
      </c>
      <c r="R261" s="599">
        <v>0</v>
      </c>
      <c r="S261" s="882">
        <f t="shared" si="14"/>
        <v>-336</v>
      </c>
      <c r="T261" s="599">
        <f t="shared" si="14"/>
        <v>0</v>
      </c>
      <c r="U261" s="620"/>
      <c r="V261" s="621"/>
      <c r="W261" s="882">
        <f t="shared" si="15"/>
        <v>-335530700</v>
      </c>
      <c r="X261" s="882">
        <f t="shared" ref="X261:X324" si="17">ROUND((W261/1000000),0)</f>
        <v>-336</v>
      </c>
    </row>
    <row r="262" spans="1:24" ht="27" customHeight="1">
      <c r="A262" s="583"/>
      <c r="B262" s="583">
        <v>1001</v>
      </c>
      <c r="C262" s="581">
        <v>10</v>
      </c>
      <c r="D262" s="582" t="s">
        <v>1340</v>
      </c>
      <c r="E262" s="583" t="s">
        <v>1341</v>
      </c>
      <c r="F262" s="599">
        <v>-10386274</v>
      </c>
      <c r="G262" s="599"/>
      <c r="H262" s="599"/>
      <c r="I262" s="599"/>
      <c r="J262" s="599"/>
      <c r="K262" s="599"/>
      <c r="L262" s="599"/>
      <c r="M262" s="599"/>
      <c r="N262" s="599"/>
      <c r="O262" s="599"/>
      <c r="P262" s="599"/>
      <c r="Q262" s="882">
        <f t="shared" si="16"/>
        <v>-10386274</v>
      </c>
      <c r="R262" s="599">
        <v>-16800084</v>
      </c>
      <c r="S262" s="882">
        <f t="shared" si="14"/>
        <v>-10</v>
      </c>
      <c r="T262" s="599">
        <f t="shared" si="14"/>
        <v>-17</v>
      </c>
      <c r="U262" s="620"/>
      <c r="V262" s="621"/>
      <c r="W262" s="882">
        <f t="shared" si="15"/>
        <v>-10386274</v>
      </c>
      <c r="X262" s="882">
        <f t="shared" si="17"/>
        <v>-10</v>
      </c>
    </row>
    <row r="263" spans="1:24" ht="27" customHeight="1">
      <c r="A263" s="583"/>
      <c r="B263" s="583">
        <v>1001</v>
      </c>
      <c r="C263" s="581">
        <v>10</v>
      </c>
      <c r="D263" s="582" t="s">
        <v>1579</v>
      </c>
      <c r="E263" s="583" t="s">
        <v>1586</v>
      </c>
      <c r="F263" s="599">
        <v>-108000</v>
      </c>
      <c r="G263" s="599"/>
      <c r="H263" s="599"/>
      <c r="I263" s="599"/>
      <c r="J263" s="599"/>
      <c r="K263" s="599"/>
      <c r="L263" s="599"/>
      <c r="M263" s="599"/>
      <c r="N263" s="599"/>
      <c r="O263" s="599"/>
      <c r="P263" s="599"/>
      <c r="Q263" s="882">
        <f t="shared" si="16"/>
        <v>-108000</v>
      </c>
      <c r="R263" s="599"/>
      <c r="S263" s="882">
        <f t="shared" si="14"/>
        <v>0</v>
      </c>
      <c r="T263" s="599">
        <f t="shared" si="14"/>
        <v>0</v>
      </c>
      <c r="U263" s="620"/>
      <c r="V263" s="621"/>
      <c r="W263" s="882">
        <f t="shared" si="15"/>
        <v>-108000</v>
      </c>
      <c r="X263" s="882">
        <f t="shared" si="17"/>
        <v>0</v>
      </c>
    </row>
    <row r="264" spans="1:24" ht="27" customHeight="1">
      <c r="A264" s="583"/>
      <c r="B264" s="583">
        <v>1001</v>
      </c>
      <c r="C264" s="581">
        <v>10</v>
      </c>
      <c r="D264" s="582" t="s">
        <v>1580</v>
      </c>
      <c r="E264" s="583" t="s">
        <v>1587</v>
      </c>
      <c r="F264" s="599">
        <v>-660480</v>
      </c>
      <c r="G264" s="599"/>
      <c r="H264" s="599"/>
      <c r="I264" s="599"/>
      <c r="J264" s="599"/>
      <c r="K264" s="599"/>
      <c r="L264" s="599"/>
      <c r="M264" s="599"/>
      <c r="N264" s="599"/>
      <c r="O264" s="599"/>
      <c r="P264" s="599"/>
      <c r="Q264" s="882">
        <f t="shared" si="16"/>
        <v>-660480</v>
      </c>
      <c r="R264" s="599"/>
      <c r="S264" s="882">
        <f t="shared" si="14"/>
        <v>-1</v>
      </c>
      <c r="T264" s="599">
        <f t="shared" si="14"/>
        <v>0</v>
      </c>
      <c r="U264" s="620"/>
      <c r="V264" s="621"/>
      <c r="W264" s="882">
        <f t="shared" si="15"/>
        <v>-660480</v>
      </c>
      <c r="X264" s="882">
        <f t="shared" si="17"/>
        <v>-1</v>
      </c>
    </row>
    <row r="265" spans="1:24" ht="27" customHeight="1">
      <c r="A265" s="583"/>
      <c r="B265" s="583">
        <v>1001</v>
      </c>
      <c r="C265" s="581">
        <v>10</v>
      </c>
      <c r="D265" s="582" t="s">
        <v>1581</v>
      </c>
      <c r="E265" s="583" t="s">
        <v>1588</v>
      </c>
      <c r="F265" s="599">
        <v>-85000</v>
      </c>
      <c r="G265" s="599"/>
      <c r="H265" s="599"/>
      <c r="I265" s="599"/>
      <c r="J265" s="599"/>
      <c r="K265" s="599"/>
      <c r="L265" s="599"/>
      <c r="M265" s="599"/>
      <c r="N265" s="599"/>
      <c r="O265" s="599"/>
      <c r="P265" s="599"/>
      <c r="Q265" s="882">
        <f t="shared" si="16"/>
        <v>-85000</v>
      </c>
      <c r="R265" s="599"/>
      <c r="S265" s="882">
        <f t="shared" si="14"/>
        <v>0</v>
      </c>
      <c r="T265" s="599">
        <f t="shared" si="14"/>
        <v>0</v>
      </c>
      <c r="U265" s="620"/>
      <c r="V265" s="621"/>
      <c r="W265" s="882">
        <f t="shared" si="15"/>
        <v>-85000</v>
      </c>
      <c r="X265" s="882">
        <f t="shared" si="17"/>
        <v>0</v>
      </c>
    </row>
    <row r="266" spans="1:24" ht="27" customHeight="1">
      <c r="A266" s="583"/>
      <c r="B266" s="583">
        <v>1001</v>
      </c>
      <c r="C266" s="581">
        <v>10</v>
      </c>
      <c r="D266" s="582" t="s">
        <v>1582</v>
      </c>
      <c r="E266" s="583" t="s">
        <v>1589</v>
      </c>
      <c r="F266" s="599">
        <v>-15579411</v>
      </c>
      <c r="G266" s="599"/>
      <c r="H266" s="599"/>
      <c r="I266" s="599"/>
      <c r="J266" s="599"/>
      <c r="K266" s="599"/>
      <c r="L266" s="599"/>
      <c r="M266" s="599"/>
      <c r="N266" s="599"/>
      <c r="O266" s="599"/>
      <c r="P266" s="599"/>
      <c r="Q266" s="882">
        <f t="shared" si="16"/>
        <v>-15579411</v>
      </c>
      <c r="R266" s="599"/>
      <c r="S266" s="882">
        <f t="shared" si="14"/>
        <v>-16</v>
      </c>
      <c r="T266" s="599">
        <f t="shared" si="14"/>
        <v>0</v>
      </c>
      <c r="U266" s="620"/>
      <c r="V266" s="621"/>
      <c r="W266" s="882">
        <f t="shared" si="15"/>
        <v>-15579411</v>
      </c>
      <c r="X266" s="882">
        <f t="shared" si="17"/>
        <v>-16</v>
      </c>
    </row>
    <row r="267" spans="1:24" ht="27" customHeight="1">
      <c r="A267" s="583"/>
      <c r="B267" s="583">
        <v>1001</v>
      </c>
      <c r="C267" s="581">
        <v>10</v>
      </c>
      <c r="D267" s="582" t="s">
        <v>1583</v>
      </c>
      <c r="E267" s="583" t="s">
        <v>1590</v>
      </c>
      <c r="F267" s="599">
        <v>-216000</v>
      </c>
      <c r="G267" s="599"/>
      <c r="H267" s="599"/>
      <c r="I267" s="599"/>
      <c r="J267" s="599"/>
      <c r="K267" s="599"/>
      <c r="L267" s="599"/>
      <c r="M267" s="599"/>
      <c r="N267" s="599"/>
      <c r="O267" s="599"/>
      <c r="P267" s="599"/>
      <c r="Q267" s="882">
        <f t="shared" si="16"/>
        <v>-216000</v>
      </c>
      <c r="R267" s="599"/>
      <c r="S267" s="882">
        <f t="shared" si="14"/>
        <v>0</v>
      </c>
      <c r="T267" s="599">
        <f t="shared" si="14"/>
        <v>0</v>
      </c>
      <c r="U267" s="620"/>
      <c r="V267" s="621"/>
      <c r="W267" s="882">
        <f t="shared" si="15"/>
        <v>-216000</v>
      </c>
      <c r="X267" s="882">
        <f t="shared" si="17"/>
        <v>0</v>
      </c>
    </row>
    <row r="268" spans="1:24" ht="27" customHeight="1">
      <c r="A268" s="583"/>
      <c r="B268" s="583">
        <v>1001</v>
      </c>
      <c r="C268" s="581">
        <v>10</v>
      </c>
      <c r="D268" s="582" t="s">
        <v>1584</v>
      </c>
      <c r="E268" s="583" t="s">
        <v>1591</v>
      </c>
      <c r="F268" s="599">
        <v>-1320960</v>
      </c>
      <c r="G268" s="599"/>
      <c r="H268" s="599"/>
      <c r="I268" s="599"/>
      <c r="J268" s="599"/>
      <c r="K268" s="599"/>
      <c r="L268" s="599"/>
      <c r="M268" s="599"/>
      <c r="N268" s="599"/>
      <c r="O268" s="599"/>
      <c r="P268" s="599"/>
      <c r="Q268" s="882">
        <f t="shared" si="16"/>
        <v>-1320960</v>
      </c>
      <c r="R268" s="599"/>
      <c r="S268" s="882">
        <f t="shared" si="14"/>
        <v>-1</v>
      </c>
      <c r="T268" s="599">
        <f t="shared" si="14"/>
        <v>0</v>
      </c>
      <c r="U268" s="620"/>
      <c r="V268" s="621"/>
      <c r="W268" s="882">
        <f t="shared" si="15"/>
        <v>-1320960</v>
      </c>
      <c r="X268" s="882">
        <f t="shared" si="17"/>
        <v>-1</v>
      </c>
    </row>
    <row r="269" spans="1:24" ht="27" customHeight="1">
      <c r="A269" s="583"/>
      <c r="B269" s="583">
        <v>1001</v>
      </c>
      <c r="C269" s="581">
        <v>10</v>
      </c>
      <c r="D269" s="582" t="s">
        <v>1585</v>
      </c>
      <c r="E269" s="583" t="s">
        <v>1592</v>
      </c>
      <c r="F269" s="599">
        <v>-115000</v>
      </c>
      <c r="G269" s="599"/>
      <c r="H269" s="599"/>
      <c r="I269" s="599"/>
      <c r="J269" s="599"/>
      <c r="K269" s="599"/>
      <c r="L269" s="599"/>
      <c r="M269" s="599"/>
      <c r="N269" s="599"/>
      <c r="O269" s="599"/>
      <c r="P269" s="599"/>
      <c r="Q269" s="882">
        <f t="shared" si="16"/>
        <v>-115000</v>
      </c>
      <c r="R269" s="599"/>
      <c r="S269" s="882">
        <f t="shared" si="14"/>
        <v>0</v>
      </c>
      <c r="T269" s="599">
        <f t="shared" si="14"/>
        <v>0</v>
      </c>
      <c r="U269" s="620"/>
      <c r="V269" s="621"/>
      <c r="W269" s="882">
        <f t="shared" si="15"/>
        <v>-115000</v>
      </c>
      <c r="X269" s="882">
        <f t="shared" si="17"/>
        <v>0</v>
      </c>
    </row>
    <row r="270" spans="1:24" ht="27" customHeight="1">
      <c r="A270" s="583"/>
      <c r="B270" s="583">
        <v>406</v>
      </c>
      <c r="C270" s="581">
        <v>4</v>
      </c>
      <c r="D270" s="582" t="s">
        <v>1192</v>
      </c>
      <c r="E270" s="583" t="s">
        <v>1193</v>
      </c>
      <c r="F270" s="599">
        <v>3233832</v>
      </c>
      <c r="G270" s="599"/>
      <c r="H270" s="599"/>
      <c r="I270" s="599"/>
      <c r="J270" s="599"/>
      <c r="K270" s="599"/>
      <c r="L270" s="599"/>
      <c r="M270" s="599"/>
      <c r="N270" s="599"/>
      <c r="O270" s="599"/>
      <c r="P270" s="599"/>
      <c r="Q270" s="882">
        <f t="shared" si="16"/>
        <v>3233832</v>
      </c>
      <c r="R270" s="599">
        <v>3233832</v>
      </c>
      <c r="S270" s="882">
        <f t="shared" si="14"/>
        <v>3</v>
      </c>
      <c r="T270" s="599">
        <f t="shared" si="14"/>
        <v>3</v>
      </c>
      <c r="U270" s="620"/>
      <c r="V270" s="621"/>
      <c r="W270" s="882">
        <f t="shared" si="15"/>
        <v>3233832</v>
      </c>
      <c r="X270" s="882">
        <f t="shared" si="17"/>
        <v>3</v>
      </c>
    </row>
    <row r="271" spans="1:24" ht="27" customHeight="1">
      <c r="A271" s="583"/>
      <c r="B271" s="583">
        <v>1018</v>
      </c>
      <c r="C271" s="581">
        <v>10</v>
      </c>
      <c r="D271" s="582" t="s">
        <v>990</v>
      </c>
      <c r="E271" s="583" t="s">
        <v>991</v>
      </c>
      <c r="F271" s="599"/>
      <c r="G271" s="599"/>
      <c r="H271" s="599"/>
      <c r="I271" s="599"/>
      <c r="J271" s="599"/>
      <c r="K271" s="599"/>
      <c r="L271" s="599"/>
      <c r="M271" s="599"/>
      <c r="N271" s="599"/>
      <c r="O271" s="599"/>
      <c r="P271" s="599"/>
      <c r="Q271" s="882">
        <f t="shared" si="16"/>
        <v>0</v>
      </c>
      <c r="R271" s="599">
        <v>0</v>
      </c>
      <c r="S271" s="882">
        <f t="shared" si="14"/>
        <v>0</v>
      </c>
      <c r="T271" s="599">
        <f t="shared" si="14"/>
        <v>0</v>
      </c>
      <c r="U271" s="620"/>
      <c r="V271" s="621"/>
      <c r="W271" s="882">
        <f t="shared" si="15"/>
        <v>0</v>
      </c>
      <c r="X271" s="882">
        <f t="shared" si="17"/>
        <v>0</v>
      </c>
    </row>
    <row r="272" spans="1:24" ht="27" customHeight="1">
      <c r="A272" s="583"/>
      <c r="B272" s="583">
        <v>1018</v>
      </c>
      <c r="C272" s="581">
        <v>10</v>
      </c>
      <c r="D272" s="582" t="s">
        <v>992</v>
      </c>
      <c r="E272" s="583" t="s">
        <v>993</v>
      </c>
      <c r="F272" s="599"/>
      <c r="G272" s="599"/>
      <c r="H272" s="599"/>
      <c r="I272" s="599"/>
      <c r="J272" s="599"/>
      <c r="K272" s="599"/>
      <c r="L272" s="599"/>
      <c r="M272" s="599"/>
      <c r="N272" s="599"/>
      <c r="O272" s="599"/>
      <c r="P272" s="599"/>
      <c r="Q272" s="882">
        <f t="shared" si="16"/>
        <v>0</v>
      </c>
      <c r="R272" s="599">
        <v>0</v>
      </c>
      <c r="S272" s="882">
        <f t="shared" si="14"/>
        <v>0</v>
      </c>
      <c r="T272" s="599">
        <f t="shared" si="14"/>
        <v>0</v>
      </c>
      <c r="U272" s="620"/>
      <c r="V272" s="621"/>
      <c r="W272" s="882">
        <f t="shared" si="15"/>
        <v>0</v>
      </c>
      <c r="X272" s="882">
        <f t="shared" si="17"/>
        <v>0</v>
      </c>
    </row>
    <row r="273" spans="1:24" ht="27" customHeight="1">
      <c r="A273" s="583"/>
      <c r="B273" s="583">
        <v>1018</v>
      </c>
      <c r="C273" s="581">
        <v>10</v>
      </c>
      <c r="D273" s="582" t="s">
        <v>277</v>
      </c>
      <c r="E273" s="583" t="s">
        <v>278</v>
      </c>
      <c r="F273" s="599"/>
      <c r="G273" s="599"/>
      <c r="H273" s="599"/>
      <c r="I273" s="599"/>
      <c r="J273" s="599"/>
      <c r="K273" s="599"/>
      <c r="L273" s="599"/>
      <c r="M273" s="599"/>
      <c r="N273" s="599"/>
      <c r="O273" s="599"/>
      <c r="P273" s="599"/>
      <c r="Q273" s="882">
        <f t="shared" si="16"/>
        <v>0</v>
      </c>
      <c r="R273" s="599">
        <v>0</v>
      </c>
      <c r="S273" s="882">
        <f t="shared" si="14"/>
        <v>0</v>
      </c>
      <c r="T273" s="599">
        <f t="shared" si="14"/>
        <v>0</v>
      </c>
      <c r="U273" s="620"/>
      <c r="V273" s="621"/>
      <c r="W273" s="882">
        <f t="shared" si="15"/>
        <v>0</v>
      </c>
      <c r="X273" s="882">
        <f t="shared" si="17"/>
        <v>0</v>
      </c>
    </row>
    <row r="274" spans="1:24" ht="27" customHeight="1">
      <c r="A274" s="583"/>
      <c r="B274" s="583">
        <v>1018</v>
      </c>
      <c r="C274" s="581">
        <v>10</v>
      </c>
      <c r="D274" s="582" t="s">
        <v>994</v>
      </c>
      <c r="E274" s="583" t="s">
        <v>995</v>
      </c>
      <c r="F274" s="599"/>
      <c r="G274" s="599"/>
      <c r="H274" s="599"/>
      <c r="I274" s="599"/>
      <c r="J274" s="599"/>
      <c r="K274" s="599"/>
      <c r="L274" s="599"/>
      <c r="M274" s="599"/>
      <c r="N274" s="599"/>
      <c r="O274" s="599"/>
      <c r="P274" s="599"/>
      <c r="Q274" s="882">
        <f t="shared" si="16"/>
        <v>0</v>
      </c>
      <c r="R274" s="599">
        <v>0</v>
      </c>
      <c r="S274" s="882">
        <f t="shared" si="14"/>
        <v>0</v>
      </c>
      <c r="T274" s="599">
        <f t="shared" si="14"/>
        <v>0</v>
      </c>
      <c r="U274" s="620"/>
      <c r="V274" s="621"/>
      <c r="W274" s="882">
        <f t="shared" si="15"/>
        <v>0</v>
      </c>
      <c r="X274" s="882">
        <f t="shared" si="17"/>
        <v>0</v>
      </c>
    </row>
    <row r="275" spans="1:24" ht="27" customHeight="1">
      <c r="A275" s="583"/>
      <c r="B275" s="583">
        <v>1018</v>
      </c>
      <c r="C275" s="581">
        <v>10</v>
      </c>
      <c r="D275" s="582" t="s">
        <v>996</v>
      </c>
      <c r="E275" s="583" t="s">
        <v>997</v>
      </c>
      <c r="F275" s="599">
        <v>-100000</v>
      </c>
      <c r="G275" s="599"/>
      <c r="H275" s="599"/>
      <c r="I275" s="599">
        <v>100000</v>
      </c>
      <c r="J275" s="599"/>
      <c r="K275" s="599"/>
      <c r="L275" s="599"/>
      <c r="M275" s="599"/>
      <c r="N275" s="599"/>
      <c r="O275" s="599"/>
      <c r="P275" s="599"/>
      <c r="Q275" s="882">
        <f t="shared" si="16"/>
        <v>0</v>
      </c>
      <c r="R275" s="599">
        <v>0</v>
      </c>
      <c r="S275" s="882">
        <f t="shared" si="14"/>
        <v>0</v>
      </c>
      <c r="T275" s="599">
        <f t="shared" si="14"/>
        <v>0</v>
      </c>
      <c r="U275" s="620"/>
      <c r="V275" s="621"/>
      <c r="W275" s="882">
        <f t="shared" si="15"/>
        <v>0</v>
      </c>
      <c r="X275" s="882">
        <f t="shared" si="17"/>
        <v>0</v>
      </c>
    </row>
    <row r="276" spans="1:24" ht="27" customHeight="1">
      <c r="A276" s="583"/>
      <c r="B276" s="583">
        <v>406</v>
      </c>
      <c r="C276" s="581">
        <v>4</v>
      </c>
      <c r="D276" s="582" t="s">
        <v>1107</v>
      </c>
      <c r="E276" s="583" t="s">
        <v>1342</v>
      </c>
      <c r="F276" s="599"/>
      <c r="G276" s="599"/>
      <c r="H276" s="599"/>
      <c r="I276" s="599"/>
      <c r="J276" s="599"/>
      <c r="K276" s="599"/>
      <c r="L276" s="599"/>
      <c r="M276" s="599"/>
      <c r="N276" s="599"/>
      <c r="O276" s="599"/>
      <c r="P276" s="599"/>
      <c r="Q276" s="882">
        <f t="shared" si="16"/>
        <v>0</v>
      </c>
      <c r="R276" s="599">
        <v>250000</v>
      </c>
      <c r="S276" s="882">
        <f t="shared" si="14"/>
        <v>0</v>
      </c>
      <c r="T276" s="599">
        <f t="shared" si="14"/>
        <v>0</v>
      </c>
      <c r="U276" s="620"/>
      <c r="V276" s="621"/>
      <c r="W276" s="882">
        <f t="shared" si="15"/>
        <v>0</v>
      </c>
      <c r="X276" s="882">
        <f t="shared" si="17"/>
        <v>0</v>
      </c>
    </row>
    <row r="277" spans="1:24" ht="27" customHeight="1">
      <c r="A277" s="583"/>
      <c r="B277" s="583">
        <v>1018</v>
      </c>
      <c r="C277" s="581">
        <v>10</v>
      </c>
      <c r="D277" s="582" t="s">
        <v>1382</v>
      </c>
      <c r="E277" s="583" t="s">
        <v>1383</v>
      </c>
      <c r="F277" s="599"/>
      <c r="G277" s="599"/>
      <c r="H277" s="599"/>
      <c r="I277" s="599"/>
      <c r="J277" s="599"/>
      <c r="K277" s="599"/>
      <c r="L277" s="599"/>
      <c r="M277" s="599"/>
      <c r="N277" s="599"/>
      <c r="O277" s="599"/>
      <c r="P277" s="599"/>
      <c r="Q277" s="882">
        <f t="shared" si="16"/>
        <v>0</v>
      </c>
      <c r="R277" s="599">
        <v>-250000</v>
      </c>
      <c r="S277" s="882">
        <f t="shared" ref="S277:T350" si="18">ROUND((Q277/1000000),0)</f>
        <v>0</v>
      </c>
      <c r="T277" s="599">
        <f t="shared" si="18"/>
        <v>0</v>
      </c>
      <c r="U277" s="620"/>
      <c r="V277" s="621"/>
      <c r="W277" s="882">
        <f t="shared" si="15"/>
        <v>0</v>
      </c>
      <c r="X277" s="882">
        <f t="shared" si="17"/>
        <v>0</v>
      </c>
    </row>
    <row r="278" spans="1:24" ht="27" customHeight="1">
      <c r="A278" s="583"/>
      <c r="B278" s="583">
        <v>1018</v>
      </c>
      <c r="C278" s="581">
        <v>10</v>
      </c>
      <c r="D278" s="582" t="s">
        <v>1194</v>
      </c>
      <c r="E278" s="583" t="s">
        <v>1195</v>
      </c>
      <c r="F278" s="599">
        <v>-1890000</v>
      </c>
      <c r="G278" s="599"/>
      <c r="H278" s="599"/>
      <c r="I278" s="599"/>
      <c r="J278" s="599"/>
      <c r="K278" s="599"/>
      <c r="L278" s="599"/>
      <c r="M278" s="599"/>
      <c r="N278" s="599"/>
      <c r="O278" s="599"/>
      <c r="P278" s="599"/>
      <c r="Q278" s="882">
        <f t="shared" si="16"/>
        <v>-1890000</v>
      </c>
      <c r="R278" s="599">
        <v>0</v>
      </c>
      <c r="S278" s="882">
        <f t="shared" si="18"/>
        <v>-2</v>
      </c>
      <c r="T278" s="599">
        <f t="shared" si="18"/>
        <v>0</v>
      </c>
      <c r="U278" s="620"/>
      <c r="V278" s="621"/>
      <c r="W278" s="882">
        <f t="shared" ref="W278:W351" si="19">Q278+V278-U278</f>
        <v>-1890000</v>
      </c>
      <c r="X278" s="882">
        <f t="shared" si="17"/>
        <v>-2</v>
      </c>
    </row>
    <row r="279" spans="1:24" ht="27" customHeight="1">
      <c r="A279" s="583"/>
      <c r="B279" s="583">
        <v>1001</v>
      </c>
      <c r="C279" s="581">
        <v>10</v>
      </c>
      <c r="D279" s="582" t="s">
        <v>1343</v>
      </c>
      <c r="E279" s="583" t="s">
        <v>1344</v>
      </c>
      <c r="F279" s="599">
        <v>-62640000</v>
      </c>
      <c r="G279" s="599"/>
      <c r="H279" s="599"/>
      <c r="I279" s="599"/>
      <c r="J279" s="599"/>
      <c r="K279" s="599"/>
      <c r="L279" s="599"/>
      <c r="M279" s="599"/>
      <c r="N279" s="599"/>
      <c r="O279" s="599"/>
      <c r="P279" s="599"/>
      <c r="Q279" s="882">
        <f t="shared" si="16"/>
        <v>-62640000</v>
      </c>
      <c r="R279" s="599">
        <v>-67990000</v>
      </c>
      <c r="S279" s="882">
        <f t="shared" si="18"/>
        <v>-63</v>
      </c>
      <c r="T279" s="599">
        <f t="shared" si="18"/>
        <v>-68</v>
      </c>
      <c r="U279" s="620"/>
      <c r="V279" s="621"/>
      <c r="W279" s="882">
        <f t="shared" si="19"/>
        <v>-62640000</v>
      </c>
      <c r="X279" s="882">
        <f t="shared" si="17"/>
        <v>-63</v>
      </c>
    </row>
    <row r="280" spans="1:24" ht="27" customHeight="1">
      <c r="A280" s="583"/>
      <c r="B280" s="583">
        <v>1018</v>
      </c>
      <c r="C280" s="581">
        <v>10</v>
      </c>
      <c r="D280" s="582" t="s">
        <v>753</v>
      </c>
      <c r="E280" s="583" t="s">
        <v>998</v>
      </c>
      <c r="F280" s="599"/>
      <c r="G280" s="599"/>
      <c r="H280" s="599"/>
      <c r="I280" s="599"/>
      <c r="J280" s="599"/>
      <c r="K280" s="599"/>
      <c r="L280" s="599"/>
      <c r="M280" s="599"/>
      <c r="N280" s="599"/>
      <c r="O280" s="599"/>
      <c r="P280" s="599"/>
      <c r="Q280" s="882">
        <f t="shared" si="16"/>
        <v>0</v>
      </c>
      <c r="R280" s="599">
        <v>0</v>
      </c>
      <c r="S280" s="882">
        <f t="shared" si="18"/>
        <v>0</v>
      </c>
      <c r="T280" s="599">
        <f t="shared" si="18"/>
        <v>0</v>
      </c>
      <c r="U280" s="620"/>
      <c r="V280" s="621"/>
      <c r="W280" s="882">
        <f t="shared" si="19"/>
        <v>0</v>
      </c>
      <c r="X280" s="882">
        <f t="shared" si="17"/>
        <v>0</v>
      </c>
    </row>
    <row r="281" spans="1:24" ht="27" customHeight="1">
      <c r="A281" s="583"/>
      <c r="B281" s="583">
        <v>1018</v>
      </c>
      <c r="C281" s="581">
        <v>10</v>
      </c>
      <c r="D281" s="582" t="s">
        <v>665</v>
      </c>
      <c r="E281" s="583" t="s">
        <v>664</v>
      </c>
      <c r="F281" s="599">
        <v>-23730000</v>
      </c>
      <c r="G281" s="599"/>
      <c r="H281" s="599"/>
      <c r="I281" s="599"/>
      <c r="J281" s="599"/>
      <c r="K281" s="599"/>
      <c r="L281" s="599"/>
      <c r="M281" s="599"/>
      <c r="N281" s="599"/>
      <c r="O281" s="599"/>
      <c r="P281" s="599"/>
      <c r="Q281" s="882">
        <f t="shared" si="16"/>
        <v>-23730000</v>
      </c>
      <c r="R281" s="599">
        <v>0</v>
      </c>
      <c r="S281" s="882">
        <f t="shared" si="18"/>
        <v>-24</v>
      </c>
      <c r="T281" s="599">
        <f t="shared" si="18"/>
        <v>0</v>
      </c>
      <c r="U281" s="620"/>
      <c r="V281" s="621"/>
      <c r="W281" s="882">
        <f t="shared" si="19"/>
        <v>-23730000</v>
      </c>
      <c r="X281" s="882">
        <f t="shared" si="17"/>
        <v>-24</v>
      </c>
    </row>
    <row r="282" spans="1:24" ht="27" customHeight="1">
      <c r="A282" s="583"/>
      <c r="B282" s="583">
        <v>406</v>
      </c>
      <c r="C282" s="581">
        <v>4</v>
      </c>
      <c r="D282" s="582" t="s">
        <v>489</v>
      </c>
      <c r="E282" s="583" t="s">
        <v>855</v>
      </c>
      <c r="F282" s="599">
        <v>71320783</v>
      </c>
      <c r="G282" s="599"/>
      <c r="H282" s="599"/>
      <c r="I282" s="599"/>
      <c r="J282" s="599"/>
      <c r="K282" s="599"/>
      <c r="L282" s="599"/>
      <c r="M282" s="599"/>
      <c r="N282" s="599"/>
      <c r="O282" s="599"/>
      <c r="P282" s="599"/>
      <c r="Q282" s="882">
        <f t="shared" si="16"/>
        <v>71320783</v>
      </c>
      <c r="R282" s="599">
        <v>71320783</v>
      </c>
      <c r="S282" s="882">
        <f t="shared" si="18"/>
        <v>71</v>
      </c>
      <c r="T282" s="599">
        <f t="shared" si="18"/>
        <v>71</v>
      </c>
      <c r="U282" s="620"/>
      <c r="V282" s="621"/>
      <c r="W282" s="882">
        <f t="shared" si="19"/>
        <v>71320783</v>
      </c>
      <c r="X282" s="882">
        <f t="shared" si="17"/>
        <v>71</v>
      </c>
    </row>
    <row r="283" spans="1:24" ht="27" customHeight="1">
      <c r="A283" s="583"/>
      <c r="B283" s="583">
        <v>406</v>
      </c>
      <c r="C283" s="581">
        <v>4</v>
      </c>
      <c r="D283" s="582" t="s">
        <v>293</v>
      </c>
      <c r="E283" s="583" t="s">
        <v>467</v>
      </c>
      <c r="F283" s="599">
        <v>1718974151</v>
      </c>
      <c r="G283" s="599"/>
      <c r="H283" s="599"/>
      <c r="I283" s="599"/>
      <c r="J283" s="599"/>
      <c r="K283" s="599"/>
      <c r="L283" s="599"/>
      <c r="M283" s="599"/>
      <c r="N283" s="599"/>
      <c r="O283" s="599"/>
      <c r="P283" s="599"/>
      <c r="Q283" s="882">
        <f t="shared" si="16"/>
        <v>1718974151</v>
      </c>
      <c r="R283" s="599">
        <v>4347974151</v>
      </c>
      <c r="S283" s="882">
        <f t="shared" si="18"/>
        <v>1719</v>
      </c>
      <c r="T283" s="599">
        <f t="shared" si="18"/>
        <v>4348</v>
      </c>
      <c r="U283" s="620"/>
      <c r="V283" s="621"/>
      <c r="W283" s="882">
        <f t="shared" si="19"/>
        <v>1718974151</v>
      </c>
      <c r="X283" s="882">
        <f t="shared" si="17"/>
        <v>1719</v>
      </c>
    </row>
    <row r="284" spans="1:24" ht="27" customHeight="1">
      <c r="A284" s="583">
        <v>3214</v>
      </c>
      <c r="B284" s="583">
        <v>408</v>
      </c>
      <c r="C284" s="581">
        <v>4</v>
      </c>
      <c r="D284" s="582" t="s">
        <v>293</v>
      </c>
      <c r="E284" s="583" t="s">
        <v>1457</v>
      </c>
      <c r="F284" s="599"/>
      <c r="G284" s="599"/>
      <c r="H284" s="599"/>
      <c r="I284" s="599">
        <v>70728951508</v>
      </c>
      <c r="J284" s="599"/>
      <c r="K284" s="599">
        <f>159749115805+90018606913-309154235535-11342438691</f>
        <v>-70728951508</v>
      </c>
      <c r="L284" s="599"/>
      <c r="M284" s="599"/>
      <c r="N284" s="599"/>
      <c r="O284" s="599">
        <v>521425405869</v>
      </c>
      <c r="P284" s="599"/>
      <c r="Q284" s="882">
        <f t="shared" si="16"/>
        <v>521425405869</v>
      </c>
      <c r="R284" s="599">
        <v>1257843755185</v>
      </c>
      <c r="S284" s="738">
        <f t="shared" si="18"/>
        <v>521425</v>
      </c>
      <c r="T284" s="599">
        <f t="shared" si="18"/>
        <v>1257844</v>
      </c>
      <c r="U284" s="620"/>
      <c r="V284" s="621"/>
      <c r="W284" s="882">
        <f t="shared" si="19"/>
        <v>521425405869</v>
      </c>
      <c r="X284" s="882">
        <f t="shared" si="17"/>
        <v>521425</v>
      </c>
    </row>
    <row r="285" spans="1:24" ht="27" customHeight="1">
      <c r="A285" s="583"/>
      <c r="B285" s="1154">
        <v>1018</v>
      </c>
      <c r="C285" s="1131">
        <v>10</v>
      </c>
      <c r="D285" s="582" t="s">
        <v>296</v>
      </c>
      <c r="E285" s="583" t="s">
        <v>1593</v>
      </c>
      <c r="F285" s="599">
        <v>-4559792764</v>
      </c>
      <c r="G285" s="599">
        <v>372204536</v>
      </c>
      <c r="H285" s="599"/>
      <c r="I285" s="599">
        <v>-42386423</v>
      </c>
      <c r="J285" s="599"/>
      <c r="K285" s="599"/>
      <c r="L285" s="599"/>
      <c r="M285" s="599"/>
      <c r="N285" s="599"/>
      <c r="O285" s="599"/>
      <c r="P285" s="599"/>
      <c r="Q285" s="882">
        <f t="shared" si="16"/>
        <v>-4229974651</v>
      </c>
      <c r="R285" s="599">
        <v>0</v>
      </c>
      <c r="S285" s="882">
        <f t="shared" si="18"/>
        <v>-4230</v>
      </c>
      <c r="T285" s="599">
        <f t="shared" si="18"/>
        <v>0</v>
      </c>
      <c r="U285" s="620"/>
      <c r="V285" s="621"/>
      <c r="W285" s="882">
        <f t="shared" si="19"/>
        <v>-4229974651</v>
      </c>
      <c r="X285" s="882">
        <f t="shared" si="17"/>
        <v>-4230</v>
      </c>
    </row>
    <row r="286" spans="1:24" ht="27" customHeight="1">
      <c r="A286" s="583"/>
      <c r="B286" s="583">
        <v>1018</v>
      </c>
      <c r="C286" s="581">
        <v>10</v>
      </c>
      <c r="D286" s="582" t="s">
        <v>298</v>
      </c>
      <c r="E286" s="583" t="s">
        <v>1594</v>
      </c>
      <c r="F286" s="599">
        <v>-56112168587</v>
      </c>
      <c r="G286" s="599">
        <v>4845373849</v>
      </c>
      <c r="H286" s="599"/>
      <c r="I286" s="599"/>
      <c r="J286" s="599"/>
      <c r="K286" s="599"/>
      <c r="L286" s="599"/>
      <c r="M286" s="599"/>
      <c r="N286" s="599"/>
      <c r="O286" s="599">
        <v>2063</v>
      </c>
      <c r="P286" s="599"/>
      <c r="Q286" s="882">
        <f t="shared" si="16"/>
        <v>-51266792675</v>
      </c>
      <c r="R286" s="599">
        <v>0</v>
      </c>
      <c r="S286" s="882">
        <f t="shared" si="18"/>
        <v>-51267</v>
      </c>
      <c r="T286" s="599">
        <f t="shared" si="18"/>
        <v>0</v>
      </c>
      <c r="U286" s="620"/>
      <c r="V286" s="621"/>
      <c r="W286" s="882">
        <f t="shared" si="19"/>
        <v>-51266792675</v>
      </c>
      <c r="X286" s="882">
        <f t="shared" si="17"/>
        <v>-51267</v>
      </c>
    </row>
    <row r="287" spans="1:24" ht="27" customHeight="1">
      <c r="A287" s="583"/>
      <c r="B287" s="1154">
        <v>1018</v>
      </c>
      <c r="C287" s="1131">
        <v>10</v>
      </c>
      <c r="D287" s="582" t="s">
        <v>79</v>
      </c>
      <c r="E287" s="583" t="s">
        <v>1595</v>
      </c>
      <c r="F287" s="599">
        <v>-33153723159</v>
      </c>
      <c r="G287" s="599">
        <v>7252549449</v>
      </c>
      <c r="H287" s="599"/>
      <c r="I287" s="599"/>
      <c r="J287" s="599"/>
      <c r="K287" s="599"/>
      <c r="L287" s="599"/>
      <c r="M287" s="599"/>
      <c r="N287" s="599"/>
      <c r="O287" s="599"/>
      <c r="P287" s="599"/>
      <c r="Q287" s="882">
        <f t="shared" si="16"/>
        <v>-25901173710</v>
      </c>
      <c r="R287" s="599">
        <v>0</v>
      </c>
      <c r="S287" s="882">
        <f t="shared" si="18"/>
        <v>-25901</v>
      </c>
      <c r="T287" s="599">
        <f t="shared" si="18"/>
        <v>0</v>
      </c>
      <c r="U287" s="620"/>
      <c r="V287" s="621"/>
      <c r="W287" s="882">
        <f t="shared" si="19"/>
        <v>-25901173710</v>
      </c>
      <c r="X287" s="882">
        <f t="shared" si="17"/>
        <v>-25901</v>
      </c>
    </row>
    <row r="288" spans="1:24" ht="27" customHeight="1">
      <c r="A288" s="583"/>
      <c r="B288" s="583">
        <v>1018</v>
      </c>
      <c r="C288" s="581">
        <v>10</v>
      </c>
      <c r="D288" s="582" t="s">
        <v>443</v>
      </c>
      <c r="E288" s="583" t="s">
        <v>1596</v>
      </c>
      <c r="F288" s="599">
        <v>-119995980699</v>
      </c>
      <c r="G288" s="599">
        <v>72513754150</v>
      </c>
      <c r="H288" s="599"/>
      <c r="I288" s="599"/>
      <c r="J288" s="599"/>
      <c r="K288" s="599"/>
      <c r="L288" s="599"/>
      <c r="M288" s="599"/>
      <c r="N288" s="599"/>
      <c r="O288" s="599"/>
      <c r="P288" s="599"/>
      <c r="Q288" s="882">
        <f t="shared" si="16"/>
        <v>-47482226549</v>
      </c>
      <c r="R288" s="599">
        <v>0</v>
      </c>
      <c r="S288" s="882">
        <f t="shared" si="18"/>
        <v>-47482</v>
      </c>
      <c r="T288" s="599">
        <f t="shared" si="18"/>
        <v>0</v>
      </c>
      <c r="U288" s="620"/>
      <c r="V288" s="621"/>
      <c r="W288" s="882">
        <f t="shared" si="19"/>
        <v>-47482226549</v>
      </c>
      <c r="X288" s="882">
        <f t="shared" si="17"/>
        <v>-47482</v>
      </c>
    </row>
    <row r="289" spans="1:24" ht="27" customHeight="1">
      <c r="A289" s="583"/>
      <c r="B289" s="1154">
        <v>1018</v>
      </c>
      <c r="C289" s="1131">
        <v>10</v>
      </c>
      <c r="D289" s="582" t="s">
        <v>445</v>
      </c>
      <c r="E289" s="583" t="s">
        <v>1597</v>
      </c>
      <c r="F289" s="599">
        <v>2010638535</v>
      </c>
      <c r="G289" s="599">
        <v>-4144165588</v>
      </c>
      <c r="H289" s="599">
        <v>181500000</v>
      </c>
      <c r="I289" s="599">
        <v>175650000</v>
      </c>
      <c r="J289" s="599"/>
      <c r="K289" s="599"/>
      <c r="L289" s="599"/>
      <c r="M289" s="599"/>
      <c r="N289" s="599"/>
      <c r="O289" s="599"/>
      <c r="P289" s="599"/>
      <c r="Q289" s="882">
        <f t="shared" si="16"/>
        <v>-1776377053</v>
      </c>
      <c r="R289" s="599">
        <v>0</v>
      </c>
      <c r="S289" s="882">
        <f t="shared" si="18"/>
        <v>-1776</v>
      </c>
      <c r="T289" s="599">
        <f t="shared" si="18"/>
        <v>0</v>
      </c>
      <c r="U289" s="620"/>
      <c r="V289" s="621"/>
      <c r="W289" s="882">
        <f t="shared" si="19"/>
        <v>-1776377053</v>
      </c>
      <c r="X289" s="882">
        <f t="shared" si="17"/>
        <v>-1776</v>
      </c>
    </row>
    <row r="290" spans="1:24" ht="27" customHeight="1">
      <c r="A290" s="583"/>
      <c r="B290" s="583">
        <v>1018</v>
      </c>
      <c r="C290" s="581">
        <v>10</v>
      </c>
      <c r="D290" s="582" t="s">
        <v>449</v>
      </c>
      <c r="E290" s="583" t="s">
        <v>1650</v>
      </c>
      <c r="F290" s="599"/>
      <c r="G290" s="599">
        <v>-102800277</v>
      </c>
      <c r="H290" s="599"/>
      <c r="I290" s="599"/>
      <c r="J290" s="599"/>
      <c r="K290" s="599"/>
      <c r="L290" s="599"/>
      <c r="M290" s="599"/>
      <c r="N290" s="599"/>
      <c r="O290" s="599"/>
      <c r="P290" s="599"/>
      <c r="Q290" s="882">
        <f t="shared" si="16"/>
        <v>-102800277</v>
      </c>
      <c r="R290" s="599">
        <v>0</v>
      </c>
      <c r="S290" s="882">
        <f t="shared" si="18"/>
        <v>-103</v>
      </c>
      <c r="T290" s="599">
        <f t="shared" si="18"/>
        <v>0</v>
      </c>
      <c r="U290" s="620"/>
      <c r="V290" s="621"/>
      <c r="W290" s="882">
        <f t="shared" si="19"/>
        <v>-102800277</v>
      </c>
      <c r="X290" s="882">
        <f t="shared" si="17"/>
        <v>-103</v>
      </c>
    </row>
    <row r="291" spans="1:24" ht="27" customHeight="1">
      <c r="A291" s="583"/>
      <c r="B291" s="583">
        <v>1018</v>
      </c>
      <c r="C291" s="581">
        <v>10</v>
      </c>
      <c r="D291" s="582" t="s">
        <v>450</v>
      </c>
      <c r="E291" s="583" t="s">
        <v>1012</v>
      </c>
      <c r="F291" s="599"/>
      <c r="G291" s="599">
        <v>-560437038</v>
      </c>
      <c r="H291" s="599"/>
      <c r="I291" s="599"/>
      <c r="J291" s="599"/>
      <c r="K291" s="599"/>
      <c r="L291" s="599"/>
      <c r="M291" s="599"/>
      <c r="N291" s="599"/>
      <c r="O291" s="599"/>
      <c r="P291" s="599"/>
      <c r="Q291" s="882">
        <f t="shared" si="16"/>
        <v>-560437038</v>
      </c>
      <c r="R291" s="599">
        <v>0</v>
      </c>
      <c r="S291" s="882">
        <f>ROUND((Q291/1000000),0)</f>
        <v>-560</v>
      </c>
      <c r="T291" s="599">
        <f>ROUND((R291/1000000),0)</f>
        <v>0</v>
      </c>
      <c r="U291" s="620"/>
      <c r="V291" s="621"/>
      <c r="W291" s="882">
        <f>Q291+V291-U291</f>
        <v>-560437038</v>
      </c>
      <c r="X291" s="882">
        <f t="shared" si="17"/>
        <v>-560</v>
      </c>
    </row>
    <row r="292" spans="1:24" ht="27" customHeight="1">
      <c r="A292" s="583"/>
      <c r="B292" s="583">
        <v>501</v>
      </c>
      <c r="C292" s="581">
        <v>5</v>
      </c>
      <c r="D292" s="582" t="s">
        <v>452</v>
      </c>
      <c r="E292" s="583" t="s">
        <v>1651</v>
      </c>
      <c r="F292" s="599">
        <v>2348074</v>
      </c>
      <c r="G292" s="599">
        <v>-2348074</v>
      </c>
      <c r="H292" s="599"/>
      <c r="I292" s="599"/>
      <c r="J292" s="599"/>
      <c r="K292" s="599"/>
      <c r="L292" s="599"/>
      <c r="M292" s="599"/>
      <c r="N292" s="599"/>
      <c r="O292" s="599"/>
      <c r="P292" s="599"/>
      <c r="Q292" s="882">
        <f t="shared" si="16"/>
        <v>0</v>
      </c>
      <c r="R292" s="599">
        <v>1941420</v>
      </c>
      <c r="S292" s="882">
        <f t="shared" si="18"/>
        <v>0</v>
      </c>
      <c r="T292" s="599">
        <f t="shared" si="18"/>
        <v>2</v>
      </c>
      <c r="U292" s="620"/>
      <c r="V292" s="621"/>
      <c r="W292" s="882">
        <f t="shared" si="19"/>
        <v>0</v>
      </c>
      <c r="X292" s="882">
        <f t="shared" si="17"/>
        <v>0</v>
      </c>
    </row>
    <row r="293" spans="1:24" ht="27" customHeight="1">
      <c r="A293" s="583"/>
      <c r="B293" s="583">
        <v>908</v>
      </c>
      <c r="C293" s="581">
        <v>9</v>
      </c>
      <c r="D293" s="582" t="s">
        <v>454</v>
      </c>
      <c r="E293" s="583" t="s">
        <v>1013</v>
      </c>
      <c r="F293" s="599">
        <v>-38485800</v>
      </c>
      <c r="G293" s="599">
        <v>76971600</v>
      </c>
      <c r="H293" s="599"/>
      <c r="I293" s="599"/>
      <c r="J293" s="599"/>
      <c r="K293" s="599"/>
      <c r="L293" s="599"/>
      <c r="M293" s="599"/>
      <c r="N293" s="599"/>
      <c r="O293" s="599"/>
      <c r="P293" s="599"/>
      <c r="Q293" s="882">
        <f t="shared" si="16"/>
        <v>38485800</v>
      </c>
      <c r="R293" s="599">
        <v>0</v>
      </c>
      <c r="S293" s="882">
        <f>ROUND((Q293/1000000),0)</f>
        <v>38</v>
      </c>
      <c r="T293" s="599">
        <f>ROUND((R293/1000000),0)</f>
        <v>0</v>
      </c>
      <c r="U293" s="620"/>
      <c r="V293" s="621"/>
      <c r="W293" s="882">
        <f>Q293+V293-U293</f>
        <v>38485800</v>
      </c>
      <c r="X293" s="882">
        <f t="shared" si="17"/>
        <v>38</v>
      </c>
    </row>
    <row r="294" spans="1:24" ht="27" customHeight="1">
      <c r="A294" s="583"/>
      <c r="B294" s="583">
        <v>501</v>
      </c>
      <c r="C294" s="581">
        <v>5</v>
      </c>
      <c r="D294" s="582" t="s">
        <v>460</v>
      </c>
      <c r="E294" s="583" t="s">
        <v>758</v>
      </c>
      <c r="F294" s="599">
        <v>2328817481069</v>
      </c>
      <c r="G294" s="599">
        <v>9314059736</v>
      </c>
      <c r="H294" s="599"/>
      <c r="I294" s="599"/>
      <c r="J294" s="599"/>
      <c r="K294" s="599"/>
      <c r="L294" s="599"/>
      <c r="M294" s="599"/>
      <c r="N294" s="599"/>
      <c r="O294" s="599"/>
      <c r="P294" s="599"/>
      <c r="Q294" s="882">
        <f t="shared" si="16"/>
        <v>2338131540805</v>
      </c>
      <c r="R294" s="599">
        <v>2195551578739</v>
      </c>
      <c r="S294" s="882">
        <f>ROUND((Q294/1000000),0)+1</f>
        <v>2338133</v>
      </c>
      <c r="T294" s="599">
        <f t="shared" si="18"/>
        <v>2195552</v>
      </c>
      <c r="U294" s="620"/>
      <c r="V294" s="621"/>
      <c r="W294" s="882">
        <f t="shared" si="19"/>
        <v>2338131540805</v>
      </c>
      <c r="X294" s="882">
        <f t="shared" si="17"/>
        <v>2338132</v>
      </c>
    </row>
    <row r="295" spans="1:24" ht="27" customHeight="1">
      <c r="A295" s="583"/>
      <c r="B295" s="583">
        <v>501</v>
      </c>
      <c r="C295" s="581">
        <v>5</v>
      </c>
      <c r="D295" s="582" t="s">
        <v>460</v>
      </c>
      <c r="E295" s="583" t="s">
        <v>759</v>
      </c>
      <c r="F295" s="599"/>
      <c r="G295" s="599"/>
      <c r="H295" s="599"/>
      <c r="I295" s="599"/>
      <c r="J295" s="599"/>
      <c r="K295" s="599"/>
      <c r="L295" s="599"/>
      <c r="M295" s="599"/>
      <c r="N295" s="599"/>
      <c r="O295" s="599"/>
      <c r="P295" s="599"/>
      <c r="Q295" s="882">
        <f t="shared" si="16"/>
        <v>0</v>
      </c>
      <c r="R295" s="599">
        <v>0</v>
      </c>
      <c r="S295" s="882">
        <f t="shared" si="18"/>
        <v>0</v>
      </c>
      <c r="T295" s="599">
        <f t="shared" si="18"/>
        <v>0</v>
      </c>
      <c r="U295" s="620"/>
      <c r="V295" s="621"/>
      <c r="W295" s="882">
        <f t="shared" si="19"/>
        <v>0</v>
      </c>
      <c r="X295" s="882">
        <f t="shared" si="17"/>
        <v>0</v>
      </c>
    </row>
    <row r="296" spans="1:24" ht="27" customHeight="1">
      <c r="A296" s="583"/>
      <c r="B296" s="583">
        <v>503</v>
      </c>
      <c r="C296" s="581">
        <v>5</v>
      </c>
      <c r="D296" s="582" t="s">
        <v>460</v>
      </c>
      <c r="E296" s="583" t="s">
        <v>760</v>
      </c>
      <c r="F296" s="599"/>
      <c r="G296" s="599"/>
      <c r="H296" s="599"/>
      <c r="I296" s="599"/>
      <c r="J296" s="599"/>
      <c r="K296" s="599"/>
      <c r="L296" s="599"/>
      <c r="M296" s="599"/>
      <c r="N296" s="599"/>
      <c r="O296" s="599"/>
      <c r="P296" s="599"/>
      <c r="Q296" s="882">
        <f t="shared" si="16"/>
        <v>0</v>
      </c>
      <c r="R296" s="599">
        <v>0</v>
      </c>
      <c r="S296" s="882">
        <f t="shared" si="18"/>
        <v>0</v>
      </c>
      <c r="T296" s="599">
        <f t="shared" si="18"/>
        <v>0</v>
      </c>
      <c r="U296" s="620"/>
      <c r="V296" s="621"/>
      <c r="W296" s="882">
        <f t="shared" si="19"/>
        <v>0</v>
      </c>
      <c r="X296" s="882">
        <f t="shared" si="17"/>
        <v>0</v>
      </c>
    </row>
    <row r="297" spans="1:24" ht="27" customHeight="1">
      <c r="A297" s="583"/>
      <c r="B297" s="583">
        <v>908</v>
      </c>
      <c r="C297" s="581">
        <v>9</v>
      </c>
      <c r="D297" s="582" t="s">
        <v>462</v>
      </c>
      <c r="E297" s="583" t="s">
        <v>463</v>
      </c>
      <c r="F297" s="599">
        <v>689646398587</v>
      </c>
      <c r="G297" s="599">
        <v>3205435553</v>
      </c>
      <c r="H297" s="599"/>
      <c r="I297" s="599"/>
      <c r="J297" s="599"/>
      <c r="K297" s="599"/>
      <c r="L297" s="599"/>
      <c r="M297" s="599"/>
      <c r="N297" s="599">
        <v>-597446227922</v>
      </c>
      <c r="O297" s="599"/>
      <c r="P297" s="599"/>
      <c r="Q297" s="882">
        <f t="shared" si="16"/>
        <v>95405606218</v>
      </c>
      <c r="R297" s="599">
        <v>533985186443</v>
      </c>
      <c r="S297" s="882">
        <f t="shared" si="18"/>
        <v>95406</v>
      </c>
      <c r="T297" s="599">
        <f t="shared" si="18"/>
        <v>533985</v>
      </c>
      <c r="U297" s="620"/>
      <c r="V297" s="621"/>
      <c r="W297" s="882">
        <f t="shared" si="19"/>
        <v>95405606218</v>
      </c>
      <c r="X297" s="882">
        <f t="shared" si="17"/>
        <v>95406</v>
      </c>
    </row>
    <row r="298" spans="1:24" ht="27" customHeight="1">
      <c r="A298" s="583"/>
      <c r="B298" s="583">
        <v>506</v>
      </c>
      <c r="C298" s="581">
        <v>5</v>
      </c>
      <c r="D298" s="582" t="s">
        <v>163</v>
      </c>
      <c r="E298" s="583" t="s">
        <v>1599</v>
      </c>
      <c r="F298" s="599">
        <v>263279216</v>
      </c>
      <c r="G298" s="599"/>
      <c r="H298" s="599"/>
      <c r="I298" s="599"/>
      <c r="J298" s="599"/>
      <c r="K298" s="599"/>
      <c r="L298" s="599"/>
      <c r="M298" s="599"/>
      <c r="N298" s="599"/>
      <c r="O298" s="599"/>
      <c r="P298" s="599"/>
      <c r="Q298" s="882">
        <f t="shared" si="16"/>
        <v>263279216</v>
      </c>
      <c r="R298" s="599"/>
      <c r="S298" s="882">
        <f t="shared" si="18"/>
        <v>263</v>
      </c>
      <c r="T298" s="599">
        <f t="shared" si="18"/>
        <v>0</v>
      </c>
      <c r="U298" s="620"/>
      <c r="V298" s="621"/>
      <c r="W298" s="882">
        <f t="shared" si="19"/>
        <v>263279216</v>
      </c>
      <c r="X298" s="882">
        <f t="shared" si="17"/>
        <v>263</v>
      </c>
    </row>
    <row r="299" spans="1:24" ht="27" customHeight="1">
      <c r="A299" s="583"/>
      <c r="B299" s="583">
        <v>506</v>
      </c>
      <c r="C299" s="581">
        <v>5</v>
      </c>
      <c r="D299" s="582" t="s">
        <v>165</v>
      </c>
      <c r="E299" s="583" t="s">
        <v>1600</v>
      </c>
      <c r="F299" s="599">
        <v>13703834661</v>
      </c>
      <c r="G299" s="599">
        <v>-2265075177</v>
      </c>
      <c r="H299" s="599"/>
      <c r="I299" s="599"/>
      <c r="J299" s="599"/>
      <c r="K299" s="599"/>
      <c r="L299" s="599"/>
      <c r="M299" s="599"/>
      <c r="N299" s="599"/>
      <c r="O299" s="599"/>
      <c r="P299" s="599"/>
      <c r="Q299" s="882">
        <f t="shared" si="16"/>
        <v>11438759484</v>
      </c>
      <c r="R299" s="599"/>
      <c r="S299" s="882">
        <f t="shared" si="18"/>
        <v>11439</v>
      </c>
      <c r="T299" s="599">
        <f t="shared" si="18"/>
        <v>0</v>
      </c>
      <c r="U299" s="620"/>
      <c r="V299" s="621"/>
      <c r="W299" s="882">
        <f t="shared" si="19"/>
        <v>11438759484</v>
      </c>
      <c r="X299" s="882">
        <f t="shared" si="17"/>
        <v>11439</v>
      </c>
    </row>
    <row r="300" spans="1:24" ht="27" customHeight="1">
      <c r="A300" s="583"/>
      <c r="B300" s="583">
        <v>506</v>
      </c>
      <c r="C300" s="581">
        <v>5</v>
      </c>
      <c r="D300" s="582" t="s">
        <v>1598</v>
      </c>
      <c r="E300" s="583" t="s">
        <v>1601</v>
      </c>
      <c r="F300" s="599">
        <v>725129990</v>
      </c>
      <c r="G300" s="599"/>
      <c r="H300" s="599"/>
      <c r="I300" s="599"/>
      <c r="J300" s="599"/>
      <c r="K300" s="599"/>
      <c r="L300" s="599"/>
      <c r="M300" s="599"/>
      <c r="N300" s="599"/>
      <c r="O300" s="599"/>
      <c r="P300" s="599"/>
      <c r="Q300" s="882">
        <f t="shared" si="16"/>
        <v>725129990</v>
      </c>
      <c r="R300" s="599"/>
      <c r="S300" s="882">
        <f t="shared" si="18"/>
        <v>725</v>
      </c>
      <c r="T300" s="599">
        <f t="shared" si="18"/>
        <v>0</v>
      </c>
      <c r="U300" s="620"/>
      <c r="V300" s="621"/>
      <c r="W300" s="882">
        <f t="shared" si="19"/>
        <v>725129990</v>
      </c>
      <c r="X300" s="882">
        <f t="shared" si="17"/>
        <v>725</v>
      </c>
    </row>
    <row r="301" spans="1:24" ht="27" customHeight="1">
      <c r="A301" s="583"/>
      <c r="B301" s="583">
        <v>1018</v>
      </c>
      <c r="C301" s="581">
        <v>10</v>
      </c>
      <c r="D301" s="582" t="s">
        <v>395</v>
      </c>
      <c r="E301" s="583" t="s">
        <v>1652</v>
      </c>
      <c r="F301" s="599">
        <v>-13417500</v>
      </c>
      <c r="G301" s="599"/>
      <c r="H301" s="599"/>
      <c r="I301" s="599"/>
      <c r="J301" s="599"/>
      <c r="K301" s="599"/>
      <c r="L301" s="599"/>
      <c r="M301" s="599"/>
      <c r="N301" s="599"/>
      <c r="O301" s="599"/>
      <c r="P301" s="599"/>
      <c r="Q301" s="882">
        <f t="shared" si="16"/>
        <v>-13417500</v>
      </c>
      <c r="R301" s="599"/>
      <c r="S301" s="882">
        <f t="shared" si="18"/>
        <v>-13</v>
      </c>
      <c r="T301" s="599">
        <f t="shared" si="18"/>
        <v>0</v>
      </c>
      <c r="U301" s="620"/>
      <c r="V301" s="621"/>
      <c r="W301" s="882">
        <f t="shared" si="19"/>
        <v>-13417500</v>
      </c>
      <c r="X301" s="882">
        <f t="shared" si="17"/>
        <v>-13</v>
      </c>
    </row>
    <row r="302" spans="1:24" ht="27" customHeight="1">
      <c r="A302" s="583"/>
      <c r="B302" s="583">
        <v>506</v>
      </c>
      <c r="C302" s="581">
        <v>5</v>
      </c>
      <c r="D302" s="582" t="s">
        <v>1007</v>
      </c>
      <c r="E302" s="583" t="s">
        <v>1008</v>
      </c>
      <c r="F302" s="599">
        <v>60399903</v>
      </c>
      <c r="G302" s="599">
        <v>-1</v>
      </c>
      <c r="H302" s="599"/>
      <c r="I302" s="599"/>
      <c r="J302" s="599"/>
      <c r="K302" s="599"/>
      <c r="L302" s="599"/>
      <c r="M302" s="599"/>
      <c r="N302" s="599"/>
      <c r="O302" s="599"/>
      <c r="P302" s="599"/>
      <c r="Q302" s="882">
        <f t="shared" si="16"/>
        <v>60399902</v>
      </c>
      <c r="R302" s="599">
        <v>0</v>
      </c>
      <c r="S302" s="882">
        <f t="shared" si="18"/>
        <v>60</v>
      </c>
      <c r="T302" s="599">
        <f t="shared" si="18"/>
        <v>0</v>
      </c>
      <c r="U302" s="620"/>
      <c r="V302" s="621"/>
      <c r="W302" s="882">
        <f t="shared" si="19"/>
        <v>60399902</v>
      </c>
      <c r="X302" s="882">
        <f t="shared" si="17"/>
        <v>60</v>
      </c>
    </row>
    <row r="303" spans="1:24" ht="27" customHeight="1">
      <c r="A303" s="583"/>
      <c r="B303" s="583">
        <v>1018</v>
      </c>
      <c r="C303" s="581">
        <v>10</v>
      </c>
      <c r="D303" s="582" t="s">
        <v>167</v>
      </c>
      <c r="E303" s="583" t="s">
        <v>1027</v>
      </c>
      <c r="F303" s="599">
        <v>-125543265</v>
      </c>
      <c r="G303" s="599"/>
      <c r="H303" s="599"/>
      <c r="I303" s="599"/>
      <c r="J303" s="599"/>
      <c r="K303" s="599"/>
      <c r="L303" s="599"/>
      <c r="M303" s="599"/>
      <c r="N303" s="599"/>
      <c r="O303" s="599"/>
      <c r="P303" s="599"/>
      <c r="Q303" s="882">
        <f t="shared" si="16"/>
        <v>-125543265</v>
      </c>
      <c r="R303" s="599">
        <v>0</v>
      </c>
      <c r="S303" s="882">
        <f t="shared" si="18"/>
        <v>-126</v>
      </c>
      <c r="T303" s="599">
        <f t="shared" si="18"/>
        <v>0</v>
      </c>
      <c r="U303" s="620"/>
      <c r="V303" s="621"/>
      <c r="W303" s="882">
        <f t="shared" si="19"/>
        <v>-125543265</v>
      </c>
      <c r="X303" s="882">
        <f t="shared" si="17"/>
        <v>-126</v>
      </c>
    </row>
    <row r="304" spans="1:24" ht="27" customHeight="1">
      <c r="A304" s="583"/>
      <c r="B304" s="583">
        <v>506</v>
      </c>
      <c r="C304" s="581">
        <v>5</v>
      </c>
      <c r="D304" s="582" t="s">
        <v>1009</v>
      </c>
      <c r="E304" s="583" t="s">
        <v>1008</v>
      </c>
      <c r="F304" s="599">
        <v>545876737</v>
      </c>
      <c r="G304" s="599"/>
      <c r="H304" s="599"/>
      <c r="I304" s="599"/>
      <c r="J304" s="599"/>
      <c r="K304" s="599"/>
      <c r="L304" s="599"/>
      <c r="M304" s="599"/>
      <c r="N304" s="599"/>
      <c r="O304" s="599"/>
      <c r="P304" s="599"/>
      <c r="Q304" s="882">
        <f t="shared" si="16"/>
        <v>545876737</v>
      </c>
      <c r="R304" s="599">
        <v>2017</v>
      </c>
      <c r="S304" s="882">
        <f t="shared" si="18"/>
        <v>546</v>
      </c>
      <c r="T304" s="599">
        <f t="shared" si="18"/>
        <v>0</v>
      </c>
      <c r="U304" s="620"/>
      <c r="V304" s="621"/>
      <c r="W304" s="882">
        <f t="shared" si="19"/>
        <v>545876737</v>
      </c>
      <c r="X304" s="882">
        <f t="shared" si="17"/>
        <v>546</v>
      </c>
    </row>
    <row r="305" spans="1:24" ht="27" customHeight="1">
      <c r="A305" s="583"/>
      <c r="B305" s="583">
        <v>506</v>
      </c>
      <c r="C305" s="581">
        <v>5</v>
      </c>
      <c r="D305" s="582" t="s">
        <v>1024</v>
      </c>
      <c r="E305" s="583" t="s">
        <v>1025</v>
      </c>
      <c r="F305" s="599">
        <v>301000000</v>
      </c>
      <c r="G305" s="599">
        <v>-300998000</v>
      </c>
      <c r="H305" s="599"/>
      <c r="I305" s="599"/>
      <c r="J305" s="599"/>
      <c r="K305" s="599"/>
      <c r="L305" s="599"/>
      <c r="M305" s="599"/>
      <c r="N305" s="599"/>
      <c r="O305" s="599"/>
      <c r="P305" s="599"/>
      <c r="Q305" s="882">
        <f t="shared" si="16"/>
        <v>2000</v>
      </c>
      <c r="R305" s="599">
        <v>0</v>
      </c>
      <c r="S305" s="882">
        <f t="shared" si="18"/>
        <v>0</v>
      </c>
      <c r="T305" s="599">
        <f t="shared" si="18"/>
        <v>0</v>
      </c>
      <c r="U305" s="620"/>
      <c r="V305" s="621"/>
      <c r="W305" s="882">
        <f t="shared" si="19"/>
        <v>2000</v>
      </c>
      <c r="X305" s="882">
        <f t="shared" si="17"/>
        <v>0</v>
      </c>
    </row>
    <row r="306" spans="1:24" ht="27" customHeight="1">
      <c r="A306" s="583"/>
      <c r="B306" s="583">
        <v>506</v>
      </c>
      <c r="C306" s="581">
        <v>5</v>
      </c>
      <c r="D306" s="582" t="s">
        <v>282</v>
      </c>
      <c r="E306" s="583" t="s">
        <v>283</v>
      </c>
      <c r="F306" s="599">
        <v>861775263</v>
      </c>
      <c r="G306" s="599"/>
      <c r="H306" s="599"/>
      <c r="I306" s="599"/>
      <c r="J306" s="599"/>
      <c r="K306" s="599"/>
      <c r="L306" s="599"/>
      <c r="M306" s="599"/>
      <c r="N306" s="599"/>
      <c r="O306" s="599"/>
      <c r="P306" s="599"/>
      <c r="Q306" s="882">
        <f t="shared" si="16"/>
        <v>861775263</v>
      </c>
      <c r="R306" s="599">
        <v>861775263</v>
      </c>
      <c r="S306" s="882">
        <f t="shared" si="18"/>
        <v>862</v>
      </c>
      <c r="T306" s="599">
        <f t="shared" si="18"/>
        <v>862</v>
      </c>
      <c r="U306" s="620"/>
      <c r="V306" s="621"/>
      <c r="W306" s="882">
        <f t="shared" si="19"/>
        <v>861775263</v>
      </c>
      <c r="X306" s="882">
        <f t="shared" si="17"/>
        <v>862</v>
      </c>
    </row>
    <row r="307" spans="1:24" ht="27" customHeight="1">
      <c r="A307" s="583"/>
      <c r="B307" s="583">
        <v>506</v>
      </c>
      <c r="C307" s="581">
        <v>5</v>
      </c>
      <c r="D307" s="582" t="s">
        <v>76</v>
      </c>
      <c r="E307" s="583" t="s">
        <v>77</v>
      </c>
      <c r="F307" s="599">
        <v>130232068</v>
      </c>
      <c r="G307" s="599"/>
      <c r="H307" s="599"/>
      <c r="I307" s="599"/>
      <c r="J307" s="599"/>
      <c r="K307" s="599"/>
      <c r="L307" s="599"/>
      <c r="M307" s="599"/>
      <c r="N307" s="599"/>
      <c r="O307" s="599"/>
      <c r="P307" s="599"/>
      <c r="Q307" s="882">
        <f t="shared" si="16"/>
        <v>130232068</v>
      </c>
      <c r="R307" s="599">
        <v>103561380</v>
      </c>
      <c r="S307" s="882">
        <f t="shared" si="18"/>
        <v>130</v>
      </c>
      <c r="T307" s="599">
        <f t="shared" si="18"/>
        <v>104</v>
      </c>
      <c r="U307" s="620"/>
      <c r="V307" s="621"/>
      <c r="W307" s="882">
        <f t="shared" si="19"/>
        <v>130232068</v>
      </c>
      <c r="X307" s="882">
        <f t="shared" si="17"/>
        <v>130</v>
      </c>
    </row>
    <row r="308" spans="1:24" ht="27" customHeight="1">
      <c r="A308" s="583"/>
      <c r="B308" s="583">
        <v>1018</v>
      </c>
      <c r="C308" s="581">
        <v>10</v>
      </c>
      <c r="D308" s="582" t="s">
        <v>464</v>
      </c>
      <c r="E308" s="583" t="s">
        <v>311</v>
      </c>
      <c r="F308" s="599">
        <v>-716725263</v>
      </c>
      <c r="G308" s="599"/>
      <c r="H308" s="599"/>
      <c r="I308" s="599"/>
      <c r="J308" s="599"/>
      <c r="K308" s="599"/>
      <c r="L308" s="599"/>
      <c r="M308" s="599"/>
      <c r="N308" s="599"/>
      <c r="O308" s="599"/>
      <c r="P308" s="599"/>
      <c r="Q308" s="882">
        <f t="shared" si="16"/>
        <v>-716725263</v>
      </c>
      <c r="R308" s="599">
        <v>-744179185</v>
      </c>
      <c r="S308" s="882">
        <f t="shared" si="18"/>
        <v>-717</v>
      </c>
      <c r="T308" s="599">
        <f t="shared" si="18"/>
        <v>-744</v>
      </c>
      <c r="U308" s="620"/>
      <c r="V308" s="621"/>
      <c r="W308" s="882">
        <f t="shared" si="19"/>
        <v>-716725263</v>
      </c>
      <c r="X308" s="882">
        <f t="shared" si="17"/>
        <v>-717</v>
      </c>
    </row>
    <row r="309" spans="1:24" ht="27" customHeight="1">
      <c r="A309" s="583"/>
      <c r="B309" s="583">
        <v>506</v>
      </c>
      <c r="C309" s="581">
        <v>5</v>
      </c>
      <c r="D309" s="582" t="s">
        <v>1602</v>
      </c>
      <c r="E309" s="583" t="s">
        <v>1603</v>
      </c>
      <c r="F309" s="599">
        <v>55116683</v>
      </c>
      <c r="G309" s="599">
        <v>13297134</v>
      </c>
      <c r="H309" s="599"/>
      <c r="I309" s="599"/>
      <c r="J309" s="599"/>
      <c r="K309" s="599"/>
      <c r="L309" s="599"/>
      <c r="M309" s="599"/>
      <c r="N309" s="599"/>
      <c r="O309" s="599"/>
      <c r="P309" s="599"/>
      <c r="Q309" s="882">
        <f t="shared" si="16"/>
        <v>68413817</v>
      </c>
      <c r="R309" s="599"/>
      <c r="S309" s="882">
        <f t="shared" si="18"/>
        <v>68</v>
      </c>
      <c r="T309" s="599">
        <f t="shared" si="18"/>
        <v>0</v>
      </c>
      <c r="U309" s="620"/>
      <c r="V309" s="621"/>
      <c r="W309" s="882">
        <f t="shared" si="19"/>
        <v>68413817</v>
      </c>
      <c r="X309" s="882">
        <f t="shared" si="17"/>
        <v>68</v>
      </c>
    </row>
    <row r="310" spans="1:24" ht="27" customHeight="1">
      <c r="A310" s="583"/>
      <c r="B310" s="583">
        <v>506</v>
      </c>
      <c r="C310" s="581">
        <v>5</v>
      </c>
      <c r="D310" s="582" t="s">
        <v>594</v>
      </c>
      <c r="E310" s="583" t="s">
        <v>314</v>
      </c>
      <c r="F310" s="599">
        <v>270628</v>
      </c>
      <c r="G310" s="599">
        <v>31605</v>
      </c>
      <c r="H310" s="599"/>
      <c r="I310" s="599"/>
      <c r="J310" s="599"/>
      <c r="K310" s="599"/>
      <c r="L310" s="599"/>
      <c r="M310" s="599"/>
      <c r="N310" s="599"/>
      <c r="O310" s="599"/>
      <c r="P310" s="599"/>
      <c r="Q310" s="882">
        <f t="shared" si="16"/>
        <v>302233</v>
      </c>
      <c r="R310" s="599">
        <v>270628</v>
      </c>
      <c r="S310" s="882">
        <f t="shared" si="18"/>
        <v>0</v>
      </c>
      <c r="T310" s="599">
        <f t="shared" si="18"/>
        <v>0</v>
      </c>
      <c r="U310" s="620"/>
      <c r="V310" s="621"/>
      <c r="W310" s="882">
        <f t="shared" si="19"/>
        <v>302233</v>
      </c>
      <c r="X310" s="882">
        <f t="shared" si="17"/>
        <v>0</v>
      </c>
    </row>
    <row r="311" spans="1:24" ht="27" customHeight="1">
      <c r="A311" s="583"/>
      <c r="B311" s="583">
        <v>906</v>
      </c>
      <c r="C311" s="581">
        <v>9</v>
      </c>
      <c r="D311" s="582" t="s">
        <v>1604</v>
      </c>
      <c r="E311" s="583" t="s">
        <v>1605</v>
      </c>
      <c r="F311" s="599">
        <v>-340283821</v>
      </c>
      <c r="G311" s="599">
        <v>340283821</v>
      </c>
      <c r="H311" s="599"/>
      <c r="I311" s="599"/>
      <c r="J311" s="599"/>
      <c r="K311" s="599"/>
      <c r="L311" s="599"/>
      <c r="M311" s="599"/>
      <c r="N311" s="599"/>
      <c r="O311" s="599"/>
      <c r="P311" s="599"/>
      <c r="Q311" s="882">
        <f t="shared" si="16"/>
        <v>0</v>
      </c>
      <c r="R311" s="599"/>
      <c r="S311" s="882">
        <f t="shared" si="18"/>
        <v>0</v>
      </c>
      <c r="T311" s="599">
        <f t="shared" si="18"/>
        <v>0</v>
      </c>
      <c r="U311" s="620"/>
      <c r="V311" s="621"/>
      <c r="W311" s="882">
        <f t="shared" si="19"/>
        <v>0</v>
      </c>
      <c r="X311" s="882">
        <f t="shared" si="17"/>
        <v>0</v>
      </c>
    </row>
    <row r="312" spans="1:24" ht="27" customHeight="1">
      <c r="A312" s="583"/>
      <c r="B312" s="583"/>
      <c r="C312" s="581">
        <v>5</v>
      </c>
      <c r="D312" s="582" t="s">
        <v>595</v>
      </c>
      <c r="E312" s="583" t="s">
        <v>315</v>
      </c>
      <c r="F312" s="599"/>
      <c r="G312" s="599"/>
      <c r="H312" s="599"/>
      <c r="I312" s="599"/>
      <c r="J312" s="599"/>
      <c r="K312" s="599"/>
      <c r="L312" s="599"/>
      <c r="M312" s="599"/>
      <c r="N312" s="599"/>
      <c r="O312" s="599"/>
      <c r="P312" s="599"/>
      <c r="Q312" s="882">
        <f t="shared" si="16"/>
        <v>0</v>
      </c>
      <c r="R312" s="599">
        <v>0</v>
      </c>
      <c r="S312" s="882">
        <f t="shared" si="18"/>
        <v>0</v>
      </c>
      <c r="T312" s="599">
        <f t="shared" si="18"/>
        <v>0</v>
      </c>
      <c r="U312" s="620"/>
      <c r="V312" s="621"/>
      <c r="W312" s="882">
        <f t="shared" si="19"/>
        <v>0</v>
      </c>
      <c r="X312" s="882">
        <f t="shared" si="17"/>
        <v>0</v>
      </c>
    </row>
    <row r="313" spans="1:24" ht="27" customHeight="1">
      <c r="A313" s="583"/>
      <c r="B313" s="583">
        <v>506</v>
      </c>
      <c r="C313" s="581">
        <v>5</v>
      </c>
      <c r="D313" s="582" t="s">
        <v>333</v>
      </c>
      <c r="E313" s="583" t="s">
        <v>334</v>
      </c>
      <c r="F313" s="599">
        <v>525822</v>
      </c>
      <c r="G313" s="599">
        <v>-525822</v>
      </c>
      <c r="H313" s="599"/>
      <c r="I313" s="599"/>
      <c r="J313" s="599"/>
      <c r="K313" s="599"/>
      <c r="L313" s="599"/>
      <c r="M313" s="599"/>
      <c r="N313" s="599"/>
      <c r="O313" s="599"/>
      <c r="P313" s="599"/>
      <c r="Q313" s="882">
        <f t="shared" si="16"/>
        <v>0</v>
      </c>
      <c r="R313" s="599">
        <v>525822</v>
      </c>
      <c r="S313" s="882">
        <f t="shared" si="18"/>
        <v>0</v>
      </c>
      <c r="T313" s="599">
        <f t="shared" si="18"/>
        <v>1</v>
      </c>
      <c r="U313" s="620"/>
      <c r="V313" s="621"/>
      <c r="W313" s="882">
        <f t="shared" si="19"/>
        <v>0</v>
      </c>
      <c r="X313" s="882">
        <f t="shared" si="17"/>
        <v>0</v>
      </c>
    </row>
    <row r="314" spans="1:24" ht="27" customHeight="1">
      <c r="A314" s="583"/>
      <c r="B314" s="583">
        <v>501</v>
      </c>
      <c r="C314" s="581">
        <v>5</v>
      </c>
      <c r="D314" s="582" t="s">
        <v>902</v>
      </c>
      <c r="E314" s="583" t="s">
        <v>1030</v>
      </c>
      <c r="F314" s="599">
        <v>-4326402600</v>
      </c>
      <c r="G314" s="599">
        <v>4326402600</v>
      </c>
      <c r="H314" s="599"/>
      <c r="I314" s="599"/>
      <c r="J314" s="599"/>
      <c r="K314" s="599"/>
      <c r="L314" s="599"/>
      <c r="M314" s="599"/>
      <c r="N314" s="599"/>
      <c r="O314" s="599"/>
      <c r="P314" s="599"/>
      <c r="Q314" s="882">
        <f t="shared" si="16"/>
        <v>0</v>
      </c>
      <c r="R314" s="599">
        <v>1</v>
      </c>
      <c r="S314" s="882">
        <f t="shared" si="18"/>
        <v>0</v>
      </c>
      <c r="T314" s="599">
        <f t="shared" si="18"/>
        <v>0</v>
      </c>
      <c r="U314" s="620"/>
      <c r="V314" s="621"/>
      <c r="W314" s="882">
        <f t="shared" si="19"/>
        <v>0</v>
      </c>
      <c r="X314" s="882">
        <f t="shared" si="17"/>
        <v>0</v>
      </c>
    </row>
    <row r="315" spans="1:24" ht="27" customHeight="1">
      <c r="A315" s="583"/>
      <c r="B315" s="583"/>
      <c r="C315" s="581">
        <v>9</v>
      </c>
      <c r="D315" s="582" t="s">
        <v>903</v>
      </c>
      <c r="E315" s="583" t="s">
        <v>912</v>
      </c>
      <c r="F315" s="599"/>
      <c r="G315" s="599"/>
      <c r="H315" s="599"/>
      <c r="I315" s="599"/>
      <c r="J315" s="599"/>
      <c r="K315" s="599"/>
      <c r="L315" s="599"/>
      <c r="M315" s="599"/>
      <c r="N315" s="599"/>
      <c r="O315" s="599"/>
      <c r="P315" s="599"/>
      <c r="Q315" s="882">
        <f t="shared" si="16"/>
        <v>0</v>
      </c>
      <c r="R315" s="599">
        <v>0</v>
      </c>
      <c r="S315" s="882">
        <f t="shared" si="18"/>
        <v>0</v>
      </c>
      <c r="T315" s="599">
        <f t="shared" si="18"/>
        <v>0</v>
      </c>
      <c r="U315" s="620"/>
      <c r="V315" s="621"/>
      <c r="W315" s="882">
        <f t="shared" si="19"/>
        <v>0</v>
      </c>
      <c r="X315" s="882">
        <f t="shared" si="17"/>
        <v>0</v>
      </c>
    </row>
    <row r="316" spans="1:24" ht="27" customHeight="1">
      <c r="A316" s="583"/>
      <c r="B316" s="583">
        <v>506</v>
      </c>
      <c r="C316" s="581">
        <v>5</v>
      </c>
      <c r="D316" s="582" t="s">
        <v>596</v>
      </c>
      <c r="E316" s="583" t="s">
        <v>762</v>
      </c>
      <c r="F316" s="599">
        <v>15278062188</v>
      </c>
      <c r="G316" s="599">
        <v>-1950630658</v>
      </c>
      <c r="H316" s="599">
        <v>25888719</v>
      </c>
      <c r="I316" s="599">
        <v>-16446302</v>
      </c>
      <c r="J316" s="599"/>
      <c r="K316" s="599"/>
      <c r="L316" s="599"/>
      <c r="M316" s="599"/>
      <c r="N316" s="599"/>
      <c r="O316" s="599"/>
      <c r="P316" s="599"/>
      <c r="Q316" s="882">
        <f t="shared" si="16"/>
        <v>13336873947</v>
      </c>
      <c r="R316" s="599">
        <v>8158654264</v>
      </c>
      <c r="S316" s="882">
        <f t="shared" si="18"/>
        <v>13337</v>
      </c>
      <c r="T316" s="599">
        <f t="shared" si="18"/>
        <v>8159</v>
      </c>
      <c r="U316" s="620"/>
      <c r="V316" s="621"/>
      <c r="W316" s="882">
        <f t="shared" si="19"/>
        <v>13336873947</v>
      </c>
      <c r="X316" s="882">
        <f t="shared" si="17"/>
        <v>13337</v>
      </c>
    </row>
    <row r="317" spans="1:24" ht="27" customHeight="1">
      <c r="A317" s="583">
        <v>3214</v>
      </c>
      <c r="B317" s="583">
        <v>907</v>
      </c>
      <c r="C317" s="581">
        <v>9</v>
      </c>
      <c r="D317" s="582" t="s">
        <v>596</v>
      </c>
      <c r="E317" s="583" t="s">
        <v>1458</v>
      </c>
      <c r="F317" s="599"/>
      <c r="G317" s="599"/>
      <c r="H317" s="599"/>
      <c r="I317" s="599"/>
      <c r="J317" s="599"/>
      <c r="K317" s="599"/>
      <c r="L317" s="599"/>
      <c r="M317" s="599"/>
      <c r="N317" s="599"/>
      <c r="O317" s="599"/>
      <c r="P317" s="599"/>
      <c r="Q317" s="882">
        <f t="shared" si="16"/>
        <v>0</v>
      </c>
      <c r="R317" s="599">
        <v>0</v>
      </c>
      <c r="S317" s="882">
        <f t="shared" si="18"/>
        <v>0</v>
      </c>
      <c r="T317" s="599">
        <f t="shared" si="18"/>
        <v>0</v>
      </c>
      <c r="U317" s="620"/>
      <c r="V317" s="621"/>
      <c r="W317" s="882">
        <f t="shared" si="19"/>
        <v>0</v>
      </c>
      <c r="X317" s="882">
        <f t="shared" si="17"/>
        <v>0</v>
      </c>
    </row>
    <row r="318" spans="1:24" ht="27" customHeight="1">
      <c r="A318" s="583"/>
      <c r="B318" s="583">
        <v>403</v>
      </c>
      <c r="C318" s="581">
        <v>4</v>
      </c>
      <c r="D318" s="582" t="s">
        <v>1385</v>
      </c>
      <c r="E318" s="583" t="s">
        <v>740</v>
      </c>
      <c r="F318" s="599"/>
      <c r="G318" s="599"/>
      <c r="H318" s="599"/>
      <c r="I318" s="599"/>
      <c r="J318" s="599"/>
      <c r="K318" s="599"/>
      <c r="L318" s="599"/>
      <c r="M318" s="599"/>
      <c r="N318" s="599"/>
      <c r="O318" s="599"/>
      <c r="P318" s="599"/>
      <c r="Q318" s="882">
        <f t="shared" si="16"/>
        <v>0</v>
      </c>
      <c r="R318" s="599">
        <v>4208778662</v>
      </c>
      <c r="S318" s="882">
        <f t="shared" si="18"/>
        <v>0</v>
      </c>
      <c r="T318" s="599">
        <f t="shared" si="18"/>
        <v>4209</v>
      </c>
      <c r="U318" s="620"/>
      <c r="V318" s="621"/>
      <c r="W318" s="882">
        <f t="shared" si="19"/>
        <v>0</v>
      </c>
      <c r="X318" s="882">
        <f t="shared" si="17"/>
        <v>0</v>
      </c>
    </row>
    <row r="319" spans="1:24" ht="27" customHeight="1">
      <c r="A319" s="583"/>
      <c r="B319" s="583">
        <v>607</v>
      </c>
      <c r="C319" s="581">
        <v>6</v>
      </c>
      <c r="D319" s="582" t="s">
        <v>1384</v>
      </c>
      <c r="E319" s="583" t="s">
        <v>1401</v>
      </c>
      <c r="F319" s="599">
        <v>7451547147</v>
      </c>
      <c r="G319" s="599">
        <v>-3345149249</v>
      </c>
      <c r="H319" s="599"/>
      <c r="I319" s="599">
        <v>285677000</v>
      </c>
      <c r="J319" s="599"/>
      <c r="K319" s="599"/>
      <c r="L319" s="599"/>
      <c r="M319" s="599"/>
      <c r="N319" s="599"/>
      <c r="O319" s="599"/>
      <c r="P319" s="599"/>
      <c r="Q319" s="882">
        <f t="shared" si="16"/>
        <v>4392074898</v>
      </c>
      <c r="R319" s="599">
        <v>20942892857</v>
      </c>
      <c r="S319" s="882">
        <f t="shared" si="18"/>
        <v>4392</v>
      </c>
      <c r="T319" s="599">
        <f t="shared" si="18"/>
        <v>20943</v>
      </c>
      <c r="U319" s="620"/>
      <c r="V319" s="621"/>
      <c r="W319" s="882">
        <f t="shared" si="19"/>
        <v>4392074898</v>
      </c>
      <c r="X319" s="882">
        <f t="shared" si="17"/>
        <v>4392</v>
      </c>
    </row>
    <row r="320" spans="1:24" ht="27" customHeight="1">
      <c r="A320" s="583"/>
      <c r="B320" s="583">
        <v>607</v>
      </c>
      <c r="C320" s="581">
        <v>6</v>
      </c>
      <c r="D320" s="582" t="s">
        <v>319</v>
      </c>
      <c r="E320" s="583" t="s">
        <v>1035</v>
      </c>
      <c r="F320" s="599"/>
      <c r="G320" s="599"/>
      <c r="H320" s="599"/>
      <c r="I320" s="599"/>
      <c r="J320" s="599"/>
      <c r="K320" s="599"/>
      <c r="L320" s="599"/>
      <c r="M320" s="599"/>
      <c r="N320" s="599"/>
      <c r="O320" s="599"/>
      <c r="P320" s="599"/>
      <c r="Q320" s="882">
        <f t="shared" si="16"/>
        <v>0</v>
      </c>
      <c r="R320" s="599">
        <v>0</v>
      </c>
      <c r="S320" s="882">
        <f t="shared" si="18"/>
        <v>0</v>
      </c>
      <c r="T320" s="599">
        <f t="shared" si="18"/>
        <v>0</v>
      </c>
      <c r="U320" s="620"/>
      <c r="V320" s="621"/>
      <c r="W320" s="882">
        <f t="shared" si="19"/>
        <v>0</v>
      </c>
      <c r="X320" s="882">
        <f t="shared" si="17"/>
        <v>0</v>
      </c>
    </row>
    <row r="321" spans="1:24" ht="27" customHeight="1">
      <c r="A321" s="583"/>
      <c r="B321" s="583">
        <v>607</v>
      </c>
      <c r="C321" s="581">
        <v>6</v>
      </c>
      <c r="D321" s="582" t="s">
        <v>321</v>
      </c>
      <c r="E321" s="583" t="s">
        <v>1656</v>
      </c>
      <c r="F321" s="599">
        <v>16566221101</v>
      </c>
      <c r="G321" s="599">
        <v>-12945400000</v>
      </c>
      <c r="H321" s="599"/>
      <c r="I321" s="599">
        <v>-7381101</v>
      </c>
      <c r="J321" s="599"/>
      <c r="K321" s="599"/>
      <c r="L321" s="599"/>
      <c r="M321" s="599"/>
      <c r="N321" s="599"/>
      <c r="O321" s="599"/>
      <c r="P321" s="599"/>
      <c r="Q321" s="882">
        <f t="shared" si="16"/>
        <v>3613440000</v>
      </c>
      <c r="R321" s="599">
        <v>9550944000</v>
      </c>
      <c r="S321" s="882">
        <f t="shared" si="18"/>
        <v>3613</v>
      </c>
      <c r="T321" s="599">
        <f t="shared" si="18"/>
        <v>9551</v>
      </c>
      <c r="U321" s="620"/>
      <c r="V321" s="621"/>
      <c r="W321" s="882">
        <f t="shared" si="19"/>
        <v>3613440000</v>
      </c>
      <c r="X321" s="882">
        <f t="shared" si="17"/>
        <v>3613</v>
      </c>
    </row>
    <row r="322" spans="1:24" ht="27" customHeight="1">
      <c r="A322" s="583"/>
      <c r="B322" s="583">
        <v>403</v>
      </c>
      <c r="C322" s="581">
        <v>4</v>
      </c>
      <c r="D322" s="582" t="s">
        <v>323</v>
      </c>
      <c r="E322" s="583" t="s">
        <v>1036</v>
      </c>
      <c r="F322" s="599"/>
      <c r="G322" s="599"/>
      <c r="H322" s="599"/>
      <c r="I322" s="599"/>
      <c r="J322" s="599"/>
      <c r="K322" s="599"/>
      <c r="L322" s="599"/>
      <c r="M322" s="599"/>
      <c r="N322" s="599"/>
      <c r="O322" s="599"/>
      <c r="P322" s="599"/>
      <c r="Q322" s="882">
        <f t="shared" si="16"/>
        <v>0</v>
      </c>
      <c r="R322" s="599">
        <v>-16110379536</v>
      </c>
      <c r="S322" s="882">
        <f t="shared" si="18"/>
        <v>0</v>
      </c>
      <c r="T322" s="599">
        <f t="shared" si="18"/>
        <v>-16110</v>
      </c>
      <c r="U322" s="620"/>
      <c r="V322" s="621"/>
      <c r="W322" s="882">
        <f t="shared" si="19"/>
        <v>0</v>
      </c>
      <c r="X322" s="882">
        <f t="shared" si="17"/>
        <v>0</v>
      </c>
    </row>
    <row r="323" spans="1:24" ht="27" customHeight="1">
      <c r="A323" s="583">
        <v>11</v>
      </c>
      <c r="B323" s="583">
        <v>907</v>
      </c>
      <c r="C323" s="581">
        <v>9</v>
      </c>
      <c r="D323" s="582" t="s">
        <v>323</v>
      </c>
      <c r="E323" s="583" t="s">
        <v>1037</v>
      </c>
      <c r="F323" s="599">
        <v>276545709165</v>
      </c>
      <c r="G323" s="599">
        <v>-4768443207</v>
      </c>
      <c r="H323" s="599"/>
      <c r="I323" s="599"/>
      <c r="J323" s="599"/>
      <c r="K323" s="599"/>
      <c r="L323" s="599"/>
      <c r="M323" s="599"/>
      <c r="N323" s="599"/>
      <c r="O323" s="599">
        <v>-271777265958</v>
      </c>
      <c r="P323" s="599"/>
      <c r="Q323" s="882">
        <f t="shared" si="16"/>
        <v>0</v>
      </c>
      <c r="R323" s="599">
        <v>105005572657</v>
      </c>
      <c r="S323" s="882">
        <f t="shared" si="18"/>
        <v>0</v>
      </c>
      <c r="T323" s="599">
        <f t="shared" si="18"/>
        <v>105006</v>
      </c>
      <c r="U323" s="620"/>
      <c r="V323" s="621"/>
      <c r="W323" s="882">
        <f t="shared" si="19"/>
        <v>0</v>
      </c>
      <c r="X323" s="882">
        <f t="shared" si="17"/>
        <v>0</v>
      </c>
    </row>
    <row r="324" spans="1:24" ht="27" customHeight="1">
      <c r="A324" s="583">
        <v>11</v>
      </c>
      <c r="B324" s="583">
        <v>907</v>
      </c>
      <c r="C324" s="581">
        <v>9</v>
      </c>
      <c r="D324" s="582" t="s">
        <v>325</v>
      </c>
      <c r="E324" s="583" t="s">
        <v>1038</v>
      </c>
      <c r="F324" s="599">
        <v>152059182941</v>
      </c>
      <c r="G324" s="599">
        <v>-72513754150</v>
      </c>
      <c r="H324" s="599"/>
      <c r="I324" s="599">
        <v>7381101</v>
      </c>
      <c r="J324" s="599"/>
      <c r="K324" s="599"/>
      <c r="L324" s="599"/>
      <c r="M324" s="599"/>
      <c r="N324" s="599"/>
      <c r="O324" s="599">
        <f>-53245100067+72513754152</f>
        <v>19268654085</v>
      </c>
      <c r="P324" s="599"/>
      <c r="Q324" s="882">
        <f t="shared" ref="Q324:Q387" si="20">SUM(F324:P324)</f>
        <v>98821463977</v>
      </c>
      <c r="R324" s="599">
        <v>0</v>
      </c>
      <c r="S324" s="882">
        <f t="shared" si="18"/>
        <v>98821</v>
      </c>
      <c r="T324" s="599">
        <f t="shared" si="18"/>
        <v>0</v>
      </c>
      <c r="U324" s="620"/>
      <c r="V324" s="621"/>
      <c r="W324" s="882">
        <f t="shared" si="19"/>
        <v>98821463977</v>
      </c>
      <c r="X324" s="882">
        <f t="shared" si="17"/>
        <v>98821</v>
      </c>
    </row>
    <row r="325" spans="1:24" ht="27" customHeight="1">
      <c r="A325" s="583"/>
      <c r="B325" s="583">
        <v>906</v>
      </c>
      <c r="C325" s="581">
        <v>9</v>
      </c>
      <c r="D325" s="582" t="s">
        <v>751</v>
      </c>
      <c r="E325" s="583" t="s">
        <v>752</v>
      </c>
      <c r="F325" s="599"/>
      <c r="G325" s="599"/>
      <c r="H325" s="599"/>
      <c r="I325" s="599"/>
      <c r="J325" s="599"/>
      <c r="K325" s="599"/>
      <c r="L325" s="599"/>
      <c r="M325" s="599"/>
      <c r="N325" s="599"/>
      <c r="O325" s="599"/>
      <c r="P325" s="599"/>
      <c r="Q325" s="882">
        <f t="shared" si="20"/>
        <v>0</v>
      </c>
      <c r="R325" s="599">
        <v>0</v>
      </c>
      <c r="S325" s="882">
        <f t="shared" si="18"/>
        <v>0</v>
      </c>
      <c r="T325" s="599">
        <f t="shared" si="18"/>
        <v>0</v>
      </c>
      <c r="U325" s="620"/>
      <c r="V325" s="621"/>
      <c r="W325" s="882">
        <f t="shared" si="19"/>
        <v>0</v>
      </c>
      <c r="X325" s="882">
        <f t="shared" ref="X325:X390" si="21">ROUND((W325/1000000),0)</f>
        <v>0</v>
      </c>
    </row>
    <row r="326" spans="1:24" ht="27" customHeight="1">
      <c r="A326" s="583"/>
      <c r="B326" s="583"/>
      <c r="C326" s="581"/>
      <c r="D326" s="582"/>
      <c r="E326" s="583"/>
      <c r="F326" s="599"/>
      <c r="G326" s="599"/>
      <c r="H326" s="599"/>
      <c r="I326" s="599"/>
      <c r="J326" s="599"/>
      <c r="K326" s="599"/>
      <c r="L326" s="599"/>
      <c r="M326" s="599"/>
      <c r="N326" s="599"/>
      <c r="O326" s="599"/>
      <c r="P326" s="599"/>
      <c r="Q326" s="882">
        <f t="shared" si="20"/>
        <v>0</v>
      </c>
      <c r="R326" s="599"/>
      <c r="S326" s="882"/>
      <c r="T326" s="599"/>
      <c r="U326" s="620"/>
      <c r="V326" s="621"/>
      <c r="W326" s="882"/>
      <c r="X326" s="882"/>
    </row>
    <row r="327" spans="1:24" ht="27" customHeight="1">
      <c r="A327" s="583"/>
      <c r="B327" s="583">
        <v>907</v>
      </c>
      <c r="C327" s="581">
        <v>9</v>
      </c>
      <c r="D327" s="582" t="s">
        <v>751</v>
      </c>
      <c r="E327" s="583" t="s">
        <v>752</v>
      </c>
      <c r="F327" s="599"/>
      <c r="G327" s="599"/>
      <c r="H327" s="599"/>
      <c r="I327" s="599"/>
      <c r="J327" s="599"/>
      <c r="K327" s="599"/>
      <c r="L327" s="599"/>
      <c r="M327" s="599"/>
      <c r="N327" s="599"/>
      <c r="O327" s="599"/>
      <c r="P327" s="599"/>
      <c r="Q327" s="882">
        <f t="shared" si="20"/>
        <v>0</v>
      </c>
      <c r="R327" s="599">
        <v>0</v>
      </c>
      <c r="S327" s="882">
        <f t="shared" si="18"/>
        <v>0</v>
      </c>
      <c r="T327" s="599">
        <f t="shared" si="18"/>
        <v>0</v>
      </c>
      <c r="U327" s="620"/>
      <c r="V327" s="621"/>
      <c r="W327" s="882">
        <f t="shared" si="19"/>
        <v>0</v>
      </c>
      <c r="X327" s="882">
        <f t="shared" si="21"/>
        <v>0</v>
      </c>
    </row>
    <row r="328" spans="1:24" ht="27" customHeight="1">
      <c r="A328" s="583"/>
      <c r="B328" s="583">
        <v>601</v>
      </c>
      <c r="C328" s="581">
        <v>6</v>
      </c>
      <c r="D328" s="582" t="s">
        <v>750</v>
      </c>
      <c r="E328" s="583" t="s">
        <v>752</v>
      </c>
      <c r="F328" s="599"/>
      <c r="G328" s="599"/>
      <c r="H328" s="599"/>
      <c r="I328" s="599"/>
      <c r="J328" s="599"/>
      <c r="K328" s="599"/>
      <c r="L328" s="599"/>
      <c r="M328" s="599"/>
      <c r="N328" s="599"/>
      <c r="O328" s="599"/>
      <c r="P328" s="599"/>
      <c r="Q328" s="882">
        <f t="shared" si="20"/>
        <v>0</v>
      </c>
      <c r="R328" s="599">
        <v>0</v>
      </c>
      <c r="S328" s="882">
        <f t="shared" si="18"/>
        <v>0</v>
      </c>
      <c r="T328" s="599">
        <f t="shared" si="18"/>
        <v>0</v>
      </c>
      <c r="U328" s="620"/>
      <c r="V328" s="621"/>
      <c r="W328" s="882">
        <f t="shared" si="19"/>
        <v>0</v>
      </c>
      <c r="X328" s="882">
        <f t="shared" si="21"/>
        <v>0</v>
      </c>
    </row>
    <row r="329" spans="1:24" ht="27" customHeight="1">
      <c r="A329" s="583"/>
      <c r="B329" s="583">
        <v>302</v>
      </c>
      <c r="C329" s="581">
        <v>3</v>
      </c>
      <c r="D329" s="582" t="s">
        <v>750</v>
      </c>
      <c r="E329" s="583" t="s">
        <v>752</v>
      </c>
      <c r="F329" s="599"/>
      <c r="G329" s="599"/>
      <c r="H329" s="599"/>
      <c r="I329" s="599"/>
      <c r="J329" s="599"/>
      <c r="K329" s="599"/>
      <c r="L329" s="599"/>
      <c r="M329" s="599"/>
      <c r="N329" s="599"/>
      <c r="O329" s="599"/>
      <c r="P329" s="599"/>
      <c r="Q329" s="882">
        <f t="shared" si="20"/>
        <v>0</v>
      </c>
      <c r="R329" s="599">
        <v>0</v>
      </c>
      <c r="S329" s="882">
        <f t="shared" si="18"/>
        <v>0</v>
      </c>
      <c r="T329" s="599">
        <f t="shared" si="18"/>
        <v>0</v>
      </c>
      <c r="U329" s="620"/>
      <c r="V329" s="621"/>
      <c r="W329" s="882">
        <f t="shared" si="19"/>
        <v>0</v>
      </c>
      <c r="X329" s="882">
        <f t="shared" si="21"/>
        <v>0</v>
      </c>
    </row>
    <row r="330" spans="1:24" ht="27" customHeight="1">
      <c r="A330" s="583"/>
      <c r="B330" s="583"/>
      <c r="C330" s="581">
        <v>13</v>
      </c>
      <c r="D330" s="582" t="s">
        <v>327</v>
      </c>
      <c r="E330" s="583" t="s">
        <v>328</v>
      </c>
      <c r="F330" s="599">
        <v>-12000000000000</v>
      </c>
      <c r="G330" s="599"/>
      <c r="H330" s="599"/>
      <c r="I330" s="599"/>
      <c r="J330" s="599"/>
      <c r="K330" s="599"/>
      <c r="L330" s="599"/>
      <c r="M330" s="599"/>
      <c r="N330" s="599"/>
      <c r="O330" s="599"/>
      <c r="P330" s="599"/>
      <c r="Q330" s="882">
        <f t="shared" si="20"/>
        <v>-12000000000000</v>
      </c>
      <c r="R330" s="599">
        <v>-12000000000000</v>
      </c>
      <c r="S330" s="882">
        <f t="shared" si="18"/>
        <v>-12000000</v>
      </c>
      <c r="T330" s="599">
        <f t="shared" si="18"/>
        <v>-12000000</v>
      </c>
      <c r="U330" s="620"/>
      <c r="V330" s="621"/>
      <c r="W330" s="882">
        <f t="shared" si="19"/>
        <v>-12000000000000</v>
      </c>
      <c r="X330" s="882">
        <f t="shared" si="21"/>
        <v>-12000000</v>
      </c>
    </row>
    <row r="331" spans="1:24" ht="27" customHeight="1">
      <c r="A331" s="583"/>
      <c r="B331" s="583">
        <v>10040</v>
      </c>
      <c r="C331" s="581">
        <v>4</v>
      </c>
      <c r="D331" s="582" t="s">
        <v>1345</v>
      </c>
      <c r="E331" s="583" t="s">
        <v>1346</v>
      </c>
      <c r="F331" s="599">
        <v>-6718089345071</v>
      </c>
      <c r="G331" s="599"/>
      <c r="H331" s="599"/>
      <c r="I331" s="599"/>
      <c r="J331" s="599">
        <v>6718089345071</v>
      </c>
      <c r="K331" s="599"/>
      <c r="L331" s="599"/>
      <c r="M331" s="599"/>
      <c r="N331" s="599"/>
      <c r="O331" s="599"/>
      <c r="P331" s="599"/>
      <c r="Q331" s="599">
        <f t="shared" si="20"/>
        <v>0</v>
      </c>
      <c r="R331" s="599">
        <v>-6718089345071</v>
      </c>
      <c r="S331" s="599">
        <f t="shared" si="18"/>
        <v>0</v>
      </c>
      <c r="T331" s="599">
        <f t="shared" si="18"/>
        <v>-6718089</v>
      </c>
      <c r="U331" s="620"/>
      <c r="V331" s="621"/>
      <c r="W331" s="882">
        <f t="shared" si="19"/>
        <v>0</v>
      </c>
      <c r="X331" s="882">
        <f t="shared" si="21"/>
        <v>0</v>
      </c>
    </row>
    <row r="332" spans="1:24" ht="27" customHeight="1">
      <c r="A332" s="583"/>
      <c r="B332" s="583">
        <v>1401</v>
      </c>
      <c r="C332" s="581">
        <v>14</v>
      </c>
      <c r="D332" s="582" t="s">
        <v>329</v>
      </c>
      <c r="E332" s="583" t="s">
        <v>330</v>
      </c>
      <c r="F332" s="599">
        <v>-500000</v>
      </c>
      <c r="G332" s="599"/>
      <c r="H332" s="599"/>
      <c r="I332" s="599"/>
      <c r="J332" s="599"/>
      <c r="K332" s="599"/>
      <c r="L332" s="599"/>
      <c r="M332" s="599"/>
      <c r="N332" s="599"/>
      <c r="O332" s="599"/>
      <c r="P332" s="599"/>
      <c r="Q332" s="882">
        <f t="shared" si="20"/>
        <v>-500000</v>
      </c>
      <c r="R332" s="599">
        <v>-500000</v>
      </c>
      <c r="S332" s="882">
        <f t="shared" si="18"/>
        <v>-1</v>
      </c>
      <c r="T332" s="599">
        <f t="shared" si="18"/>
        <v>-1</v>
      </c>
      <c r="U332" s="620"/>
      <c r="V332" s="621"/>
      <c r="W332" s="882">
        <f t="shared" si="19"/>
        <v>-500000</v>
      </c>
      <c r="X332" s="882">
        <f t="shared" si="21"/>
        <v>-1</v>
      </c>
    </row>
    <row r="333" spans="1:24" ht="27" customHeight="1">
      <c r="A333" s="583"/>
      <c r="B333" s="583">
        <v>1402</v>
      </c>
      <c r="C333" s="581">
        <v>14</v>
      </c>
      <c r="D333" s="582" t="s">
        <v>331</v>
      </c>
      <c r="E333" s="583" t="s">
        <v>332</v>
      </c>
      <c r="F333" s="599">
        <v>-2735500000</v>
      </c>
      <c r="G333" s="599"/>
      <c r="H333" s="599"/>
      <c r="I333" s="599"/>
      <c r="J333" s="599"/>
      <c r="K333" s="599"/>
      <c r="L333" s="599"/>
      <c r="M333" s="599"/>
      <c r="N333" s="599"/>
      <c r="O333" s="599"/>
      <c r="P333" s="599"/>
      <c r="Q333" s="882">
        <f t="shared" si="20"/>
        <v>-2735500000</v>
      </c>
      <c r="R333" s="599">
        <v>-2735500000</v>
      </c>
      <c r="S333" s="882">
        <f t="shared" si="18"/>
        <v>-2736</v>
      </c>
      <c r="T333" s="599">
        <f t="shared" si="18"/>
        <v>-2736</v>
      </c>
      <c r="U333" s="620"/>
      <c r="V333" s="621"/>
      <c r="W333" s="882">
        <f t="shared" si="19"/>
        <v>-2735500000</v>
      </c>
      <c r="X333" s="882">
        <f t="shared" si="21"/>
        <v>-2736</v>
      </c>
    </row>
    <row r="334" spans="1:24" ht="27" customHeight="1">
      <c r="A334" s="583"/>
      <c r="B334" s="583">
        <v>406</v>
      </c>
      <c r="C334" s="581">
        <v>4</v>
      </c>
      <c r="D334" s="582" t="s">
        <v>1211</v>
      </c>
      <c r="E334" s="583" t="s">
        <v>1165</v>
      </c>
      <c r="F334" s="599"/>
      <c r="G334" s="599"/>
      <c r="H334" s="599"/>
      <c r="I334" s="599"/>
      <c r="J334" s="599"/>
      <c r="K334" s="599"/>
      <c r="L334" s="599"/>
      <c r="M334" s="599"/>
      <c r="N334" s="599"/>
      <c r="O334" s="599"/>
      <c r="P334" s="599"/>
      <c r="Q334" s="882">
        <f t="shared" si="20"/>
        <v>0</v>
      </c>
      <c r="R334" s="599">
        <v>0</v>
      </c>
      <c r="S334" s="882">
        <f t="shared" si="18"/>
        <v>0</v>
      </c>
      <c r="T334" s="599">
        <f t="shared" si="18"/>
        <v>0</v>
      </c>
      <c r="U334" s="620"/>
      <c r="V334" s="621"/>
      <c r="W334" s="882">
        <f t="shared" si="19"/>
        <v>0</v>
      </c>
      <c r="X334" s="882">
        <f t="shared" si="21"/>
        <v>0</v>
      </c>
    </row>
    <row r="335" spans="1:24" ht="27" customHeight="1">
      <c r="A335" s="583"/>
      <c r="B335" s="583">
        <v>901</v>
      </c>
      <c r="C335" s="581">
        <v>9</v>
      </c>
      <c r="D335" s="582" t="s">
        <v>112</v>
      </c>
      <c r="E335" s="583" t="s">
        <v>113</v>
      </c>
      <c r="F335" s="599">
        <v>2058742458827</v>
      </c>
      <c r="G335" s="599"/>
      <c r="H335" s="599">
        <v>93431118869</v>
      </c>
      <c r="I335" s="599">
        <v>-58228029200</v>
      </c>
      <c r="J335" s="599"/>
      <c r="K335" s="599"/>
      <c r="L335" s="599">
        <v>67597253000</v>
      </c>
      <c r="M335" s="599"/>
      <c r="N335" s="599"/>
      <c r="O335" s="599"/>
      <c r="P335" s="599"/>
      <c r="Q335" s="882">
        <f t="shared" si="20"/>
        <v>2161542801496</v>
      </c>
      <c r="R335" s="599">
        <v>2058742458827</v>
      </c>
      <c r="S335" s="882">
        <f t="shared" si="18"/>
        <v>2161543</v>
      </c>
      <c r="T335" s="599">
        <f t="shared" si="18"/>
        <v>2058742</v>
      </c>
      <c r="U335" s="620"/>
      <c r="V335" s="621"/>
      <c r="W335" s="882">
        <f t="shared" si="19"/>
        <v>2161542801496</v>
      </c>
      <c r="X335" s="882">
        <f t="shared" si="21"/>
        <v>2161543</v>
      </c>
    </row>
    <row r="336" spans="1:24" ht="27" customHeight="1">
      <c r="A336" s="583"/>
      <c r="B336" s="583">
        <v>902</v>
      </c>
      <c r="C336" s="581">
        <v>9</v>
      </c>
      <c r="D336" s="582" t="s">
        <v>114</v>
      </c>
      <c r="E336" s="583" t="s">
        <v>921</v>
      </c>
      <c r="F336" s="599">
        <v>29210857711444</v>
      </c>
      <c r="G336" s="599">
        <v>232707540446</v>
      </c>
      <c r="H336" s="599">
        <v>63645322588</v>
      </c>
      <c r="I336" s="599">
        <v>196890125125</v>
      </c>
      <c r="J336" s="599">
        <v>234853879532</v>
      </c>
      <c r="K336" s="599"/>
      <c r="L336" s="599">
        <v>-67597253000</v>
      </c>
      <c r="M336" s="599"/>
      <c r="N336" s="599"/>
      <c r="O336" s="599"/>
      <c r="P336" s="599"/>
      <c r="Q336" s="882">
        <f t="shared" si="20"/>
        <v>29871357326135</v>
      </c>
      <c r="R336" s="599">
        <v>0</v>
      </c>
      <c r="S336" s="882">
        <f t="shared" si="18"/>
        <v>29871357</v>
      </c>
      <c r="T336" s="599">
        <f t="shared" si="18"/>
        <v>0</v>
      </c>
      <c r="U336" s="620"/>
      <c r="V336" s="621"/>
      <c r="W336" s="882">
        <f t="shared" si="19"/>
        <v>29871357326135</v>
      </c>
      <c r="X336" s="882">
        <f t="shared" si="21"/>
        <v>29871357</v>
      </c>
    </row>
    <row r="337" spans="1:24" ht="27" customHeight="1">
      <c r="A337" s="583"/>
      <c r="B337" s="583">
        <v>902</v>
      </c>
      <c r="C337" s="581">
        <v>9</v>
      </c>
      <c r="D337" s="582" t="s">
        <v>1666</v>
      </c>
      <c r="E337" s="583" t="s">
        <v>1645</v>
      </c>
      <c r="F337" s="599">
        <v>-96900000</v>
      </c>
      <c r="G337" s="599"/>
      <c r="H337" s="599"/>
      <c r="I337" s="599"/>
      <c r="J337" s="599">
        <v>96900000</v>
      </c>
      <c r="K337" s="599"/>
      <c r="L337" s="599"/>
      <c r="M337" s="599"/>
      <c r="N337" s="599"/>
      <c r="O337" s="599"/>
      <c r="P337" s="599"/>
      <c r="Q337" s="882">
        <f t="shared" si="20"/>
        <v>0</v>
      </c>
      <c r="R337" s="599">
        <v>28344791910160</v>
      </c>
      <c r="S337" s="882">
        <f t="shared" si="18"/>
        <v>0</v>
      </c>
      <c r="T337" s="599">
        <f t="shared" si="18"/>
        <v>28344792</v>
      </c>
      <c r="U337" s="620"/>
      <c r="V337" s="621"/>
      <c r="W337" s="882">
        <f t="shared" si="19"/>
        <v>0</v>
      </c>
      <c r="X337" s="882">
        <f t="shared" si="21"/>
        <v>0</v>
      </c>
    </row>
    <row r="338" spans="1:24" ht="27" customHeight="1">
      <c r="A338" s="583"/>
      <c r="B338" s="583"/>
      <c r="C338" s="581">
        <v>8</v>
      </c>
      <c r="D338" s="582" t="s">
        <v>667</v>
      </c>
      <c r="E338" s="583" t="s">
        <v>666</v>
      </c>
      <c r="F338" s="599">
        <v>8557763010</v>
      </c>
      <c r="G338" s="599"/>
      <c r="H338" s="599"/>
      <c r="I338" s="599"/>
      <c r="J338" s="599"/>
      <c r="K338" s="599"/>
      <c r="L338" s="599"/>
      <c r="M338" s="599"/>
      <c r="N338" s="599"/>
      <c r="O338" s="599"/>
      <c r="P338" s="599"/>
      <c r="Q338" s="882">
        <f t="shared" si="20"/>
        <v>8557763010</v>
      </c>
      <c r="R338" s="599">
        <v>8557763010</v>
      </c>
      <c r="S338" s="882">
        <f t="shared" si="18"/>
        <v>8558</v>
      </c>
      <c r="T338" s="599">
        <f t="shared" si="18"/>
        <v>8558</v>
      </c>
      <c r="U338" s="620"/>
      <c r="V338" s="621"/>
      <c r="W338" s="882">
        <f t="shared" si="19"/>
        <v>8557763010</v>
      </c>
      <c r="X338" s="882">
        <f t="shared" si="21"/>
        <v>8558</v>
      </c>
    </row>
    <row r="339" spans="1:24" ht="27" customHeight="1">
      <c r="A339" s="583"/>
      <c r="B339" s="583">
        <v>903</v>
      </c>
      <c r="C339" s="581">
        <v>9</v>
      </c>
      <c r="D339" s="582" t="s">
        <v>105</v>
      </c>
      <c r="E339" s="583" t="s">
        <v>914</v>
      </c>
      <c r="F339" s="599">
        <v>1031492829084</v>
      </c>
      <c r="G339" s="599"/>
      <c r="H339" s="599"/>
      <c r="I339" s="599">
        <v>-2864664281</v>
      </c>
      <c r="J339" s="599">
        <v>138833963783</v>
      </c>
      <c r="K339" s="599"/>
      <c r="L339" s="599"/>
      <c r="M339" s="599"/>
      <c r="N339" s="599">
        <v>3116479092</v>
      </c>
      <c r="O339" s="599"/>
      <c r="P339" s="599"/>
      <c r="Q339" s="882">
        <f t="shared" si="20"/>
        <v>1170578607678</v>
      </c>
      <c r="R339" s="599">
        <v>1031492829084</v>
      </c>
      <c r="S339" s="882">
        <f t="shared" si="18"/>
        <v>1170579</v>
      </c>
      <c r="T339" s="599">
        <f t="shared" si="18"/>
        <v>1031493</v>
      </c>
      <c r="U339" s="620"/>
      <c r="V339" s="621"/>
      <c r="W339" s="882">
        <f t="shared" si="19"/>
        <v>1170578607678</v>
      </c>
      <c r="X339" s="882">
        <f t="shared" si="21"/>
        <v>1170579</v>
      </c>
    </row>
    <row r="340" spans="1:24" ht="27" customHeight="1">
      <c r="A340" s="583"/>
      <c r="B340" s="583">
        <v>903</v>
      </c>
      <c r="C340" s="581">
        <v>9</v>
      </c>
      <c r="D340" s="582" t="s">
        <v>1108</v>
      </c>
      <c r="E340" s="583" t="s">
        <v>1109</v>
      </c>
      <c r="F340" s="599">
        <v>94891393818</v>
      </c>
      <c r="G340" s="599"/>
      <c r="H340" s="599">
        <v>35091527940</v>
      </c>
      <c r="I340" s="599">
        <v>10452766391</v>
      </c>
      <c r="J340" s="599">
        <v>-140435688149</v>
      </c>
      <c r="K340" s="599"/>
      <c r="L340" s="599"/>
      <c r="M340" s="599"/>
      <c r="N340" s="599"/>
      <c r="O340" s="599"/>
      <c r="P340" s="599"/>
      <c r="Q340" s="882">
        <f t="shared" si="20"/>
        <v>0</v>
      </c>
      <c r="R340" s="599">
        <v>0</v>
      </c>
      <c r="S340" s="882">
        <f t="shared" si="18"/>
        <v>0</v>
      </c>
      <c r="T340" s="599">
        <f t="shared" si="18"/>
        <v>0</v>
      </c>
      <c r="U340" s="620"/>
      <c r="V340" s="621"/>
      <c r="W340" s="882">
        <f t="shared" si="19"/>
        <v>0</v>
      </c>
      <c r="X340" s="882">
        <f t="shared" si="21"/>
        <v>0</v>
      </c>
    </row>
    <row r="341" spans="1:24" ht="27" customHeight="1">
      <c r="A341" s="583"/>
      <c r="B341" s="583">
        <v>903</v>
      </c>
      <c r="C341" s="581">
        <v>9</v>
      </c>
      <c r="D341" s="582" t="s">
        <v>1110</v>
      </c>
      <c r="E341" s="583" t="s">
        <v>1111</v>
      </c>
      <c r="F341" s="599">
        <v>-2067377216</v>
      </c>
      <c r="G341" s="599"/>
      <c r="H341" s="599">
        <v>-12650000</v>
      </c>
      <c r="I341" s="599"/>
      <c r="J341" s="599">
        <v>2080027216</v>
      </c>
      <c r="K341" s="599"/>
      <c r="L341" s="599"/>
      <c r="M341" s="599"/>
      <c r="N341" s="599"/>
      <c r="O341" s="599"/>
      <c r="P341" s="599"/>
      <c r="Q341" s="882">
        <f t="shared" si="20"/>
        <v>0</v>
      </c>
      <c r="R341" s="599">
        <v>0</v>
      </c>
      <c r="S341" s="882">
        <f t="shared" si="18"/>
        <v>0</v>
      </c>
      <c r="T341" s="599">
        <f t="shared" si="18"/>
        <v>0</v>
      </c>
      <c r="U341" s="620"/>
      <c r="V341" s="621"/>
      <c r="W341" s="882">
        <f t="shared" si="19"/>
        <v>0</v>
      </c>
      <c r="X341" s="882">
        <f t="shared" si="21"/>
        <v>0</v>
      </c>
    </row>
    <row r="342" spans="1:24" ht="27" customHeight="1">
      <c r="A342" s="583"/>
      <c r="B342" s="583">
        <v>903</v>
      </c>
      <c r="C342" s="581">
        <v>9</v>
      </c>
      <c r="D342" s="582" t="s">
        <v>1612</v>
      </c>
      <c r="E342" s="583" t="s">
        <v>1112</v>
      </c>
      <c r="F342" s="599">
        <v>-2800000</v>
      </c>
      <c r="G342" s="599"/>
      <c r="H342" s="599"/>
      <c r="I342" s="599"/>
      <c r="J342" s="599">
        <v>2800000</v>
      </c>
      <c r="K342" s="599"/>
      <c r="L342" s="599"/>
      <c r="M342" s="599"/>
      <c r="N342" s="599"/>
      <c r="O342" s="599"/>
      <c r="P342" s="599"/>
      <c r="Q342" s="882">
        <f t="shared" si="20"/>
        <v>0</v>
      </c>
      <c r="R342" s="599">
        <v>0</v>
      </c>
      <c r="S342" s="882">
        <f t="shared" si="18"/>
        <v>0</v>
      </c>
      <c r="T342" s="599">
        <f t="shared" si="18"/>
        <v>0</v>
      </c>
      <c r="U342" s="620"/>
      <c r="V342" s="621"/>
      <c r="W342" s="882">
        <f t="shared" si="19"/>
        <v>0</v>
      </c>
      <c r="X342" s="882">
        <f t="shared" si="21"/>
        <v>0</v>
      </c>
    </row>
    <row r="343" spans="1:24" ht="27" customHeight="1">
      <c r="A343" s="583"/>
      <c r="B343" s="583">
        <v>905</v>
      </c>
      <c r="C343" s="581">
        <v>9</v>
      </c>
      <c r="D343" s="582" t="s">
        <v>107</v>
      </c>
      <c r="E343" s="583" t="s">
        <v>918</v>
      </c>
      <c r="F343" s="599">
        <v>576118228473</v>
      </c>
      <c r="G343" s="599"/>
      <c r="H343" s="599"/>
      <c r="I343" s="599">
        <v>522352853</v>
      </c>
      <c r="J343" s="599">
        <v>59470543970</v>
      </c>
      <c r="K343" s="599"/>
      <c r="L343" s="599"/>
      <c r="M343" s="599"/>
      <c r="N343" s="599"/>
      <c r="O343" s="599"/>
      <c r="P343" s="599"/>
      <c r="Q343" s="882">
        <f t="shared" si="20"/>
        <v>636111125296</v>
      </c>
      <c r="R343" s="599">
        <v>576118228473</v>
      </c>
      <c r="S343" s="882">
        <f t="shared" si="18"/>
        <v>636111</v>
      </c>
      <c r="T343" s="599">
        <f t="shared" si="18"/>
        <v>576118</v>
      </c>
      <c r="U343" s="620"/>
      <c r="V343" s="621"/>
      <c r="W343" s="882">
        <f t="shared" si="19"/>
        <v>636111125296</v>
      </c>
      <c r="X343" s="882">
        <f t="shared" si="21"/>
        <v>636111</v>
      </c>
    </row>
    <row r="344" spans="1:24" ht="27" customHeight="1">
      <c r="A344" s="583"/>
      <c r="B344" s="583">
        <v>905</v>
      </c>
      <c r="C344" s="581">
        <v>9</v>
      </c>
      <c r="D344" s="582" t="s">
        <v>1113</v>
      </c>
      <c r="E344" s="583" t="s">
        <v>1114</v>
      </c>
      <c r="F344" s="599">
        <v>38726294321</v>
      </c>
      <c r="G344" s="599"/>
      <c r="H344" s="599">
        <v>21292590107</v>
      </c>
      <c r="I344" s="599">
        <v>1531372429</v>
      </c>
      <c r="J344" s="599">
        <v>-61550256857</v>
      </c>
      <c r="K344" s="599"/>
      <c r="L344" s="599"/>
      <c r="M344" s="599"/>
      <c r="N344" s="599"/>
      <c r="O344" s="599"/>
      <c r="P344" s="599"/>
      <c r="Q344" s="882">
        <f t="shared" si="20"/>
        <v>0</v>
      </c>
      <c r="R344" s="599">
        <v>0</v>
      </c>
      <c r="S344" s="882">
        <f t="shared" si="18"/>
        <v>0</v>
      </c>
      <c r="T344" s="599">
        <f t="shared" si="18"/>
        <v>0</v>
      </c>
      <c r="U344" s="620"/>
      <c r="V344" s="621"/>
      <c r="W344" s="882">
        <f t="shared" si="19"/>
        <v>0</v>
      </c>
      <c r="X344" s="882">
        <f t="shared" si="21"/>
        <v>0</v>
      </c>
    </row>
    <row r="345" spans="1:24" ht="27" customHeight="1">
      <c r="A345" s="583"/>
      <c r="B345" s="583">
        <v>905</v>
      </c>
      <c r="C345" s="581">
        <v>9</v>
      </c>
      <c r="D345" s="582" t="s">
        <v>1116</v>
      </c>
      <c r="E345" s="583" t="s">
        <v>1115</v>
      </c>
      <c r="F345" s="599">
        <v>-1399758274</v>
      </c>
      <c r="G345" s="599"/>
      <c r="H345" s="599">
        <v>-679954613</v>
      </c>
      <c r="I345" s="599"/>
      <c r="J345" s="599">
        <v>2079712887</v>
      </c>
      <c r="K345" s="599"/>
      <c r="L345" s="599"/>
      <c r="M345" s="599"/>
      <c r="N345" s="599"/>
      <c r="O345" s="599"/>
      <c r="P345" s="599"/>
      <c r="Q345" s="882">
        <f t="shared" si="20"/>
        <v>0</v>
      </c>
      <c r="R345" s="599">
        <v>0</v>
      </c>
      <c r="S345" s="882">
        <f t="shared" si="18"/>
        <v>0</v>
      </c>
      <c r="T345" s="599">
        <f t="shared" si="18"/>
        <v>0</v>
      </c>
      <c r="U345" s="620"/>
      <c r="V345" s="621"/>
      <c r="W345" s="882">
        <f t="shared" si="19"/>
        <v>0</v>
      </c>
      <c r="X345" s="882">
        <f t="shared" si="21"/>
        <v>0</v>
      </c>
    </row>
    <row r="346" spans="1:24" ht="27" customHeight="1">
      <c r="A346" s="583"/>
      <c r="B346" s="583"/>
      <c r="C346" s="581">
        <v>9</v>
      </c>
      <c r="D346" s="582" t="s">
        <v>1018</v>
      </c>
      <c r="E346" s="583" t="s">
        <v>1019</v>
      </c>
      <c r="F346" s="599"/>
      <c r="G346" s="599"/>
      <c r="H346" s="599"/>
      <c r="I346" s="599"/>
      <c r="J346" s="599"/>
      <c r="K346" s="599"/>
      <c r="L346" s="599"/>
      <c r="M346" s="599"/>
      <c r="N346" s="599"/>
      <c r="O346" s="599"/>
      <c r="P346" s="599"/>
      <c r="Q346" s="882">
        <f t="shared" si="20"/>
        <v>0</v>
      </c>
      <c r="R346" s="599">
        <v>0</v>
      </c>
      <c r="S346" s="882">
        <f t="shared" si="18"/>
        <v>0</v>
      </c>
      <c r="T346" s="599">
        <f t="shared" si="18"/>
        <v>0</v>
      </c>
      <c r="U346" s="620"/>
      <c r="V346" s="621"/>
      <c r="W346" s="882">
        <f t="shared" si="19"/>
        <v>0</v>
      </c>
      <c r="X346" s="882">
        <f t="shared" si="21"/>
        <v>0</v>
      </c>
    </row>
    <row r="347" spans="1:24" ht="27" customHeight="1">
      <c r="A347" s="583"/>
      <c r="B347" s="583"/>
      <c r="C347" s="581">
        <v>9</v>
      </c>
      <c r="D347" s="582" t="s">
        <v>1198</v>
      </c>
      <c r="E347" s="583" t="s">
        <v>1199</v>
      </c>
      <c r="F347" s="599"/>
      <c r="G347" s="599"/>
      <c r="H347" s="599"/>
      <c r="I347" s="599"/>
      <c r="J347" s="599"/>
      <c r="K347" s="599"/>
      <c r="L347" s="599"/>
      <c r="M347" s="599"/>
      <c r="N347" s="599"/>
      <c r="O347" s="599"/>
      <c r="P347" s="599"/>
      <c r="Q347" s="882">
        <f t="shared" si="20"/>
        <v>0</v>
      </c>
      <c r="R347" s="599">
        <v>0</v>
      </c>
      <c r="S347" s="882">
        <f t="shared" si="18"/>
        <v>0</v>
      </c>
      <c r="T347" s="599">
        <f t="shared" si="18"/>
        <v>0</v>
      </c>
      <c r="U347" s="620"/>
      <c r="V347" s="621"/>
      <c r="W347" s="882">
        <f t="shared" si="19"/>
        <v>0</v>
      </c>
      <c r="X347" s="882">
        <f t="shared" si="21"/>
        <v>0</v>
      </c>
    </row>
    <row r="348" spans="1:24" ht="27" customHeight="1">
      <c r="A348" s="583"/>
      <c r="B348" s="583">
        <v>904</v>
      </c>
      <c r="C348" s="581">
        <v>9</v>
      </c>
      <c r="D348" s="582" t="s">
        <v>149</v>
      </c>
      <c r="E348" s="583" t="s">
        <v>916</v>
      </c>
      <c r="F348" s="599">
        <v>284981873929</v>
      </c>
      <c r="G348" s="599"/>
      <c r="H348" s="599"/>
      <c r="I348" s="599">
        <v>3020953956</v>
      </c>
      <c r="J348" s="599">
        <v>33540992194</v>
      </c>
      <c r="K348" s="599"/>
      <c r="L348" s="599"/>
      <c r="M348" s="599"/>
      <c r="N348" s="599"/>
      <c r="O348" s="599"/>
      <c r="P348" s="599"/>
      <c r="Q348" s="882">
        <f t="shared" si="20"/>
        <v>321543820079</v>
      </c>
      <c r="R348" s="599">
        <v>284981873929</v>
      </c>
      <c r="S348" s="882">
        <f t="shared" si="18"/>
        <v>321544</v>
      </c>
      <c r="T348" s="599">
        <f t="shared" si="18"/>
        <v>284982</v>
      </c>
      <c r="U348" s="620"/>
      <c r="V348" s="621"/>
      <c r="W348" s="882">
        <f t="shared" si="19"/>
        <v>321543820079</v>
      </c>
      <c r="X348" s="882">
        <f t="shared" si="21"/>
        <v>321544</v>
      </c>
    </row>
    <row r="349" spans="1:24" ht="27" customHeight="1">
      <c r="A349" s="583"/>
      <c r="B349" s="583">
        <v>904</v>
      </c>
      <c r="C349" s="581">
        <v>9</v>
      </c>
      <c r="D349" s="582" t="s">
        <v>1117</v>
      </c>
      <c r="E349" s="583" t="s">
        <v>1120</v>
      </c>
      <c r="F349" s="599">
        <v>33654802022</v>
      </c>
      <c r="G349" s="599"/>
      <c r="H349" s="599">
        <v>3814787773</v>
      </c>
      <c r="I349" s="599">
        <v>-2944099999</v>
      </c>
      <c r="J349" s="599">
        <v>-34525489796</v>
      </c>
      <c r="K349" s="599"/>
      <c r="L349" s="599"/>
      <c r="M349" s="599"/>
      <c r="N349" s="599"/>
      <c r="O349" s="599"/>
      <c r="P349" s="599"/>
      <c r="Q349" s="882">
        <f t="shared" si="20"/>
        <v>0</v>
      </c>
      <c r="R349" s="599">
        <v>0</v>
      </c>
      <c r="S349" s="882">
        <f t="shared" si="18"/>
        <v>0</v>
      </c>
      <c r="T349" s="599">
        <f t="shared" si="18"/>
        <v>0</v>
      </c>
      <c r="U349" s="620"/>
      <c r="V349" s="621"/>
      <c r="W349" s="882">
        <f t="shared" si="19"/>
        <v>0</v>
      </c>
      <c r="X349" s="882">
        <f t="shared" si="21"/>
        <v>0</v>
      </c>
    </row>
    <row r="350" spans="1:24" ht="27" customHeight="1">
      <c r="A350" s="583"/>
      <c r="B350" s="583">
        <v>904</v>
      </c>
      <c r="C350" s="581">
        <v>9</v>
      </c>
      <c r="D350" s="582" t="s">
        <v>1118</v>
      </c>
      <c r="E350" s="583" t="s">
        <v>1121</v>
      </c>
      <c r="F350" s="599">
        <v>-1003593918</v>
      </c>
      <c r="G350" s="599"/>
      <c r="H350" s="599">
        <v>-2450000</v>
      </c>
      <c r="I350" s="599"/>
      <c r="J350" s="599">
        <v>1006043918</v>
      </c>
      <c r="K350" s="599"/>
      <c r="L350" s="599"/>
      <c r="M350" s="599"/>
      <c r="N350" s="599"/>
      <c r="O350" s="599"/>
      <c r="P350" s="599"/>
      <c r="Q350" s="882">
        <f t="shared" si="20"/>
        <v>0</v>
      </c>
      <c r="R350" s="599">
        <v>0</v>
      </c>
      <c r="S350" s="882">
        <f t="shared" si="18"/>
        <v>0</v>
      </c>
      <c r="T350" s="599">
        <f t="shared" si="18"/>
        <v>0</v>
      </c>
      <c r="U350" s="620"/>
      <c r="V350" s="621"/>
      <c r="W350" s="882">
        <f t="shared" si="19"/>
        <v>0</v>
      </c>
      <c r="X350" s="882">
        <f t="shared" si="21"/>
        <v>0</v>
      </c>
    </row>
    <row r="351" spans="1:24" ht="27" customHeight="1">
      <c r="A351" s="583"/>
      <c r="B351" s="583">
        <v>904</v>
      </c>
      <c r="C351" s="581">
        <v>9</v>
      </c>
      <c r="D351" s="582" t="s">
        <v>1119</v>
      </c>
      <c r="E351" s="583" t="s">
        <v>1122</v>
      </c>
      <c r="F351" s="599">
        <v>-2470000</v>
      </c>
      <c r="G351" s="599"/>
      <c r="H351" s="599"/>
      <c r="I351" s="599"/>
      <c r="J351" s="599">
        <v>2470000</v>
      </c>
      <c r="K351" s="599"/>
      <c r="L351" s="599"/>
      <c r="M351" s="599"/>
      <c r="N351" s="599"/>
      <c r="O351" s="599"/>
      <c r="P351" s="599"/>
      <c r="Q351" s="882">
        <f t="shared" si="20"/>
        <v>0</v>
      </c>
      <c r="R351" s="599">
        <v>0</v>
      </c>
      <c r="S351" s="882">
        <f t="shared" ref="S351:T396" si="22">ROUND((Q351/1000000),0)</f>
        <v>0</v>
      </c>
      <c r="T351" s="599">
        <f t="shared" si="22"/>
        <v>0</v>
      </c>
      <c r="U351" s="620"/>
      <c r="V351" s="621"/>
      <c r="W351" s="882">
        <f t="shared" si="19"/>
        <v>0</v>
      </c>
      <c r="X351" s="882">
        <f t="shared" si="21"/>
        <v>0</v>
      </c>
    </row>
    <row r="352" spans="1:24" ht="27" customHeight="1">
      <c r="A352" s="583"/>
      <c r="B352" s="583"/>
      <c r="C352" s="581">
        <v>9</v>
      </c>
      <c r="D352" s="582" t="s">
        <v>1020</v>
      </c>
      <c r="E352" s="583" t="s">
        <v>1021</v>
      </c>
      <c r="F352" s="599"/>
      <c r="G352" s="599"/>
      <c r="H352" s="599">
        <v>-26880783869</v>
      </c>
      <c r="I352" s="599">
        <v>29096102024</v>
      </c>
      <c r="J352" s="599">
        <v>-2215318155</v>
      </c>
      <c r="K352" s="599"/>
      <c r="L352" s="599"/>
      <c r="M352" s="599"/>
      <c r="N352" s="599"/>
      <c r="O352" s="599"/>
      <c r="P352" s="599"/>
      <c r="Q352" s="882">
        <f t="shared" si="20"/>
        <v>0</v>
      </c>
      <c r="R352" s="599">
        <v>0</v>
      </c>
      <c r="S352" s="882">
        <f t="shared" si="22"/>
        <v>0</v>
      </c>
      <c r="T352" s="599">
        <f t="shared" si="22"/>
        <v>0</v>
      </c>
      <c r="U352" s="620"/>
      <c r="V352" s="621"/>
      <c r="W352" s="882">
        <f t="shared" ref="W352:W418" si="23">Q352+V352-U352</f>
        <v>0</v>
      </c>
      <c r="X352" s="882">
        <f t="shared" si="21"/>
        <v>0</v>
      </c>
    </row>
    <row r="353" spans="1:24" ht="27" customHeight="1">
      <c r="A353" s="583"/>
      <c r="B353" s="583">
        <v>902</v>
      </c>
      <c r="C353" s="581">
        <v>9</v>
      </c>
      <c r="D353" s="582" t="s">
        <v>1010</v>
      </c>
      <c r="E353" s="583" t="s">
        <v>1011</v>
      </c>
      <c r="F353" s="599">
        <v>-1454020969300</v>
      </c>
      <c r="G353" s="599"/>
      <c r="H353" s="599">
        <v>156</v>
      </c>
      <c r="I353" s="599"/>
      <c r="J353" s="599">
        <v>1454020969144</v>
      </c>
      <c r="K353" s="599"/>
      <c r="L353" s="599"/>
      <c r="M353" s="599"/>
      <c r="N353" s="599"/>
      <c r="O353" s="599"/>
      <c r="P353" s="599"/>
      <c r="Q353" s="882">
        <f t="shared" si="20"/>
        <v>0</v>
      </c>
      <c r="R353" s="599">
        <v>0</v>
      </c>
      <c r="S353" s="882">
        <f t="shared" si="22"/>
        <v>0</v>
      </c>
      <c r="T353" s="599">
        <f t="shared" si="22"/>
        <v>0</v>
      </c>
      <c r="U353" s="620"/>
      <c r="V353" s="621"/>
      <c r="W353" s="882">
        <f t="shared" si="23"/>
        <v>0</v>
      </c>
      <c r="X353" s="882">
        <f t="shared" si="21"/>
        <v>0</v>
      </c>
    </row>
    <row r="354" spans="1:24" ht="27" customHeight="1">
      <c r="A354" s="583"/>
      <c r="B354" s="583"/>
      <c r="C354" s="581">
        <v>9</v>
      </c>
      <c r="D354" s="582" t="s">
        <v>1667</v>
      </c>
      <c r="E354" s="583" t="s">
        <v>1252</v>
      </c>
      <c r="F354" s="599">
        <v>96900000</v>
      </c>
      <c r="G354" s="599"/>
      <c r="H354" s="599"/>
      <c r="I354" s="599"/>
      <c r="J354" s="599">
        <f>-94993750-1906250</f>
        <v>-96900000</v>
      </c>
      <c r="K354" s="599"/>
      <c r="L354" s="599"/>
      <c r="M354" s="599"/>
      <c r="N354" s="599"/>
      <c r="O354" s="599"/>
      <c r="P354" s="599"/>
      <c r="Q354" s="882">
        <f t="shared" si="20"/>
        <v>0</v>
      </c>
      <c r="R354" s="599">
        <v>0</v>
      </c>
      <c r="S354" s="882">
        <f t="shared" si="22"/>
        <v>0</v>
      </c>
      <c r="T354" s="599">
        <f t="shared" si="22"/>
        <v>0</v>
      </c>
      <c r="U354" s="620"/>
      <c r="V354" s="621"/>
      <c r="W354" s="882">
        <f t="shared" si="23"/>
        <v>0</v>
      </c>
      <c r="X354" s="882">
        <f t="shared" si="21"/>
        <v>0</v>
      </c>
    </row>
    <row r="355" spans="1:24" ht="27" customHeight="1">
      <c r="A355" s="583"/>
      <c r="B355" s="583"/>
      <c r="C355" s="581">
        <v>9</v>
      </c>
      <c r="D355" s="582" t="s">
        <v>1253</v>
      </c>
      <c r="E355" s="583" t="s">
        <v>1252</v>
      </c>
      <c r="F355" s="599">
        <v>-7083324</v>
      </c>
      <c r="G355" s="599">
        <v>4018176</v>
      </c>
      <c r="H355" s="599"/>
      <c r="I355" s="599"/>
      <c r="J355" s="599">
        <v>3065148</v>
      </c>
      <c r="K355" s="599"/>
      <c r="L355" s="599"/>
      <c r="M355" s="599"/>
      <c r="N355" s="599"/>
      <c r="O355" s="599"/>
      <c r="P355" s="599"/>
      <c r="Q355" s="882">
        <f t="shared" si="20"/>
        <v>0</v>
      </c>
      <c r="R355" s="599">
        <v>0</v>
      </c>
      <c r="S355" s="882">
        <f t="shared" si="22"/>
        <v>0</v>
      </c>
      <c r="T355" s="599">
        <f t="shared" si="22"/>
        <v>0</v>
      </c>
      <c r="U355" s="620"/>
      <c r="V355" s="621"/>
      <c r="W355" s="882">
        <f t="shared" si="23"/>
        <v>0</v>
      </c>
      <c r="X355" s="882">
        <f t="shared" si="21"/>
        <v>0</v>
      </c>
    </row>
    <row r="356" spans="1:24" ht="27" customHeight="1">
      <c r="A356" s="583"/>
      <c r="B356" s="583">
        <v>902</v>
      </c>
      <c r="C356" s="581">
        <v>9</v>
      </c>
      <c r="D356" s="582" t="s">
        <v>1123</v>
      </c>
      <c r="E356" s="583" t="s">
        <v>1124</v>
      </c>
      <c r="F356" s="599">
        <v>-53409240750</v>
      </c>
      <c r="G356" s="599"/>
      <c r="H356" s="599">
        <v>521737560</v>
      </c>
      <c r="I356" s="599"/>
      <c r="J356" s="599">
        <v>52887503190</v>
      </c>
      <c r="K356" s="599"/>
      <c r="L356" s="599"/>
      <c r="M356" s="599"/>
      <c r="N356" s="599"/>
      <c r="O356" s="599"/>
      <c r="P356" s="599"/>
      <c r="Q356" s="882">
        <f t="shared" si="20"/>
        <v>0</v>
      </c>
      <c r="R356" s="599">
        <v>0</v>
      </c>
      <c r="S356" s="882">
        <f t="shared" si="22"/>
        <v>0</v>
      </c>
      <c r="T356" s="599">
        <f t="shared" si="22"/>
        <v>0</v>
      </c>
      <c r="U356" s="620"/>
      <c r="V356" s="621"/>
      <c r="W356" s="882">
        <f t="shared" si="23"/>
        <v>0</v>
      </c>
      <c r="X356" s="882">
        <f t="shared" si="21"/>
        <v>0</v>
      </c>
    </row>
    <row r="357" spans="1:24" ht="27" customHeight="1">
      <c r="A357" s="583"/>
      <c r="B357" s="583"/>
      <c r="C357" s="581">
        <v>9</v>
      </c>
      <c r="D357" s="582" t="s">
        <v>1254</v>
      </c>
      <c r="E357" s="583" t="s">
        <v>1255</v>
      </c>
      <c r="F357" s="599"/>
      <c r="G357" s="599"/>
      <c r="H357" s="599"/>
      <c r="I357" s="599"/>
      <c r="J357" s="599"/>
      <c r="K357" s="599"/>
      <c r="L357" s="599"/>
      <c r="M357" s="599"/>
      <c r="N357" s="599"/>
      <c r="O357" s="599"/>
      <c r="P357" s="599"/>
      <c r="Q357" s="882">
        <f t="shared" si="20"/>
        <v>0</v>
      </c>
      <c r="R357" s="599">
        <v>0</v>
      </c>
      <c r="S357" s="882">
        <f t="shared" si="22"/>
        <v>0</v>
      </c>
      <c r="T357" s="599">
        <f t="shared" si="22"/>
        <v>0</v>
      </c>
      <c r="U357" s="620"/>
      <c r="V357" s="621"/>
      <c r="W357" s="882">
        <f t="shared" si="23"/>
        <v>0</v>
      </c>
      <c r="X357" s="882">
        <f t="shared" si="21"/>
        <v>0</v>
      </c>
    </row>
    <row r="358" spans="1:24" ht="27" customHeight="1">
      <c r="A358" s="583"/>
      <c r="B358" s="583">
        <v>902</v>
      </c>
      <c r="C358" s="581">
        <v>9</v>
      </c>
      <c r="D358" s="582" t="s">
        <v>1125</v>
      </c>
      <c r="E358" s="583" t="s">
        <v>1126</v>
      </c>
      <c r="F358" s="599">
        <v>-108916482890</v>
      </c>
      <c r="G358" s="599">
        <v>-5360007908</v>
      </c>
      <c r="H358" s="599"/>
      <c r="I358" s="599"/>
      <c r="J358" s="599">
        <v>114276490798</v>
      </c>
      <c r="K358" s="599"/>
      <c r="L358" s="599"/>
      <c r="M358" s="599"/>
      <c r="N358" s="599"/>
      <c r="O358" s="599"/>
      <c r="P358" s="599"/>
      <c r="Q358" s="882">
        <f t="shared" si="20"/>
        <v>0</v>
      </c>
      <c r="R358" s="599">
        <v>0</v>
      </c>
      <c r="S358" s="882">
        <f t="shared" si="22"/>
        <v>0</v>
      </c>
      <c r="T358" s="599">
        <f t="shared" si="22"/>
        <v>0</v>
      </c>
      <c r="U358" s="620"/>
      <c r="V358" s="621"/>
      <c r="W358" s="882">
        <f t="shared" si="23"/>
        <v>0</v>
      </c>
      <c r="X358" s="882">
        <f t="shared" si="21"/>
        <v>0</v>
      </c>
    </row>
    <row r="359" spans="1:24" ht="27" customHeight="1">
      <c r="A359" s="583"/>
      <c r="B359" s="583"/>
      <c r="C359" s="581">
        <v>9</v>
      </c>
      <c r="D359" s="582" t="s">
        <v>1200</v>
      </c>
      <c r="E359" s="583" t="s">
        <v>1201</v>
      </c>
      <c r="F359" s="599">
        <v>-44340779</v>
      </c>
      <c r="G359" s="599"/>
      <c r="H359" s="599"/>
      <c r="I359" s="599"/>
      <c r="J359" s="599">
        <v>44340779</v>
      </c>
      <c r="K359" s="599"/>
      <c r="L359" s="599"/>
      <c r="M359" s="599"/>
      <c r="N359" s="599"/>
      <c r="O359" s="599"/>
      <c r="P359" s="599"/>
      <c r="Q359" s="882">
        <f t="shared" si="20"/>
        <v>0</v>
      </c>
      <c r="R359" s="599">
        <v>0</v>
      </c>
      <c r="S359" s="882">
        <f t="shared" si="22"/>
        <v>0</v>
      </c>
      <c r="T359" s="599">
        <f t="shared" si="22"/>
        <v>0</v>
      </c>
      <c r="U359" s="620"/>
      <c r="V359" s="621"/>
      <c r="W359" s="882">
        <f t="shared" si="23"/>
        <v>0</v>
      </c>
      <c r="X359" s="882">
        <f t="shared" si="21"/>
        <v>0</v>
      </c>
    </row>
    <row r="360" spans="1:24" ht="27" customHeight="1">
      <c r="A360" s="583"/>
      <c r="B360" s="583">
        <v>902</v>
      </c>
      <c r="C360" s="581">
        <v>9</v>
      </c>
      <c r="D360" s="582" t="s">
        <v>151</v>
      </c>
      <c r="E360" s="583" t="s">
        <v>915</v>
      </c>
      <c r="F360" s="599">
        <v>-18805633462411</v>
      </c>
      <c r="G360" s="599">
        <v>-1781</v>
      </c>
      <c r="H360" s="599"/>
      <c r="I360" s="599"/>
      <c r="J360" s="599">
        <v>-1499250009377</v>
      </c>
      <c r="K360" s="599"/>
      <c r="L360" s="599">
        <f>2698938553</f>
        <v>2698938553</v>
      </c>
      <c r="M360" s="599"/>
      <c r="N360" s="599"/>
      <c r="O360" s="599"/>
      <c r="P360" s="599"/>
      <c r="Q360" s="882">
        <f t="shared" si="20"/>
        <v>-20302184535016</v>
      </c>
      <c r="R360" s="599">
        <v>-18955662538823</v>
      </c>
      <c r="S360" s="882">
        <f t="shared" si="22"/>
        <v>-20302185</v>
      </c>
      <c r="T360" s="599">
        <f t="shared" si="22"/>
        <v>-18955663</v>
      </c>
      <c r="U360" s="620"/>
      <c r="V360" s="621"/>
      <c r="W360" s="882">
        <f t="shared" si="23"/>
        <v>-20302184535016</v>
      </c>
      <c r="X360" s="882">
        <f t="shared" si="21"/>
        <v>-20302185</v>
      </c>
    </row>
    <row r="361" spans="1:24" ht="27" customHeight="1">
      <c r="A361" s="583"/>
      <c r="B361" s="583"/>
      <c r="C361" s="581">
        <v>9</v>
      </c>
      <c r="D361" s="582" t="s">
        <v>1256</v>
      </c>
      <c r="E361" s="583" t="s">
        <v>1257</v>
      </c>
      <c r="F361" s="599"/>
      <c r="G361" s="599"/>
      <c r="H361" s="599"/>
      <c r="I361" s="599"/>
      <c r="J361" s="599"/>
      <c r="K361" s="599"/>
      <c r="L361" s="599"/>
      <c r="M361" s="599"/>
      <c r="N361" s="599"/>
      <c r="O361" s="599"/>
      <c r="P361" s="599"/>
      <c r="Q361" s="882">
        <f t="shared" si="20"/>
        <v>0</v>
      </c>
      <c r="R361" s="599">
        <v>0</v>
      </c>
      <c r="S361" s="882">
        <f t="shared" si="22"/>
        <v>0</v>
      </c>
      <c r="T361" s="599">
        <f t="shared" si="22"/>
        <v>0</v>
      </c>
      <c r="U361" s="620"/>
      <c r="V361" s="621"/>
      <c r="W361" s="882">
        <f t="shared" si="23"/>
        <v>0</v>
      </c>
      <c r="X361" s="882">
        <f t="shared" si="21"/>
        <v>0</v>
      </c>
    </row>
    <row r="362" spans="1:24" ht="27" customHeight="1">
      <c r="A362" s="583"/>
      <c r="B362" s="583">
        <v>902</v>
      </c>
      <c r="C362" s="581">
        <v>9</v>
      </c>
      <c r="D362" s="582" t="s">
        <v>1127</v>
      </c>
      <c r="E362" s="583" t="s">
        <v>1128</v>
      </c>
      <c r="F362" s="599">
        <v>-4861535990</v>
      </c>
      <c r="G362" s="599">
        <v>-2550267936</v>
      </c>
      <c r="H362" s="599"/>
      <c r="I362" s="599"/>
      <c r="J362" s="599">
        <v>7411803926</v>
      </c>
      <c r="K362" s="599"/>
      <c r="L362" s="599"/>
      <c r="M362" s="599"/>
      <c r="N362" s="599"/>
      <c r="O362" s="599"/>
      <c r="P362" s="599"/>
      <c r="Q362" s="882">
        <f t="shared" si="20"/>
        <v>0</v>
      </c>
      <c r="R362" s="599">
        <v>0</v>
      </c>
      <c r="S362" s="882">
        <f t="shared" si="22"/>
        <v>0</v>
      </c>
      <c r="T362" s="599">
        <f t="shared" si="22"/>
        <v>0</v>
      </c>
      <c r="U362" s="620"/>
      <c r="V362" s="621"/>
      <c r="W362" s="882">
        <f t="shared" si="23"/>
        <v>0</v>
      </c>
      <c r="X362" s="882">
        <f t="shared" si="21"/>
        <v>0</v>
      </c>
    </row>
    <row r="363" spans="1:24" ht="27" customHeight="1">
      <c r="A363" s="583"/>
      <c r="B363" s="583">
        <v>903</v>
      </c>
      <c r="C363" s="581">
        <v>9</v>
      </c>
      <c r="D363" s="582" t="s">
        <v>509</v>
      </c>
      <c r="E363" s="583" t="s">
        <v>922</v>
      </c>
      <c r="F363" s="599">
        <v>-537598443398</v>
      </c>
      <c r="G363" s="599"/>
      <c r="H363" s="599"/>
      <c r="I363" s="599"/>
      <c r="J363" s="599">
        <v>-136478480850</v>
      </c>
      <c r="K363" s="599"/>
      <c r="L363" s="599"/>
      <c r="M363" s="599"/>
      <c r="N363" s="599"/>
      <c r="O363" s="599"/>
      <c r="P363" s="599"/>
      <c r="Q363" s="882">
        <f t="shared" si="20"/>
        <v>-674076924248</v>
      </c>
      <c r="R363" s="599">
        <v>-537598443398</v>
      </c>
      <c r="S363" s="882">
        <f t="shared" si="22"/>
        <v>-674077</v>
      </c>
      <c r="T363" s="599">
        <f t="shared" si="22"/>
        <v>-537598</v>
      </c>
      <c r="U363" s="620"/>
      <c r="V363" s="621"/>
      <c r="W363" s="882">
        <f t="shared" si="23"/>
        <v>-674076924248</v>
      </c>
      <c r="X363" s="882">
        <f t="shared" si="21"/>
        <v>-674077</v>
      </c>
    </row>
    <row r="364" spans="1:24" ht="27" customHeight="1">
      <c r="A364" s="583"/>
      <c r="B364" s="583">
        <v>903</v>
      </c>
      <c r="C364" s="581">
        <v>9</v>
      </c>
      <c r="D364" s="582" t="s">
        <v>1129</v>
      </c>
      <c r="E364" s="583" t="s">
        <v>1134</v>
      </c>
      <c r="F364" s="599">
        <v>-84489743407</v>
      </c>
      <c r="G364" s="599">
        <v>-49452331550</v>
      </c>
      <c r="H364" s="599">
        <v>-10882655030</v>
      </c>
      <c r="I364" s="599">
        <v>-631231906</v>
      </c>
      <c r="J364" s="599">
        <v>145455961893</v>
      </c>
      <c r="K364" s="599"/>
      <c r="L364" s="599"/>
      <c r="M364" s="599"/>
      <c r="N364" s="599"/>
      <c r="O364" s="599"/>
      <c r="P364" s="599"/>
      <c r="Q364" s="882">
        <f t="shared" si="20"/>
        <v>0</v>
      </c>
      <c r="R364" s="599">
        <v>0</v>
      </c>
      <c r="S364" s="882">
        <f t="shared" si="22"/>
        <v>0</v>
      </c>
      <c r="T364" s="599">
        <f t="shared" si="22"/>
        <v>0</v>
      </c>
      <c r="U364" s="620"/>
      <c r="V364" s="621"/>
      <c r="W364" s="882">
        <f t="shared" si="23"/>
        <v>0</v>
      </c>
      <c r="X364" s="882">
        <f t="shared" si="21"/>
        <v>0</v>
      </c>
    </row>
    <row r="365" spans="1:24" ht="27" customHeight="1">
      <c r="A365" s="583"/>
      <c r="B365" s="583">
        <v>903</v>
      </c>
      <c r="C365" s="581">
        <v>9</v>
      </c>
      <c r="D365" s="582" t="s">
        <v>1130</v>
      </c>
      <c r="E365" s="583" t="s">
        <v>1132</v>
      </c>
      <c r="F365" s="599">
        <v>1630268308</v>
      </c>
      <c r="G365" s="599"/>
      <c r="H365" s="599">
        <v>12650000</v>
      </c>
      <c r="I365" s="599"/>
      <c r="J365" s="599">
        <f>-1586052834-56865474</f>
        <v>-1642918308</v>
      </c>
      <c r="K365" s="599"/>
      <c r="L365" s="599"/>
      <c r="M365" s="599"/>
      <c r="N365" s="599"/>
      <c r="O365" s="599"/>
      <c r="P365" s="599"/>
      <c r="Q365" s="882">
        <f t="shared" si="20"/>
        <v>0</v>
      </c>
      <c r="R365" s="599">
        <v>0</v>
      </c>
      <c r="S365" s="882">
        <f t="shared" si="22"/>
        <v>0</v>
      </c>
      <c r="T365" s="599">
        <f t="shared" si="22"/>
        <v>0</v>
      </c>
      <c r="U365" s="620"/>
      <c r="V365" s="621"/>
      <c r="W365" s="882">
        <f t="shared" si="23"/>
        <v>0</v>
      </c>
      <c r="X365" s="882">
        <f t="shared" si="21"/>
        <v>0</v>
      </c>
    </row>
    <row r="366" spans="1:24" ht="27" customHeight="1">
      <c r="A366" s="583"/>
      <c r="B366" s="583"/>
      <c r="C366" s="581">
        <v>9</v>
      </c>
      <c r="D366" s="582" t="s">
        <v>1131</v>
      </c>
      <c r="E366" s="583" t="s">
        <v>1133</v>
      </c>
      <c r="F366" s="599">
        <v>2800000</v>
      </c>
      <c r="G366" s="599"/>
      <c r="H366" s="599"/>
      <c r="I366" s="599"/>
      <c r="J366" s="599">
        <v>-2800000</v>
      </c>
      <c r="K366" s="599"/>
      <c r="L366" s="599"/>
      <c r="M366" s="599"/>
      <c r="N366" s="599"/>
      <c r="O366" s="599"/>
      <c r="P366" s="599"/>
      <c r="Q366" s="882">
        <f t="shared" si="20"/>
        <v>0</v>
      </c>
      <c r="R366" s="599">
        <v>0</v>
      </c>
      <c r="S366" s="882">
        <f t="shared" si="22"/>
        <v>0</v>
      </c>
      <c r="T366" s="599">
        <f t="shared" si="22"/>
        <v>0</v>
      </c>
      <c r="U366" s="620"/>
      <c r="V366" s="621"/>
      <c r="W366" s="882">
        <f t="shared" si="23"/>
        <v>0</v>
      </c>
      <c r="X366" s="882">
        <f t="shared" si="21"/>
        <v>0</v>
      </c>
    </row>
    <row r="367" spans="1:24" ht="27" customHeight="1">
      <c r="A367" s="583"/>
      <c r="B367" s="583">
        <v>905</v>
      </c>
      <c r="C367" s="581">
        <v>9</v>
      </c>
      <c r="D367" s="582" t="s">
        <v>287</v>
      </c>
      <c r="E367" s="583" t="s">
        <v>919</v>
      </c>
      <c r="F367" s="599">
        <v>-431883909397</v>
      </c>
      <c r="G367" s="599"/>
      <c r="H367" s="599"/>
      <c r="I367" s="599"/>
      <c r="J367" s="599">
        <f>-61008704979+8099839691</f>
        <v>-52908865288</v>
      </c>
      <c r="K367" s="599"/>
      <c r="L367" s="599"/>
      <c r="M367" s="599"/>
      <c r="N367" s="599"/>
      <c r="O367" s="599"/>
      <c r="P367" s="599"/>
      <c r="Q367" s="882">
        <f t="shared" si="20"/>
        <v>-484792774685</v>
      </c>
      <c r="R367" s="599">
        <v>-431883909397</v>
      </c>
      <c r="S367" s="882">
        <f t="shared" si="22"/>
        <v>-484793</v>
      </c>
      <c r="T367" s="599">
        <f t="shared" si="22"/>
        <v>-431884</v>
      </c>
      <c r="U367" s="620"/>
      <c r="V367" s="621"/>
      <c r="W367" s="882">
        <f t="shared" si="23"/>
        <v>-484792774685</v>
      </c>
      <c r="X367" s="882">
        <f t="shared" si="21"/>
        <v>-484793</v>
      </c>
    </row>
    <row r="368" spans="1:24" ht="27" customHeight="1">
      <c r="A368" s="583"/>
      <c r="B368" s="583">
        <v>905</v>
      </c>
      <c r="C368" s="581">
        <v>9</v>
      </c>
      <c r="D368" s="582" t="s">
        <v>1135</v>
      </c>
      <c r="E368" s="583" t="s">
        <v>1137</v>
      </c>
      <c r="F368" s="599">
        <v>-39880178083</v>
      </c>
      <c r="G368" s="599">
        <v>-21452379418</v>
      </c>
      <c r="H368" s="599">
        <v>-1131511276</v>
      </c>
      <c r="I368" s="599">
        <v>-409960122</v>
      </c>
      <c r="J368" s="599">
        <v>62874028899</v>
      </c>
      <c r="K368" s="599"/>
      <c r="L368" s="599"/>
      <c r="M368" s="599"/>
      <c r="N368" s="599"/>
      <c r="O368" s="599"/>
      <c r="P368" s="599"/>
      <c r="Q368" s="882">
        <f t="shared" si="20"/>
        <v>0</v>
      </c>
      <c r="R368" s="599">
        <v>0</v>
      </c>
      <c r="S368" s="882">
        <f t="shared" si="22"/>
        <v>0</v>
      </c>
      <c r="T368" s="599">
        <f t="shared" si="22"/>
        <v>0</v>
      </c>
      <c r="U368" s="620"/>
      <c r="V368" s="621"/>
      <c r="W368" s="882">
        <f t="shared" si="23"/>
        <v>0</v>
      </c>
      <c r="X368" s="882">
        <f t="shared" si="21"/>
        <v>0</v>
      </c>
    </row>
    <row r="369" spans="1:24" ht="27" customHeight="1">
      <c r="A369" s="583"/>
      <c r="B369" s="583">
        <v>905</v>
      </c>
      <c r="C369" s="581">
        <v>9</v>
      </c>
      <c r="D369" s="582" t="s">
        <v>1136</v>
      </c>
      <c r="E369" s="583" t="s">
        <v>1138</v>
      </c>
      <c r="F369" s="599">
        <v>1253072224</v>
      </c>
      <c r="G369" s="599"/>
      <c r="H369" s="599">
        <v>679954613</v>
      </c>
      <c r="I369" s="599"/>
      <c r="J369" s="599">
        <f>-1865323920-67702917</f>
        <v>-1933026837</v>
      </c>
      <c r="K369" s="599"/>
      <c r="L369" s="599"/>
      <c r="M369" s="599"/>
      <c r="N369" s="599"/>
      <c r="O369" s="599"/>
      <c r="P369" s="599"/>
      <c r="Q369" s="882">
        <f t="shared" si="20"/>
        <v>0</v>
      </c>
      <c r="R369" s="599">
        <v>0</v>
      </c>
      <c r="S369" s="882">
        <f t="shared" si="22"/>
        <v>0</v>
      </c>
      <c r="T369" s="599">
        <f t="shared" si="22"/>
        <v>0</v>
      </c>
      <c r="U369" s="620"/>
      <c r="V369" s="621"/>
      <c r="W369" s="882">
        <f t="shared" si="23"/>
        <v>0</v>
      </c>
      <c r="X369" s="882">
        <f t="shared" si="21"/>
        <v>0</v>
      </c>
    </row>
    <row r="370" spans="1:24" ht="27" customHeight="1">
      <c r="A370" s="583"/>
      <c r="B370" s="583"/>
      <c r="C370" s="581">
        <v>9</v>
      </c>
      <c r="D370" s="582" t="s">
        <v>1022</v>
      </c>
      <c r="E370" s="583" t="s">
        <v>1023</v>
      </c>
      <c r="F370" s="599"/>
      <c r="G370" s="599"/>
      <c r="H370" s="599"/>
      <c r="I370" s="599"/>
      <c r="J370" s="599"/>
      <c r="K370" s="599"/>
      <c r="L370" s="599"/>
      <c r="M370" s="599"/>
      <c r="N370" s="599"/>
      <c r="O370" s="599"/>
      <c r="P370" s="599"/>
      <c r="Q370" s="882">
        <f t="shared" si="20"/>
        <v>0</v>
      </c>
      <c r="R370" s="599">
        <v>0</v>
      </c>
      <c r="S370" s="882">
        <f t="shared" si="22"/>
        <v>0</v>
      </c>
      <c r="T370" s="599">
        <f t="shared" si="22"/>
        <v>0</v>
      </c>
      <c r="U370" s="620"/>
      <c r="V370" s="621"/>
      <c r="W370" s="882">
        <f t="shared" si="23"/>
        <v>0</v>
      </c>
      <c r="X370" s="882">
        <f t="shared" si="21"/>
        <v>0</v>
      </c>
    </row>
    <row r="371" spans="1:24" ht="27" customHeight="1">
      <c r="A371" s="583"/>
      <c r="B371" s="583">
        <v>904</v>
      </c>
      <c r="C371" s="581">
        <v>9</v>
      </c>
      <c r="D371" s="582" t="s">
        <v>289</v>
      </c>
      <c r="E371" s="583" t="s">
        <v>917</v>
      </c>
      <c r="F371" s="599">
        <v>-154077193438</v>
      </c>
      <c r="G371" s="599"/>
      <c r="H371" s="599"/>
      <c r="I371" s="599"/>
      <c r="J371" s="599">
        <v>-55469069858</v>
      </c>
      <c r="K371" s="599"/>
      <c r="L371" s="599"/>
      <c r="M371" s="599"/>
      <c r="N371" s="599"/>
      <c r="O371" s="599"/>
      <c r="P371" s="599"/>
      <c r="Q371" s="882">
        <f t="shared" si="20"/>
        <v>-209546263296</v>
      </c>
      <c r="R371" s="599">
        <v>-154077193438</v>
      </c>
      <c r="S371" s="882">
        <f t="shared" si="22"/>
        <v>-209546</v>
      </c>
      <c r="T371" s="599">
        <f t="shared" si="22"/>
        <v>-154077</v>
      </c>
      <c r="U371" s="620"/>
      <c r="V371" s="621"/>
      <c r="W371" s="882">
        <f t="shared" si="23"/>
        <v>-209546263296</v>
      </c>
      <c r="X371" s="882">
        <f t="shared" si="21"/>
        <v>-209546</v>
      </c>
    </row>
    <row r="372" spans="1:24" ht="27" customHeight="1">
      <c r="A372" s="583"/>
      <c r="B372" s="583">
        <v>904</v>
      </c>
      <c r="C372" s="581">
        <v>9</v>
      </c>
      <c r="D372" s="582" t="s">
        <v>1139</v>
      </c>
      <c r="E372" s="583" t="s">
        <v>1142</v>
      </c>
      <c r="F372" s="599">
        <v>-36332896363</v>
      </c>
      <c r="G372" s="599">
        <v>-5491492709</v>
      </c>
      <c r="H372" s="599">
        <v>-14846600304</v>
      </c>
      <c r="I372" s="599">
        <v>-724044108</v>
      </c>
      <c r="J372" s="599">
        <v>57395033484</v>
      </c>
      <c r="K372" s="599"/>
      <c r="L372" s="599"/>
      <c r="M372" s="599"/>
      <c r="N372" s="599"/>
      <c r="O372" s="599"/>
      <c r="P372" s="599"/>
      <c r="Q372" s="882">
        <f t="shared" si="20"/>
        <v>0</v>
      </c>
      <c r="R372" s="599">
        <v>0</v>
      </c>
      <c r="S372" s="882">
        <f t="shared" si="22"/>
        <v>0</v>
      </c>
      <c r="T372" s="599">
        <f t="shared" si="22"/>
        <v>0</v>
      </c>
      <c r="U372" s="620"/>
      <c r="V372" s="621"/>
      <c r="W372" s="882">
        <f t="shared" si="23"/>
        <v>0</v>
      </c>
      <c r="X372" s="882">
        <f t="shared" si="21"/>
        <v>0</v>
      </c>
    </row>
    <row r="373" spans="1:24" ht="27" customHeight="1">
      <c r="A373" s="583"/>
      <c r="B373" s="583">
        <v>904</v>
      </c>
      <c r="C373" s="581">
        <v>9</v>
      </c>
      <c r="D373" s="582" t="s">
        <v>1140</v>
      </c>
      <c r="E373" s="583" t="s">
        <v>1143</v>
      </c>
      <c r="F373" s="599">
        <v>1042617579</v>
      </c>
      <c r="G373" s="599"/>
      <c r="H373" s="599">
        <v>1457752</v>
      </c>
      <c r="I373" s="599"/>
      <c r="J373" s="599">
        <f>-567028396-477046935</f>
        <v>-1044075331</v>
      </c>
      <c r="K373" s="599"/>
      <c r="L373" s="599"/>
      <c r="M373" s="599"/>
      <c r="N373" s="599"/>
      <c r="O373" s="599"/>
      <c r="P373" s="599"/>
      <c r="Q373" s="882">
        <f t="shared" si="20"/>
        <v>0</v>
      </c>
      <c r="R373" s="599">
        <v>0</v>
      </c>
      <c r="S373" s="882">
        <f t="shared" si="22"/>
        <v>0</v>
      </c>
      <c r="T373" s="599">
        <f t="shared" si="22"/>
        <v>0</v>
      </c>
      <c r="U373" s="620"/>
      <c r="V373" s="621"/>
      <c r="W373" s="882">
        <f t="shared" si="23"/>
        <v>0</v>
      </c>
      <c r="X373" s="882">
        <f t="shared" si="21"/>
        <v>0</v>
      </c>
    </row>
    <row r="374" spans="1:24" ht="27" customHeight="1">
      <c r="A374" s="583"/>
      <c r="B374" s="583">
        <v>904</v>
      </c>
      <c r="C374" s="581">
        <v>9</v>
      </c>
      <c r="D374" s="582" t="s">
        <v>1141</v>
      </c>
      <c r="E374" s="583" t="s">
        <v>1144</v>
      </c>
      <c r="F374" s="599">
        <v>2470000</v>
      </c>
      <c r="G374" s="599"/>
      <c r="H374" s="599"/>
      <c r="I374" s="599"/>
      <c r="J374" s="599">
        <v>-2470000</v>
      </c>
      <c r="K374" s="599"/>
      <c r="L374" s="599"/>
      <c r="M374" s="599"/>
      <c r="N374" s="599"/>
      <c r="O374" s="599"/>
      <c r="P374" s="599"/>
      <c r="Q374" s="882">
        <f t="shared" si="20"/>
        <v>0</v>
      </c>
      <c r="R374" s="599">
        <v>0</v>
      </c>
      <c r="S374" s="882">
        <f t="shared" si="22"/>
        <v>0</v>
      </c>
      <c r="T374" s="599">
        <f t="shared" si="22"/>
        <v>0</v>
      </c>
      <c r="U374" s="620"/>
      <c r="V374" s="621"/>
      <c r="W374" s="882">
        <f t="shared" si="23"/>
        <v>0</v>
      </c>
      <c r="X374" s="882">
        <f t="shared" si="21"/>
        <v>0</v>
      </c>
    </row>
    <row r="375" spans="1:24" ht="27" customHeight="1">
      <c r="A375" s="583"/>
      <c r="B375" s="583">
        <v>902</v>
      </c>
      <c r="C375" s="581">
        <v>9</v>
      </c>
      <c r="D375" s="582" t="s">
        <v>1145</v>
      </c>
      <c r="E375" s="583" t="s">
        <v>1147</v>
      </c>
      <c r="F375" s="599">
        <v>-2180965968</v>
      </c>
      <c r="G375" s="599"/>
      <c r="H375" s="599"/>
      <c r="I375" s="599"/>
      <c r="J375" s="599">
        <v>2180965968</v>
      </c>
      <c r="K375" s="599"/>
      <c r="L375" s="599"/>
      <c r="M375" s="599"/>
      <c r="N375" s="599"/>
      <c r="O375" s="599"/>
      <c r="P375" s="599"/>
      <c r="Q375" s="882">
        <f t="shared" si="20"/>
        <v>0</v>
      </c>
      <c r="R375" s="599">
        <v>0</v>
      </c>
      <c r="S375" s="882">
        <f t="shared" si="22"/>
        <v>0</v>
      </c>
      <c r="T375" s="599">
        <f t="shared" si="22"/>
        <v>0</v>
      </c>
      <c r="U375" s="620"/>
      <c r="V375" s="621"/>
      <c r="W375" s="882">
        <f t="shared" si="23"/>
        <v>0</v>
      </c>
      <c r="X375" s="882">
        <f t="shared" si="21"/>
        <v>0</v>
      </c>
    </row>
    <row r="376" spans="1:24" ht="27" customHeight="1">
      <c r="A376" s="583"/>
      <c r="B376" s="583">
        <v>902</v>
      </c>
      <c r="C376" s="581">
        <v>9</v>
      </c>
      <c r="D376" s="582" t="s">
        <v>1146</v>
      </c>
      <c r="E376" s="583" t="s">
        <v>1148</v>
      </c>
      <c r="F376" s="599">
        <v>-1268582418</v>
      </c>
      <c r="G376" s="599"/>
      <c r="H376" s="599"/>
      <c r="I376" s="599"/>
      <c r="J376" s="599">
        <v>1268582418</v>
      </c>
      <c r="K376" s="599"/>
      <c r="L376" s="599"/>
      <c r="M376" s="599"/>
      <c r="N376" s="599"/>
      <c r="O376" s="599"/>
      <c r="P376" s="599"/>
      <c r="Q376" s="882">
        <f t="shared" si="20"/>
        <v>0</v>
      </c>
      <c r="R376" s="599">
        <v>0</v>
      </c>
      <c r="S376" s="882">
        <f t="shared" si="22"/>
        <v>0</v>
      </c>
      <c r="T376" s="599">
        <f t="shared" si="22"/>
        <v>0</v>
      </c>
      <c r="U376" s="620"/>
      <c r="V376" s="621"/>
      <c r="W376" s="882">
        <f t="shared" si="23"/>
        <v>0</v>
      </c>
      <c r="X376" s="882">
        <f t="shared" si="21"/>
        <v>0</v>
      </c>
    </row>
    <row r="377" spans="1:24" ht="27" customHeight="1">
      <c r="A377" s="583"/>
      <c r="B377" s="583">
        <v>906</v>
      </c>
      <c r="C377" s="581">
        <v>9</v>
      </c>
      <c r="D377" s="582" t="s">
        <v>771</v>
      </c>
      <c r="E377" s="583" t="s">
        <v>773</v>
      </c>
      <c r="F377" s="599">
        <v>7957042357227</v>
      </c>
      <c r="G377" s="599">
        <v>-243128531368</v>
      </c>
      <c r="H377" s="599">
        <v>-160133788877</v>
      </c>
      <c r="I377" s="599">
        <v>3101377810761</v>
      </c>
      <c r="J377" s="599">
        <v>-1160700038576</v>
      </c>
      <c r="K377" s="599">
        <v>-6589806524050</v>
      </c>
      <c r="L377" s="599">
        <f>-370592349109</f>
        <v>-370592349109</v>
      </c>
      <c r="M377" s="599"/>
      <c r="N377" s="599">
        <f>-422941326072-3116479092+3594409765338</f>
        <v>3168351960174</v>
      </c>
      <c r="O377" s="599">
        <v>384461792417</v>
      </c>
      <c r="P377" s="599">
        <v>-3594409765338</v>
      </c>
      <c r="Q377" s="882">
        <f t="shared" si="20"/>
        <v>2492462923261</v>
      </c>
      <c r="R377" s="599">
        <v>7952088094207</v>
      </c>
      <c r="S377" s="882">
        <f t="shared" si="22"/>
        <v>2492463</v>
      </c>
      <c r="T377" s="599">
        <f t="shared" si="22"/>
        <v>7952088</v>
      </c>
      <c r="U377" s="620"/>
      <c r="V377" s="621"/>
      <c r="W377" s="882">
        <f t="shared" si="23"/>
        <v>2492462923261</v>
      </c>
      <c r="X377" s="882">
        <f t="shared" si="21"/>
        <v>2492463</v>
      </c>
    </row>
    <row r="378" spans="1:24" ht="27" customHeight="1">
      <c r="A378" s="583"/>
      <c r="B378" s="583"/>
      <c r="C378" s="581">
        <v>9</v>
      </c>
      <c r="D378" s="582" t="s">
        <v>1014</v>
      </c>
      <c r="E378" s="583" t="s">
        <v>1015</v>
      </c>
      <c r="F378" s="599">
        <v>30717932337</v>
      </c>
      <c r="G378" s="599">
        <v>2712424890</v>
      </c>
      <c r="H378" s="599">
        <v>-33386189227</v>
      </c>
      <c r="I378" s="599">
        <v>-44168000</v>
      </c>
      <c r="J378" s="599"/>
      <c r="K378" s="599"/>
      <c r="L378" s="599"/>
      <c r="M378" s="599"/>
      <c r="N378" s="599"/>
      <c r="O378" s="599"/>
      <c r="P378" s="599"/>
      <c r="Q378" s="882">
        <f t="shared" si="20"/>
        <v>0</v>
      </c>
      <c r="R378" s="599">
        <v>0</v>
      </c>
      <c r="S378" s="882">
        <f t="shared" si="22"/>
        <v>0</v>
      </c>
      <c r="T378" s="599">
        <f t="shared" si="22"/>
        <v>0</v>
      </c>
      <c r="U378" s="620"/>
      <c r="V378" s="621"/>
      <c r="W378" s="882">
        <f t="shared" si="23"/>
        <v>0</v>
      </c>
      <c r="X378" s="882">
        <f t="shared" si="21"/>
        <v>0</v>
      </c>
    </row>
    <row r="379" spans="1:24" ht="27" customHeight="1">
      <c r="A379" s="583"/>
      <c r="B379" s="583">
        <v>906</v>
      </c>
      <c r="C379" s="581">
        <v>9</v>
      </c>
      <c r="D379" s="582" t="s">
        <v>772</v>
      </c>
      <c r="E379" s="583" t="s">
        <v>774</v>
      </c>
      <c r="F379" s="599">
        <v>11998910000</v>
      </c>
      <c r="G379" s="599"/>
      <c r="H379" s="599">
        <v>376502885</v>
      </c>
      <c r="I379" s="599">
        <v>-376502885</v>
      </c>
      <c r="J379" s="599"/>
      <c r="K379" s="599"/>
      <c r="L379" s="599"/>
      <c r="M379" s="599"/>
      <c r="N379" s="599"/>
      <c r="O379" s="599"/>
      <c r="P379" s="599"/>
      <c r="Q379" s="882">
        <f t="shared" si="20"/>
        <v>11998910000</v>
      </c>
      <c r="R379" s="599">
        <v>12222398039</v>
      </c>
      <c r="S379" s="882">
        <f t="shared" si="22"/>
        <v>11999</v>
      </c>
      <c r="T379" s="599">
        <f t="shared" si="22"/>
        <v>12222</v>
      </c>
      <c r="U379" s="620"/>
      <c r="V379" s="621"/>
      <c r="W379" s="882">
        <f t="shared" si="23"/>
        <v>11998910000</v>
      </c>
      <c r="X379" s="882">
        <f t="shared" si="21"/>
        <v>11999</v>
      </c>
    </row>
    <row r="380" spans="1:24" ht="27" customHeight="1">
      <c r="A380" s="583"/>
      <c r="B380" s="583"/>
      <c r="C380" s="581">
        <v>7</v>
      </c>
      <c r="D380" s="582" t="s">
        <v>291</v>
      </c>
      <c r="E380" s="583" t="s">
        <v>495</v>
      </c>
      <c r="F380" s="599">
        <v>47500000</v>
      </c>
      <c r="G380" s="599"/>
      <c r="H380" s="599"/>
      <c r="I380" s="599"/>
      <c r="J380" s="599"/>
      <c r="K380" s="599"/>
      <c r="L380" s="599"/>
      <c r="M380" s="599"/>
      <c r="N380" s="599"/>
      <c r="O380" s="599"/>
      <c r="P380" s="599"/>
      <c r="Q380" s="882">
        <f t="shared" si="20"/>
        <v>47500000</v>
      </c>
      <c r="R380" s="599">
        <v>47500000</v>
      </c>
      <c r="S380" s="882">
        <f t="shared" si="22"/>
        <v>48</v>
      </c>
      <c r="T380" s="599">
        <f t="shared" si="22"/>
        <v>48</v>
      </c>
      <c r="U380" s="620"/>
      <c r="V380" s="621"/>
      <c r="W380" s="882">
        <f t="shared" si="23"/>
        <v>47500000</v>
      </c>
      <c r="X380" s="882">
        <f t="shared" si="21"/>
        <v>48</v>
      </c>
    </row>
    <row r="381" spans="1:24" ht="27" customHeight="1">
      <c r="A381" s="583"/>
      <c r="B381" s="583">
        <v>421</v>
      </c>
      <c r="C381" s="581">
        <v>4</v>
      </c>
      <c r="D381" s="582" t="s">
        <v>610</v>
      </c>
      <c r="E381" s="583" t="s">
        <v>611</v>
      </c>
      <c r="F381" s="599">
        <v>36655994679</v>
      </c>
      <c r="G381" s="599">
        <v>-8337200000</v>
      </c>
      <c r="H381" s="599"/>
      <c r="I381" s="599"/>
      <c r="J381" s="599"/>
      <c r="K381" s="599"/>
      <c r="L381" s="599"/>
      <c r="M381" s="599"/>
      <c r="N381" s="599"/>
      <c r="O381" s="599"/>
      <c r="P381" s="599"/>
      <c r="Q381" s="882">
        <f t="shared" si="20"/>
        <v>28318794679</v>
      </c>
      <c r="R381" s="599">
        <v>37961714147</v>
      </c>
      <c r="S381" s="882">
        <f t="shared" si="22"/>
        <v>28319</v>
      </c>
      <c r="T381" s="599">
        <f t="shared" si="22"/>
        <v>37962</v>
      </c>
      <c r="U381" s="620"/>
      <c r="V381" s="621"/>
      <c r="W381" s="882">
        <f t="shared" si="23"/>
        <v>28318794679</v>
      </c>
      <c r="X381" s="882">
        <f t="shared" si="21"/>
        <v>28319</v>
      </c>
    </row>
    <row r="382" spans="1:24" ht="27" customHeight="1">
      <c r="A382" s="583"/>
      <c r="B382" s="583">
        <v>410</v>
      </c>
      <c r="C382" s="581">
        <v>4</v>
      </c>
      <c r="D382" s="582" t="s">
        <v>610</v>
      </c>
      <c r="E382" s="583" t="s">
        <v>611</v>
      </c>
      <c r="F382" s="599"/>
      <c r="G382" s="599"/>
      <c r="H382" s="599"/>
      <c r="I382" s="599"/>
      <c r="J382" s="599"/>
      <c r="K382" s="599"/>
      <c r="L382" s="599"/>
      <c r="M382" s="599"/>
      <c r="N382" s="599"/>
      <c r="O382" s="599"/>
      <c r="P382" s="599"/>
      <c r="Q382" s="882">
        <f t="shared" si="20"/>
        <v>0</v>
      </c>
      <c r="R382" s="599">
        <v>0</v>
      </c>
      <c r="S382" s="882">
        <f t="shared" si="22"/>
        <v>0</v>
      </c>
      <c r="T382" s="599">
        <f t="shared" si="22"/>
        <v>0</v>
      </c>
      <c r="U382" s="620"/>
      <c r="V382" s="621"/>
      <c r="W382" s="882">
        <f t="shared" si="23"/>
        <v>0</v>
      </c>
      <c r="X382" s="882">
        <f t="shared" si="21"/>
        <v>0</v>
      </c>
    </row>
    <row r="383" spans="1:24" ht="27" customHeight="1">
      <c r="A383" s="583"/>
      <c r="B383" s="583">
        <v>406</v>
      </c>
      <c r="C383" s="581">
        <v>4</v>
      </c>
      <c r="D383" s="582" t="s">
        <v>894</v>
      </c>
      <c r="E383" s="583" t="s">
        <v>895</v>
      </c>
      <c r="F383" s="599">
        <v>-25039887032</v>
      </c>
      <c r="G383" s="599">
        <v>2579805000</v>
      </c>
      <c r="H383" s="599">
        <v>22460082032</v>
      </c>
      <c r="I383" s="599"/>
      <c r="J383" s="599"/>
      <c r="K383" s="599"/>
      <c r="L383" s="599"/>
      <c r="M383" s="599"/>
      <c r="N383" s="599"/>
      <c r="O383" s="599"/>
      <c r="P383" s="599"/>
      <c r="Q383" s="882">
        <f t="shared" si="20"/>
        <v>0</v>
      </c>
      <c r="R383" s="599">
        <v>0</v>
      </c>
      <c r="S383" s="882">
        <f t="shared" si="22"/>
        <v>0</v>
      </c>
      <c r="T383" s="599">
        <f t="shared" si="22"/>
        <v>0</v>
      </c>
      <c r="U383" s="620"/>
      <c r="V383" s="621"/>
      <c r="W383" s="882">
        <f t="shared" si="23"/>
        <v>0</v>
      </c>
      <c r="X383" s="882">
        <f t="shared" si="21"/>
        <v>0</v>
      </c>
    </row>
    <row r="384" spans="1:24" ht="27" customHeight="1">
      <c r="A384" s="583"/>
      <c r="B384" s="583">
        <v>506</v>
      </c>
      <c r="C384" s="581">
        <v>5</v>
      </c>
      <c r="D384" s="582" t="s">
        <v>145</v>
      </c>
      <c r="E384" s="583" t="s">
        <v>761</v>
      </c>
      <c r="F384" s="599">
        <v>214844387</v>
      </c>
      <c r="G384" s="599"/>
      <c r="H384" s="599"/>
      <c r="I384" s="599"/>
      <c r="J384" s="599"/>
      <c r="K384" s="599"/>
      <c r="L384" s="599"/>
      <c r="M384" s="599"/>
      <c r="N384" s="599"/>
      <c r="O384" s="599"/>
      <c r="P384" s="599"/>
      <c r="Q384" s="882">
        <f t="shared" si="20"/>
        <v>214844387</v>
      </c>
      <c r="R384" s="599">
        <v>214844387</v>
      </c>
      <c r="S384" s="882">
        <f t="shared" si="22"/>
        <v>215</v>
      </c>
      <c r="T384" s="599">
        <f t="shared" si="22"/>
        <v>215</v>
      </c>
      <c r="U384" s="620"/>
      <c r="V384" s="621"/>
      <c r="W384" s="882">
        <f t="shared" si="23"/>
        <v>214844387</v>
      </c>
      <c r="X384" s="882">
        <f t="shared" si="21"/>
        <v>215</v>
      </c>
    </row>
    <row r="385" spans="1:24" ht="27" customHeight="1">
      <c r="A385" s="583"/>
      <c r="B385" s="583">
        <v>504</v>
      </c>
      <c r="C385" s="581">
        <v>5</v>
      </c>
      <c r="D385" s="582" t="s">
        <v>119</v>
      </c>
      <c r="E385" s="583" t="s">
        <v>1149</v>
      </c>
      <c r="F385" s="599">
        <v>35432355000</v>
      </c>
      <c r="G385" s="599"/>
      <c r="H385" s="599"/>
      <c r="I385" s="599">
        <v>-10230924000</v>
      </c>
      <c r="J385" s="599"/>
      <c r="K385" s="599"/>
      <c r="L385" s="599"/>
      <c r="M385" s="599"/>
      <c r="N385" s="599"/>
      <c r="O385" s="599"/>
      <c r="P385" s="599"/>
      <c r="Q385" s="882">
        <f t="shared" si="20"/>
        <v>25201431000</v>
      </c>
      <c r="R385" s="599">
        <v>35432355000</v>
      </c>
      <c r="S385" s="882">
        <f>ROUND((Q385/1000000),0)</f>
        <v>25201</v>
      </c>
      <c r="T385" s="599">
        <f t="shared" si="22"/>
        <v>35432</v>
      </c>
      <c r="U385" s="620"/>
      <c r="V385" s="621"/>
      <c r="W385" s="882">
        <f t="shared" si="23"/>
        <v>25201431000</v>
      </c>
      <c r="X385" s="882">
        <f t="shared" si="21"/>
        <v>25201</v>
      </c>
    </row>
    <row r="386" spans="1:24" ht="27" customHeight="1">
      <c r="A386" s="583"/>
      <c r="B386" s="583">
        <v>1022</v>
      </c>
      <c r="C386" s="581">
        <v>4</v>
      </c>
      <c r="D386" s="582" t="s">
        <v>121</v>
      </c>
      <c r="E386" s="583" t="s">
        <v>1150</v>
      </c>
      <c r="F386" s="599">
        <v>-9216160500</v>
      </c>
      <c r="G386" s="599">
        <v>-473769722400</v>
      </c>
      <c r="H386" s="599"/>
      <c r="I386" s="599"/>
      <c r="J386" s="599"/>
      <c r="K386" s="599"/>
      <c r="L386" s="599"/>
      <c r="M386" s="599"/>
      <c r="N386" s="599"/>
      <c r="O386" s="599"/>
      <c r="P386" s="599"/>
      <c r="Q386" s="882">
        <f t="shared" si="20"/>
        <v>-482985882900</v>
      </c>
      <c r="R386" s="599">
        <v>-369682789900</v>
      </c>
      <c r="S386" s="882">
        <f>ROUND((Q386/1000000),0)</f>
        <v>-482986</v>
      </c>
      <c r="T386" s="599">
        <f t="shared" si="22"/>
        <v>-369683</v>
      </c>
      <c r="U386" s="620"/>
      <c r="V386" s="621"/>
      <c r="W386" s="882">
        <f t="shared" si="23"/>
        <v>-482985882900</v>
      </c>
      <c r="X386" s="882">
        <f t="shared" si="21"/>
        <v>-482986</v>
      </c>
    </row>
    <row r="387" spans="1:24" ht="27" customHeight="1">
      <c r="A387" s="583"/>
      <c r="B387" s="583">
        <v>505</v>
      </c>
      <c r="C387" s="581">
        <v>5</v>
      </c>
      <c r="D387" s="582" t="s">
        <v>123</v>
      </c>
      <c r="E387" s="583" t="s">
        <v>124</v>
      </c>
      <c r="F387" s="599">
        <v>1404059895</v>
      </c>
      <c r="G387" s="599">
        <v>831790</v>
      </c>
      <c r="H387" s="599"/>
      <c r="I387" s="599"/>
      <c r="J387" s="599"/>
      <c r="K387" s="599"/>
      <c r="L387" s="599"/>
      <c r="M387" s="599"/>
      <c r="N387" s="599"/>
      <c r="O387" s="599"/>
      <c r="P387" s="599"/>
      <c r="Q387" s="882">
        <f t="shared" si="20"/>
        <v>1404891685</v>
      </c>
      <c r="R387" s="599">
        <v>5458552985</v>
      </c>
      <c r="S387" s="882">
        <f t="shared" si="22"/>
        <v>1405</v>
      </c>
      <c r="T387" s="599">
        <f t="shared" si="22"/>
        <v>5459</v>
      </c>
      <c r="U387" s="620"/>
      <c r="V387" s="621"/>
      <c r="W387" s="882">
        <f t="shared" si="23"/>
        <v>1404891685</v>
      </c>
      <c r="X387" s="882">
        <f t="shared" si="21"/>
        <v>1405</v>
      </c>
    </row>
    <row r="388" spans="1:24" ht="27" customHeight="1">
      <c r="A388" s="583"/>
      <c r="B388" s="583"/>
      <c r="C388" s="581">
        <v>8</v>
      </c>
      <c r="D388" s="582" t="s">
        <v>125</v>
      </c>
      <c r="E388" s="583" t="s">
        <v>999</v>
      </c>
      <c r="F388" s="599">
        <v>60465811147</v>
      </c>
      <c r="G388" s="599"/>
      <c r="H388" s="599"/>
      <c r="I388" s="599">
        <v>342269900</v>
      </c>
      <c r="J388" s="599"/>
      <c r="K388" s="599"/>
      <c r="L388" s="599"/>
      <c r="M388" s="599"/>
      <c r="N388" s="599"/>
      <c r="O388" s="599"/>
      <c r="P388" s="599"/>
      <c r="Q388" s="882">
        <f t="shared" ref="Q388:Q451" si="24">SUM(F388:P388)</f>
        <v>60808081047</v>
      </c>
      <c r="R388" s="599">
        <v>60121191597</v>
      </c>
      <c r="S388" s="882">
        <f t="shared" si="22"/>
        <v>60808</v>
      </c>
      <c r="T388" s="599">
        <f t="shared" si="22"/>
        <v>60121</v>
      </c>
      <c r="U388" s="620"/>
      <c r="V388" s="621"/>
      <c r="W388" s="882">
        <f t="shared" si="23"/>
        <v>60808081047</v>
      </c>
      <c r="X388" s="882">
        <f t="shared" si="21"/>
        <v>60808</v>
      </c>
    </row>
    <row r="389" spans="1:24" ht="27" customHeight="1">
      <c r="A389" s="583"/>
      <c r="B389" s="583">
        <v>406</v>
      </c>
      <c r="C389" s="581">
        <v>4</v>
      </c>
      <c r="D389" s="582" t="s">
        <v>63</v>
      </c>
      <c r="E389" s="583" t="s">
        <v>559</v>
      </c>
      <c r="F389" s="599">
        <v>20048780547</v>
      </c>
      <c r="G389" s="599"/>
      <c r="H389" s="599">
        <v>-720614000</v>
      </c>
      <c r="I389" s="599"/>
      <c r="J389" s="599"/>
      <c r="K389" s="599"/>
      <c r="L389" s="599"/>
      <c r="M389" s="599"/>
      <c r="N389" s="599"/>
      <c r="O389" s="599"/>
      <c r="P389" s="599"/>
      <c r="Q389" s="882">
        <f t="shared" si="24"/>
        <v>19328166547</v>
      </c>
      <c r="R389" s="599">
        <v>19540869411</v>
      </c>
      <c r="S389" s="882">
        <f t="shared" si="22"/>
        <v>19328</v>
      </c>
      <c r="T389" s="599">
        <f t="shared" si="22"/>
        <v>19541</v>
      </c>
      <c r="U389" s="620"/>
      <c r="V389" s="621"/>
      <c r="W389" s="882">
        <f t="shared" si="23"/>
        <v>19328166547</v>
      </c>
      <c r="X389" s="882">
        <f t="shared" si="21"/>
        <v>19328</v>
      </c>
    </row>
    <row r="390" spans="1:24" ht="27" customHeight="1">
      <c r="A390" s="583"/>
      <c r="B390" s="583">
        <v>606</v>
      </c>
      <c r="C390" s="581">
        <v>6</v>
      </c>
      <c r="D390" s="582" t="s">
        <v>849</v>
      </c>
      <c r="E390" s="583" t="s">
        <v>920</v>
      </c>
      <c r="F390" s="599">
        <v>7134640431</v>
      </c>
      <c r="G390" s="599"/>
      <c r="H390" s="599"/>
      <c r="I390" s="599"/>
      <c r="J390" s="599"/>
      <c r="K390" s="599"/>
      <c r="L390" s="599"/>
      <c r="M390" s="599"/>
      <c r="N390" s="599"/>
      <c r="O390" s="599"/>
      <c r="P390" s="599"/>
      <c r="Q390" s="882">
        <f t="shared" si="24"/>
        <v>7134640431</v>
      </c>
      <c r="R390" s="599">
        <v>6197239785</v>
      </c>
      <c r="S390" s="882">
        <f t="shared" si="22"/>
        <v>7135</v>
      </c>
      <c r="T390" s="599">
        <f t="shared" si="22"/>
        <v>6197</v>
      </c>
      <c r="U390" s="620"/>
      <c r="V390" s="621"/>
      <c r="W390" s="882">
        <f t="shared" si="23"/>
        <v>7134640431</v>
      </c>
      <c r="X390" s="882">
        <f t="shared" si="21"/>
        <v>7135</v>
      </c>
    </row>
    <row r="391" spans="1:24" ht="27" customHeight="1">
      <c r="A391" s="583"/>
      <c r="B391" s="583">
        <v>604</v>
      </c>
      <c r="C391" s="581">
        <v>6</v>
      </c>
      <c r="D391" s="582" t="s">
        <v>69</v>
      </c>
      <c r="E391" s="583" t="s">
        <v>70</v>
      </c>
      <c r="F391" s="599">
        <v>218481346</v>
      </c>
      <c r="G391" s="599"/>
      <c r="H391" s="599"/>
      <c r="I391" s="599"/>
      <c r="J391" s="599"/>
      <c r="K391" s="599"/>
      <c r="L391" s="599"/>
      <c r="M391" s="599"/>
      <c r="N391" s="599"/>
      <c r="O391" s="599"/>
      <c r="P391" s="599"/>
      <c r="Q391" s="882">
        <f t="shared" si="24"/>
        <v>218481346</v>
      </c>
      <c r="R391" s="599">
        <v>295564797</v>
      </c>
      <c r="S391" s="882">
        <f t="shared" si="22"/>
        <v>218</v>
      </c>
      <c r="T391" s="599">
        <f t="shared" si="22"/>
        <v>296</v>
      </c>
      <c r="U391" s="620"/>
      <c r="V391" s="621"/>
      <c r="W391" s="882">
        <f t="shared" si="23"/>
        <v>218481346</v>
      </c>
      <c r="X391" s="882">
        <f t="shared" ref="X391:X461" si="25">ROUND((W391/1000000),0)</f>
        <v>218</v>
      </c>
    </row>
    <row r="392" spans="1:24" ht="27" customHeight="1">
      <c r="A392" s="583"/>
      <c r="B392" s="583">
        <v>406</v>
      </c>
      <c r="C392" s="581">
        <v>4</v>
      </c>
      <c r="D392" s="582" t="s">
        <v>1151</v>
      </c>
      <c r="E392" s="583" t="s">
        <v>1152</v>
      </c>
      <c r="F392" s="599">
        <v>30648243865</v>
      </c>
      <c r="G392" s="599"/>
      <c r="H392" s="599"/>
      <c r="I392" s="599"/>
      <c r="J392" s="599"/>
      <c r="K392" s="599"/>
      <c r="L392" s="599"/>
      <c r="M392" s="599"/>
      <c r="N392" s="599"/>
      <c r="O392" s="599"/>
      <c r="P392" s="599"/>
      <c r="Q392" s="882">
        <f t="shared" si="24"/>
        <v>30648243865</v>
      </c>
      <c r="R392" s="599">
        <v>29946341365</v>
      </c>
      <c r="S392" s="882">
        <f>ROUND((Q392/1000000),0)</f>
        <v>30648</v>
      </c>
      <c r="T392" s="599">
        <f t="shared" si="22"/>
        <v>29946</v>
      </c>
      <c r="U392" s="620"/>
      <c r="V392" s="621"/>
      <c r="W392" s="882">
        <f t="shared" si="23"/>
        <v>30648243865</v>
      </c>
      <c r="X392" s="882">
        <f t="shared" si="25"/>
        <v>30648</v>
      </c>
    </row>
    <row r="393" spans="1:24" ht="27" customHeight="1">
      <c r="A393" s="583"/>
      <c r="B393" s="583">
        <v>907</v>
      </c>
      <c r="C393" s="581">
        <v>9</v>
      </c>
      <c r="D393" s="582" t="s">
        <v>71</v>
      </c>
      <c r="E393" s="583" t="s">
        <v>72</v>
      </c>
      <c r="F393" s="599">
        <v>83105152566</v>
      </c>
      <c r="G393" s="599"/>
      <c r="H393" s="599"/>
      <c r="I393" s="599">
        <f>119603805154-119558238154</f>
        <v>45567000</v>
      </c>
      <c r="J393" s="599">
        <v>0</v>
      </c>
      <c r="K393" s="599"/>
      <c r="L393" s="599"/>
      <c r="M393" s="599"/>
      <c r="N393" s="599"/>
      <c r="O393" s="599"/>
      <c r="P393" s="599"/>
      <c r="Q393" s="882">
        <f t="shared" si="24"/>
        <v>83150719566</v>
      </c>
      <c r="R393" s="599">
        <v>37392943450</v>
      </c>
      <c r="S393" s="882">
        <f t="shared" si="22"/>
        <v>83151</v>
      </c>
      <c r="T393" s="599">
        <f t="shared" si="22"/>
        <v>37393</v>
      </c>
      <c r="U393" s="620"/>
      <c r="V393" s="621"/>
      <c r="W393" s="882">
        <f t="shared" si="23"/>
        <v>83150719566</v>
      </c>
      <c r="X393" s="882">
        <f t="shared" si="25"/>
        <v>83151</v>
      </c>
    </row>
    <row r="394" spans="1:24" ht="27" customHeight="1">
      <c r="A394" s="583">
        <v>3214</v>
      </c>
      <c r="B394" s="583">
        <v>907</v>
      </c>
      <c r="C394" s="581">
        <v>9</v>
      </c>
      <c r="D394" s="582" t="s">
        <v>71</v>
      </c>
      <c r="E394" s="583" t="s">
        <v>1459</v>
      </c>
      <c r="F394" s="599"/>
      <c r="G394" s="599"/>
      <c r="H394" s="599"/>
      <c r="I394" s="599">
        <v>119558238154</v>
      </c>
      <c r="J394" s="599">
        <v>0</v>
      </c>
      <c r="K394" s="599">
        <f>-22239602884-97318635270</f>
        <v>-119558238154</v>
      </c>
      <c r="L394" s="599"/>
      <c r="M394" s="599"/>
      <c r="N394" s="599"/>
      <c r="O394" s="599">
        <f>22239602884+97318635270-63856554113</f>
        <v>55701684041</v>
      </c>
      <c r="P394" s="599"/>
      <c r="Q394" s="882">
        <f t="shared" si="24"/>
        <v>55701684041</v>
      </c>
      <c r="R394" s="599">
        <v>207478871578</v>
      </c>
      <c r="S394" s="738">
        <f t="shared" si="22"/>
        <v>55702</v>
      </c>
      <c r="T394" s="599">
        <f t="shared" si="22"/>
        <v>207479</v>
      </c>
      <c r="U394" s="620"/>
      <c r="V394" s="621"/>
      <c r="W394" s="882">
        <f t="shared" si="23"/>
        <v>55701684041</v>
      </c>
      <c r="X394" s="882">
        <f t="shared" si="25"/>
        <v>55702</v>
      </c>
    </row>
    <row r="395" spans="1:24" ht="27" customHeight="1">
      <c r="A395" s="583">
        <v>6587</v>
      </c>
      <c r="B395" s="583">
        <v>907</v>
      </c>
      <c r="C395" s="581">
        <v>9</v>
      </c>
      <c r="D395" s="582" t="s">
        <v>71</v>
      </c>
      <c r="E395" s="583" t="s">
        <v>1719</v>
      </c>
      <c r="F395" s="599"/>
      <c r="G395" s="599"/>
      <c r="H395" s="599"/>
      <c r="I395" s="599"/>
      <c r="J395" s="599">
        <v>-6839202200</v>
      </c>
      <c r="K395" s="599"/>
      <c r="L395" s="599">
        <v>-76311517366</v>
      </c>
      <c r="M395" s="599"/>
      <c r="N395" s="599"/>
      <c r="O395" s="599"/>
      <c r="P395" s="599"/>
      <c r="Q395" s="882">
        <f t="shared" si="24"/>
        <v>-83150719566</v>
      </c>
      <c r="R395" s="599"/>
      <c r="S395" s="882">
        <f t="shared" si="22"/>
        <v>-83151</v>
      </c>
      <c r="T395" s="599">
        <f t="shared" si="22"/>
        <v>0</v>
      </c>
      <c r="U395" s="620"/>
      <c r="V395" s="621"/>
      <c r="W395" s="882">
        <f t="shared" si="23"/>
        <v>-83150719566</v>
      </c>
      <c r="X395" s="882">
        <f t="shared" si="25"/>
        <v>-83151</v>
      </c>
    </row>
    <row r="396" spans="1:24" ht="27" customHeight="1">
      <c r="A396" s="583"/>
      <c r="B396" s="583">
        <v>406</v>
      </c>
      <c r="C396" s="581">
        <v>4</v>
      </c>
      <c r="D396" s="582" t="s">
        <v>73</v>
      </c>
      <c r="E396" s="583" t="s">
        <v>74</v>
      </c>
      <c r="F396" s="599">
        <v>11692212355</v>
      </c>
      <c r="G396" s="599">
        <v>-2485236858</v>
      </c>
      <c r="H396" s="599">
        <v>-642682353</v>
      </c>
      <c r="I396" s="599">
        <v>3182055740</v>
      </c>
      <c r="J396" s="599">
        <v>-16962500</v>
      </c>
      <c r="K396" s="599"/>
      <c r="L396" s="599"/>
      <c r="M396" s="599"/>
      <c r="N396" s="599"/>
      <c r="O396" s="599"/>
      <c r="P396" s="599"/>
      <c r="Q396" s="882">
        <f t="shared" si="24"/>
        <v>11729386384</v>
      </c>
      <c r="R396" s="599">
        <v>9576559628</v>
      </c>
      <c r="S396" s="882">
        <f t="shared" si="22"/>
        <v>11729</v>
      </c>
      <c r="T396" s="599">
        <f t="shared" si="22"/>
        <v>9577</v>
      </c>
      <c r="U396" s="620"/>
      <c r="V396" s="621"/>
      <c r="W396" s="882">
        <f t="shared" si="23"/>
        <v>11729386384</v>
      </c>
      <c r="X396" s="882">
        <f t="shared" si="25"/>
        <v>11729</v>
      </c>
    </row>
    <row r="397" spans="1:24" ht="27" customHeight="1">
      <c r="A397" s="583"/>
      <c r="B397" s="583">
        <v>605</v>
      </c>
      <c r="C397" s="581">
        <v>6</v>
      </c>
      <c r="D397" s="582" t="s">
        <v>1153</v>
      </c>
      <c r="E397" s="583" t="s">
        <v>1154</v>
      </c>
      <c r="F397" s="599">
        <v>716555817098</v>
      </c>
      <c r="G397" s="599">
        <v>8451000</v>
      </c>
      <c r="H397" s="599"/>
      <c r="I397" s="599">
        <v>15568381917</v>
      </c>
      <c r="J397" s="599"/>
      <c r="K397" s="599">
        <v>4287750</v>
      </c>
      <c r="L397" s="599">
        <v>1769040</v>
      </c>
      <c r="M397" s="599"/>
      <c r="N397" s="599">
        <v>31191540</v>
      </c>
      <c r="O397" s="599"/>
      <c r="P397" s="599"/>
      <c r="Q397" s="882">
        <f t="shared" si="24"/>
        <v>732169898345</v>
      </c>
      <c r="R397" s="599">
        <v>1124554996673</v>
      </c>
      <c r="S397" s="882">
        <f>ROUND((Q397/1000000),0)</f>
        <v>732170</v>
      </c>
      <c r="T397" s="599">
        <f>ROUND((R397/1000000),0)</f>
        <v>1124555</v>
      </c>
      <c r="U397" s="620"/>
      <c r="V397" s="621"/>
      <c r="W397" s="882">
        <f t="shared" si="23"/>
        <v>732169898345</v>
      </c>
      <c r="X397" s="882">
        <f t="shared" si="25"/>
        <v>732170</v>
      </c>
    </row>
    <row r="398" spans="1:24" ht="27" customHeight="1">
      <c r="A398" s="583"/>
      <c r="B398" s="583">
        <v>406</v>
      </c>
      <c r="C398" s="581">
        <v>4</v>
      </c>
      <c r="D398" s="582" t="s">
        <v>75</v>
      </c>
      <c r="E398" s="583" t="s">
        <v>406</v>
      </c>
      <c r="F398" s="599">
        <v>17734709800</v>
      </c>
      <c r="G398" s="599">
        <v>-78771524</v>
      </c>
      <c r="H398" s="599"/>
      <c r="I398" s="599"/>
      <c r="J398" s="599"/>
      <c r="K398" s="599"/>
      <c r="L398" s="599"/>
      <c r="M398" s="599"/>
      <c r="N398" s="599"/>
      <c r="O398" s="599"/>
      <c r="P398" s="599"/>
      <c r="Q398" s="882">
        <f t="shared" si="24"/>
        <v>17655938276</v>
      </c>
      <c r="R398" s="599">
        <v>17734709800</v>
      </c>
      <c r="S398" s="882">
        <f t="shared" ref="S398:T432" si="26">ROUND((Q398/1000000),0)</f>
        <v>17656</v>
      </c>
      <c r="T398" s="599">
        <f t="shared" si="26"/>
        <v>17735</v>
      </c>
      <c r="U398" s="620"/>
      <c r="V398" s="621"/>
      <c r="W398" s="882">
        <f t="shared" si="23"/>
        <v>17655938276</v>
      </c>
      <c r="X398" s="882">
        <f t="shared" si="25"/>
        <v>17656</v>
      </c>
    </row>
    <row r="399" spans="1:24" ht="27" customHeight="1">
      <c r="A399" s="583"/>
      <c r="B399" s="583">
        <v>406</v>
      </c>
      <c r="C399" s="581">
        <v>4</v>
      </c>
      <c r="D399" s="582" t="s">
        <v>407</v>
      </c>
      <c r="E399" s="583" t="s">
        <v>408</v>
      </c>
      <c r="F399" s="599">
        <v>199100360</v>
      </c>
      <c r="G399" s="599"/>
      <c r="H399" s="599"/>
      <c r="I399" s="599"/>
      <c r="J399" s="599"/>
      <c r="K399" s="599"/>
      <c r="L399" s="599"/>
      <c r="M399" s="599"/>
      <c r="N399" s="599"/>
      <c r="O399" s="599"/>
      <c r="P399" s="599"/>
      <c r="Q399" s="882">
        <f t="shared" si="24"/>
        <v>199100360</v>
      </c>
      <c r="R399" s="599">
        <v>199100360</v>
      </c>
      <c r="S399" s="882">
        <f t="shared" si="26"/>
        <v>199</v>
      </c>
      <c r="T399" s="599">
        <f t="shared" si="26"/>
        <v>199</v>
      </c>
      <c r="U399" s="620"/>
      <c r="V399" s="621"/>
      <c r="W399" s="882">
        <f t="shared" si="23"/>
        <v>199100360</v>
      </c>
      <c r="X399" s="882">
        <f t="shared" si="25"/>
        <v>199</v>
      </c>
    </row>
    <row r="400" spans="1:24" ht="27" customHeight="1">
      <c r="A400" s="583"/>
      <c r="B400" s="583">
        <v>411</v>
      </c>
      <c r="C400" s="581">
        <v>4</v>
      </c>
      <c r="D400" s="582" t="s">
        <v>409</v>
      </c>
      <c r="E400" s="583" t="s">
        <v>410</v>
      </c>
      <c r="F400" s="599">
        <v>108880917009</v>
      </c>
      <c r="G400" s="599">
        <v>-1391216427</v>
      </c>
      <c r="H400" s="599">
        <v>853708387</v>
      </c>
      <c r="I400" s="599">
        <v>0</v>
      </c>
      <c r="J400" s="599"/>
      <c r="K400" s="599"/>
      <c r="L400" s="599"/>
      <c r="M400" s="599"/>
      <c r="N400" s="599"/>
      <c r="O400" s="599"/>
      <c r="P400" s="599"/>
      <c r="Q400" s="882">
        <f t="shared" si="24"/>
        <v>108343408969</v>
      </c>
      <c r="R400" s="599">
        <v>23147853693</v>
      </c>
      <c r="S400" s="882">
        <f t="shared" si="26"/>
        <v>108343</v>
      </c>
      <c r="T400" s="599">
        <f t="shared" si="26"/>
        <v>23148</v>
      </c>
      <c r="U400" s="620"/>
      <c r="V400" s="621"/>
      <c r="W400" s="882">
        <f t="shared" si="23"/>
        <v>108343408969</v>
      </c>
      <c r="X400" s="882">
        <f t="shared" si="25"/>
        <v>108343</v>
      </c>
    </row>
    <row r="401" spans="1:24" ht="27" customHeight="1">
      <c r="A401" s="583">
        <v>3214</v>
      </c>
      <c r="B401" s="583">
        <v>408</v>
      </c>
      <c r="C401" s="581">
        <v>4</v>
      </c>
      <c r="D401" s="582" t="s">
        <v>409</v>
      </c>
      <c r="E401" s="583" t="s">
        <v>1669</v>
      </c>
      <c r="F401" s="599"/>
      <c r="G401" s="599"/>
      <c r="H401" s="599"/>
      <c r="I401" s="599">
        <v>140701273587</v>
      </c>
      <c r="J401" s="599"/>
      <c r="K401" s="599">
        <f>-140701273587</f>
        <v>-140701273587</v>
      </c>
      <c r="L401" s="599"/>
      <c r="M401" s="599"/>
      <c r="N401" s="599"/>
      <c r="O401" s="599">
        <v>140701273587</v>
      </c>
      <c r="P401" s="599"/>
      <c r="Q401" s="882">
        <f t="shared" si="24"/>
        <v>140701273587</v>
      </c>
      <c r="R401" s="599">
        <v>275488814311</v>
      </c>
      <c r="S401" s="738">
        <f t="shared" si="26"/>
        <v>140701</v>
      </c>
      <c r="T401" s="599">
        <f t="shared" si="26"/>
        <v>275489</v>
      </c>
      <c r="U401" s="620"/>
      <c r="V401" s="621"/>
      <c r="W401" s="882">
        <f t="shared" si="23"/>
        <v>140701273587</v>
      </c>
      <c r="X401" s="882">
        <f t="shared" si="25"/>
        <v>140701</v>
      </c>
    </row>
    <row r="402" spans="1:24" ht="27" customHeight="1">
      <c r="A402" s="583"/>
      <c r="B402" s="583">
        <v>907</v>
      </c>
      <c r="C402" s="581">
        <v>9</v>
      </c>
      <c r="D402" s="582" t="s">
        <v>411</v>
      </c>
      <c r="E402" s="583" t="s">
        <v>769</v>
      </c>
      <c r="F402" s="599">
        <v>201977248029</v>
      </c>
      <c r="G402" s="599">
        <v>-225298500</v>
      </c>
      <c r="H402" s="599"/>
      <c r="I402" s="599">
        <f>1789695914946-1789664434446</f>
        <v>31480500</v>
      </c>
      <c r="J402" s="599"/>
      <c r="K402" s="599"/>
      <c r="L402" s="599"/>
      <c r="M402" s="599"/>
      <c r="N402" s="599"/>
      <c r="O402" s="599">
        <f>-57227691586</f>
        <v>-57227691586</v>
      </c>
      <c r="P402" s="599"/>
      <c r="Q402" s="882">
        <f t="shared" si="24"/>
        <v>144555738443</v>
      </c>
      <c r="R402" s="599">
        <v>195204712063</v>
      </c>
      <c r="S402" s="882">
        <f t="shared" si="26"/>
        <v>144556</v>
      </c>
      <c r="T402" s="599">
        <f t="shared" si="26"/>
        <v>195205</v>
      </c>
      <c r="U402" s="620"/>
      <c r="V402" s="621"/>
      <c r="W402" s="882">
        <f t="shared" si="23"/>
        <v>144555738443</v>
      </c>
      <c r="X402" s="882">
        <f t="shared" si="25"/>
        <v>144556</v>
      </c>
    </row>
    <row r="403" spans="1:24" ht="27" customHeight="1">
      <c r="A403" s="583">
        <v>3214</v>
      </c>
      <c r="B403" s="583">
        <v>907</v>
      </c>
      <c r="C403" s="581">
        <v>9</v>
      </c>
      <c r="D403" s="582" t="s">
        <v>411</v>
      </c>
      <c r="E403" s="583" t="s">
        <v>1670</v>
      </c>
      <c r="F403" s="599"/>
      <c r="G403" s="599"/>
      <c r="H403" s="599"/>
      <c r="I403" s="599">
        <f>1789664434446</f>
        <v>1789664434446</v>
      </c>
      <c r="J403" s="599"/>
      <c r="K403" s="599">
        <f>-1560540779646-108644114607-120479540193</f>
        <v>-1789664434446</v>
      </c>
      <c r="L403" s="599"/>
      <c r="M403" s="599"/>
      <c r="N403" s="599"/>
      <c r="O403" s="599">
        <f>1560540779646+108644114607+120479540193+2234471786</f>
        <v>1791898906232</v>
      </c>
      <c r="P403" s="599">
        <f>-(1607148210659+36711945254)</f>
        <v>-1643860155913</v>
      </c>
      <c r="Q403" s="882">
        <f t="shared" si="24"/>
        <v>148038750319</v>
      </c>
      <c r="R403" s="599">
        <v>1436486056974</v>
      </c>
      <c r="S403" s="738">
        <f t="shared" si="26"/>
        <v>148039</v>
      </c>
      <c r="T403" s="599">
        <f t="shared" si="26"/>
        <v>1436486</v>
      </c>
      <c r="U403" s="620"/>
      <c r="V403" s="621"/>
      <c r="W403" s="882">
        <f t="shared" si="23"/>
        <v>148038750319</v>
      </c>
      <c r="X403" s="882">
        <f t="shared" si="25"/>
        <v>148039</v>
      </c>
    </row>
    <row r="404" spans="1:24" ht="27" customHeight="1">
      <c r="A404" s="583">
        <v>6587</v>
      </c>
      <c r="B404" s="583">
        <v>907</v>
      </c>
      <c r="C404" s="581">
        <v>9</v>
      </c>
      <c r="D404" s="582" t="s">
        <v>411</v>
      </c>
      <c r="E404" s="583" t="s">
        <v>1674</v>
      </c>
      <c r="F404" s="599"/>
      <c r="G404" s="599"/>
      <c r="H404" s="599"/>
      <c r="I404" s="599"/>
      <c r="J404" s="599">
        <v>-162438668762</v>
      </c>
      <c r="K404" s="599"/>
      <c r="L404" s="599">
        <v>-12183945163</v>
      </c>
      <c r="M404" s="599"/>
      <c r="N404" s="599"/>
      <c r="O404" s="599">
        <v>55644741586</v>
      </c>
      <c r="P404" s="599"/>
      <c r="Q404" s="882">
        <f t="shared" si="24"/>
        <v>-118977872339</v>
      </c>
      <c r="R404" s="599"/>
      <c r="S404" s="882">
        <f t="shared" si="26"/>
        <v>-118978</v>
      </c>
      <c r="T404" s="599">
        <f t="shared" si="26"/>
        <v>0</v>
      </c>
      <c r="U404" s="620"/>
      <c r="V404" s="621"/>
      <c r="W404" s="882">
        <f t="shared" si="23"/>
        <v>-118977872339</v>
      </c>
      <c r="X404" s="882">
        <f t="shared" si="25"/>
        <v>-118978</v>
      </c>
    </row>
    <row r="405" spans="1:24" ht="27" customHeight="1">
      <c r="A405" s="583"/>
      <c r="B405" s="583">
        <v>603</v>
      </c>
      <c r="C405" s="581">
        <v>6</v>
      </c>
      <c r="D405" s="582" t="s">
        <v>353</v>
      </c>
      <c r="E405" s="583" t="s">
        <v>354</v>
      </c>
      <c r="F405" s="599">
        <v>33902601043</v>
      </c>
      <c r="G405" s="599"/>
      <c r="H405" s="599"/>
      <c r="I405" s="599">
        <v>-62249700</v>
      </c>
      <c r="J405" s="599"/>
      <c r="K405" s="599"/>
      <c r="L405" s="599"/>
      <c r="M405" s="599"/>
      <c r="N405" s="599"/>
      <c r="O405" s="599"/>
      <c r="P405" s="599"/>
      <c r="Q405" s="882">
        <f t="shared" si="24"/>
        <v>33840351343</v>
      </c>
      <c r="R405" s="599">
        <v>38395483931</v>
      </c>
      <c r="S405" s="882">
        <f t="shared" si="26"/>
        <v>33840</v>
      </c>
      <c r="T405" s="599">
        <f t="shared" si="26"/>
        <v>38395</v>
      </c>
      <c r="U405" s="620"/>
      <c r="V405" s="621"/>
      <c r="W405" s="882">
        <f t="shared" si="23"/>
        <v>33840351343</v>
      </c>
      <c r="X405" s="882">
        <f t="shared" si="25"/>
        <v>33840</v>
      </c>
    </row>
    <row r="406" spans="1:24" ht="27" customHeight="1">
      <c r="A406" s="583"/>
      <c r="B406" s="583">
        <v>1015</v>
      </c>
      <c r="C406" s="581">
        <v>10</v>
      </c>
      <c r="D406" s="582" t="s">
        <v>355</v>
      </c>
      <c r="E406" s="583" t="s">
        <v>356</v>
      </c>
      <c r="F406" s="599">
        <v>81193775</v>
      </c>
      <c r="G406" s="599"/>
      <c r="H406" s="599"/>
      <c r="I406" s="599">
        <v>0</v>
      </c>
      <c r="J406" s="599"/>
      <c r="K406" s="599"/>
      <c r="L406" s="599"/>
      <c r="M406" s="599"/>
      <c r="N406" s="599"/>
      <c r="O406" s="599"/>
      <c r="P406" s="599"/>
      <c r="Q406" s="882">
        <f t="shared" si="24"/>
        <v>81193775</v>
      </c>
      <c r="R406" s="599">
        <v>-4188849666</v>
      </c>
      <c r="S406" s="882">
        <f t="shared" si="26"/>
        <v>81</v>
      </c>
      <c r="T406" s="599">
        <f t="shared" si="26"/>
        <v>-4189</v>
      </c>
      <c r="U406" s="620"/>
      <c r="V406" s="621"/>
      <c r="W406" s="882">
        <f t="shared" si="23"/>
        <v>81193775</v>
      </c>
      <c r="X406" s="882">
        <f t="shared" si="25"/>
        <v>81</v>
      </c>
    </row>
    <row r="407" spans="1:24" ht="27" customHeight="1">
      <c r="A407" s="583">
        <v>3214</v>
      </c>
      <c r="B407" s="583">
        <v>1027</v>
      </c>
      <c r="C407" s="581">
        <v>10</v>
      </c>
      <c r="D407" s="582" t="s">
        <v>355</v>
      </c>
      <c r="E407" s="583" t="s">
        <v>1462</v>
      </c>
      <c r="F407" s="599"/>
      <c r="G407" s="599"/>
      <c r="H407" s="599"/>
      <c r="I407" s="599">
        <v>-42738271</v>
      </c>
      <c r="J407" s="599">
        <v>42738271</v>
      </c>
      <c r="K407" s="599"/>
      <c r="L407" s="599"/>
      <c r="M407" s="599"/>
      <c r="N407" s="599"/>
      <c r="O407" s="599"/>
      <c r="P407" s="599"/>
      <c r="Q407" s="882">
        <f t="shared" si="24"/>
        <v>0</v>
      </c>
      <c r="R407" s="599">
        <v>-15023655268</v>
      </c>
      <c r="S407" s="882">
        <f t="shared" si="26"/>
        <v>0</v>
      </c>
      <c r="T407" s="599">
        <f t="shared" si="26"/>
        <v>-15024</v>
      </c>
      <c r="U407" s="620"/>
      <c r="V407" s="621"/>
      <c r="W407" s="882">
        <f t="shared" si="23"/>
        <v>0</v>
      </c>
      <c r="X407" s="882">
        <f t="shared" si="25"/>
        <v>0</v>
      </c>
    </row>
    <row r="408" spans="1:24" ht="27" customHeight="1">
      <c r="A408" s="583"/>
      <c r="B408" s="583">
        <v>1015</v>
      </c>
      <c r="C408" s="581">
        <v>10</v>
      </c>
      <c r="D408" s="582" t="s">
        <v>1258</v>
      </c>
      <c r="E408" s="583" t="s">
        <v>1259</v>
      </c>
      <c r="F408" s="599"/>
      <c r="G408" s="599"/>
      <c r="H408" s="599"/>
      <c r="I408" s="599"/>
      <c r="J408" s="599"/>
      <c r="K408" s="599"/>
      <c r="L408" s="599"/>
      <c r="M408" s="599"/>
      <c r="N408" s="599"/>
      <c r="O408" s="599"/>
      <c r="P408" s="599"/>
      <c r="Q408" s="882">
        <f t="shared" si="24"/>
        <v>0</v>
      </c>
      <c r="R408" s="599">
        <v>-4678514</v>
      </c>
      <c r="S408" s="882">
        <f t="shared" si="26"/>
        <v>0</v>
      </c>
      <c r="T408" s="599">
        <f t="shared" si="26"/>
        <v>-5</v>
      </c>
      <c r="U408" s="620"/>
      <c r="V408" s="621"/>
      <c r="W408" s="882">
        <f t="shared" si="23"/>
        <v>0</v>
      </c>
      <c r="X408" s="882">
        <f t="shared" si="25"/>
        <v>0</v>
      </c>
    </row>
    <row r="409" spans="1:24" ht="27" customHeight="1">
      <c r="A409" s="583"/>
      <c r="B409" s="583">
        <v>1015</v>
      </c>
      <c r="C409" s="581">
        <v>10</v>
      </c>
      <c r="D409" s="582" t="s">
        <v>357</v>
      </c>
      <c r="E409" s="583" t="s">
        <v>358</v>
      </c>
      <c r="F409" s="599">
        <v>-1789702158</v>
      </c>
      <c r="G409" s="599">
        <v>-40933178</v>
      </c>
      <c r="H409" s="599">
        <v>39986888</v>
      </c>
      <c r="I409" s="599"/>
      <c r="J409" s="599"/>
      <c r="K409" s="599"/>
      <c r="L409" s="599"/>
      <c r="M409" s="599"/>
      <c r="N409" s="599"/>
      <c r="O409" s="599"/>
      <c r="P409" s="599"/>
      <c r="Q409" s="882">
        <f t="shared" si="24"/>
        <v>-1790648448</v>
      </c>
      <c r="R409" s="599">
        <v>-5837053825</v>
      </c>
      <c r="S409" s="882">
        <f t="shared" si="26"/>
        <v>-1791</v>
      </c>
      <c r="T409" s="599">
        <f t="shared" si="26"/>
        <v>-5837</v>
      </c>
      <c r="U409" s="620"/>
      <c r="V409" s="621"/>
      <c r="W409" s="882">
        <f t="shared" si="23"/>
        <v>-1790648448</v>
      </c>
      <c r="X409" s="882">
        <f t="shared" si="25"/>
        <v>-1791</v>
      </c>
    </row>
    <row r="410" spans="1:24" ht="27" customHeight="1">
      <c r="A410" s="583"/>
      <c r="B410" s="583">
        <v>1015</v>
      </c>
      <c r="C410" s="581">
        <v>10</v>
      </c>
      <c r="D410" s="582" t="s">
        <v>359</v>
      </c>
      <c r="E410" s="583" t="s">
        <v>896</v>
      </c>
      <c r="F410" s="599"/>
      <c r="G410" s="599"/>
      <c r="H410" s="599"/>
      <c r="I410" s="599"/>
      <c r="J410" s="599"/>
      <c r="K410" s="599"/>
      <c r="L410" s="599"/>
      <c r="M410" s="599"/>
      <c r="N410" s="599"/>
      <c r="O410" s="599"/>
      <c r="P410" s="599"/>
      <c r="Q410" s="882">
        <f t="shared" si="24"/>
        <v>0</v>
      </c>
      <c r="R410" s="599">
        <v>0</v>
      </c>
      <c r="S410" s="882">
        <f t="shared" si="26"/>
        <v>0</v>
      </c>
      <c r="T410" s="599">
        <f t="shared" si="26"/>
        <v>0</v>
      </c>
      <c r="U410" s="620"/>
      <c r="V410" s="621"/>
      <c r="W410" s="882">
        <f t="shared" si="23"/>
        <v>0</v>
      </c>
      <c r="X410" s="882">
        <f t="shared" si="25"/>
        <v>0</v>
      </c>
    </row>
    <row r="411" spans="1:24" ht="27" customHeight="1">
      <c r="A411" s="583"/>
      <c r="B411" s="583">
        <v>1015</v>
      </c>
      <c r="C411" s="581">
        <v>10</v>
      </c>
      <c r="D411" s="582" t="s">
        <v>598</v>
      </c>
      <c r="E411" s="583" t="s">
        <v>850</v>
      </c>
      <c r="F411" s="599">
        <v>-97583</v>
      </c>
      <c r="G411" s="599"/>
      <c r="H411" s="599"/>
      <c r="I411" s="599"/>
      <c r="J411" s="599"/>
      <c r="K411" s="599"/>
      <c r="L411" s="599"/>
      <c r="M411" s="599"/>
      <c r="N411" s="599"/>
      <c r="O411" s="599"/>
      <c r="P411" s="599"/>
      <c r="Q411" s="882">
        <f t="shared" si="24"/>
        <v>-97583</v>
      </c>
      <c r="R411" s="599">
        <v>-97583</v>
      </c>
      <c r="S411" s="882">
        <f t="shared" si="26"/>
        <v>0</v>
      </c>
      <c r="T411" s="599">
        <f t="shared" si="26"/>
        <v>0</v>
      </c>
      <c r="U411" s="620"/>
      <c r="V411" s="621"/>
      <c r="W411" s="882">
        <f t="shared" si="23"/>
        <v>-97583</v>
      </c>
      <c r="X411" s="882">
        <f t="shared" si="25"/>
        <v>0</v>
      </c>
    </row>
    <row r="412" spans="1:24" ht="27" customHeight="1">
      <c r="A412" s="583"/>
      <c r="B412" s="583">
        <v>602</v>
      </c>
      <c r="C412" s="581">
        <v>6</v>
      </c>
      <c r="D412" s="582" t="s">
        <v>600</v>
      </c>
      <c r="E412" s="583" t="s">
        <v>601</v>
      </c>
      <c r="F412" s="599">
        <v>-33846261999</v>
      </c>
      <c r="G412" s="599"/>
      <c r="H412" s="599"/>
      <c r="I412" s="599"/>
      <c r="J412" s="599"/>
      <c r="K412" s="599"/>
      <c r="L412" s="599"/>
      <c r="M412" s="599"/>
      <c r="N412" s="599"/>
      <c r="O412" s="599"/>
      <c r="P412" s="599"/>
      <c r="Q412" s="882">
        <f t="shared" si="24"/>
        <v>-33846261999</v>
      </c>
      <c r="R412" s="599">
        <v>-111816910265</v>
      </c>
      <c r="S412" s="882">
        <f t="shared" si="26"/>
        <v>-33846</v>
      </c>
      <c r="T412" s="599">
        <f t="shared" si="26"/>
        <v>-111817</v>
      </c>
      <c r="U412" s="620"/>
      <c r="V412" s="621"/>
      <c r="W412" s="882">
        <f>Q412-V412+U412</f>
        <v>-33846261999</v>
      </c>
      <c r="X412" s="882">
        <f t="shared" si="25"/>
        <v>-33846</v>
      </c>
    </row>
    <row r="413" spans="1:24" ht="27" customHeight="1">
      <c r="A413" s="583"/>
      <c r="B413" s="583">
        <v>1015</v>
      </c>
      <c r="C413" s="581">
        <v>10</v>
      </c>
      <c r="D413" s="582" t="s">
        <v>1264</v>
      </c>
      <c r="E413" s="583" t="s">
        <v>1259</v>
      </c>
      <c r="F413" s="599"/>
      <c r="G413" s="599"/>
      <c r="H413" s="599"/>
      <c r="I413" s="599"/>
      <c r="J413" s="599"/>
      <c r="K413" s="599"/>
      <c r="L413" s="599"/>
      <c r="M413" s="599"/>
      <c r="N413" s="599"/>
      <c r="O413" s="599"/>
      <c r="P413" s="599"/>
      <c r="Q413" s="882">
        <f t="shared" si="24"/>
        <v>0</v>
      </c>
      <c r="R413" s="599">
        <v>-21182134</v>
      </c>
      <c r="S413" s="882">
        <f t="shared" si="26"/>
        <v>0</v>
      </c>
      <c r="T413" s="599">
        <f t="shared" si="26"/>
        <v>-21</v>
      </c>
      <c r="U413" s="620"/>
      <c r="V413" s="621"/>
      <c r="W413" s="882">
        <f t="shared" si="23"/>
        <v>0</v>
      </c>
      <c r="X413" s="882">
        <f t="shared" si="25"/>
        <v>0</v>
      </c>
    </row>
    <row r="414" spans="1:24" ht="27" customHeight="1">
      <c r="A414" s="583"/>
      <c r="B414" s="583">
        <v>1015</v>
      </c>
      <c r="C414" s="581">
        <v>10</v>
      </c>
      <c r="D414" s="582" t="s">
        <v>602</v>
      </c>
      <c r="E414" s="583" t="s">
        <v>603</v>
      </c>
      <c r="F414" s="599">
        <v>-108879188</v>
      </c>
      <c r="G414" s="599">
        <v>33859800</v>
      </c>
      <c r="H414" s="599">
        <v>-77034720</v>
      </c>
      <c r="I414" s="599">
        <v>1564920</v>
      </c>
      <c r="J414" s="599"/>
      <c r="K414" s="599"/>
      <c r="L414" s="599"/>
      <c r="M414" s="599"/>
      <c r="N414" s="599"/>
      <c r="O414" s="599"/>
      <c r="P414" s="599"/>
      <c r="Q414" s="882">
        <f t="shared" si="24"/>
        <v>-150489188</v>
      </c>
      <c r="R414" s="599">
        <v>-424444378</v>
      </c>
      <c r="S414" s="882">
        <f t="shared" si="26"/>
        <v>-150</v>
      </c>
      <c r="T414" s="599">
        <f t="shared" si="26"/>
        <v>-424</v>
      </c>
      <c r="U414" s="620"/>
      <c r="V414" s="621"/>
      <c r="W414" s="882">
        <f t="shared" si="23"/>
        <v>-150489188</v>
      </c>
      <c r="X414" s="882">
        <f t="shared" si="25"/>
        <v>-150</v>
      </c>
    </row>
    <row r="415" spans="1:24" ht="27" customHeight="1">
      <c r="A415" s="583"/>
      <c r="B415" s="583">
        <v>406</v>
      </c>
      <c r="C415" s="581">
        <v>4</v>
      </c>
      <c r="D415" s="582" t="s">
        <v>668</v>
      </c>
      <c r="E415" s="583" t="s">
        <v>669</v>
      </c>
      <c r="F415" s="599"/>
      <c r="G415" s="599"/>
      <c r="H415" s="599"/>
      <c r="I415" s="599"/>
      <c r="J415" s="599"/>
      <c r="K415" s="599"/>
      <c r="L415" s="599"/>
      <c r="M415" s="599"/>
      <c r="N415" s="599"/>
      <c r="O415" s="599"/>
      <c r="P415" s="599"/>
      <c r="Q415" s="882">
        <f t="shared" si="24"/>
        <v>0</v>
      </c>
      <c r="R415" s="599">
        <v>0</v>
      </c>
      <c r="S415" s="882">
        <f t="shared" si="26"/>
        <v>0</v>
      </c>
      <c r="T415" s="599">
        <f t="shared" si="26"/>
        <v>0</v>
      </c>
      <c r="U415" s="620"/>
      <c r="V415" s="621"/>
      <c r="W415" s="882">
        <f t="shared" si="23"/>
        <v>0</v>
      </c>
      <c r="X415" s="882">
        <f t="shared" si="25"/>
        <v>0</v>
      </c>
    </row>
    <row r="416" spans="1:24" ht="27" customHeight="1">
      <c r="A416" s="583"/>
      <c r="B416" s="583">
        <v>100201</v>
      </c>
      <c r="C416" s="581">
        <v>10</v>
      </c>
      <c r="D416" s="582" t="s">
        <v>604</v>
      </c>
      <c r="E416" s="583" t="s">
        <v>532</v>
      </c>
      <c r="F416" s="599">
        <v>-1669572741463</v>
      </c>
      <c r="G416" s="599"/>
      <c r="H416" s="599"/>
      <c r="I416" s="599"/>
      <c r="J416" s="599"/>
      <c r="K416" s="599"/>
      <c r="L416" s="599"/>
      <c r="M416" s="599"/>
      <c r="N416" s="599"/>
      <c r="O416" s="599"/>
      <c r="P416" s="599"/>
      <c r="Q416" s="599">
        <f t="shared" si="24"/>
        <v>-1669572741463</v>
      </c>
      <c r="R416" s="599">
        <v>0</v>
      </c>
      <c r="S416" s="599">
        <f t="shared" si="26"/>
        <v>-1669573</v>
      </c>
      <c r="T416" s="599">
        <f t="shared" si="26"/>
        <v>0</v>
      </c>
      <c r="U416" s="620"/>
      <c r="V416" s="621"/>
      <c r="W416" s="882">
        <f t="shared" si="23"/>
        <v>-1669572741463</v>
      </c>
      <c r="X416" s="882">
        <f t="shared" si="25"/>
        <v>-1669573</v>
      </c>
    </row>
    <row r="417" spans="1:24" ht="27" customHeight="1">
      <c r="A417" s="583"/>
      <c r="B417" s="583">
        <v>1018</v>
      </c>
      <c r="C417" s="581">
        <v>10</v>
      </c>
      <c r="D417" s="582" t="s">
        <v>605</v>
      </c>
      <c r="E417" s="583" t="s">
        <v>227</v>
      </c>
      <c r="F417" s="599">
        <v>-1051270196</v>
      </c>
      <c r="G417" s="599">
        <v>26784174</v>
      </c>
      <c r="H417" s="599"/>
      <c r="I417" s="599"/>
      <c r="J417" s="599"/>
      <c r="K417" s="599"/>
      <c r="L417" s="599"/>
      <c r="M417" s="599"/>
      <c r="N417" s="599"/>
      <c r="O417" s="599"/>
      <c r="P417" s="599"/>
      <c r="Q417" s="882">
        <f t="shared" si="24"/>
        <v>-1024486022</v>
      </c>
      <c r="R417" s="599">
        <v>-7973723704</v>
      </c>
      <c r="S417" s="882">
        <f t="shared" si="26"/>
        <v>-1024</v>
      </c>
      <c r="T417" s="599">
        <f t="shared" si="26"/>
        <v>-7974</v>
      </c>
      <c r="U417" s="620"/>
      <c r="V417" s="621"/>
      <c r="W417" s="882">
        <f t="shared" si="23"/>
        <v>-1024486022</v>
      </c>
      <c r="X417" s="882">
        <f t="shared" si="25"/>
        <v>-1024</v>
      </c>
    </row>
    <row r="418" spans="1:24" ht="27" customHeight="1">
      <c r="A418" s="583"/>
      <c r="B418" s="583">
        <v>1018</v>
      </c>
      <c r="C418" s="581">
        <v>10</v>
      </c>
      <c r="D418" s="582" t="s">
        <v>1000</v>
      </c>
      <c r="E418" s="583" t="s">
        <v>1001</v>
      </c>
      <c r="F418" s="599">
        <v>-414891680</v>
      </c>
      <c r="G418" s="599"/>
      <c r="H418" s="599"/>
      <c r="I418" s="599"/>
      <c r="J418" s="599"/>
      <c r="K418" s="599"/>
      <c r="L418" s="599"/>
      <c r="M418" s="599"/>
      <c r="N418" s="599"/>
      <c r="O418" s="599"/>
      <c r="P418" s="599"/>
      <c r="Q418" s="882">
        <f t="shared" si="24"/>
        <v>-414891680</v>
      </c>
      <c r="R418" s="599">
        <v>-328538368</v>
      </c>
      <c r="S418" s="882">
        <f t="shared" si="26"/>
        <v>-415</v>
      </c>
      <c r="T418" s="599">
        <f t="shared" si="26"/>
        <v>-329</v>
      </c>
      <c r="U418" s="620"/>
      <c r="V418" s="621"/>
      <c r="W418" s="882">
        <f t="shared" si="23"/>
        <v>-414891680</v>
      </c>
      <c r="X418" s="882">
        <f t="shared" si="25"/>
        <v>-415</v>
      </c>
    </row>
    <row r="419" spans="1:24" ht="27" customHeight="1">
      <c r="A419" s="583"/>
      <c r="B419" s="583">
        <v>1018</v>
      </c>
      <c r="C419" s="581">
        <v>10</v>
      </c>
      <c r="D419" s="582" t="s">
        <v>515</v>
      </c>
      <c r="E419" s="583" t="s">
        <v>516</v>
      </c>
      <c r="F419" s="599">
        <v>-362000000</v>
      </c>
      <c r="G419" s="599"/>
      <c r="H419" s="599"/>
      <c r="I419" s="599"/>
      <c r="J419" s="599"/>
      <c r="K419" s="599"/>
      <c r="L419" s="599"/>
      <c r="M419" s="599"/>
      <c r="N419" s="599"/>
      <c r="O419" s="599"/>
      <c r="P419" s="599"/>
      <c r="Q419" s="882">
        <f t="shared" si="24"/>
        <v>-362000000</v>
      </c>
      <c r="R419" s="599">
        <v>-362000000</v>
      </c>
      <c r="S419" s="882">
        <f t="shared" si="26"/>
        <v>-362</v>
      </c>
      <c r="T419" s="599">
        <f t="shared" si="26"/>
        <v>-362</v>
      </c>
      <c r="U419" s="620"/>
      <c r="V419" s="621"/>
      <c r="W419" s="882">
        <f t="shared" ref="W419:W488" si="27">Q419+V419-U419</f>
        <v>-362000000</v>
      </c>
      <c r="X419" s="882">
        <f t="shared" si="25"/>
        <v>-362</v>
      </c>
    </row>
    <row r="420" spans="1:24" ht="27" customHeight="1">
      <c r="A420" s="583"/>
      <c r="B420" s="583">
        <v>1018</v>
      </c>
      <c r="C420" s="581">
        <v>10</v>
      </c>
      <c r="D420" s="582" t="s">
        <v>1347</v>
      </c>
      <c r="E420" s="583" t="s">
        <v>1348</v>
      </c>
      <c r="F420" s="599"/>
      <c r="G420" s="599">
        <v>-86879584</v>
      </c>
      <c r="H420" s="599">
        <v>86879584</v>
      </c>
      <c r="I420" s="599"/>
      <c r="J420" s="599"/>
      <c r="K420" s="599"/>
      <c r="L420" s="599"/>
      <c r="M420" s="599"/>
      <c r="N420" s="599"/>
      <c r="O420" s="599"/>
      <c r="P420" s="599"/>
      <c r="Q420" s="882">
        <f t="shared" si="24"/>
        <v>0</v>
      </c>
      <c r="R420" s="599">
        <v>0</v>
      </c>
      <c r="S420" s="882">
        <f t="shared" si="26"/>
        <v>0</v>
      </c>
      <c r="T420" s="599">
        <f t="shared" si="26"/>
        <v>0</v>
      </c>
      <c r="U420" s="620"/>
      <c r="V420" s="621"/>
      <c r="W420" s="882">
        <f t="shared" si="27"/>
        <v>0</v>
      </c>
      <c r="X420" s="882">
        <f t="shared" si="25"/>
        <v>0</v>
      </c>
    </row>
    <row r="421" spans="1:24" ht="27" customHeight="1">
      <c r="A421" s="583"/>
      <c r="B421" s="583">
        <v>1012</v>
      </c>
      <c r="C421" s="581">
        <v>10</v>
      </c>
      <c r="D421" s="582" t="s">
        <v>18</v>
      </c>
      <c r="E421" s="583" t="s">
        <v>228</v>
      </c>
      <c r="F421" s="599">
        <v>-416260379839</v>
      </c>
      <c r="G421" s="599">
        <v>-379886496876</v>
      </c>
      <c r="H421" s="599">
        <v>48991644339</v>
      </c>
      <c r="I421" s="599">
        <v>-9786344331</v>
      </c>
      <c r="J421" s="599">
        <v>140004356353</v>
      </c>
      <c r="K421" s="599"/>
      <c r="L421" s="599"/>
      <c r="M421" s="599"/>
      <c r="N421" s="599"/>
      <c r="O421" s="599"/>
      <c r="P421" s="599"/>
      <c r="Q421" s="882">
        <f t="shared" si="24"/>
        <v>-616937220354</v>
      </c>
      <c r="R421" s="599">
        <v>-587984516634</v>
      </c>
      <c r="S421" s="882">
        <f>ROUND((Q421/1000000),0)</f>
        <v>-616937</v>
      </c>
      <c r="T421" s="599">
        <f t="shared" si="26"/>
        <v>-587985</v>
      </c>
      <c r="U421" s="620"/>
      <c r="V421" s="621"/>
      <c r="W421" s="882">
        <f t="shared" si="27"/>
        <v>-616937220354</v>
      </c>
      <c r="X421" s="882">
        <f t="shared" si="25"/>
        <v>-616937</v>
      </c>
    </row>
    <row r="422" spans="1:24" ht="27" customHeight="1">
      <c r="A422" s="583"/>
      <c r="B422" s="583">
        <v>100201</v>
      </c>
      <c r="C422" s="581">
        <v>10</v>
      </c>
      <c r="D422" s="582" t="s">
        <v>1692</v>
      </c>
      <c r="E422" s="583" t="s">
        <v>228</v>
      </c>
      <c r="F422" s="599"/>
      <c r="G422" s="599"/>
      <c r="H422" s="599"/>
      <c r="I422" s="599"/>
      <c r="J422" s="599"/>
      <c r="K422" s="599"/>
      <c r="L422" s="599"/>
      <c r="M422" s="599"/>
      <c r="N422" s="599">
        <f>-636264513653-100816161869-744415944433-3594409765338</f>
        <v>-5075906385293</v>
      </c>
      <c r="O422" s="599">
        <v>947139513113</v>
      </c>
      <c r="P422" s="599">
        <v>3594409765338</v>
      </c>
      <c r="Q422" s="599">
        <f t="shared" si="24"/>
        <v>-534357106842</v>
      </c>
      <c r="R422" s="599"/>
      <c r="S422" s="599">
        <f>ROUND((Q422/1000000),0)</f>
        <v>-534357</v>
      </c>
      <c r="T422" s="599">
        <f t="shared" si="26"/>
        <v>0</v>
      </c>
      <c r="U422" s="620"/>
      <c r="V422" s="621"/>
      <c r="W422" s="882">
        <f t="shared" si="27"/>
        <v>-534357106842</v>
      </c>
      <c r="X422" s="882">
        <f t="shared" si="25"/>
        <v>-534357</v>
      </c>
    </row>
    <row r="423" spans="1:24" ht="27" customHeight="1">
      <c r="A423" s="583"/>
      <c r="B423" s="583">
        <v>100201</v>
      </c>
      <c r="C423" s="581">
        <v>10</v>
      </c>
      <c r="D423" s="582" t="s">
        <v>1693</v>
      </c>
      <c r="E423" s="583" t="s">
        <v>228</v>
      </c>
      <c r="F423" s="599"/>
      <c r="G423" s="599"/>
      <c r="H423" s="599"/>
      <c r="I423" s="599"/>
      <c r="J423" s="599"/>
      <c r="K423" s="599"/>
      <c r="L423" s="599"/>
      <c r="M423" s="599"/>
      <c r="N423" s="599">
        <f>-964900711334-1244895754752</f>
        <v>-2209796466086</v>
      </c>
      <c r="O423" s="599">
        <v>278093113994</v>
      </c>
      <c r="P423" s="599"/>
      <c r="Q423" s="599">
        <f t="shared" si="24"/>
        <v>-1931703352092</v>
      </c>
      <c r="R423" s="599"/>
      <c r="S423" s="599">
        <f>ROUND((Q423/1000000),0)</f>
        <v>-1931703</v>
      </c>
      <c r="T423" s="599">
        <f t="shared" si="26"/>
        <v>0</v>
      </c>
      <c r="U423" s="620"/>
      <c r="V423" s="621"/>
      <c r="W423" s="882">
        <f t="shared" si="27"/>
        <v>-1931703352092</v>
      </c>
      <c r="X423" s="882">
        <f t="shared" si="25"/>
        <v>-1931703</v>
      </c>
    </row>
    <row r="424" spans="1:24" ht="27" customHeight="1">
      <c r="A424" s="583"/>
      <c r="B424" s="583">
        <v>405</v>
      </c>
      <c r="C424" s="581">
        <v>4</v>
      </c>
      <c r="D424" s="582" t="s">
        <v>201</v>
      </c>
      <c r="E424" s="583" t="s">
        <v>1426</v>
      </c>
      <c r="F424" s="599">
        <v>267175968953</v>
      </c>
      <c r="G424" s="599"/>
      <c r="H424" s="599"/>
      <c r="I424" s="599"/>
      <c r="J424" s="599"/>
      <c r="K424" s="599"/>
      <c r="L424" s="599"/>
      <c r="M424" s="599"/>
      <c r="N424" s="599"/>
      <c r="O424" s="599"/>
      <c r="P424" s="599"/>
      <c r="Q424" s="882">
        <f t="shared" si="24"/>
        <v>267175968953</v>
      </c>
      <c r="R424" s="599">
        <v>155157192254</v>
      </c>
      <c r="S424" s="882">
        <f t="shared" si="26"/>
        <v>267176</v>
      </c>
      <c r="T424" s="599">
        <f t="shared" si="26"/>
        <v>155157</v>
      </c>
      <c r="U424" s="620"/>
      <c r="V424" s="621"/>
      <c r="W424" s="882">
        <f>Q424-V424-U424</f>
        <v>267175968953</v>
      </c>
      <c r="X424" s="882">
        <f t="shared" si="25"/>
        <v>267176</v>
      </c>
    </row>
    <row r="425" spans="1:24" ht="27" customHeight="1">
      <c r="A425" s="583"/>
      <c r="B425" s="583">
        <v>1401</v>
      </c>
      <c r="C425" s="581">
        <v>12</v>
      </c>
      <c r="D425" s="582" t="s">
        <v>1166</v>
      </c>
      <c r="E425" s="583" t="s">
        <v>1165</v>
      </c>
      <c r="F425" s="599"/>
      <c r="G425" s="599"/>
      <c r="H425" s="599"/>
      <c r="I425" s="599"/>
      <c r="J425" s="599"/>
      <c r="K425" s="599"/>
      <c r="L425" s="599"/>
      <c r="M425" s="599"/>
      <c r="N425" s="599"/>
      <c r="O425" s="599"/>
      <c r="P425" s="599"/>
      <c r="Q425" s="882">
        <f t="shared" si="24"/>
        <v>0</v>
      </c>
      <c r="R425" s="599">
        <v>0</v>
      </c>
      <c r="S425" s="882">
        <f t="shared" si="26"/>
        <v>0</v>
      </c>
      <c r="T425" s="599">
        <f t="shared" si="26"/>
        <v>0</v>
      </c>
      <c r="U425" s="620"/>
      <c r="V425" s="621"/>
      <c r="W425" s="882">
        <f t="shared" si="27"/>
        <v>0</v>
      </c>
      <c r="X425" s="882">
        <f t="shared" si="25"/>
        <v>0</v>
      </c>
    </row>
    <row r="426" spans="1:24" ht="27" customHeight="1">
      <c r="A426" s="583"/>
      <c r="B426" s="583">
        <v>406</v>
      </c>
      <c r="C426" s="581">
        <v>4</v>
      </c>
      <c r="D426" s="582" t="s">
        <v>19</v>
      </c>
      <c r="E426" s="583" t="s">
        <v>680</v>
      </c>
      <c r="F426" s="599"/>
      <c r="G426" s="599"/>
      <c r="H426" s="599"/>
      <c r="I426" s="599"/>
      <c r="J426" s="599"/>
      <c r="K426" s="599"/>
      <c r="L426" s="599"/>
      <c r="M426" s="599"/>
      <c r="N426" s="599"/>
      <c r="O426" s="599"/>
      <c r="P426" s="599"/>
      <c r="Q426" s="882">
        <f t="shared" si="24"/>
        <v>0</v>
      </c>
      <c r="R426" s="599">
        <v>0</v>
      </c>
      <c r="S426" s="882">
        <f t="shared" si="26"/>
        <v>0</v>
      </c>
      <c r="T426" s="599">
        <f t="shared" si="26"/>
        <v>0</v>
      </c>
      <c r="U426" s="620"/>
      <c r="V426" s="621"/>
      <c r="W426" s="882">
        <f t="shared" si="27"/>
        <v>0</v>
      </c>
      <c r="X426" s="882">
        <f t="shared" si="25"/>
        <v>0</v>
      </c>
    </row>
    <row r="427" spans="1:24" ht="27" customHeight="1">
      <c r="A427" s="583"/>
      <c r="B427" s="583"/>
      <c r="C427" s="581">
        <v>20</v>
      </c>
      <c r="D427" s="582" t="s">
        <v>897</v>
      </c>
      <c r="E427" s="583" t="s">
        <v>779</v>
      </c>
      <c r="F427" s="599">
        <v>-59500000</v>
      </c>
      <c r="G427" s="599"/>
      <c r="H427" s="599"/>
      <c r="I427" s="599"/>
      <c r="J427" s="599"/>
      <c r="K427" s="599"/>
      <c r="L427" s="599"/>
      <c r="M427" s="599"/>
      <c r="N427" s="599"/>
      <c r="O427" s="599"/>
      <c r="P427" s="599"/>
      <c r="Q427" s="882">
        <f t="shared" si="24"/>
        <v>-59500000</v>
      </c>
      <c r="R427" s="599">
        <v>0</v>
      </c>
      <c r="S427" s="882">
        <f t="shared" si="26"/>
        <v>-60</v>
      </c>
      <c r="T427" s="599">
        <f t="shared" si="26"/>
        <v>0</v>
      </c>
      <c r="U427" s="620">
        <f>-Q427</f>
        <v>59500000</v>
      </c>
      <c r="V427" s="621">
        <v>0</v>
      </c>
      <c r="W427" s="882">
        <f>Q427-V427+U427</f>
        <v>0</v>
      </c>
      <c r="X427" s="882">
        <f t="shared" si="25"/>
        <v>0</v>
      </c>
    </row>
    <row r="428" spans="1:24" ht="27" customHeight="1">
      <c r="A428" s="583"/>
      <c r="B428" s="583">
        <v>1020</v>
      </c>
      <c r="C428" s="581">
        <v>10</v>
      </c>
      <c r="D428" s="582" t="s">
        <v>1403</v>
      </c>
      <c r="E428" s="583" t="s">
        <v>821</v>
      </c>
      <c r="F428" s="599"/>
      <c r="G428" s="599"/>
      <c r="H428" s="599"/>
      <c r="I428" s="599">
        <v>-149882709275</v>
      </c>
      <c r="J428" s="599"/>
      <c r="K428" s="599"/>
      <c r="L428" s="599"/>
      <c r="M428" s="599"/>
      <c r="N428" s="599"/>
      <c r="O428" s="599"/>
      <c r="P428" s="599"/>
      <c r="Q428" s="882">
        <f t="shared" si="24"/>
        <v>-149882709275</v>
      </c>
      <c r="R428" s="599">
        <v>-125961757094</v>
      </c>
      <c r="S428" s="882">
        <f t="shared" si="26"/>
        <v>-149883</v>
      </c>
      <c r="T428" s="599">
        <f t="shared" si="26"/>
        <v>-125962</v>
      </c>
      <c r="U428" s="620"/>
      <c r="V428" s="621"/>
      <c r="W428" s="882">
        <f t="shared" si="27"/>
        <v>-149882709275</v>
      </c>
      <c r="X428" s="882">
        <f t="shared" si="25"/>
        <v>-149883</v>
      </c>
    </row>
    <row r="429" spans="1:24" ht="27" customHeight="1">
      <c r="A429" s="583"/>
      <c r="B429" s="583">
        <v>1004</v>
      </c>
      <c r="C429" s="581">
        <v>10</v>
      </c>
      <c r="D429" s="582" t="s">
        <v>1432</v>
      </c>
      <c r="E429" s="583" t="s">
        <v>822</v>
      </c>
      <c r="F429" s="599"/>
      <c r="G429" s="599"/>
      <c r="H429" s="599"/>
      <c r="I429" s="599">
        <v>-742241844046</v>
      </c>
      <c r="J429" s="599"/>
      <c r="K429" s="599"/>
      <c r="L429" s="599"/>
      <c r="M429" s="599"/>
      <c r="N429" s="599"/>
      <c r="O429" s="599"/>
      <c r="P429" s="599"/>
      <c r="Q429" s="882">
        <f t="shared" si="24"/>
        <v>-742241844046</v>
      </c>
      <c r="R429" s="599">
        <v>-680852229940</v>
      </c>
      <c r="S429" s="882">
        <f t="shared" si="26"/>
        <v>-742242</v>
      </c>
      <c r="T429" s="599">
        <f t="shared" si="26"/>
        <v>-680852</v>
      </c>
      <c r="U429" s="620"/>
      <c r="V429" s="621"/>
      <c r="W429" s="882">
        <f t="shared" si="27"/>
        <v>-742241844046</v>
      </c>
      <c r="X429" s="882">
        <f t="shared" si="25"/>
        <v>-742242</v>
      </c>
    </row>
    <row r="430" spans="1:24" ht="27" customHeight="1">
      <c r="A430" s="583"/>
      <c r="B430" s="583">
        <v>1018</v>
      </c>
      <c r="C430" s="581">
        <v>10</v>
      </c>
      <c r="D430" s="582" t="s">
        <v>764</v>
      </c>
      <c r="E430" s="583" t="s">
        <v>824</v>
      </c>
      <c r="F430" s="599">
        <v>-968723309445</v>
      </c>
      <c r="G430" s="599">
        <v>58191146813</v>
      </c>
      <c r="H430" s="599">
        <v>18407609311</v>
      </c>
      <c r="I430" s="599">
        <v>892124553321</v>
      </c>
      <c r="J430" s="599"/>
      <c r="K430" s="599"/>
      <c r="L430" s="599"/>
      <c r="M430" s="599"/>
      <c r="N430" s="599"/>
      <c r="O430" s="599"/>
      <c r="P430" s="599"/>
      <c r="Q430" s="882">
        <f t="shared" si="24"/>
        <v>0</v>
      </c>
      <c r="R430" s="599">
        <v>0</v>
      </c>
      <c r="S430" s="882">
        <f t="shared" si="26"/>
        <v>0</v>
      </c>
      <c r="T430" s="599">
        <f t="shared" si="26"/>
        <v>0</v>
      </c>
      <c r="U430" s="620"/>
      <c r="V430" s="621"/>
      <c r="W430" s="882">
        <f t="shared" si="27"/>
        <v>0</v>
      </c>
      <c r="X430" s="882">
        <f t="shared" si="25"/>
        <v>0</v>
      </c>
    </row>
    <row r="431" spans="1:24" ht="27" customHeight="1">
      <c r="A431" s="583"/>
      <c r="B431" s="583">
        <v>10040</v>
      </c>
      <c r="C431" s="581">
        <v>4</v>
      </c>
      <c r="D431" s="582" t="s">
        <v>764</v>
      </c>
      <c r="E431" s="583" t="s">
        <v>823</v>
      </c>
      <c r="F431" s="599"/>
      <c r="G431" s="599"/>
      <c r="H431" s="599"/>
      <c r="I431" s="599"/>
      <c r="J431" s="599"/>
      <c r="K431" s="599"/>
      <c r="L431" s="599"/>
      <c r="M431" s="599"/>
      <c r="N431" s="599"/>
      <c r="O431" s="599"/>
      <c r="P431" s="599"/>
      <c r="Q431" s="599">
        <f t="shared" si="24"/>
        <v>0</v>
      </c>
      <c r="R431" s="599">
        <v>0</v>
      </c>
      <c r="S431" s="599">
        <f t="shared" si="26"/>
        <v>0</v>
      </c>
      <c r="T431" s="599">
        <f t="shared" si="26"/>
        <v>0</v>
      </c>
      <c r="U431" s="620"/>
      <c r="V431" s="621"/>
      <c r="W431" s="882">
        <f t="shared" si="27"/>
        <v>0</v>
      </c>
      <c r="X431" s="882">
        <f t="shared" si="25"/>
        <v>0</v>
      </c>
    </row>
    <row r="432" spans="1:24" ht="27" customHeight="1">
      <c r="A432" s="583"/>
      <c r="B432" s="583">
        <v>1002</v>
      </c>
      <c r="C432" s="581">
        <v>10</v>
      </c>
      <c r="D432" s="582" t="s">
        <v>21</v>
      </c>
      <c r="E432" s="583" t="s">
        <v>22</v>
      </c>
      <c r="F432" s="599">
        <v>-969451599037</v>
      </c>
      <c r="G432" s="599">
        <v>-250855436865</v>
      </c>
      <c r="H432" s="599">
        <v>4491531212</v>
      </c>
      <c r="I432" s="599">
        <v>923767661699</v>
      </c>
      <c r="J432" s="599">
        <f>691854773</f>
        <v>691854773</v>
      </c>
      <c r="K432" s="599">
        <f>1750000000-912747472+1000000000</f>
        <v>1837252528</v>
      </c>
      <c r="L432" s="599">
        <f>1682484433+125049705+20787697767+812733095+2766065143</f>
        <v>26174030143</v>
      </c>
      <c r="M432" s="599"/>
      <c r="N432" s="599"/>
      <c r="O432" s="599"/>
      <c r="P432" s="599"/>
      <c r="Q432" s="882">
        <f t="shared" si="24"/>
        <v>-263344705547</v>
      </c>
      <c r="R432" s="599">
        <v>-1443986422432</v>
      </c>
      <c r="S432" s="882">
        <f t="shared" si="26"/>
        <v>-263345</v>
      </c>
      <c r="T432" s="599">
        <f t="shared" si="26"/>
        <v>-1443986</v>
      </c>
      <c r="U432" s="620"/>
      <c r="V432" s="621"/>
      <c r="W432" s="882">
        <f t="shared" si="27"/>
        <v>-263344705547</v>
      </c>
      <c r="X432" s="882">
        <f t="shared" si="25"/>
        <v>-263345</v>
      </c>
    </row>
    <row r="433" spans="1:24" ht="27" customHeight="1">
      <c r="A433" s="583"/>
      <c r="B433" s="583">
        <v>1013</v>
      </c>
      <c r="C433" s="581">
        <v>4</v>
      </c>
      <c r="D433" s="582" t="s">
        <v>681</v>
      </c>
      <c r="E433" s="583" t="s">
        <v>682</v>
      </c>
      <c r="F433" s="599">
        <v>139961212731</v>
      </c>
      <c r="G433" s="599">
        <v>18386870303</v>
      </c>
      <c r="H433" s="599">
        <v>244909856029</v>
      </c>
      <c r="I433" s="599">
        <v>611890217</v>
      </c>
      <c r="J433" s="599">
        <v>9925353</v>
      </c>
      <c r="K433" s="599">
        <f>79245570+106310040+77609664+3925860</f>
        <v>267091134</v>
      </c>
      <c r="L433" s="599">
        <f>1254764848+48763986</f>
        <v>1303528834</v>
      </c>
      <c r="M433" s="599"/>
      <c r="N433" s="599"/>
      <c r="O433" s="599"/>
      <c r="P433" s="599"/>
      <c r="Q433" s="882">
        <f t="shared" si="24"/>
        <v>405450374601</v>
      </c>
      <c r="R433" s="599">
        <v>228050841506</v>
      </c>
      <c r="S433" s="882">
        <f>ROUND((Q433/1000000),0)</f>
        <v>405450</v>
      </c>
      <c r="T433" s="599">
        <f t="shared" ref="S433:T467" si="28">ROUND((R433/1000000),0)</f>
        <v>228051</v>
      </c>
      <c r="U433" s="620"/>
      <c r="V433" s="621"/>
      <c r="W433" s="882">
        <f t="shared" si="27"/>
        <v>405450374601</v>
      </c>
      <c r="X433" s="882">
        <f t="shared" si="25"/>
        <v>405450</v>
      </c>
    </row>
    <row r="434" spans="1:24" ht="27" customHeight="1">
      <c r="A434" s="583"/>
      <c r="B434" s="583">
        <v>1013</v>
      </c>
      <c r="C434" s="581">
        <v>4</v>
      </c>
      <c r="D434" s="582" t="s">
        <v>683</v>
      </c>
      <c r="E434" s="583" t="s">
        <v>684</v>
      </c>
      <c r="F434" s="599">
        <v>70167567713</v>
      </c>
      <c r="G434" s="599">
        <v>9975401411</v>
      </c>
      <c r="H434" s="599">
        <v>120340469745</v>
      </c>
      <c r="I434" s="599">
        <v>305812581</v>
      </c>
      <c r="J434" s="599">
        <v>4442260</v>
      </c>
      <c r="K434" s="599">
        <f>40370385+53155020+38804832+1962930</f>
        <v>134293167</v>
      </c>
      <c r="L434" s="599">
        <f>627382424+24381993</f>
        <v>651764417</v>
      </c>
      <c r="M434" s="599"/>
      <c r="N434" s="599"/>
      <c r="O434" s="599"/>
      <c r="P434" s="599"/>
      <c r="Q434" s="882">
        <f t="shared" si="24"/>
        <v>201579751294</v>
      </c>
      <c r="R434" s="599">
        <v>111618640384</v>
      </c>
      <c r="S434" s="882">
        <f t="shared" si="28"/>
        <v>201580</v>
      </c>
      <c r="T434" s="599">
        <f t="shared" si="28"/>
        <v>111619</v>
      </c>
      <c r="U434" s="620"/>
      <c r="V434" s="621"/>
      <c r="W434" s="882">
        <f t="shared" si="27"/>
        <v>201579751294</v>
      </c>
      <c r="X434" s="882">
        <f t="shared" si="25"/>
        <v>201580</v>
      </c>
    </row>
    <row r="435" spans="1:24" ht="27" customHeight="1">
      <c r="A435" s="583"/>
      <c r="B435" s="583">
        <v>1013</v>
      </c>
      <c r="C435" s="581">
        <v>4</v>
      </c>
      <c r="D435" s="582" t="s">
        <v>685</v>
      </c>
      <c r="E435" s="583" t="s">
        <v>688</v>
      </c>
      <c r="F435" s="599">
        <v>-10462206973</v>
      </c>
      <c r="G435" s="599">
        <v>-107097185</v>
      </c>
      <c r="H435" s="599">
        <v>-200012685034</v>
      </c>
      <c r="I435" s="599"/>
      <c r="J435" s="599"/>
      <c r="K435" s="599"/>
      <c r="L435" s="599"/>
      <c r="M435" s="599"/>
      <c r="N435" s="599">
        <v>-1813800</v>
      </c>
      <c r="O435" s="599"/>
      <c r="P435" s="599"/>
      <c r="Q435" s="882">
        <f t="shared" si="24"/>
        <v>-210583802992</v>
      </c>
      <c r="R435" s="599">
        <v>-504874358038</v>
      </c>
      <c r="S435" s="882">
        <f t="shared" si="28"/>
        <v>-210584</v>
      </c>
      <c r="T435" s="599">
        <f t="shared" si="28"/>
        <v>-504874</v>
      </c>
      <c r="U435" s="620"/>
      <c r="V435" s="621"/>
      <c r="W435" s="882">
        <f t="shared" si="27"/>
        <v>-210583802992</v>
      </c>
      <c r="X435" s="882">
        <f t="shared" si="25"/>
        <v>-210584</v>
      </c>
    </row>
    <row r="436" spans="1:24" ht="27" customHeight="1">
      <c r="A436" s="583"/>
      <c r="B436" s="583">
        <v>1013</v>
      </c>
      <c r="C436" s="581">
        <v>4</v>
      </c>
      <c r="D436" s="582" t="s">
        <v>686</v>
      </c>
      <c r="E436" s="583" t="s">
        <v>689</v>
      </c>
      <c r="F436" s="599">
        <v>-269223921216</v>
      </c>
      <c r="G436" s="599">
        <v>-53522941</v>
      </c>
      <c r="H436" s="599">
        <v>-123461036806</v>
      </c>
      <c r="I436" s="599"/>
      <c r="J436" s="599"/>
      <c r="K436" s="599"/>
      <c r="L436" s="599"/>
      <c r="M436" s="599"/>
      <c r="N436" s="599">
        <v>-906900</v>
      </c>
      <c r="O436" s="599"/>
      <c r="P436" s="599"/>
      <c r="Q436" s="882">
        <f t="shared" si="24"/>
        <v>-392739387863</v>
      </c>
      <c r="R436" s="599">
        <v>-376695909119</v>
      </c>
      <c r="S436" s="882">
        <f t="shared" si="28"/>
        <v>-392739</v>
      </c>
      <c r="T436" s="599">
        <f t="shared" si="28"/>
        <v>-376696</v>
      </c>
      <c r="U436" s="620"/>
      <c r="V436" s="621"/>
      <c r="W436" s="882">
        <f t="shared" si="27"/>
        <v>-392739387863</v>
      </c>
      <c r="X436" s="882">
        <f t="shared" si="25"/>
        <v>-392739</v>
      </c>
    </row>
    <row r="437" spans="1:24" ht="27" customHeight="1">
      <c r="A437" s="583"/>
      <c r="B437" s="583">
        <v>1013</v>
      </c>
      <c r="C437" s="581">
        <v>4</v>
      </c>
      <c r="D437" s="582" t="s">
        <v>687</v>
      </c>
      <c r="E437" s="583" t="s">
        <v>691</v>
      </c>
      <c r="F437" s="599">
        <v>24221509211</v>
      </c>
      <c r="G437" s="599">
        <v>14685621412</v>
      </c>
      <c r="H437" s="599">
        <v>195919799579</v>
      </c>
      <c r="I437" s="599"/>
      <c r="J437" s="599"/>
      <c r="K437" s="599"/>
      <c r="L437" s="599"/>
      <c r="M437" s="599"/>
      <c r="N437" s="599">
        <f>-111471675089-46712669718-14944453105-2224770292</f>
        <v>-175353568204</v>
      </c>
      <c r="O437" s="599"/>
      <c r="P437" s="599"/>
      <c r="Q437" s="882">
        <f t="shared" si="24"/>
        <v>59473361998</v>
      </c>
      <c r="R437" s="599">
        <v>6958914855</v>
      </c>
      <c r="S437" s="882">
        <f t="shared" si="28"/>
        <v>59473</v>
      </c>
      <c r="T437" s="599">
        <f t="shared" si="28"/>
        <v>6959</v>
      </c>
      <c r="U437" s="620"/>
      <c r="V437" s="621"/>
      <c r="W437" s="882">
        <f t="shared" si="27"/>
        <v>59473361998</v>
      </c>
      <c r="X437" s="882">
        <f t="shared" si="25"/>
        <v>59473</v>
      </c>
    </row>
    <row r="438" spans="1:24" ht="27" customHeight="1">
      <c r="A438" s="583"/>
      <c r="B438" s="583">
        <v>1013</v>
      </c>
      <c r="C438" s="581">
        <v>4</v>
      </c>
      <c r="D438" s="582" t="s">
        <v>690</v>
      </c>
      <c r="E438" s="583" t="s">
        <v>692</v>
      </c>
      <c r="F438" s="599">
        <v>12127369270</v>
      </c>
      <c r="G438" s="599">
        <v>7262673541</v>
      </c>
      <c r="H438" s="599">
        <v>101604846602</v>
      </c>
      <c r="I438" s="599"/>
      <c r="J438" s="599"/>
      <c r="K438" s="599"/>
      <c r="L438" s="599"/>
      <c r="M438" s="599"/>
      <c r="N438" s="599">
        <f>-55735837544-23356334859-7472226552-1112385146</f>
        <v>-87676784101</v>
      </c>
      <c r="O438" s="599"/>
      <c r="P438" s="599"/>
      <c r="Q438" s="882">
        <f t="shared" si="24"/>
        <v>33318105312</v>
      </c>
      <c r="R438" s="599">
        <v>7115226945</v>
      </c>
      <c r="S438" s="882">
        <f t="shared" si="28"/>
        <v>33318</v>
      </c>
      <c r="T438" s="599">
        <f t="shared" si="28"/>
        <v>7115</v>
      </c>
      <c r="U438" s="620"/>
      <c r="V438" s="621"/>
      <c r="W438" s="882">
        <f t="shared" si="27"/>
        <v>33318105312</v>
      </c>
      <c r="X438" s="882">
        <f t="shared" si="25"/>
        <v>33318</v>
      </c>
    </row>
    <row r="439" spans="1:24" ht="27" customHeight="1">
      <c r="A439" s="583"/>
      <c r="B439" s="583">
        <v>100201</v>
      </c>
      <c r="C439" s="581">
        <v>10</v>
      </c>
      <c r="D439" s="582" t="s">
        <v>23</v>
      </c>
      <c r="E439" s="583" t="s">
        <v>537</v>
      </c>
      <c r="F439" s="599">
        <v>-2109271701212</v>
      </c>
      <c r="G439" s="599"/>
      <c r="H439" s="599"/>
      <c r="I439" s="599">
        <v>-194491509331</v>
      </c>
      <c r="J439" s="599">
        <v>-197919248830</v>
      </c>
      <c r="K439" s="599"/>
      <c r="L439" s="599"/>
      <c r="M439" s="599"/>
      <c r="N439" s="599">
        <f>422941326072+307839696188-30530567911</f>
        <v>700250454349</v>
      </c>
      <c r="O439" s="599"/>
      <c r="P439" s="599"/>
      <c r="Q439" s="599">
        <f t="shared" si="24"/>
        <v>-1801432005024</v>
      </c>
      <c r="R439" s="599">
        <v>-2109271701212</v>
      </c>
      <c r="S439" s="599">
        <f t="shared" si="28"/>
        <v>-1801432</v>
      </c>
      <c r="T439" s="599">
        <f t="shared" si="28"/>
        <v>-2109272</v>
      </c>
      <c r="U439" s="620"/>
      <c r="V439" s="621"/>
      <c r="W439" s="882">
        <f t="shared" si="27"/>
        <v>-1801432005024</v>
      </c>
      <c r="X439" s="882">
        <f t="shared" si="25"/>
        <v>-1801432</v>
      </c>
    </row>
    <row r="440" spans="1:24" ht="27" customHeight="1">
      <c r="A440" s="583">
        <v>3214</v>
      </c>
      <c r="B440" s="583">
        <v>100201</v>
      </c>
      <c r="C440" s="581">
        <v>10</v>
      </c>
      <c r="D440" s="582" t="s">
        <v>23</v>
      </c>
      <c r="E440" s="583" t="s">
        <v>537</v>
      </c>
      <c r="F440" s="599"/>
      <c r="G440" s="599"/>
      <c r="H440" s="599"/>
      <c r="I440" s="599"/>
      <c r="J440" s="599"/>
      <c r="K440" s="599"/>
      <c r="L440" s="599"/>
      <c r="M440" s="599"/>
      <c r="N440" s="599"/>
      <c r="O440" s="599"/>
      <c r="P440" s="599"/>
      <c r="Q440" s="599">
        <f t="shared" si="24"/>
        <v>0</v>
      </c>
      <c r="R440" s="599"/>
      <c r="S440" s="599">
        <f t="shared" si="28"/>
        <v>0</v>
      </c>
      <c r="T440" s="599">
        <f t="shared" si="28"/>
        <v>0</v>
      </c>
      <c r="U440" s="620"/>
      <c r="V440" s="621"/>
      <c r="W440" s="882">
        <f t="shared" si="27"/>
        <v>0</v>
      </c>
      <c r="X440" s="882">
        <f t="shared" si="25"/>
        <v>0</v>
      </c>
    </row>
    <row r="441" spans="1:24" ht="27" customHeight="1">
      <c r="A441" s="583"/>
      <c r="B441" s="583">
        <v>100201</v>
      </c>
      <c r="C441" s="581">
        <v>10</v>
      </c>
      <c r="D441" s="582" t="s">
        <v>1160</v>
      </c>
      <c r="E441" s="583" t="s">
        <v>1161</v>
      </c>
      <c r="F441" s="599">
        <v>-137914963415</v>
      </c>
      <c r="G441" s="599"/>
      <c r="H441" s="599"/>
      <c r="I441" s="599">
        <v>-3722708310</v>
      </c>
      <c r="J441" s="599"/>
      <c r="K441" s="599"/>
      <c r="L441" s="599"/>
      <c r="M441" s="599"/>
      <c r="N441" s="599"/>
      <c r="O441" s="599"/>
      <c r="P441" s="599"/>
      <c r="Q441" s="599">
        <f t="shared" si="24"/>
        <v>-141637671725</v>
      </c>
      <c r="R441" s="599">
        <v>-137914963415</v>
      </c>
      <c r="S441" s="599">
        <f t="shared" si="28"/>
        <v>-141638</v>
      </c>
      <c r="T441" s="599">
        <f t="shared" si="28"/>
        <v>-137915</v>
      </c>
      <c r="U441" s="620"/>
      <c r="V441" s="621"/>
      <c r="W441" s="882">
        <f t="shared" si="27"/>
        <v>-141637671725</v>
      </c>
      <c r="X441" s="882">
        <f t="shared" si="25"/>
        <v>-141638</v>
      </c>
    </row>
    <row r="442" spans="1:24" ht="27" customHeight="1">
      <c r="A442" s="583"/>
      <c r="B442" s="583">
        <v>10040</v>
      </c>
      <c r="C442" s="581">
        <v>4</v>
      </c>
      <c r="D442" s="582" t="s">
        <v>1196</v>
      </c>
      <c r="E442" s="583" t="s">
        <v>1197</v>
      </c>
      <c r="F442" s="599"/>
      <c r="G442" s="599"/>
      <c r="H442" s="599"/>
      <c r="I442" s="599">
        <f>-1607148210659+1607148210659</f>
        <v>0</v>
      </c>
      <c r="J442" s="599"/>
      <c r="K442" s="599"/>
      <c r="L442" s="599"/>
      <c r="M442" s="599"/>
      <c r="N442" s="599"/>
      <c r="O442" s="599"/>
      <c r="P442" s="599"/>
      <c r="Q442" s="599">
        <f t="shared" si="24"/>
        <v>0</v>
      </c>
      <c r="R442" s="599">
        <v>0</v>
      </c>
      <c r="S442" s="599">
        <f t="shared" si="28"/>
        <v>0</v>
      </c>
      <c r="T442" s="599">
        <f t="shared" si="28"/>
        <v>0</v>
      </c>
      <c r="U442" s="620"/>
      <c r="V442" s="621"/>
      <c r="W442" s="882">
        <f t="shared" si="27"/>
        <v>0</v>
      </c>
      <c r="X442" s="882">
        <f t="shared" si="25"/>
        <v>0</v>
      </c>
    </row>
    <row r="443" spans="1:24" ht="27" customHeight="1">
      <c r="A443" s="583"/>
      <c r="B443" s="583">
        <v>100201</v>
      </c>
      <c r="C443" s="581">
        <v>10</v>
      </c>
      <c r="D443" s="582" t="s">
        <v>1499</v>
      </c>
      <c r="E443" s="583" t="s">
        <v>1523</v>
      </c>
      <c r="F443" s="599">
        <v>-1703608742748</v>
      </c>
      <c r="G443" s="599">
        <v>-12997306752</v>
      </c>
      <c r="H443" s="599">
        <v>-330480620076</v>
      </c>
      <c r="I443" s="599">
        <f>-4472313998667+1607148210659</f>
        <v>-2865165788008</v>
      </c>
      <c r="J443" s="599">
        <v>-4194603420041</v>
      </c>
      <c r="K443" s="599">
        <f>2877268458200+1548272015043+804711703155-69409566538</f>
        <v>5160842609860</v>
      </c>
      <c r="L443" s="599">
        <f>370592349109+76311517366+12183945163</f>
        <v>459087811638</v>
      </c>
      <c r="M443" s="599"/>
      <c r="N443" s="599">
        <f>78918155730+1701981386856+167207512633+70416986324-347981747+22416679657+3337155438+597446227922+1244895754752+744415944433</f>
        <v>4630687821998</v>
      </c>
      <c r="O443" s="599">
        <f>-1607148210659-36711945254-55644741586-1225232627107</f>
        <v>-2924737524606</v>
      </c>
      <c r="P443" s="599">
        <f>1607148210659+36711945254</f>
        <v>1643860155913</v>
      </c>
      <c r="Q443" s="599">
        <f t="shared" si="24"/>
        <v>-137115002822</v>
      </c>
      <c r="R443" s="599">
        <v>-2149910544979</v>
      </c>
      <c r="S443" s="599">
        <f t="shared" si="28"/>
        <v>-137115</v>
      </c>
      <c r="T443" s="599">
        <f t="shared" si="28"/>
        <v>-2149911</v>
      </c>
      <c r="U443" s="620"/>
      <c r="V443" s="621"/>
      <c r="W443" s="882">
        <f t="shared" si="27"/>
        <v>-137115002822</v>
      </c>
      <c r="X443" s="882">
        <f t="shared" si="25"/>
        <v>-137115</v>
      </c>
    </row>
    <row r="444" spans="1:24" ht="27" customHeight="1">
      <c r="A444" s="583">
        <v>3214</v>
      </c>
      <c r="B444" s="583">
        <v>100201</v>
      </c>
      <c r="C444" s="581">
        <v>10</v>
      </c>
      <c r="D444" s="582" t="s">
        <v>1499</v>
      </c>
      <c r="E444" s="583" t="s">
        <v>1523</v>
      </c>
      <c r="F444" s="599">
        <v>0</v>
      </c>
      <c r="G444" s="599">
        <v>0</v>
      </c>
      <c r="H444" s="599">
        <v>0</v>
      </c>
      <c r="I444" s="599">
        <v>-1607148210659</v>
      </c>
      <c r="J444" s="599"/>
      <c r="K444" s="599">
        <v>1607148210659</v>
      </c>
      <c r="L444" s="599"/>
      <c r="M444" s="599"/>
      <c r="N444" s="599"/>
      <c r="O444" s="599"/>
      <c r="P444" s="599"/>
      <c r="Q444" s="599">
        <f t="shared" si="24"/>
        <v>0</v>
      </c>
      <c r="R444" s="599">
        <v>0</v>
      </c>
      <c r="S444" s="599">
        <f t="shared" si="28"/>
        <v>0</v>
      </c>
      <c r="T444" s="599">
        <f t="shared" si="28"/>
        <v>0</v>
      </c>
      <c r="U444" s="620"/>
      <c r="V444" s="621"/>
      <c r="W444" s="882">
        <f t="shared" si="27"/>
        <v>0</v>
      </c>
      <c r="X444" s="882">
        <f t="shared" si="25"/>
        <v>0</v>
      </c>
    </row>
    <row r="445" spans="1:24" ht="27" customHeight="1">
      <c r="A445" s="583">
        <v>3214</v>
      </c>
      <c r="B445" s="583">
        <v>100201</v>
      </c>
      <c r="C445" s="581">
        <v>10</v>
      </c>
      <c r="D445" s="582" t="s">
        <v>538</v>
      </c>
      <c r="E445" s="583" t="s">
        <v>1463</v>
      </c>
      <c r="F445" s="599">
        <v>-24866347713</v>
      </c>
      <c r="G445" s="599"/>
      <c r="H445" s="599"/>
      <c r="I445" s="599">
        <v>164942000</v>
      </c>
      <c r="J445" s="599"/>
      <c r="K445" s="599">
        <f>-164942000</f>
        <v>-164942000</v>
      </c>
      <c r="L445" s="599"/>
      <c r="M445" s="599"/>
      <c r="N445" s="599"/>
      <c r="O445" s="599">
        <v>164942000</v>
      </c>
      <c r="P445" s="599"/>
      <c r="Q445" s="599">
        <f t="shared" si="24"/>
        <v>-24701405713</v>
      </c>
      <c r="R445" s="599">
        <v>0</v>
      </c>
      <c r="S445" s="738">
        <f t="shared" si="28"/>
        <v>-24701</v>
      </c>
      <c r="T445" s="599">
        <f t="shared" si="28"/>
        <v>0</v>
      </c>
      <c r="U445" s="620"/>
      <c r="V445" s="621"/>
      <c r="W445" s="882">
        <f t="shared" si="27"/>
        <v>-24701405713</v>
      </c>
      <c r="X445" s="882">
        <f t="shared" si="25"/>
        <v>-24701</v>
      </c>
    </row>
    <row r="446" spans="1:24" ht="27" customHeight="1">
      <c r="A446" s="583"/>
      <c r="B446" s="583">
        <v>1011</v>
      </c>
      <c r="C446" s="581">
        <v>10</v>
      </c>
      <c r="D446" s="582" t="s">
        <v>540</v>
      </c>
      <c r="E446" s="583" t="s">
        <v>229</v>
      </c>
      <c r="F446" s="599">
        <v>-1385583548</v>
      </c>
      <c r="G446" s="599">
        <v>449941673</v>
      </c>
      <c r="H446" s="599"/>
      <c r="I446" s="599"/>
      <c r="J446" s="599"/>
      <c r="K446" s="599"/>
      <c r="L446" s="599"/>
      <c r="M446" s="599"/>
      <c r="N446" s="599"/>
      <c r="O446" s="599"/>
      <c r="P446" s="599"/>
      <c r="Q446" s="882">
        <f t="shared" si="24"/>
        <v>-935641875</v>
      </c>
      <c r="R446" s="599">
        <v>-1556493185</v>
      </c>
      <c r="S446" s="882">
        <f t="shared" si="28"/>
        <v>-936</v>
      </c>
      <c r="T446" s="599">
        <f t="shared" si="28"/>
        <v>-1556</v>
      </c>
      <c r="U446" s="620"/>
      <c r="V446" s="621"/>
      <c r="W446" s="882">
        <f t="shared" si="27"/>
        <v>-935641875</v>
      </c>
      <c r="X446" s="882">
        <f t="shared" si="25"/>
        <v>-936</v>
      </c>
    </row>
    <row r="447" spans="1:24" ht="27" customHeight="1">
      <c r="A447" s="583"/>
      <c r="B447" s="583">
        <v>1014</v>
      </c>
      <c r="C447" s="581">
        <v>10</v>
      </c>
      <c r="D447" s="582" t="s">
        <v>541</v>
      </c>
      <c r="E447" s="583" t="s">
        <v>693</v>
      </c>
      <c r="F447" s="599">
        <v>-42273730303</v>
      </c>
      <c r="G447" s="599">
        <v>-586576870</v>
      </c>
      <c r="H447" s="599"/>
      <c r="I447" s="599"/>
      <c r="J447" s="599"/>
      <c r="K447" s="599"/>
      <c r="L447" s="599"/>
      <c r="M447" s="599"/>
      <c r="N447" s="599"/>
      <c r="O447" s="599"/>
      <c r="P447" s="599"/>
      <c r="Q447" s="882">
        <f t="shared" si="24"/>
        <v>-42860307173</v>
      </c>
      <c r="R447" s="599">
        <v>-23242911820</v>
      </c>
      <c r="S447" s="882">
        <f t="shared" si="28"/>
        <v>-42860</v>
      </c>
      <c r="T447" s="599">
        <f t="shared" si="28"/>
        <v>-23243</v>
      </c>
      <c r="U447" s="620"/>
      <c r="V447" s="621"/>
      <c r="W447" s="882">
        <f t="shared" si="27"/>
        <v>-42860307173</v>
      </c>
      <c r="X447" s="882">
        <f t="shared" si="25"/>
        <v>-42860</v>
      </c>
    </row>
    <row r="448" spans="1:24" ht="27" customHeight="1">
      <c r="A448" s="583">
        <v>3214</v>
      </c>
      <c r="B448" s="583">
        <v>1014</v>
      </c>
      <c r="C448" s="581">
        <v>10</v>
      </c>
      <c r="D448" s="582" t="s">
        <v>541</v>
      </c>
      <c r="E448" s="583" t="s">
        <v>1668</v>
      </c>
      <c r="F448" s="599"/>
      <c r="G448" s="599"/>
      <c r="H448" s="599"/>
      <c r="I448" s="599"/>
      <c r="J448" s="599">
        <v>-42738271</v>
      </c>
      <c r="K448" s="599">
        <v>42738271</v>
      </c>
      <c r="L448" s="599"/>
      <c r="M448" s="599"/>
      <c r="N448" s="599"/>
      <c r="O448" s="599">
        <f>-42738271-1376886586-777942540</f>
        <v>-2197567397</v>
      </c>
      <c r="P448" s="599"/>
      <c r="Q448" s="882">
        <f t="shared" si="24"/>
        <v>-2197567397</v>
      </c>
      <c r="R448" s="599"/>
      <c r="S448" s="882">
        <f t="shared" si="28"/>
        <v>-2198</v>
      </c>
      <c r="T448" s="599">
        <f t="shared" si="28"/>
        <v>0</v>
      </c>
      <c r="U448" s="620"/>
      <c r="V448" s="621"/>
      <c r="W448" s="882">
        <f t="shared" si="27"/>
        <v>-2197567397</v>
      </c>
      <c r="X448" s="882">
        <f t="shared" si="25"/>
        <v>-2198</v>
      </c>
    </row>
    <row r="449" spans="1:24" ht="27" customHeight="1">
      <c r="A449" s="583"/>
      <c r="B449" s="583">
        <v>1007</v>
      </c>
      <c r="C449" s="581">
        <v>10</v>
      </c>
      <c r="D449" s="582" t="s">
        <v>543</v>
      </c>
      <c r="E449" s="583" t="s">
        <v>544</v>
      </c>
      <c r="F449" s="599">
        <v>-124736092734</v>
      </c>
      <c r="G449" s="599">
        <v>-676258256</v>
      </c>
      <c r="H449" s="599"/>
      <c r="I449" s="599">
        <f>-365098339400+365045858898</f>
        <v>-52480502</v>
      </c>
      <c r="J449" s="599"/>
      <c r="K449" s="599"/>
      <c r="L449" s="599">
        <f>80139291-160278582</f>
        <v>-80139291</v>
      </c>
      <c r="M449" s="599"/>
      <c r="N449" s="599"/>
      <c r="O449" s="599"/>
      <c r="P449" s="599"/>
      <c r="Q449" s="882">
        <f t="shared" si="24"/>
        <v>-125544970783</v>
      </c>
      <c r="R449" s="599">
        <v>-133775096236</v>
      </c>
      <c r="S449" s="882">
        <f t="shared" si="28"/>
        <v>-125545</v>
      </c>
      <c r="T449" s="599">
        <f t="shared" si="28"/>
        <v>-133775</v>
      </c>
      <c r="U449" s="620"/>
      <c r="V449" s="621"/>
      <c r="W449" s="882">
        <f t="shared" si="27"/>
        <v>-125544970783</v>
      </c>
      <c r="X449" s="882">
        <f t="shared" si="25"/>
        <v>-125545</v>
      </c>
    </row>
    <row r="450" spans="1:24" ht="27" customHeight="1">
      <c r="A450" s="583">
        <v>3214</v>
      </c>
      <c r="B450" s="583">
        <v>1007</v>
      </c>
      <c r="C450" s="581">
        <v>10</v>
      </c>
      <c r="D450" s="582" t="s">
        <v>543</v>
      </c>
      <c r="E450" s="583" t="s">
        <v>1464</v>
      </c>
      <c r="F450" s="599"/>
      <c r="G450" s="599"/>
      <c r="H450" s="599"/>
      <c r="I450" s="599">
        <v>-365045858890</v>
      </c>
      <c r="J450" s="599"/>
      <c r="K450" s="599">
        <f>74729088696+290316770202</f>
        <v>365045858898</v>
      </c>
      <c r="L450" s="599"/>
      <c r="M450" s="599"/>
      <c r="N450" s="599"/>
      <c r="O450" s="599">
        <f>-74729088696-290316770202-216233915</f>
        <v>-365262092813</v>
      </c>
      <c r="P450" s="599"/>
      <c r="Q450" s="882">
        <f t="shared" si="24"/>
        <v>-365262092805</v>
      </c>
      <c r="R450" s="599">
        <v>-271876820753</v>
      </c>
      <c r="S450" s="882">
        <f t="shared" si="28"/>
        <v>-365262</v>
      </c>
      <c r="T450" s="599">
        <f t="shared" si="28"/>
        <v>-271877</v>
      </c>
      <c r="U450" s="620"/>
      <c r="V450" s="621"/>
      <c r="W450" s="882">
        <f t="shared" si="27"/>
        <v>-365262092805</v>
      </c>
      <c r="X450" s="882">
        <f t="shared" si="25"/>
        <v>-365262</v>
      </c>
    </row>
    <row r="451" spans="1:24" ht="27" customHeight="1">
      <c r="A451" s="583"/>
      <c r="B451" s="583">
        <v>1007</v>
      </c>
      <c r="C451" s="581">
        <v>10</v>
      </c>
      <c r="D451" s="582" t="s">
        <v>545</v>
      </c>
      <c r="E451" s="583" t="s">
        <v>510</v>
      </c>
      <c r="F451" s="599">
        <v>-715893006</v>
      </c>
      <c r="G451" s="599">
        <v>715893006</v>
      </c>
      <c r="H451" s="599"/>
      <c r="I451" s="599"/>
      <c r="J451" s="599"/>
      <c r="K451" s="599"/>
      <c r="L451" s="599"/>
      <c r="M451" s="599"/>
      <c r="N451" s="599"/>
      <c r="O451" s="599"/>
      <c r="P451" s="599"/>
      <c r="Q451" s="882">
        <f t="shared" si="24"/>
        <v>0</v>
      </c>
      <c r="R451" s="599">
        <v>0</v>
      </c>
      <c r="S451" s="882">
        <f t="shared" si="28"/>
        <v>0</v>
      </c>
      <c r="T451" s="599">
        <f t="shared" si="28"/>
        <v>0</v>
      </c>
      <c r="U451" s="620"/>
      <c r="V451" s="621"/>
      <c r="W451" s="882">
        <f t="shared" si="27"/>
        <v>0</v>
      </c>
      <c r="X451" s="882">
        <f t="shared" si="25"/>
        <v>0</v>
      </c>
    </row>
    <row r="452" spans="1:24" ht="27" customHeight="1">
      <c r="A452" s="583"/>
      <c r="B452" s="583">
        <v>1008</v>
      </c>
      <c r="C452" s="581">
        <v>10</v>
      </c>
      <c r="D452" s="582" t="s">
        <v>511</v>
      </c>
      <c r="E452" s="583" t="s">
        <v>512</v>
      </c>
      <c r="F452" s="599">
        <v>-1009421168</v>
      </c>
      <c r="G452" s="599"/>
      <c r="H452" s="599"/>
      <c r="I452" s="599"/>
      <c r="J452" s="599"/>
      <c r="K452" s="599"/>
      <c r="L452" s="599"/>
      <c r="M452" s="599"/>
      <c r="N452" s="599"/>
      <c r="O452" s="599"/>
      <c r="P452" s="599"/>
      <c r="Q452" s="882">
        <f t="shared" ref="Q452:Q515" si="29">SUM(F452:P452)</f>
        <v>-1009421168</v>
      </c>
      <c r="R452" s="599">
        <v>-1009421168</v>
      </c>
      <c r="S452" s="882">
        <f t="shared" si="28"/>
        <v>-1009</v>
      </c>
      <c r="T452" s="599">
        <f t="shared" si="28"/>
        <v>-1009</v>
      </c>
      <c r="U452" s="620"/>
      <c r="V452" s="621"/>
      <c r="W452" s="882">
        <f t="shared" si="27"/>
        <v>-1009421168</v>
      </c>
      <c r="X452" s="882">
        <f t="shared" si="25"/>
        <v>-1009</v>
      </c>
    </row>
    <row r="453" spans="1:24" ht="27" customHeight="1">
      <c r="A453" s="583"/>
      <c r="B453" s="583">
        <v>1008</v>
      </c>
      <c r="C453" s="581">
        <v>10</v>
      </c>
      <c r="D453" s="582" t="s">
        <v>513</v>
      </c>
      <c r="E453" s="583" t="s">
        <v>279</v>
      </c>
      <c r="F453" s="599">
        <v>-64251112622</v>
      </c>
      <c r="G453" s="599">
        <v>-113975292</v>
      </c>
      <c r="H453" s="599"/>
      <c r="I453" s="599">
        <f>-128969570557+128934828782</f>
        <v>-34741775</v>
      </c>
      <c r="J453" s="599"/>
      <c r="K453" s="599"/>
      <c r="L453" s="599">
        <f>160278582-80139291</f>
        <v>80139291</v>
      </c>
      <c r="M453" s="599"/>
      <c r="N453" s="599"/>
      <c r="O453" s="599"/>
      <c r="P453" s="599"/>
      <c r="Q453" s="882">
        <f t="shared" si="29"/>
        <v>-64319690398</v>
      </c>
      <c r="R453" s="599">
        <v>-83797997981</v>
      </c>
      <c r="S453" s="882">
        <f t="shared" si="28"/>
        <v>-64320</v>
      </c>
      <c r="T453" s="599">
        <f t="shared" si="28"/>
        <v>-83798</v>
      </c>
      <c r="U453" s="620"/>
      <c r="V453" s="621"/>
      <c r="W453" s="882">
        <f t="shared" si="27"/>
        <v>-64319690398</v>
      </c>
      <c r="X453" s="882">
        <f t="shared" si="25"/>
        <v>-64320</v>
      </c>
    </row>
    <row r="454" spans="1:24" ht="27" customHeight="1">
      <c r="A454" s="583">
        <v>3214</v>
      </c>
      <c r="B454" s="583">
        <v>1008</v>
      </c>
      <c r="C454" s="581">
        <v>10</v>
      </c>
      <c r="D454" s="582" t="s">
        <v>513</v>
      </c>
      <c r="E454" s="583" t="s">
        <v>1465</v>
      </c>
      <c r="F454" s="599"/>
      <c r="G454" s="599"/>
      <c r="H454" s="599"/>
      <c r="I454" s="599">
        <v>-128934828782</v>
      </c>
      <c r="J454" s="599"/>
      <c r="K454" s="599">
        <f>128934828782</f>
        <v>128934828782</v>
      </c>
      <c r="L454" s="599"/>
      <c r="M454" s="599"/>
      <c r="N454" s="599"/>
      <c r="O454" s="599">
        <f>-128934828782-670186608</f>
        <v>-129605015390</v>
      </c>
      <c r="P454" s="599"/>
      <c r="Q454" s="882">
        <f t="shared" si="29"/>
        <v>-129605015390</v>
      </c>
      <c r="R454" s="599">
        <v>-103073072284</v>
      </c>
      <c r="S454" s="882">
        <f t="shared" si="28"/>
        <v>-129605</v>
      </c>
      <c r="T454" s="599">
        <f t="shared" si="28"/>
        <v>-103073</v>
      </c>
      <c r="U454" s="620"/>
      <c r="V454" s="621"/>
      <c r="W454" s="882">
        <f t="shared" si="27"/>
        <v>-129605015390</v>
      </c>
      <c r="X454" s="882">
        <f t="shared" si="25"/>
        <v>-129605</v>
      </c>
    </row>
    <row r="455" spans="1:24" ht="27" customHeight="1">
      <c r="A455" s="583"/>
      <c r="B455" s="583">
        <v>1007</v>
      </c>
      <c r="C455" s="581">
        <v>10</v>
      </c>
      <c r="D455" s="582" t="s">
        <v>499</v>
      </c>
      <c r="E455" s="583" t="s">
        <v>694</v>
      </c>
      <c r="F455" s="599">
        <v>-18138801613</v>
      </c>
      <c r="G455" s="599"/>
      <c r="H455" s="599"/>
      <c r="I455" s="599">
        <v>0</v>
      </c>
      <c r="J455" s="599"/>
      <c r="K455" s="599"/>
      <c r="L455" s="599"/>
      <c r="M455" s="599"/>
      <c r="N455" s="599"/>
      <c r="O455" s="599"/>
      <c r="P455" s="599"/>
      <c r="Q455" s="882">
        <f t="shared" si="29"/>
        <v>-18138801613</v>
      </c>
      <c r="R455" s="599">
        <v>-7113932144</v>
      </c>
      <c r="S455" s="882">
        <f t="shared" si="28"/>
        <v>-18139</v>
      </c>
      <c r="T455" s="599">
        <f t="shared" si="28"/>
        <v>-7114</v>
      </c>
      <c r="U455" s="620"/>
      <c r="V455" s="621"/>
      <c r="W455" s="882">
        <f t="shared" si="27"/>
        <v>-18138801613</v>
      </c>
      <c r="X455" s="882">
        <f t="shared" si="25"/>
        <v>-18139</v>
      </c>
    </row>
    <row r="456" spans="1:24" ht="27" customHeight="1">
      <c r="A456" s="583">
        <v>3214</v>
      </c>
      <c r="B456" s="583">
        <v>1007</v>
      </c>
      <c r="C456" s="581">
        <v>10</v>
      </c>
      <c r="D456" s="582" t="s">
        <v>499</v>
      </c>
      <c r="E456" s="583" t="s">
        <v>1466</v>
      </c>
      <c r="F456" s="599"/>
      <c r="G456" s="599"/>
      <c r="H456" s="599"/>
      <c r="I456" s="599">
        <v>-69306189412</v>
      </c>
      <c r="J456" s="599"/>
      <c r="K456" s="599">
        <f>2864963088+138843005+66302383319</f>
        <v>69306189412</v>
      </c>
      <c r="L456" s="599"/>
      <c r="M456" s="599"/>
      <c r="N456" s="599"/>
      <c r="O456" s="599">
        <f>-2864963088-138843005-66302383319</f>
        <v>-69306189412</v>
      </c>
      <c r="P456" s="599"/>
      <c r="Q456" s="882">
        <f t="shared" si="29"/>
        <v>-69306189412</v>
      </c>
      <c r="R456" s="599">
        <v>-268022180425</v>
      </c>
      <c r="S456" s="882">
        <f t="shared" si="28"/>
        <v>-69306</v>
      </c>
      <c r="T456" s="599">
        <f t="shared" si="28"/>
        <v>-268022</v>
      </c>
      <c r="U456" s="620"/>
      <c r="V456" s="621"/>
      <c r="W456" s="882">
        <f t="shared" si="27"/>
        <v>-69306189412</v>
      </c>
      <c r="X456" s="882">
        <f t="shared" si="25"/>
        <v>-69306</v>
      </c>
    </row>
    <row r="457" spans="1:24" ht="27" customHeight="1">
      <c r="A457" s="583"/>
      <c r="B457" s="583">
        <v>1018</v>
      </c>
      <c r="C457" s="581">
        <v>10</v>
      </c>
      <c r="D457" s="582" t="s">
        <v>501</v>
      </c>
      <c r="E457" s="583" t="s">
        <v>695</v>
      </c>
      <c r="F457" s="599">
        <v>-197900000</v>
      </c>
      <c r="G457" s="599"/>
      <c r="H457" s="599"/>
      <c r="I457" s="599"/>
      <c r="J457" s="599"/>
      <c r="K457" s="599"/>
      <c r="L457" s="599"/>
      <c r="M457" s="599"/>
      <c r="N457" s="599"/>
      <c r="O457" s="599"/>
      <c r="P457" s="599"/>
      <c r="Q457" s="882">
        <f t="shared" si="29"/>
        <v>-197900000</v>
      </c>
      <c r="R457" s="599">
        <v>-50900000</v>
      </c>
      <c r="S457" s="882">
        <f t="shared" si="28"/>
        <v>-198</v>
      </c>
      <c r="T457" s="599">
        <f t="shared" si="28"/>
        <v>-51</v>
      </c>
      <c r="U457" s="620"/>
      <c r="V457" s="621"/>
      <c r="W457" s="882">
        <f t="shared" si="27"/>
        <v>-197900000</v>
      </c>
      <c r="X457" s="882">
        <f t="shared" si="25"/>
        <v>-198</v>
      </c>
    </row>
    <row r="458" spans="1:24" ht="27" customHeight="1">
      <c r="A458" s="583"/>
      <c r="B458" s="583">
        <v>1016</v>
      </c>
      <c r="C458" s="581">
        <v>10</v>
      </c>
      <c r="D458" s="582" t="s">
        <v>503</v>
      </c>
      <c r="E458" s="583" t="s">
        <v>504</v>
      </c>
      <c r="F458" s="599">
        <v>-65422850461</v>
      </c>
      <c r="G458" s="599">
        <v>12755000</v>
      </c>
      <c r="H458" s="599">
        <v>252500</v>
      </c>
      <c r="I458" s="599">
        <v>-4538400000</v>
      </c>
      <c r="J458" s="599"/>
      <c r="K458" s="599"/>
      <c r="L458" s="599"/>
      <c r="M458" s="599"/>
      <c r="N458" s="599"/>
      <c r="O458" s="599"/>
      <c r="P458" s="599"/>
      <c r="Q458" s="882">
        <f t="shared" si="29"/>
        <v>-69948242961</v>
      </c>
      <c r="R458" s="599">
        <v>-50305874180</v>
      </c>
      <c r="S458" s="882">
        <f>ROUND((Q458/1000000),0)+1</f>
        <v>-69947</v>
      </c>
      <c r="T458" s="599">
        <f t="shared" si="28"/>
        <v>-50306</v>
      </c>
      <c r="U458" s="620"/>
      <c r="V458" s="621"/>
      <c r="W458" s="882">
        <f t="shared" si="27"/>
        <v>-69948242961</v>
      </c>
      <c r="X458" s="882">
        <f t="shared" si="25"/>
        <v>-69948</v>
      </c>
    </row>
    <row r="459" spans="1:24" ht="27" customHeight="1">
      <c r="A459" s="583"/>
      <c r="B459" s="583">
        <v>1017</v>
      </c>
      <c r="C459" s="581">
        <v>10</v>
      </c>
      <c r="D459" s="582" t="s">
        <v>697</v>
      </c>
      <c r="E459" s="583" t="s">
        <v>696</v>
      </c>
      <c r="F459" s="599">
        <v>-7129121248</v>
      </c>
      <c r="G459" s="599">
        <v>-57240107953</v>
      </c>
      <c r="H459" s="599">
        <v>-10025276543</v>
      </c>
      <c r="I459" s="599">
        <v>-3185653777</v>
      </c>
      <c r="J459" s="599">
        <v>-164022832</v>
      </c>
      <c r="K459" s="599"/>
      <c r="L459" s="599"/>
      <c r="M459" s="599"/>
      <c r="N459" s="599"/>
      <c r="O459" s="599"/>
      <c r="P459" s="599"/>
      <c r="Q459" s="882">
        <f t="shared" si="29"/>
        <v>-77744182353</v>
      </c>
      <c r="R459" s="599">
        <v>-88886635507</v>
      </c>
      <c r="S459" s="882">
        <f>ROUND((Q459/1000000),0)</f>
        <v>-77744</v>
      </c>
      <c r="T459" s="599">
        <f t="shared" si="28"/>
        <v>-88887</v>
      </c>
      <c r="U459" s="620"/>
      <c r="V459" s="621"/>
      <c r="W459" s="882">
        <f t="shared" si="27"/>
        <v>-77744182353</v>
      </c>
      <c r="X459" s="882">
        <f t="shared" si="25"/>
        <v>-77744</v>
      </c>
    </row>
    <row r="460" spans="1:24" ht="27" customHeight="1">
      <c r="A460" s="583"/>
      <c r="B460" s="583">
        <v>1007</v>
      </c>
      <c r="C460" s="581">
        <v>10</v>
      </c>
      <c r="D460" s="582" t="s">
        <v>505</v>
      </c>
      <c r="E460" s="583" t="s">
        <v>506</v>
      </c>
      <c r="F460" s="599">
        <v>-18122311649</v>
      </c>
      <c r="G460" s="599">
        <v>-1256142798</v>
      </c>
      <c r="H460" s="599">
        <v>-340945947</v>
      </c>
      <c r="I460" s="599">
        <v>25346172</v>
      </c>
      <c r="J460" s="599"/>
      <c r="K460" s="599"/>
      <c r="L460" s="599"/>
      <c r="M460" s="599"/>
      <c r="N460" s="599"/>
      <c r="O460" s="599"/>
      <c r="P460" s="599"/>
      <c r="Q460" s="882">
        <f t="shared" si="29"/>
        <v>-19694054222</v>
      </c>
      <c r="R460" s="599">
        <v>-8849225650</v>
      </c>
      <c r="S460" s="882">
        <f t="shared" si="28"/>
        <v>-19694</v>
      </c>
      <c r="T460" s="599">
        <f t="shared" si="28"/>
        <v>-8849</v>
      </c>
      <c r="U460" s="620"/>
      <c r="V460" s="621"/>
      <c r="W460" s="882">
        <f t="shared" si="27"/>
        <v>-19694054222</v>
      </c>
      <c r="X460" s="882">
        <f t="shared" si="25"/>
        <v>-19694</v>
      </c>
    </row>
    <row r="461" spans="1:24" ht="27" customHeight="1">
      <c r="A461" s="583">
        <v>3214</v>
      </c>
      <c r="B461" s="583">
        <v>1007</v>
      </c>
      <c r="C461" s="581">
        <v>10</v>
      </c>
      <c r="D461" s="582" t="s">
        <v>507</v>
      </c>
      <c r="E461" s="583" t="s">
        <v>185</v>
      </c>
      <c r="F461" s="599"/>
      <c r="G461" s="599"/>
      <c r="H461" s="599"/>
      <c r="I461" s="599"/>
      <c r="J461" s="599"/>
      <c r="K461" s="599"/>
      <c r="L461" s="599"/>
      <c r="M461" s="599"/>
      <c r="N461" s="599"/>
      <c r="O461" s="599"/>
      <c r="P461" s="599"/>
      <c r="Q461" s="882">
        <f t="shared" si="29"/>
        <v>0</v>
      </c>
      <c r="R461" s="599">
        <v>0</v>
      </c>
      <c r="S461" s="882">
        <f t="shared" si="28"/>
        <v>0</v>
      </c>
      <c r="T461" s="599">
        <f t="shared" si="28"/>
        <v>0</v>
      </c>
      <c r="U461" s="620"/>
      <c r="V461" s="621"/>
      <c r="W461" s="882">
        <f t="shared" si="27"/>
        <v>0</v>
      </c>
      <c r="X461" s="882">
        <f t="shared" si="25"/>
        <v>0</v>
      </c>
    </row>
    <row r="462" spans="1:24" ht="27" customHeight="1">
      <c r="A462" s="583"/>
      <c r="B462" s="583">
        <v>1010</v>
      </c>
      <c r="C462" s="581">
        <v>10</v>
      </c>
      <c r="D462" s="582" t="s">
        <v>186</v>
      </c>
      <c r="E462" s="583" t="s">
        <v>187</v>
      </c>
      <c r="F462" s="599"/>
      <c r="G462" s="599"/>
      <c r="H462" s="599"/>
      <c r="I462" s="599"/>
      <c r="J462" s="599"/>
      <c r="K462" s="599"/>
      <c r="L462" s="599"/>
      <c r="M462" s="599"/>
      <c r="N462" s="599"/>
      <c r="O462" s="599"/>
      <c r="P462" s="599"/>
      <c r="Q462" s="882">
        <f t="shared" si="29"/>
        <v>0</v>
      </c>
      <c r="R462" s="599">
        <v>0</v>
      </c>
      <c r="S462" s="882">
        <f t="shared" si="28"/>
        <v>0</v>
      </c>
      <c r="T462" s="599">
        <f t="shared" si="28"/>
        <v>0</v>
      </c>
      <c r="U462" s="620"/>
      <c r="V462" s="621"/>
      <c r="W462" s="882">
        <f t="shared" si="27"/>
        <v>0</v>
      </c>
      <c r="X462" s="882">
        <f t="shared" ref="X462:X531" si="30">ROUND((W462/1000000),0)</f>
        <v>0</v>
      </c>
    </row>
    <row r="463" spans="1:24" ht="27" customHeight="1">
      <c r="A463" s="583"/>
      <c r="B463" s="583">
        <v>1010</v>
      </c>
      <c r="C463" s="581">
        <v>10</v>
      </c>
      <c r="D463" s="582" t="s">
        <v>188</v>
      </c>
      <c r="E463" s="583" t="s">
        <v>749</v>
      </c>
      <c r="F463" s="599">
        <v>-81694848796</v>
      </c>
      <c r="G463" s="599">
        <v>-2330475833</v>
      </c>
      <c r="H463" s="599">
        <v>-829938440</v>
      </c>
      <c r="I463" s="599">
        <v>-117575334</v>
      </c>
      <c r="J463" s="599"/>
      <c r="K463" s="599"/>
      <c r="L463" s="599"/>
      <c r="M463" s="599"/>
      <c r="N463" s="599"/>
      <c r="O463" s="599"/>
      <c r="P463" s="599"/>
      <c r="Q463" s="882">
        <f t="shared" si="29"/>
        <v>-84972838403</v>
      </c>
      <c r="R463" s="599">
        <v>-62833092331</v>
      </c>
      <c r="S463" s="882">
        <f t="shared" si="28"/>
        <v>-84973</v>
      </c>
      <c r="T463" s="599">
        <f t="shared" si="28"/>
        <v>-62833</v>
      </c>
      <c r="U463" s="620"/>
      <c r="V463" s="621"/>
      <c r="W463" s="882">
        <f t="shared" si="27"/>
        <v>-84972838403</v>
      </c>
      <c r="X463" s="882">
        <f t="shared" si="30"/>
        <v>-84973</v>
      </c>
    </row>
    <row r="464" spans="1:24" ht="27" customHeight="1">
      <c r="A464" s="583"/>
      <c r="B464" s="583">
        <v>1007</v>
      </c>
      <c r="C464" s="581">
        <v>10</v>
      </c>
      <c r="D464" s="582" t="s">
        <v>190</v>
      </c>
      <c r="E464" s="583" t="s">
        <v>191</v>
      </c>
      <c r="F464" s="599">
        <v>-7144503308</v>
      </c>
      <c r="G464" s="599">
        <v>-26207000</v>
      </c>
      <c r="H464" s="599"/>
      <c r="I464" s="599">
        <v>-68792800</v>
      </c>
      <c r="J464" s="599"/>
      <c r="K464" s="599"/>
      <c r="L464" s="599"/>
      <c r="M464" s="599"/>
      <c r="N464" s="599"/>
      <c r="O464" s="599">
        <v>-4707014909</v>
      </c>
      <c r="P464" s="599"/>
      <c r="Q464" s="882">
        <f t="shared" si="29"/>
        <v>-11946518017</v>
      </c>
      <c r="R464" s="599">
        <v>-6380751561</v>
      </c>
      <c r="S464" s="882">
        <f t="shared" si="28"/>
        <v>-11947</v>
      </c>
      <c r="T464" s="599">
        <f t="shared" si="28"/>
        <v>-6381</v>
      </c>
      <c r="U464" s="620"/>
      <c r="V464" s="621"/>
      <c r="W464" s="882">
        <f t="shared" si="27"/>
        <v>-11946518017</v>
      </c>
      <c r="X464" s="882">
        <f t="shared" si="30"/>
        <v>-11947</v>
      </c>
    </row>
    <row r="465" spans="1:24" ht="27" customHeight="1">
      <c r="A465" s="583"/>
      <c r="B465" s="583">
        <v>1017</v>
      </c>
      <c r="C465" s="581">
        <v>10</v>
      </c>
      <c r="D465" s="582" t="s">
        <v>192</v>
      </c>
      <c r="E465" s="583" t="s">
        <v>25</v>
      </c>
      <c r="F465" s="599">
        <v>-1896707000</v>
      </c>
      <c r="G465" s="599">
        <v>22607000</v>
      </c>
      <c r="H465" s="599"/>
      <c r="I465" s="599">
        <v>45117800</v>
      </c>
      <c r="J465" s="599"/>
      <c r="K465" s="599"/>
      <c r="L465" s="599"/>
      <c r="M465" s="599"/>
      <c r="N465" s="599"/>
      <c r="O465" s="599"/>
      <c r="P465" s="599"/>
      <c r="Q465" s="882">
        <f t="shared" si="29"/>
        <v>-1828982200</v>
      </c>
      <c r="R465" s="599">
        <v>-12872422186</v>
      </c>
      <c r="S465" s="882">
        <f t="shared" si="28"/>
        <v>-1829</v>
      </c>
      <c r="T465" s="599">
        <f t="shared" si="28"/>
        <v>-12872</v>
      </c>
      <c r="U465" s="620"/>
      <c r="V465" s="621"/>
      <c r="W465" s="882">
        <f t="shared" si="27"/>
        <v>-1828982200</v>
      </c>
      <c r="X465" s="882">
        <f t="shared" si="30"/>
        <v>-1829</v>
      </c>
    </row>
    <row r="466" spans="1:24" ht="27" customHeight="1">
      <c r="A466" s="583"/>
      <c r="B466" s="583">
        <v>302</v>
      </c>
      <c r="C466" s="581">
        <v>3</v>
      </c>
      <c r="D466" s="582" t="s">
        <v>26</v>
      </c>
      <c r="E466" s="583" t="s">
        <v>27</v>
      </c>
      <c r="F466" s="599">
        <v>1118359304</v>
      </c>
      <c r="G466" s="599">
        <v>100000000</v>
      </c>
      <c r="H466" s="599"/>
      <c r="I466" s="599"/>
      <c r="J466" s="599"/>
      <c r="K466" s="599"/>
      <c r="L466" s="599"/>
      <c r="M466" s="599"/>
      <c r="N466" s="599"/>
      <c r="O466" s="599"/>
      <c r="P466" s="599"/>
      <c r="Q466" s="882">
        <f t="shared" si="29"/>
        <v>1218359304</v>
      </c>
      <c r="R466" s="599">
        <v>1110000000</v>
      </c>
      <c r="S466" s="882">
        <f t="shared" si="28"/>
        <v>1218</v>
      </c>
      <c r="T466" s="599">
        <f t="shared" si="28"/>
        <v>1110</v>
      </c>
      <c r="U466" s="620"/>
      <c r="V466" s="621"/>
      <c r="W466" s="882">
        <f t="shared" si="27"/>
        <v>1218359304</v>
      </c>
      <c r="X466" s="882">
        <f t="shared" si="30"/>
        <v>1218</v>
      </c>
    </row>
    <row r="467" spans="1:24" ht="27" customHeight="1">
      <c r="A467" s="583"/>
      <c r="B467" s="583">
        <v>302</v>
      </c>
      <c r="C467" s="581">
        <v>3</v>
      </c>
      <c r="D467" s="582" t="s">
        <v>851</v>
      </c>
      <c r="E467" s="583" t="s">
        <v>852</v>
      </c>
      <c r="F467" s="599"/>
      <c r="G467" s="599"/>
      <c r="H467" s="599"/>
      <c r="I467" s="599"/>
      <c r="J467" s="599"/>
      <c r="K467" s="599"/>
      <c r="L467" s="599"/>
      <c r="M467" s="599"/>
      <c r="N467" s="599"/>
      <c r="O467" s="599"/>
      <c r="P467" s="599"/>
      <c r="Q467" s="882">
        <f t="shared" si="29"/>
        <v>0</v>
      </c>
      <c r="R467" s="599">
        <v>1180000</v>
      </c>
      <c r="S467" s="882">
        <f t="shared" si="28"/>
        <v>0</v>
      </c>
      <c r="T467" s="599">
        <f t="shared" si="28"/>
        <v>1</v>
      </c>
      <c r="U467" s="620"/>
      <c r="V467" s="621"/>
      <c r="W467" s="882">
        <f t="shared" si="27"/>
        <v>0</v>
      </c>
      <c r="X467" s="882">
        <f t="shared" si="30"/>
        <v>0</v>
      </c>
    </row>
    <row r="468" spans="1:24" ht="27" customHeight="1">
      <c r="A468" s="583"/>
      <c r="B468" s="583">
        <v>303</v>
      </c>
      <c r="C468" s="581">
        <v>3</v>
      </c>
      <c r="D468" s="582" t="s">
        <v>28</v>
      </c>
      <c r="E468" s="583" t="s">
        <v>29</v>
      </c>
      <c r="F468" s="599">
        <v>9835773472</v>
      </c>
      <c r="G468" s="599">
        <v>-1929505000</v>
      </c>
      <c r="H468" s="599"/>
      <c r="I468" s="599">
        <v>199903282</v>
      </c>
      <c r="J468" s="599"/>
      <c r="K468" s="599"/>
      <c r="L468" s="599"/>
      <c r="M468" s="599"/>
      <c r="N468" s="599"/>
      <c r="O468" s="599"/>
      <c r="P468" s="599"/>
      <c r="Q468" s="882">
        <f t="shared" si="29"/>
        <v>8106171754</v>
      </c>
      <c r="R468" s="599">
        <v>14175797771</v>
      </c>
      <c r="S468" s="882">
        <f t="shared" ref="S468:T501" si="31">ROUND((Q468/1000000),0)</f>
        <v>8106</v>
      </c>
      <c r="T468" s="599">
        <f t="shared" si="31"/>
        <v>14176</v>
      </c>
      <c r="U468" s="620"/>
      <c r="V468" s="621"/>
      <c r="W468" s="882">
        <f t="shared" si="27"/>
        <v>8106171754</v>
      </c>
      <c r="X468" s="882">
        <f t="shared" si="30"/>
        <v>8106</v>
      </c>
    </row>
    <row r="469" spans="1:24" ht="27" customHeight="1">
      <c r="A469" s="583"/>
      <c r="B469" s="583">
        <v>1018</v>
      </c>
      <c r="C469" s="581">
        <v>10</v>
      </c>
      <c r="D469" s="582" t="s">
        <v>30</v>
      </c>
      <c r="E469" s="583" t="s">
        <v>31</v>
      </c>
      <c r="F469" s="599">
        <v>-25328500</v>
      </c>
      <c r="G469" s="599">
        <v>25328500</v>
      </c>
      <c r="H469" s="599"/>
      <c r="I469" s="599"/>
      <c r="J469" s="599"/>
      <c r="K469" s="599"/>
      <c r="L469" s="599"/>
      <c r="M469" s="599"/>
      <c r="N469" s="599"/>
      <c r="O469" s="599"/>
      <c r="P469" s="599"/>
      <c r="Q469" s="882">
        <f t="shared" si="29"/>
        <v>0</v>
      </c>
      <c r="R469" s="599">
        <v>0</v>
      </c>
      <c r="S469" s="882">
        <f t="shared" si="31"/>
        <v>0</v>
      </c>
      <c r="T469" s="599">
        <f t="shared" si="31"/>
        <v>0</v>
      </c>
      <c r="U469" s="620"/>
      <c r="V469" s="621"/>
      <c r="W469" s="882">
        <f t="shared" si="27"/>
        <v>0</v>
      </c>
      <c r="X469" s="882">
        <f t="shared" si="30"/>
        <v>0</v>
      </c>
    </row>
    <row r="470" spans="1:24" ht="27" customHeight="1">
      <c r="A470" s="583"/>
      <c r="B470" s="583">
        <v>303</v>
      </c>
      <c r="C470" s="581">
        <v>3</v>
      </c>
      <c r="D470" s="582" t="s">
        <v>1155</v>
      </c>
      <c r="E470" s="583" t="s">
        <v>1156</v>
      </c>
      <c r="F470" s="599">
        <v>97827455235</v>
      </c>
      <c r="G470" s="599">
        <v>-89914091677</v>
      </c>
      <c r="H470" s="599">
        <v>-7913363558</v>
      </c>
      <c r="I470" s="599"/>
      <c r="J470" s="599"/>
      <c r="K470" s="599"/>
      <c r="L470" s="599"/>
      <c r="M470" s="599"/>
      <c r="N470" s="599"/>
      <c r="O470" s="599"/>
      <c r="P470" s="599"/>
      <c r="Q470" s="882">
        <f t="shared" si="29"/>
        <v>0</v>
      </c>
      <c r="R470" s="599">
        <v>0</v>
      </c>
      <c r="S470" s="882">
        <f t="shared" si="31"/>
        <v>0</v>
      </c>
      <c r="T470" s="599">
        <f t="shared" si="31"/>
        <v>0</v>
      </c>
      <c r="U470" s="620"/>
      <c r="V470" s="621"/>
      <c r="W470" s="882">
        <f t="shared" si="27"/>
        <v>0</v>
      </c>
      <c r="X470" s="882">
        <f t="shared" si="30"/>
        <v>0</v>
      </c>
    </row>
    <row r="471" spans="1:24" ht="27" customHeight="1">
      <c r="A471" s="583"/>
      <c r="B471" s="583">
        <v>303</v>
      </c>
      <c r="C471" s="581">
        <v>3</v>
      </c>
      <c r="D471" s="582" t="s">
        <v>1157</v>
      </c>
      <c r="E471" s="583" t="s">
        <v>1156</v>
      </c>
      <c r="F471" s="599">
        <v>-97769909735</v>
      </c>
      <c r="G471" s="599">
        <v>89856546177</v>
      </c>
      <c r="H471" s="599">
        <v>7913363558</v>
      </c>
      <c r="I471" s="599"/>
      <c r="J471" s="599"/>
      <c r="K471" s="599"/>
      <c r="L471" s="599"/>
      <c r="M471" s="599"/>
      <c r="N471" s="599"/>
      <c r="O471" s="599"/>
      <c r="P471" s="599"/>
      <c r="Q471" s="882">
        <f t="shared" si="29"/>
        <v>0</v>
      </c>
      <c r="R471" s="599">
        <v>0</v>
      </c>
      <c r="S471" s="882">
        <f t="shared" si="31"/>
        <v>0</v>
      </c>
      <c r="T471" s="599">
        <f t="shared" si="31"/>
        <v>0</v>
      </c>
      <c r="U471" s="620"/>
      <c r="V471" s="621"/>
      <c r="W471" s="882">
        <f t="shared" si="27"/>
        <v>0</v>
      </c>
      <c r="X471" s="882">
        <f t="shared" si="30"/>
        <v>0</v>
      </c>
    </row>
    <row r="472" spans="1:24" ht="27" customHeight="1">
      <c r="A472" s="583">
        <v>3214</v>
      </c>
      <c r="B472" s="583">
        <v>302</v>
      </c>
      <c r="C472" s="581">
        <v>3</v>
      </c>
      <c r="D472" s="582" t="s">
        <v>776</v>
      </c>
      <c r="E472" s="583" t="s">
        <v>1453</v>
      </c>
      <c r="F472" s="599"/>
      <c r="G472" s="599"/>
      <c r="H472" s="599"/>
      <c r="I472" s="599"/>
      <c r="J472" s="599"/>
      <c r="K472" s="599"/>
      <c r="L472" s="599"/>
      <c r="M472" s="599"/>
      <c r="N472" s="599"/>
      <c r="O472" s="599"/>
      <c r="P472" s="599"/>
      <c r="Q472" s="882">
        <f t="shared" si="29"/>
        <v>0</v>
      </c>
      <c r="R472" s="599">
        <v>164045000</v>
      </c>
      <c r="S472" s="882">
        <f t="shared" si="31"/>
        <v>0</v>
      </c>
      <c r="T472" s="599">
        <f t="shared" si="31"/>
        <v>164</v>
      </c>
      <c r="U472" s="620"/>
      <c r="V472" s="621"/>
      <c r="W472" s="882">
        <f t="shared" si="27"/>
        <v>0</v>
      </c>
      <c r="X472" s="882">
        <f t="shared" si="30"/>
        <v>0</v>
      </c>
    </row>
    <row r="473" spans="1:24" ht="27" customHeight="1">
      <c r="A473" s="583">
        <v>12</v>
      </c>
      <c r="B473" s="583">
        <v>907</v>
      </c>
      <c r="C473" s="581">
        <v>9</v>
      </c>
      <c r="D473" s="582" t="s">
        <v>32</v>
      </c>
      <c r="E473" s="583" t="s">
        <v>770</v>
      </c>
      <c r="F473" s="599">
        <v>23871328496</v>
      </c>
      <c r="G473" s="599"/>
      <c r="H473" s="599">
        <v>58407044062</v>
      </c>
      <c r="I473" s="599"/>
      <c r="J473" s="599"/>
      <c r="K473" s="599"/>
      <c r="L473" s="599"/>
      <c r="M473" s="599"/>
      <c r="N473" s="599"/>
      <c r="O473" s="599">
        <v>-74725488958</v>
      </c>
      <c r="P473" s="599"/>
      <c r="Q473" s="882">
        <f t="shared" si="29"/>
        <v>7552883600</v>
      </c>
      <c r="R473" s="599">
        <v>377616606194</v>
      </c>
      <c r="S473" s="882">
        <f>ROUND((Q473/1000000),0)</f>
        <v>7553</v>
      </c>
      <c r="T473" s="599">
        <f t="shared" si="31"/>
        <v>377617</v>
      </c>
      <c r="U473" s="620"/>
      <c r="V473" s="621"/>
      <c r="W473" s="882">
        <f t="shared" si="27"/>
        <v>7552883600</v>
      </c>
      <c r="X473" s="882">
        <f t="shared" si="30"/>
        <v>7553</v>
      </c>
    </row>
    <row r="474" spans="1:24" ht="27" customHeight="1">
      <c r="A474" s="583">
        <v>3214</v>
      </c>
      <c r="B474" s="583">
        <v>909</v>
      </c>
      <c r="C474" s="581">
        <v>9</v>
      </c>
      <c r="D474" s="582" t="s">
        <v>32</v>
      </c>
      <c r="E474" s="583" t="s">
        <v>1467</v>
      </c>
      <c r="F474" s="599"/>
      <c r="G474" s="599"/>
      <c r="H474" s="599"/>
      <c r="I474" s="599"/>
      <c r="J474" s="599"/>
      <c r="K474" s="599"/>
      <c r="L474" s="599"/>
      <c r="M474" s="599"/>
      <c r="N474" s="599"/>
      <c r="O474" s="599"/>
      <c r="P474" s="599"/>
      <c r="Q474" s="882">
        <f t="shared" si="29"/>
        <v>0</v>
      </c>
      <c r="R474" s="599">
        <v>0</v>
      </c>
      <c r="S474" s="882">
        <f t="shared" si="31"/>
        <v>0</v>
      </c>
      <c r="T474" s="599">
        <f t="shared" si="31"/>
        <v>0</v>
      </c>
      <c r="U474" s="620"/>
      <c r="V474" s="621"/>
      <c r="W474" s="882">
        <f t="shared" si="27"/>
        <v>0</v>
      </c>
      <c r="X474" s="882">
        <f t="shared" si="30"/>
        <v>0</v>
      </c>
    </row>
    <row r="475" spans="1:24" ht="27" customHeight="1">
      <c r="A475" s="583"/>
      <c r="B475" s="583">
        <v>601</v>
      </c>
      <c r="C475" s="581">
        <v>6</v>
      </c>
      <c r="D475" s="582" t="s">
        <v>34</v>
      </c>
      <c r="E475" s="583" t="s">
        <v>35</v>
      </c>
      <c r="F475" s="599"/>
      <c r="G475" s="599"/>
      <c r="H475" s="599"/>
      <c r="I475" s="599"/>
      <c r="J475" s="599"/>
      <c r="K475" s="599"/>
      <c r="L475" s="599"/>
      <c r="M475" s="599"/>
      <c r="N475" s="599"/>
      <c r="O475" s="599"/>
      <c r="P475" s="599"/>
      <c r="Q475" s="882">
        <f t="shared" si="29"/>
        <v>0</v>
      </c>
      <c r="R475" s="599">
        <v>269965645408</v>
      </c>
      <c r="S475" s="882">
        <f t="shared" si="31"/>
        <v>0</v>
      </c>
      <c r="T475" s="599">
        <f t="shared" si="31"/>
        <v>269966</v>
      </c>
      <c r="U475" s="620"/>
      <c r="V475" s="621"/>
      <c r="W475" s="882">
        <f t="shared" si="27"/>
        <v>0</v>
      </c>
      <c r="X475" s="882">
        <f t="shared" si="30"/>
        <v>0</v>
      </c>
    </row>
    <row r="476" spans="1:24" ht="27" customHeight="1">
      <c r="A476" s="583"/>
      <c r="B476" s="583">
        <v>301</v>
      </c>
      <c r="C476" s="581">
        <v>3</v>
      </c>
      <c r="D476" s="582" t="s">
        <v>36</v>
      </c>
      <c r="E476" s="583" t="s">
        <v>37</v>
      </c>
      <c r="F476" s="599">
        <v>37238940258</v>
      </c>
      <c r="G476" s="599"/>
      <c r="H476" s="599"/>
      <c r="I476" s="599"/>
      <c r="J476" s="599"/>
      <c r="K476" s="599"/>
      <c r="L476" s="599"/>
      <c r="M476" s="599"/>
      <c r="N476" s="599"/>
      <c r="O476" s="599"/>
      <c r="P476" s="599"/>
      <c r="Q476" s="882">
        <f t="shared" si="29"/>
        <v>37238940258</v>
      </c>
      <c r="R476" s="599">
        <v>115235121127</v>
      </c>
      <c r="S476" s="882">
        <f t="shared" si="31"/>
        <v>37239</v>
      </c>
      <c r="T476" s="599">
        <f t="shared" si="31"/>
        <v>115235</v>
      </c>
      <c r="U476" s="620"/>
      <c r="V476" s="621"/>
      <c r="W476" s="882">
        <f t="shared" si="27"/>
        <v>37238940258</v>
      </c>
      <c r="X476" s="882">
        <f t="shared" si="30"/>
        <v>37239</v>
      </c>
    </row>
    <row r="477" spans="1:24" ht="27" customHeight="1">
      <c r="A477" s="583"/>
      <c r="B477" s="583">
        <v>301</v>
      </c>
      <c r="C477" s="581">
        <v>3</v>
      </c>
      <c r="D477" s="582" t="s">
        <v>1637</v>
      </c>
      <c r="E477" s="583" t="s">
        <v>37</v>
      </c>
      <c r="F477" s="599">
        <v>153129463397</v>
      </c>
      <c r="G477" s="599"/>
      <c r="H477" s="599"/>
      <c r="I477" s="599"/>
      <c r="J477" s="599"/>
      <c r="K477" s="599"/>
      <c r="L477" s="599"/>
      <c r="M477" s="599"/>
      <c r="N477" s="599"/>
      <c r="O477" s="599"/>
      <c r="P477" s="599"/>
      <c r="Q477" s="882">
        <f t="shared" si="29"/>
        <v>153129463397</v>
      </c>
      <c r="R477" s="599"/>
      <c r="S477" s="882">
        <f t="shared" si="31"/>
        <v>153129</v>
      </c>
      <c r="T477" s="599">
        <f t="shared" si="31"/>
        <v>0</v>
      </c>
      <c r="U477" s="620"/>
      <c r="V477" s="621"/>
      <c r="W477" s="882">
        <f t="shared" si="27"/>
        <v>153129463397</v>
      </c>
      <c r="X477" s="882">
        <f t="shared" si="30"/>
        <v>153129</v>
      </c>
    </row>
    <row r="478" spans="1:24" ht="27" customHeight="1">
      <c r="A478" s="583"/>
      <c r="B478" s="583">
        <v>301</v>
      </c>
      <c r="C478" s="581">
        <v>3</v>
      </c>
      <c r="D478" s="582" t="s">
        <v>38</v>
      </c>
      <c r="E478" s="583" t="s">
        <v>624</v>
      </c>
      <c r="F478" s="599">
        <v>109111878158</v>
      </c>
      <c r="G478" s="599"/>
      <c r="H478" s="599"/>
      <c r="I478" s="599"/>
      <c r="J478" s="599"/>
      <c r="K478" s="599"/>
      <c r="L478" s="599"/>
      <c r="M478" s="599"/>
      <c r="N478" s="599"/>
      <c r="O478" s="599"/>
      <c r="P478" s="599"/>
      <c r="Q478" s="882">
        <f t="shared" si="29"/>
        <v>109111878158</v>
      </c>
      <c r="R478" s="599">
        <v>251978800792</v>
      </c>
      <c r="S478" s="882">
        <f t="shared" si="31"/>
        <v>109112</v>
      </c>
      <c r="T478" s="599">
        <f t="shared" si="31"/>
        <v>251979</v>
      </c>
      <c r="U478" s="620"/>
      <c r="V478" s="621"/>
      <c r="W478" s="882">
        <f t="shared" si="27"/>
        <v>109111878158</v>
      </c>
      <c r="X478" s="882">
        <f t="shared" si="30"/>
        <v>109112</v>
      </c>
    </row>
    <row r="479" spans="1:24" ht="27" customHeight="1">
      <c r="A479" s="583"/>
      <c r="B479" s="583"/>
      <c r="C479" s="581">
        <v>20</v>
      </c>
      <c r="D479" s="582" t="s">
        <v>734</v>
      </c>
      <c r="E479" s="583" t="s">
        <v>736</v>
      </c>
      <c r="F479" s="599">
        <v>12588248698856</v>
      </c>
      <c r="G479" s="599">
        <v>867271098014</v>
      </c>
      <c r="H479" s="599">
        <v>-198488028794</v>
      </c>
      <c r="I479" s="599">
        <v>224114074828</v>
      </c>
      <c r="J479" s="599">
        <f>-386944881924</f>
        <v>-386944881924</v>
      </c>
      <c r="K479" s="599">
        <f>-1750000000+156935703569+1495199443+1771834004-32289000+912747472+293494400+110117368</f>
        <v>159736807256</v>
      </c>
      <c r="L479" s="599">
        <f>-2400000000-298938553</f>
        <v>-2698938553</v>
      </c>
      <c r="M479" s="599"/>
      <c r="N479" s="599"/>
      <c r="O479" s="599"/>
      <c r="P479" s="599"/>
      <c r="Q479" s="882">
        <f t="shared" si="29"/>
        <v>13251238829683</v>
      </c>
      <c r="R479" s="599">
        <v>0</v>
      </c>
      <c r="S479" s="882">
        <f t="shared" si="31"/>
        <v>13251239</v>
      </c>
      <c r="T479" s="599">
        <f t="shared" si="31"/>
        <v>0</v>
      </c>
      <c r="U479" s="620"/>
      <c r="V479" s="620">
        <f>Q479</f>
        <v>13251238829683</v>
      </c>
      <c r="W479" s="882">
        <f>Q479-V479+U479</f>
        <v>0</v>
      </c>
      <c r="X479" s="882">
        <f t="shared" si="30"/>
        <v>0</v>
      </c>
    </row>
    <row r="480" spans="1:24" ht="27" customHeight="1">
      <c r="A480" s="583"/>
      <c r="B480" s="583"/>
      <c r="C480" s="581">
        <v>20</v>
      </c>
      <c r="D480" s="582" t="s">
        <v>735</v>
      </c>
      <c r="E480" s="583" t="s">
        <v>904</v>
      </c>
      <c r="F480" s="599">
        <v>-111036466800</v>
      </c>
      <c r="G480" s="599">
        <v>-60849624940</v>
      </c>
      <c r="H480" s="599">
        <v>-16362981273</v>
      </c>
      <c r="I480" s="599">
        <v>-969582426284</v>
      </c>
      <c r="J480" s="599">
        <f>38651229699+38561376514+10693832597+33621913599</f>
        <v>121528352409</v>
      </c>
      <c r="K480" s="599"/>
      <c r="L480" s="599"/>
      <c r="M480" s="599"/>
      <c r="N480" s="599">
        <v>-307839696188</v>
      </c>
      <c r="O480" s="599"/>
      <c r="P480" s="599"/>
      <c r="Q480" s="882">
        <f t="shared" si="29"/>
        <v>-1344142843076</v>
      </c>
      <c r="R480" s="599">
        <v>0</v>
      </c>
      <c r="S480" s="882">
        <f t="shared" si="31"/>
        <v>-1344143</v>
      </c>
      <c r="T480" s="599">
        <f t="shared" si="31"/>
        <v>0</v>
      </c>
      <c r="U480" s="620">
        <f>-Q480</f>
        <v>1344142843076</v>
      </c>
      <c r="V480" s="620"/>
      <c r="W480" s="882">
        <f>Q480-V480+U480</f>
        <v>0</v>
      </c>
      <c r="X480" s="882">
        <f t="shared" si="30"/>
        <v>0</v>
      </c>
    </row>
    <row r="481" spans="1:24" ht="27" customHeight="1">
      <c r="A481" s="583"/>
      <c r="B481" s="583"/>
      <c r="C481" s="581">
        <v>20</v>
      </c>
      <c r="D481" s="582" t="s">
        <v>906</v>
      </c>
      <c r="E481" s="583" t="s">
        <v>905</v>
      </c>
      <c r="F481" s="599">
        <v>-49192747088</v>
      </c>
      <c r="G481" s="599">
        <v>-117330468</v>
      </c>
      <c r="H481" s="599"/>
      <c r="I481" s="599"/>
      <c r="J481" s="599">
        <v>-5827500</v>
      </c>
      <c r="K481" s="599"/>
      <c r="L481" s="599"/>
      <c r="M481" s="599"/>
      <c r="N481" s="599"/>
      <c r="O481" s="599"/>
      <c r="P481" s="599"/>
      <c r="Q481" s="882">
        <f t="shared" si="29"/>
        <v>-49315905056</v>
      </c>
      <c r="R481" s="599">
        <v>0</v>
      </c>
      <c r="S481" s="882">
        <f t="shared" si="31"/>
        <v>-49316</v>
      </c>
      <c r="T481" s="599">
        <f t="shared" si="31"/>
        <v>0</v>
      </c>
      <c r="U481" s="620">
        <f>-Q481</f>
        <v>49315905056</v>
      </c>
      <c r="V481" s="620"/>
      <c r="W481" s="882">
        <f>Q481-V481+U481</f>
        <v>0</v>
      </c>
      <c r="X481" s="882">
        <f t="shared" si="30"/>
        <v>0</v>
      </c>
    </row>
    <row r="482" spans="1:24" ht="27" customHeight="1">
      <c r="A482" s="583"/>
      <c r="B482" s="583">
        <v>10040</v>
      </c>
      <c r="C482" s="581">
        <v>4</v>
      </c>
      <c r="D482" s="582" t="s">
        <v>608</v>
      </c>
      <c r="E482" s="583" t="s">
        <v>609</v>
      </c>
      <c r="F482" s="599">
        <v>-12353341048746</v>
      </c>
      <c r="G482" s="599">
        <v>-89919228985</v>
      </c>
      <c r="H482" s="599">
        <v>-96952477210</v>
      </c>
      <c r="I482" s="599">
        <v>10610331660713</v>
      </c>
      <c r="J482" s="599">
        <v>-19623177600</v>
      </c>
      <c r="K482" s="599">
        <f>-156935703569</f>
        <v>-156935703569</v>
      </c>
      <c r="L482" s="599">
        <f>-1682484433-22794894744</f>
        <v>-24477379177</v>
      </c>
      <c r="M482" s="599"/>
      <c r="N482" s="599">
        <v>181413082746</v>
      </c>
      <c r="O482" s="599"/>
      <c r="P482" s="599"/>
      <c r="Q482" s="599">
        <f t="shared" si="29"/>
        <v>-1949504271828</v>
      </c>
      <c r="R482" s="599">
        <v>-4027367733092</v>
      </c>
      <c r="S482" s="599">
        <f>ROUND((Q482/1000000),0)</f>
        <v>-1949504</v>
      </c>
      <c r="T482" s="599">
        <f t="shared" si="31"/>
        <v>-4027368</v>
      </c>
      <c r="U482" s="620"/>
      <c r="V482" s="620"/>
      <c r="W482" s="882">
        <f t="shared" si="27"/>
        <v>-1949504271828</v>
      </c>
      <c r="X482" s="882">
        <f t="shared" si="30"/>
        <v>-1949504</v>
      </c>
    </row>
    <row r="483" spans="1:24" ht="27" customHeight="1">
      <c r="A483" s="583"/>
      <c r="B483" s="583"/>
      <c r="C483" s="581">
        <v>20</v>
      </c>
      <c r="D483" s="582" t="s">
        <v>738</v>
      </c>
      <c r="E483" s="583" t="s">
        <v>737</v>
      </c>
      <c r="F483" s="599">
        <v>-86004546584</v>
      </c>
      <c r="G483" s="599">
        <v>-93394495</v>
      </c>
      <c r="H483" s="599"/>
      <c r="I483" s="599"/>
      <c r="J483" s="599"/>
      <c r="K483" s="599"/>
      <c r="L483" s="599"/>
      <c r="M483" s="599"/>
      <c r="N483" s="599"/>
      <c r="O483" s="599"/>
      <c r="P483" s="599"/>
      <c r="Q483" s="882">
        <f t="shared" si="29"/>
        <v>-86097941079</v>
      </c>
      <c r="R483" s="599">
        <v>0</v>
      </c>
      <c r="S483" s="882">
        <f t="shared" si="31"/>
        <v>-86098</v>
      </c>
      <c r="T483" s="599">
        <f t="shared" si="31"/>
        <v>0</v>
      </c>
      <c r="U483" s="620">
        <f>-Q483</f>
        <v>86097941079</v>
      </c>
      <c r="V483" s="620"/>
      <c r="W483" s="882">
        <f>Q483-V483+U483</f>
        <v>0</v>
      </c>
      <c r="X483" s="882">
        <f t="shared" si="30"/>
        <v>0</v>
      </c>
    </row>
    <row r="484" spans="1:24" ht="27" customHeight="1">
      <c r="A484" s="583"/>
      <c r="B484" s="583"/>
      <c r="C484" s="581">
        <v>20</v>
      </c>
      <c r="D484" s="582" t="s">
        <v>907</v>
      </c>
      <c r="E484" s="583" t="s">
        <v>908</v>
      </c>
      <c r="F484" s="599">
        <v>-5798461183282</v>
      </c>
      <c r="G484" s="599">
        <v>-553264983488</v>
      </c>
      <c r="H484" s="599">
        <v>46411230</v>
      </c>
      <c r="I484" s="599"/>
      <c r="J484" s="599"/>
      <c r="K484" s="599"/>
      <c r="L484" s="599"/>
      <c r="M484" s="599"/>
      <c r="N484" s="599"/>
      <c r="O484" s="599"/>
      <c r="P484" s="599"/>
      <c r="Q484" s="882">
        <f t="shared" si="29"/>
        <v>-6351679755540</v>
      </c>
      <c r="R484" s="599">
        <v>0</v>
      </c>
      <c r="S484" s="882">
        <f t="shared" si="31"/>
        <v>-6351680</v>
      </c>
      <c r="T484" s="599">
        <f t="shared" si="31"/>
        <v>0</v>
      </c>
      <c r="U484" s="620">
        <f>-Q484</f>
        <v>6351679755540</v>
      </c>
      <c r="V484" s="620"/>
      <c r="W484" s="882">
        <f>Q484-V484+U484</f>
        <v>0</v>
      </c>
      <c r="X484" s="882">
        <f t="shared" si="30"/>
        <v>0</v>
      </c>
    </row>
    <row r="485" spans="1:24" ht="27" customHeight="1">
      <c r="A485" s="583"/>
      <c r="B485" s="583"/>
      <c r="C485" s="581">
        <v>20</v>
      </c>
      <c r="D485" s="582" t="s">
        <v>909</v>
      </c>
      <c r="E485" s="583" t="s">
        <v>910</v>
      </c>
      <c r="F485" s="599">
        <v>-5996708015090</v>
      </c>
      <c r="G485" s="599">
        <v>-477860679000</v>
      </c>
      <c r="H485" s="599"/>
      <c r="I485" s="599"/>
      <c r="J485" s="599"/>
      <c r="K485" s="599"/>
      <c r="L485" s="599"/>
      <c r="M485" s="599"/>
      <c r="N485" s="599"/>
      <c r="O485" s="599"/>
      <c r="P485" s="599"/>
      <c r="Q485" s="882">
        <f t="shared" si="29"/>
        <v>-6474568694090</v>
      </c>
      <c r="R485" s="599">
        <v>0</v>
      </c>
      <c r="S485" s="882">
        <f t="shared" si="31"/>
        <v>-6474569</v>
      </c>
      <c r="T485" s="599">
        <f t="shared" si="31"/>
        <v>0</v>
      </c>
      <c r="U485" s="620">
        <f>-Q485</f>
        <v>6474568694090</v>
      </c>
      <c r="V485" s="620"/>
      <c r="W485" s="882">
        <f>Q485-V485+U485</f>
        <v>0</v>
      </c>
      <c r="X485" s="882">
        <f t="shared" si="30"/>
        <v>0</v>
      </c>
    </row>
    <row r="486" spans="1:24" ht="27" customHeight="1">
      <c r="A486" s="583"/>
      <c r="B486" s="583"/>
      <c r="C486" s="581">
        <v>20</v>
      </c>
      <c r="D486" s="582" t="s">
        <v>739</v>
      </c>
      <c r="E486" s="583" t="s">
        <v>911</v>
      </c>
      <c r="F486" s="599">
        <v>-8853300</v>
      </c>
      <c r="G486" s="599"/>
      <c r="H486" s="599"/>
      <c r="I486" s="599"/>
      <c r="J486" s="599"/>
      <c r="K486" s="599"/>
      <c r="L486" s="599"/>
      <c r="M486" s="599"/>
      <c r="N486" s="599"/>
      <c r="O486" s="599"/>
      <c r="P486" s="599"/>
      <c r="Q486" s="882">
        <f t="shared" si="29"/>
        <v>-8853300</v>
      </c>
      <c r="R486" s="599">
        <v>0</v>
      </c>
      <c r="S486" s="882">
        <f t="shared" si="31"/>
        <v>-9</v>
      </c>
      <c r="T486" s="599">
        <f t="shared" si="31"/>
        <v>0</v>
      </c>
      <c r="U486" s="620">
        <f>-Q486</f>
        <v>8853300</v>
      </c>
      <c r="V486" s="620"/>
      <c r="W486" s="882">
        <f>Q486-V486+U486</f>
        <v>0</v>
      </c>
      <c r="X486" s="882">
        <f t="shared" si="30"/>
        <v>0</v>
      </c>
    </row>
    <row r="487" spans="1:24" ht="27" customHeight="1">
      <c r="A487" s="583"/>
      <c r="B487" s="583">
        <v>1001</v>
      </c>
      <c r="C487" s="581">
        <v>10</v>
      </c>
      <c r="D487" s="582" t="s">
        <v>586</v>
      </c>
      <c r="E487" s="583" t="s">
        <v>587</v>
      </c>
      <c r="F487" s="599">
        <v>-1781747351</v>
      </c>
      <c r="G487" s="599"/>
      <c r="H487" s="599">
        <v>1058131507</v>
      </c>
      <c r="I487" s="599">
        <v>238707164</v>
      </c>
      <c r="J487" s="599">
        <v>-1000000</v>
      </c>
      <c r="K487" s="599"/>
      <c r="L487" s="599">
        <f>1203420793+64268640</f>
        <v>1267689433</v>
      </c>
      <c r="M487" s="599"/>
      <c r="N487" s="599"/>
      <c r="O487" s="599"/>
      <c r="P487" s="599"/>
      <c r="Q487" s="882">
        <f t="shared" si="29"/>
        <v>781780753</v>
      </c>
      <c r="R487" s="599">
        <v>-1608215774</v>
      </c>
      <c r="S487" s="882">
        <f t="shared" si="31"/>
        <v>782</v>
      </c>
      <c r="T487" s="599">
        <f t="shared" si="31"/>
        <v>-1608</v>
      </c>
      <c r="U487" s="620"/>
      <c r="V487" s="620"/>
      <c r="W487" s="882">
        <f t="shared" si="27"/>
        <v>781780753</v>
      </c>
      <c r="X487" s="882">
        <f t="shared" si="30"/>
        <v>782</v>
      </c>
    </row>
    <row r="488" spans="1:24" ht="27" customHeight="1">
      <c r="A488" s="583"/>
      <c r="B488" s="583">
        <v>1011</v>
      </c>
      <c r="C488" s="581">
        <v>10</v>
      </c>
      <c r="D488" s="582" t="s">
        <v>588</v>
      </c>
      <c r="E488" s="583" t="s">
        <v>468</v>
      </c>
      <c r="F488" s="599">
        <v>-5055396358</v>
      </c>
      <c r="G488" s="599"/>
      <c r="H488" s="599"/>
      <c r="I488" s="599"/>
      <c r="J488" s="599"/>
      <c r="K488" s="599"/>
      <c r="L488" s="599"/>
      <c r="M488" s="599"/>
      <c r="N488" s="599"/>
      <c r="O488" s="599"/>
      <c r="P488" s="599"/>
      <c r="Q488" s="882">
        <f t="shared" si="29"/>
        <v>-5055396358</v>
      </c>
      <c r="R488" s="599">
        <v>-5064396358</v>
      </c>
      <c r="S488" s="882">
        <f t="shared" si="31"/>
        <v>-5055</v>
      </c>
      <c r="T488" s="599">
        <f t="shared" si="31"/>
        <v>-5064</v>
      </c>
      <c r="U488" s="620"/>
      <c r="V488" s="620"/>
      <c r="W488" s="882">
        <f t="shared" si="27"/>
        <v>-5055396358</v>
      </c>
      <c r="X488" s="882">
        <f t="shared" si="30"/>
        <v>-5055</v>
      </c>
    </row>
    <row r="489" spans="1:24" ht="27" customHeight="1">
      <c r="A489" s="583"/>
      <c r="B489" s="583"/>
      <c r="C489" s="581">
        <v>20</v>
      </c>
      <c r="D489" s="582" t="s">
        <v>748</v>
      </c>
      <c r="E489" s="583" t="s">
        <v>747</v>
      </c>
      <c r="F489" s="599">
        <v>-38950546299</v>
      </c>
      <c r="G489" s="599">
        <v>-1080978000</v>
      </c>
      <c r="H489" s="599"/>
      <c r="I489" s="599"/>
      <c r="J489" s="599"/>
      <c r="K489" s="599"/>
      <c r="L489" s="599"/>
      <c r="M489" s="599"/>
      <c r="N489" s="599"/>
      <c r="O489" s="599"/>
      <c r="P489" s="599"/>
      <c r="Q489" s="882">
        <f t="shared" si="29"/>
        <v>-40031524299</v>
      </c>
      <c r="R489" s="599">
        <v>0</v>
      </c>
      <c r="S489" s="882">
        <f t="shared" si="31"/>
        <v>-40032</v>
      </c>
      <c r="T489" s="599">
        <f t="shared" si="31"/>
        <v>0</v>
      </c>
      <c r="U489" s="620">
        <f>-Q489</f>
        <v>40031524299</v>
      </c>
      <c r="V489" s="620"/>
      <c r="W489" s="882">
        <f>Q489-V489+U489</f>
        <v>0</v>
      </c>
      <c r="X489" s="882">
        <f t="shared" si="30"/>
        <v>0</v>
      </c>
    </row>
    <row r="490" spans="1:24" ht="27" customHeight="1">
      <c r="A490" s="583"/>
      <c r="B490" s="583"/>
      <c r="C490" s="581">
        <v>20</v>
      </c>
      <c r="D490" s="582" t="s">
        <v>853</v>
      </c>
      <c r="E490" s="583" t="s">
        <v>1041</v>
      </c>
      <c r="F490" s="599"/>
      <c r="G490" s="599"/>
      <c r="H490" s="599"/>
      <c r="I490" s="599"/>
      <c r="J490" s="599"/>
      <c r="K490" s="599"/>
      <c r="L490" s="599"/>
      <c r="M490" s="599"/>
      <c r="N490" s="599"/>
      <c r="O490" s="599"/>
      <c r="P490" s="599"/>
      <c r="Q490" s="882">
        <f t="shared" si="29"/>
        <v>0</v>
      </c>
      <c r="R490" s="599">
        <v>0</v>
      </c>
      <c r="S490" s="882">
        <f t="shared" si="31"/>
        <v>0</v>
      </c>
      <c r="T490" s="599">
        <f t="shared" si="31"/>
        <v>0</v>
      </c>
      <c r="U490" s="620">
        <f>V490</f>
        <v>-249476656319</v>
      </c>
      <c r="V490" s="620">
        <f>U489+U486+U485+U484+U483+U481+U427-V479</f>
        <v>-249476656319</v>
      </c>
      <c r="W490" s="882">
        <f>Q490-V490+U490</f>
        <v>0</v>
      </c>
      <c r="X490" s="882">
        <f t="shared" si="30"/>
        <v>0</v>
      </c>
    </row>
    <row r="491" spans="1:24" ht="27" customHeight="1">
      <c r="A491" s="583"/>
      <c r="B491" s="583"/>
      <c r="C491" s="581">
        <v>20</v>
      </c>
      <c r="D491" s="582" t="s">
        <v>613</v>
      </c>
      <c r="E491" s="583" t="s">
        <v>614</v>
      </c>
      <c r="F491" s="599">
        <v>2150166441944</v>
      </c>
      <c r="G491" s="599"/>
      <c r="H491" s="599"/>
      <c r="I491" s="599"/>
      <c r="J491" s="599"/>
      <c r="K491" s="599"/>
      <c r="L491" s="599"/>
      <c r="M491" s="599"/>
      <c r="N491" s="599"/>
      <c r="O491" s="599"/>
      <c r="P491" s="599"/>
      <c r="Q491" s="882">
        <f t="shared" si="29"/>
        <v>2150166441944</v>
      </c>
      <c r="R491" s="599">
        <v>2150166441944</v>
      </c>
      <c r="S491" s="882">
        <f t="shared" si="31"/>
        <v>2150166</v>
      </c>
      <c r="T491" s="599">
        <f t="shared" si="31"/>
        <v>2150166</v>
      </c>
      <c r="U491" s="620">
        <f>-V490</f>
        <v>249476656319</v>
      </c>
      <c r="V491" s="620">
        <f>U480</f>
        <v>1344142843076</v>
      </c>
      <c r="W491" s="882">
        <f>Q491-V491+U491</f>
        <v>1055500255187</v>
      </c>
      <c r="X491" s="882">
        <f t="shared" si="30"/>
        <v>1055500</v>
      </c>
    </row>
    <row r="492" spans="1:24" ht="27" customHeight="1">
      <c r="A492" s="583"/>
      <c r="B492" s="583">
        <v>406</v>
      </c>
      <c r="C492" s="581">
        <v>4</v>
      </c>
      <c r="D492" s="582" t="s">
        <v>1260</v>
      </c>
      <c r="E492" s="583" t="s">
        <v>1030</v>
      </c>
      <c r="F492" s="599">
        <v>5678226467</v>
      </c>
      <c r="G492" s="599">
        <v>-2115811271</v>
      </c>
      <c r="H492" s="599">
        <v>-1729137635</v>
      </c>
      <c r="I492" s="599">
        <v>-214963291</v>
      </c>
      <c r="J492" s="599">
        <v>-1618314270</v>
      </c>
      <c r="K492" s="599"/>
      <c r="L492" s="599"/>
      <c r="M492" s="599"/>
      <c r="N492" s="599"/>
      <c r="O492" s="599"/>
      <c r="P492" s="599"/>
      <c r="Q492" s="882">
        <f t="shared" si="29"/>
        <v>0</v>
      </c>
      <c r="R492" s="599">
        <v>0</v>
      </c>
      <c r="S492" s="882">
        <f t="shared" si="31"/>
        <v>0</v>
      </c>
      <c r="T492" s="599">
        <f t="shared" si="31"/>
        <v>0</v>
      </c>
      <c r="U492" s="620"/>
      <c r="V492" s="621"/>
      <c r="W492" s="882">
        <f t="shared" ref="W492:W533" si="32">Q492+V492-U492</f>
        <v>0</v>
      </c>
      <c r="X492" s="882">
        <f t="shared" si="30"/>
        <v>0</v>
      </c>
    </row>
    <row r="493" spans="1:24" ht="27" customHeight="1">
      <c r="A493" s="583"/>
      <c r="B493" s="583">
        <v>1018</v>
      </c>
      <c r="C493" s="581">
        <v>10</v>
      </c>
      <c r="D493" s="582" t="s">
        <v>1158</v>
      </c>
      <c r="E493" s="583" t="s">
        <v>957</v>
      </c>
      <c r="F493" s="599">
        <v>-4825494398</v>
      </c>
      <c r="G493" s="599">
        <v>3945514771</v>
      </c>
      <c r="H493" s="599">
        <v>-1254102885</v>
      </c>
      <c r="I493" s="599">
        <v>2134082512</v>
      </c>
      <c r="J493" s="599">
        <v>-1428963914190</v>
      </c>
      <c r="K493" s="599">
        <v>1428963914190</v>
      </c>
      <c r="L493" s="599"/>
      <c r="M493" s="599"/>
      <c r="N493" s="599"/>
      <c r="O493" s="599"/>
      <c r="P493" s="599"/>
      <c r="Q493" s="882">
        <f t="shared" si="29"/>
        <v>0</v>
      </c>
      <c r="R493" s="599">
        <v>0</v>
      </c>
      <c r="S493" s="882">
        <f t="shared" si="31"/>
        <v>0</v>
      </c>
      <c r="T493" s="599">
        <f t="shared" si="31"/>
        <v>0</v>
      </c>
      <c r="U493" s="620"/>
      <c r="V493" s="621"/>
      <c r="W493" s="882">
        <f t="shared" si="32"/>
        <v>0</v>
      </c>
      <c r="X493" s="882">
        <f t="shared" si="30"/>
        <v>0</v>
      </c>
    </row>
    <row r="494" spans="1:24" ht="27" customHeight="1">
      <c r="A494" s="583"/>
      <c r="B494" s="583">
        <v>406</v>
      </c>
      <c r="C494" s="581">
        <v>4</v>
      </c>
      <c r="D494" s="582" t="s">
        <v>1004</v>
      </c>
      <c r="E494" s="583" t="s">
        <v>1261</v>
      </c>
      <c r="F494" s="599">
        <v>-113265040</v>
      </c>
      <c r="G494" s="599"/>
      <c r="H494" s="599"/>
      <c r="I494" s="599">
        <v>18116199</v>
      </c>
      <c r="J494" s="599">
        <v>95148841</v>
      </c>
      <c r="K494" s="599"/>
      <c r="L494" s="599"/>
      <c r="M494" s="599"/>
      <c r="N494" s="599"/>
      <c r="O494" s="599"/>
      <c r="P494" s="599"/>
      <c r="Q494" s="882">
        <f t="shared" si="29"/>
        <v>0</v>
      </c>
      <c r="R494" s="599">
        <v>0</v>
      </c>
      <c r="S494" s="882">
        <f t="shared" si="31"/>
        <v>0</v>
      </c>
      <c r="T494" s="599">
        <f t="shared" si="31"/>
        <v>0</v>
      </c>
      <c r="U494" s="620"/>
      <c r="V494" s="621"/>
      <c r="W494" s="882">
        <f t="shared" si="32"/>
        <v>0</v>
      </c>
      <c r="X494" s="882">
        <f t="shared" si="30"/>
        <v>0</v>
      </c>
    </row>
    <row r="495" spans="1:24" ht="27" customHeight="1">
      <c r="A495" s="583"/>
      <c r="B495" s="583">
        <v>406</v>
      </c>
      <c r="C495" s="581">
        <v>4</v>
      </c>
      <c r="D495" s="582" t="s">
        <v>1639</v>
      </c>
      <c r="E495" s="583" t="s">
        <v>1638</v>
      </c>
      <c r="F495" s="599">
        <v>23010262</v>
      </c>
      <c r="G495" s="599">
        <v>-12080000</v>
      </c>
      <c r="H495" s="599"/>
      <c r="I495" s="599"/>
      <c r="J495" s="599">
        <v>-10930262</v>
      </c>
      <c r="K495" s="599"/>
      <c r="L495" s="599"/>
      <c r="M495" s="599"/>
      <c r="N495" s="599"/>
      <c r="O495" s="599"/>
      <c r="P495" s="599"/>
      <c r="Q495" s="882">
        <f t="shared" si="29"/>
        <v>0</v>
      </c>
      <c r="R495" s="599">
        <v>0</v>
      </c>
      <c r="S495" s="882">
        <f t="shared" si="31"/>
        <v>0</v>
      </c>
      <c r="T495" s="599">
        <f t="shared" si="31"/>
        <v>0</v>
      </c>
      <c r="U495" s="620"/>
      <c r="V495" s="621"/>
      <c r="W495" s="882">
        <f t="shared" si="32"/>
        <v>0</v>
      </c>
      <c r="X495" s="882">
        <f t="shared" si="30"/>
        <v>0</v>
      </c>
    </row>
    <row r="496" spans="1:24" ht="27" customHeight="1">
      <c r="A496" s="583"/>
      <c r="B496" s="583">
        <v>406</v>
      </c>
      <c r="C496" s="581">
        <v>4</v>
      </c>
      <c r="D496" s="582" t="s">
        <v>1262</v>
      </c>
      <c r="E496" s="583" t="s">
        <v>1263</v>
      </c>
      <c r="F496" s="599">
        <v>74239190</v>
      </c>
      <c r="G496" s="599">
        <v>242879950</v>
      </c>
      <c r="H496" s="599">
        <v>-322683600</v>
      </c>
      <c r="I496" s="599"/>
      <c r="J496" s="599">
        <v>5827500</v>
      </c>
      <c r="K496" s="599"/>
      <c r="L496" s="599"/>
      <c r="M496" s="599"/>
      <c r="N496" s="599"/>
      <c r="O496" s="599"/>
      <c r="P496" s="599"/>
      <c r="Q496" s="882">
        <f t="shared" si="29"/>
        <v>263040</v>
      </c>
      <c r="R496" s="599">
        <v>0</v>
      </c>
      <c r="S496" s="882">
        <f t="shared" si="31"/>
        <v>0</v>
      </c>
      <c r="T496" s="599">
        <f t="shared" si="31"/>
        <v>0</v>
      </c>
      <c r="U496" s="620"/>
      <c r="V496" s="621"/>
      <c r="W496" s="882">
        <f t="shared" si="32"/>
        <v>263040</v>
      </c>
      <c r="X496" s="882">
        <f t="shared" si="30"/>
        <v>0</v>
      </c>
    </row>
    <row r="497" spans="1:24" ht="27" customHeight="1">
      <c r="A497" s="583"/>
      <c r="B497" s="583">
        <v>10040</v>
      </c>
      <c r="C497" s="581">
        <v>4</v>
      </c>
      <c r="D497" s="582" t="s">
        <v>615</v>
      </c>
      <c r="E497" s="583" t="s">
        <v>616</v>
      </c>
      <c r="F497" s="599">
        <v>-473188</v>
      </c>
      <c r="G497" s="599"/>
      <c r="H497" s="599"/>
      <c r="I497" s="599"/>
      <c r="J497" s="599"/>
      <c r="K497" s="599"/>
      <c r="L497" s="599"/>
      <c r="M497" s="599"/>
      <c r="N497" s="599"/>
      <c r="O497" s="599"/>
      <c r="P497" s="599"/>
      <c r="Q497" s="599">
        <f t="shared" si="29"/>
        <v>-473188</v>
      </c>
      <c r="R497" s="599">
        <v>-473188</v>
      </c>
      <c r="S497" s="599">
        <f t="shared" si="31"/>
        <v>0</v>
      </c>
      <c r="T497" s="599">
        <f t="shared" si="31"/>
        <v>0</v>
      </c>
      <c r="U497" s="620"/>
      <c r="V497" s="621"/>
      <c r="W497" s="882">
        <f t="shared" si="32"/>
        <v>-473188</v>
      </c>
      <c r="X497" s="882">
        <f t="shared" si="30"/>
        <v>0</v>
      </c>
    </row>
    <row r="498" spans="1:24" ht="27" customHeight="1">
      <c r="A498" s="583"/>
      <c r="B498" s="583"/>
      <c r="C498" s="581">
        <v>19</v>
      </c>
      <c r="D498" s="582" t="s">
        <v>617</v>
      </c>
      <c r="E498" s="583" t="s">
        <v>618</v>
      </c>
      <c r="F498" s="599">
        <v>1355139519884</v>
      </c>
      <c r="G498" s="599"/>
      <c r="H498" s="599">
        <v>-231860000</v>
      </c>
      <c r="I498" s="599">
        <v>3999635989</v>
      </c>
      <c r="J498" s="599"/>
      <c r="K498" s="599"/>
      <c r="L498" s="599"/>
      <c r="M498" s="599"/>
      <c r="N498" s="599"/>
      <c r="O498" s="599"/>
      <c r="P498" s="599"/>
      <c r="Q498" s="882">
        <f t="shared" si="29"/>
        <v>1358907295873</v>
      </c>
      <c r="R498" s="599">
        <v>1323418194539</v>
      </c>
      <c r="S498" s="882">
        <f t="shared" si="31"/>
        <v>1358907</v>
      </c>
      <c r="T498" s="599">
        <f t="shared" si="31"/>
        <v>1323418</v>
      </c>
      <c r="U498" s="620"/>
      <c r="V498" s="621"/>
      <c r="W498" s="882">
        <f t="shared" si="32"/>
        <v>1358907295873</v>
      </c>
      <c r="X498" s="882">
        <f t="shared" si="30"/>
        <v>1358907</v>
      </c>
    </row>
    <row r="499" spans="1:24" ht="27" customHeight="1">
      <c r="A499" s="583"/>
      <c r="B499" s="583"/>
      <c r="C499" s="581">
        <v>19</v>
      </c>
      <c r="D499" s="582" t="s">
        <v>1204</v>
      </c>
      <c r="E499" s="583" t="s">
        <v>1205</v>
      </c>
      <c r="F499" s="599"/>
      <c r="G499" s="599"/>
      <c r="H499" s="599"/>
      <c r="I499" s="599">
        <v>0</v>
      </c>
      <c r="J499" s="599"/>
      <c r="K499" s="599"/>
      <c r="L499" s="599"/>
      <c r="M499" s="599"/>
      <c r="N499" s="599"/>
      <c r="O499" s="599"/>
      <c r="P499" s="599"/>
      <c r="Q499" s="882">
        <f t="shared" si="29"/>
        <v>0</v>
      </c>
      <c r="R499" s="599">
        <v>-10000000</v>
      </c>
      <c r="S499" s="882">
        <f t="shared" si="31"/>
        <v>0</v>
      </c>
      <c r="T499" s="599">
        <f t="shared" si="31"/>
        <v>-10</v>
      </c>
      <c r="U499" s="620"/>
      <c r="V499" s="621"/>
      <c r="W499" s="882">
        <f t="shared" si="32"/>
        <v>0</v>
      </c>
      <c r="X499" s="882">
        <f t="shared" si="30"/>
        <v>0</v>
      </c>
    </row>
    <row r="500" spans="1:24" ht="27" customHeight="1">
      <c r="A500" s="583"/>
      <c r="B500" s="583"/>
      <c r="C500" s="581">
        <v>19</v>
      </c>
      <c r="D500" s="582" t="s">
        <v>619</v>
      </c>
      <c r="E500" s="583" t="s">
        <v>620</v>
      </c>
      <c r="F500" s="599">
        <v>-1355139519884</v>
      </c>
      <c r="G500" s="599"/>
      <c r="H500" s="599">
        <v>231860000</v>
      </c>
      <c r="I500" s="599">
        <v>-3999635989</v>
      </c>
      <c r="J500" s="599"/>
      <c r="K500" s="599"/>
      <c r="L500" s="599"/>
      <c r="M500" s="599"/>
      <c r="N500" s="599"/>
      <c r="O500" s="599"/>
      <c r="P500" s="599"/>
      <c r="Q500" s="882">
        <f t="shared" si="29"/>
        <v>-1358907295873</v>
      </c>
      <c r="R500" s="599">
        <v>-1323408194539</v>
      </c>
      <c r="S500" s="882">
        <f t="shared" si="31"/>
        <v>-1358907</v>
      </c>
      <c r="T500" s="599">
        <f t="shared" si="31"/>
        <v>-1323408</v>
      </c>
      <c r="U500" s="620"/>
      <c r="V500" s="621"/>
      <c r="W500" s="882">
        <f t="shared" si="32"/>
        <v>-1358907295873</v>
      </c>
      <c r="X500" s="882">
        <f t="shared" si="30"/>
        <v>-1358907</v>
      </c>
    </row>
    <row r="501" spans="1:24" ht="27" customHeight="1">
      <c r="A501" s="583"/>
      <c r="B501" s="583"/>
      <c r="C501" s="581">
        <v>19</v>
      </c>
      <c r="D501" s="582" t="s">
        <v>1206</v>
      </c>
      <c r="E501" s="583" t="s">
        <v>1207</v>
      </c>
      <c r="F501" s="599"/>
      <c r="G501" s="599"/>
      <c r="H501" s="599"/>
      <c r="I501" s="599">
        <v>0</v>
      </c>
      <c r="J501" s="599"/>
      <c r="K501" s="599"/>
      <c r="L501" s="599"/>
      <c r="M501" s="599"/>
      <c r="N501" s="599"/>
      <c r="O501" s="599"/>
      <c r="P501" s="599"/>
      <c r="Q501" s="882">
        <f t="shared" si="29"/>
        <v>0</v>
      </c>
      <c r="R501" s="599">
        <v>0</v>
      </c>
      <c r="S501" s="882">
        <f t="shared" si="31"/>
        <v>0</v>
      </c>
      <c r="T501" s="599">
        <f t="shared" si="31"/>
        <v>0</v>
      </c>
      <c r="U501" s="620"/>
      <c r="V501" s="621"/>
      <c r="W501" s="882">
        <f t="shared" si="32"/>
        <v>0</v>
      </c>
      <c r="X501" s="882">
        <f t="shared" si="30"/>
        <v>0</v>
      </c>
    </row>
    <row r="502" spans="1:24" ht="27" customHeight="1">
      <c r="A502" s="583">
        <v>3214</v>
      </c>
      <c r="B502" s="583"/>
      <c r="C502" s="581">
        <v>19</v>
      </c>
      <c r="D502" s="582" t="s">
        <v>617</v>
      </c>
      <c r="E502" s="583" t="s">
        <v>1660</v>
      </c>
      <c r="F502" s="599"/>
      <c r="G502" s="599"/>
      <c r="H502" s="599"/>
      <c r="I502" s="599">
        <f>1738362729959</f>
        <v>1738362729959</v>
      </c>
      <c r="J502" s="599"/>
      <c r="K502" s="599">
        <v>-1738362729959</v>
      </c>
      <c r="L502" s="599"/>
      <c r="M502" s="599"/>
      <c r="N502" s="599"/>
      <c r="O502" s="599">
        <f>1738362729959+10000000</f>
        <v>1738372729959</v>
      </c>
      <c r="P502" s="599"/>
      <c r="Q502" s="882">
        <f t="shared" si="29"/>
        <v>1738372729959</v>
      </c>
      <c r="R502" s="599"/>
      <c r="S502" s="882">
        <f t="shared" ref="S502:T517" si="33">ROUND((Q502/1000000),0)</f>
        <v>1738373</v>
      </c>
      <c r="T502" s="599">
        <f t="shared" si="33"/>
        <v>0</v>
      </c>
      <c r="U502" s="620"/>
      <c r="V502" s="621"/>
      <c r="W502" s="882">
        <f t="shared" si="32"/>
        <v>1738372729959</v>
      </c>
      <c r="X502" s="882">
        <f t="shared" si="30"/>
        <v>1738373</v>
      </c>
    </row>
    <row r="503" spans="1:24" ht="27" customHeight="1">
      <c r="A503" s="583">
        <v>3214</v>
      </c>
      <c r="B503" s="583"/>
      <c r="C503" s="581">
        <v>19</v>
      </c>
      <c r="D503" s="582" t="s">
        <v>1204</v>
      </c>
      <c r="E503" s="583" t="s">
        <v>1661</v>
      </c>
      <c r="F503" s="599"/>
      <c r="G503" s="599"/>
      <c r="H503" s="599"/>
      <c r="I503" s="599">
        <f>500261912448</f>
        <v>500261912448</v>
      </c>
      <c r="J503" s="599"/>
      <c r="K503" s="599">
        <v>-500261912448</v>
      </c>
      <c r="L503" s="599"/>
      <c r="M503" s="599"/>
      <c r="N503" s="599"/>
      <c r="O503" s="599">
        <f>-1738362729959-10000000</f>
        <v>-1738372729959</v>
      </c>
      <c r="P503" s="599"/>
      <c r="Q503" s="882">
        <f t="shared" si="29"/>
        <v>-1738372729959</v>
      </c>
      <c r="R503" s="599"/>
      <c r="S503" s="882">
        <f t="shared" si="33"/>
        <v>-1738373</v>
      </c>
      <c r="T503" s="599">
        <f t="shared" si="33"/>
        <v>0</v>
      </c>
      <c r="U503" s="620"/>
      <c r="V503" s="621"/>
      <c r="W503" s="882">
        <f t="shared" si="32"/>
        <v>-1738372729959</v>
      </c>
      <c r="X503" s="882">
        <f t="shared" si="30"/>
        <v>-1738373</v>
      </c>
    </row>
    <row r="504" spans="1:24" ht="27" customHeight="1">
      <c r="A504" s="583">
        <v>3214</v>
      </c>
      <c r="B504" s="583"/>
      <c r="C504" s="581">
        <v>19</v>
      </c>
      <c r="D504" s="582" t="s">
        <v>619</v>
      </c>
      <c r="E504" s="583" t="s">
        <v>1662</v>
      </c>
      <c r="F504" s="599"/>
      <c r="G504" s="599"/>
      <c r="H504" s="599"/>
      <c r="I504" s="599">
        <v>-1738362729959</v>
      </c>
      <c r="J504" s="599"/>
      <c r="K504" s="599">
        <v>1738362729959</v>
      </c>
      <c r="L504" s="599"/>
      <c r="M504" s="599"/>
      <c r="N504" s="599"/>
      <c r="O504" s="599">
        <v>500261912448</v>
      </c>
      <c r="P504" s="599"/>
      <c r="Q504" s="882">
        <f t="shared" si="29"/>
        <v>500261912448</v>
      </c>
      <c r="R504" s="599"/>
      <c r="S504" s="882">
        <f t="shared" si="33"/>
        <v>500262</v>
      </c>
      <c r="T504" s="599">
        <f t="shared" si="33"/>
        <v>0</v>
      </c>
      <c r="U504" s="620"/>
      <c r="V504" s="621"/>
      <c r="W504" s="882">
        <f t="shared" si="32"/>
        <v>500261912448</v>
      </c>
      <c r="X504" s="882">
        <f t="shared" si="30"/>
        <v>500262</v>
      </c>
    </row>
    <row r="505" spans="1:24" ht="27" customHeight="1">
      <c r="A505" s="583">
        <v>3214</v>
      </c>
      <c r="B505" s="583"/>
      <c r="C505" s="581">
        <v>19</v>
      </c>
      <c r="D505" s="582" t="s">
        <v>1206</v>
      </c>
      <c r="E505" s="583" t="s">
        <v>1663</v>
      </c>
      <c r="F505" s="599"/>
      <c r="G505" s="599"/>
      <c r="H505" s="599"/>
      <c r="I505" s="599">
        <v>-500261912448</v>
      </c>
      <c r="J505" s="599"/>
      <c r="K505" s="599">
        <v>500261912448</v>
      </c>
      <c r="L505" s="599"/>
      <c r="M505" s="599"/>
      <c r="N505" s="599"/>
      <c r="O505" s="599">
        <v>-500261912448</v>
      </c>
      <c r="P505" s="599"/>
      <c r="Q505" s="882">
        <f t="shared" si="29"/>
        <v>-500261912448</v>
      </c>
      <c r="R505" s="599">
        <v>0</v>
      </c>
      <c r="S505" s="882">
        <f t="shared" si="33"/>
        <v>-500262</v>
      </c>
      <c r="T505" s="599">
        <f t="shared" si="33"/>
        <v>0</v>
      </c>
      <c r="U505" s="620"/>
      <c r="V505" s="621"/>
      <c r="W505" s="882">
        <f t="shared" si="32"/>
        <v>-500261912448</v>
      </c>
      <c r="X505" s="882">
        <f t="shared" si="30"/>
        <v>-500262</v>
      </c>
    </row>
    <row r="506" spans="1:24" ht="27" customHeight="1">
      <c r="A506" s="583"/>
      <c r="B506" s="583">
        <v>501</v>
      </c>
      <c r="C506" s="581">
        <v>5</v>
      </c>
      <c r="D506" s="582" t="s">
        <v>1269</v>
      </c>
      <c r="E506" s="583" t="s">
        <v>1270</v>
      </c>
      <c r="F506" s="599">
        <v>1043161770</v>
      </c>
      <c r="G506" s="599"/>
      <c r="H506" s="599"/>
      <c r="I506" s="599"/>
      <c r="J506" s="599"/>
      <c r="K506" s="599"/>
      <c r="L506" s="599"/>
      <c r="M506" s="599"/>
      <c r="N506" s="599"/>
      <c r="O506" s="599"/>
      <c r="P506" s="599"/>
      <c r="Q506" s="882">
        <f t="shared" si="29"/>
        <v>1043161770</v>
      </c>
      <c r="R506" s="599">
        <v>1042687796</v>
      </c>
      <c r="S506" s="882">
        <f t="shared" si="33"/>
        <v>1043</v>
      </c>
      <c r="T506" s="599">
        <f t="shared" si="33"/>
        <v>1043</v>
      </c>
      <c r="U506" s="620"/>
      <c r="V506" s="621"/>
      <c r="W506" s="882">
        <f t="shared" si="32"/>
        <v>1043161770</v>
      </c>
      <c r="X506" s="882">
        <f t="shared" si="30"/>
        <v>1043</v>
      </c>
    </row>
    <row r="507" spans="1:24" ht="27" customHeight="1">
      <c r="A507" s="583"/>
      <c r="B507" s="583">
        <v>1018</v>
      </c>
      <c r="C507" s="581">
        <v>10</v>
      </c>
      <c r="D507" s="582" t="s">
        <v>97</v>
      </c>
      <c r="E507" s="583" t="s">
        <v>95</v>
      </c>
      <c r="F507" s="599"/>
      <c r="G507" s="599"/>
      <c r="H507" s="599"/>
      <c r="I507" s="599">
        <v>0</v>
      </c>
      <c r="J507" s="599"/>
      <c r="K507" s="599"/>
      <c r="L507" s="599"/>
      <c r="M507" s="599"/>
      <c r="N507" s="599"/>
      <c r="O507" s="599"/>
      <c r="P507" s="599"/>
      <c r="Q507" s="882">
        <f t="shared" si="29"/>
        <v>0</v>
      </c>
      <c r="R507" s="599">
        <v>-103679858706</v>
      </c>
      <c r="S507" s="882">
        <f t="shared" si="33"/>
        <v>0</v>
      </c>
      <c r="T507" s="599">
        <f t="shared" si="33"/>
        <v>-103680</v>
      </c>
      <c r="U507" s="620"/>
      <c r="V507" s="621"/>
      <c r="W507" s="882">
        <f t="shared" si="32"/>
        <v>0</v>
      </c>
      <c r="X507" s="882">
        <f t="shared" si="30"/>
        <v>0</v>
      </c>
    </row>
    <row r="508" spans="1:24" ht="27" customHeight="1">
      <c r="A508" s="583"/>
      <c r="B508" s="583">
        <v>1018</v>
      </c>
      <c r="C508" s="581">
        <v>10</v>
      </c>
      <c r="D508" s="582" t="s">
        <v>471</v>
      </c>
      <c r="E508" s="583" t="s">
        <v>98</v>
      </c>
      <c r="F508" s="599"/>
      <c r="G508" s="599"/>
      <c r="H508" s="599"/>
      <c r="I508" s="599"/>
      <c r="J508" s="599"/>
      <c r="K508" s="599"/>
      <c r="L508" s="599"/>
      <c r="M508" s="599"/>
      <c r="N508" s="599"/>
      <c r="O508" s="599"/>
      <c r="P508" s="599"/>
      <c r="Q508" s="882">
        <f t="shared" si="29"/>
        <v>0</v>
      </c>
      <c r="R508" s="599">
        <v>-54076065839</v>
      </c>
      <c r="S508" s="882">
        <f t="shared" si="33"/>
        <v>0</v>
      </c>
      <c r="T508" s="599">
        <f t="shared" si="33"/>
        <v>-54076</v>
      </c>
      <c r="U508" s="620"/>
      <c r="V508" s="621"/>
      <c r="W508" s="882">
        <f t="shared" si="32"/>
        <v>0</v>
      </c>
      <c r="X508" s="882">
        <f t="shared" si="30"/>
        <v>0</v>
      </c>
    </row>
    <row r="509" spans="1:24" ht="27" customHeight="1">
      <c r="A509" s="583"/>
      <c r="B509" s="583">
        <v>1018</v>
      </c>
      <c r="C509" s="581">
        <v>10</v>
      </c>
      <c r="D509" s="582" t="s">
        <v>100</v>
      </c>
      <c r="E509" s="583" t="s">
        <v>1653</v>
      </c>
      <c r="F509" s="599"/>
      <c r="G509" s="599"/>
      <c r="H509" s="599"/>
      <c r="I509" s="599">
        <v>0</v>
      </c>
      <c r="J509" s="599"/>
      <c r="K509" s="599"/>
      <c r="L509" s="599"/>
      <c r="M509" s="599"/>
      <c r="N509" s="599"/>
      <c r="O509" s="599"/>
      <c r="P509" s="599"/>
      <c r="Q509" s="882">
        <f t="shared" si="29"/>
        <v>0</v>
      </c>
      <c r="R509" s="599">
        <v>-4810437004</v>
      </c>
      <c r="S509" s="882">
        <f t="shared" si="33"/>
        <v>0</v>
      </c>
      <c r="T509" s="599">
        <f t="shared" si="33"/>
        <v>-4810</v>
      </c>
      <c r="U509" s="620"/>
      <c r="V509" s="621"/>
      <c r="W509" s="882">
        <f t="shared" si="32"/>
        <v>0</v>
      </c>
      <c r="X509" s="882">
        <f t="shared" si="30"/>
        <v>0</v>
      </c>
    </row>
    <row r="510" spans="1:24" ht="27" customHeight="1">
      <c r="A510" s="583"/>
      <c r="B510" s="583">
        <v>1018</v>
      </c>
      <c r="C510" s="581">
        <v>10</v>
      </c>
      <c r="D510" s="582" t="s">
        <v>1369</v>
      </c>
      <c r="E510" s="583" t="s">
        <v>1654</v>
      </c>
      <c r="F510" s="599"/>
      <c r="G510" s="599"/>
      <c r="H510" s="599"/>
      <c r="I510" s="599"/>
      <c r="J510" s="599"/>
      <c r="K510" s="599"/>
      <c r="L510" s="599"/>
      <c r="M510" s="599"/>
      <c r="N510" s="599"/>
      <c r="O510" s="599"/>
      <c r="P510" s="599"/>
      <c r="Q510" s="882">
        <f t="shared" si="29"/>
        <v>0</v>
      </c>
      <c r="R510" s="599">
        <v>-1941420</v>
      </c>
      <c r="S510" s="882">
        <f t="shared" si="33"/>
        <v>0</v>
      </c>
      <c r="T510" s="599">
        <f t="shared" si="33"/>
        <v>-2</v>
      </c>
      <c r="U510" s="620"/>
      <c r="V510" s="621"/>
      <c r="W510" s="882">
        <f t="shared" si="32"/>
        <v>0</v>
      </c>
      <c r="X510" s="882">
        <f t="shared" si="30"/>
        <v>0</v>
      </c>
    </row>
    <row r="511" spans="1:24" ht="27" customHeight="1">
      <c r="A511" s="583"/>
      <c r="B511" s="583">
        <v>506</v>
      </c>
      <c r="C511" s="581">
        <v>5</v>
      </c>
      <c r="D511" s="582" t="s">
        <v>1636</v>
      </c>
      <c r="E511" s="583" t="s">
        <v>1654</v>
      </c>
      <c r="F511" s="599"/>
      <c r="G511" s="599"/>
      <c r="H511" s="599"/>
      <c r="I511" s="599"/>
      <c r="J511" s="599"/>
      <c r="K511" s="599"/>
      <c r="L511" s="599"/>
      <c r="M511" s="599"/>
      <c r="N511" s="599"/>
      <c r="O511" s="599"/>
      <c r="P511" s="599"/>
      <c r="Q511" s="882">
        <f t="shared" si="29"/>
        <v>0</v>
      </c>
      <c r="R511" s="599"/>
      <c r="S511" s="882">
        <f t="shared" si="33"/>
        <v>0</v>
      </c>
      <c r="T511" s="599">
        <f t="shared" si="33"/>
        <v>0</v>
      </c>
      <c r="U511" s="620"/>
      <c r="V511" s="621"/>
      <c r="W511" s="882">
        <f t="shared" si="32"/>
        <v>0</v>
      </c>
      <c r="X511" s="882">
        <f t="shared" si="30"/>
        <v>0</v>
      </c>
    </row>
    <row r="512" spans="1:24" ht="27" customHeight="1">
      <c r="A512" s="583"/>
      <c r="B512" s="583">
        <v>501</v>
      </c>
      <c r="C512" s="581">
        <v>5</v>
      </c>
      <c r="D512" s="582" t="s">
        <v>1613</v>
      </c>
      <c r="E512" s="583" t="s">
        <v>1615</v>
      </c>
      <c r="F512" s="599"/>
      <c r="G512" s="599"/>
      <c r="H512" s="599"/>
      <c r="I512" s="599"/>
      <c r="J512" s="599"/>
      <c r="K512" s="599"/>
      <c r="L512" s="599"/>
      <c r="M512" s="599"/>
      <c r="N512" s="599"/>
      <c r="O512" s="599"/>
      <c r="P512" s="599"/>
      <c r="Q512" s="882">
        <f t="shared" si="29"/>
        <v>0</v>
      </c>
      <c r="R512" s="599"/>
      <c r="S512" s="882">
        <f t="shared" si="33"/>
        <v>0</v>
      </c>
      <c r="T512" s="599">
        <f t="shared" si="33"/>
        <v>0</v>
      </c>
      <c r="U512" s="620"/>
      <c r="V512" s="621"/>
      <c r="W512" s="882">
        <f t="shared" si="32"/>
        <v>0</v>
      </c>
      <c r="X512" s="882">
        <f t="shared" si="30"/>
        <v>0</v>
      </c>
    </row>
    <row r="513" spans="1:24" ht="27" customHeight="1">
      <c r="A513" s="583"/>
      <c r="B513" s="583">
        <v>908</v>
      </c>
      <c r="C513" s="581">
        <v>9</v>
      </c>
      <c r="D513" s="582" t="s">
        <v>1614</v>
      </c>
      <c r="E513" s="583" t="s">
        <v>1616</v>
      </c>
      <c r="F513" s="599"/>
      <c r="G513" s="599"/>
      <c r="H513" s="599"/>
      <c r="I513" s="599"/>
      <c r="J513" s="599"/>
      <c r="K513" s="599"/>
      <c r="L513" s="599"/>
      <c r="M513" s="599"/>
      <c r="N513" s="599"/>
      <c r="O513" s="599"/>
      <c r="P513" s="599"/>
      <c r="Q513" s="882">
        <f t="shared" si="29"/>
        <v>0</v>
      </c>
      <c r="R513" s="599"/>
      <c r="S513" s="882">
        <f t="shared" si="33"/>
        <v>0</v>
      </c>
      <c r="T513" s="599">
        <f t="shared" si="33"/>
        <v>0</v>
      </c>
      <c r="U513" s="620"/>
      <c r="V513" s="621"/>
      <c r="W513" s="882">
        <f t="shared" si="32"/>
        <v>0</v>
      </c>
      <c r="X513" s="882">
        <f t="shared" si="30"/>
        <v>0</v>
      </c>
    </row>
    <row r="514" spans="1:24" ht="27" customHeight="1">
      <c r="A514" s="583"/>
      <c r="B514" s="583">
        <v>506</v>
      </c>
      <c r="C514" s="581">
        <v>5</v>
      </c>
      <c r="D514" s="582" t="s">
        <v>593</v>
      </c>
      <c r="E514" s="583" t="s">
        <v>1655</v>
      </c>
      <c r="F514" s="599"/>
      <c r="G514" s="599"/>
      <c r="H514" s="599"/>
      <c r="I514" s="599"/>
      <c r="J514" s="599"/>
      <c r="K514" s="599"/>
      <c r="L514" s="599"/>
      <c r="M514" s="599"/>
      <c r="N514" s="599"/>
      <c r="O514" s="599"/>
      <c r="P514" s="599"/>
      <c r="Q514" s="882">
        <f t="shared" si="29"/>
        <v>0</v>
      </c>
      <c r="R514" s="599">
        <v>9528154498</v>
      </c>
      <c r="S514" s="882">
        <f t="shared" si="33"/>
        <v>0</v>
      </c>
      <c r="T514" s="599">
        <f t="shared" si="33"/>
        <v>9528</v>
      </c>
      <c r="U514" s="620"/>
      <c r="V514" s="621"/>
      <c r="W514" s="882">
        <f t="shared" si="32"/>
        <v>0</v>
      </c>
      <c r="X514" s="882">
        <f t="shared" si="30"/>
        <v>0</v>
      </c>
    </row>
    <row r="515" spans="1:24" ht="27" customHeight="1">
      <c r="A515" s="583"/>
      <c r="B515" s="583">
        <v>506</v>
      </c>
      <c r="C515" s="581">
        <v>5</v>
      </c>
      <c r="D515" s="582" t="s">
        <v>101</v>
      </c>
      <c r="E515" s="583" t="s">
        <v>102</v>
      </c>
      <c r="F515" s="599"/>
      <c r="G515" s="599"/>
      <c r="H515" s="599"/>
      <c r="I515" s="599"/>
      <c r="J515" s="599"/>
      <c r="K515" s="599"/>
      <c r="L515" s="599"/>
      <c r="M515" s="599"/>
      <c r="N515" s="599"/>
      <c r="O515" s="599"/>
      <c r="P515" s="599"/>
      <c r="Q515" s="882">
        <f t="shared" si="29"/>
        <v>0</v>
      </c>
      <c r="R515" s="599">
        <v>31678773986</v>
      </c>
      <c r="S515" s="882">
        <f t="shared" si="33"/>
        <v>0</v>
      </c>
      <c r="T515" s="599">
        <f t="shared" si="33"/>
        <v>31679</v>
      </c>
      <c r="U515" s="620"/>
      <c r="V515" s="621"/>
      <c r="W515" s="882">
        <f t="shared" si="32"/>
        <v>0</v>
      </c>
      <c r="X515" s="882">
        <f t="shared" si="30"/>
        <v>0</v>
      </c>
    </row>
    <row r="516" spans="1:24" ht="27" customHeight="1">
      <c r="A516" s="583"/>
      <c r="B516" s="583">
        <v>506</v>
      </c>
      <c r="C516" s="581">
        <v>5</v>
      </c>
      <c r="D516" s="582" t="s">
        <v>1640</v>
      </c>
      <c r="E516" s="583" t="s">
        <v>1641</v>
      </c>
      <c r="F516" s="599"/>
      <c r="G516" s="599"/>
      <c r="H516" s="599"/>
      <c r="I516" s="599"/>
      <c r="J516" s="599"/>
      <c r="K516" s="599"/>
      <c r="L516" s="599"/>
      <c r="M516" s="599"/>
      <c r="N516" s="599"/>
      <c r="O516" s="599"/>
      <c r="P516" s="599"/>
      <c r="Q516" s="882">
        <f t="shared" ref="Q516:Q533" si="34">SUM(F516:P516)</f>
        <v>0</v>
      </c>
      <c r="R516" s="599"/>
      <c r="S516" s="882">
        <f t="shared" si="33"/>
        <v>0</v>
      </c>
      <c r="T516" s="599">
        <f t="shared" si="33"/>
        <v>0</v>
      </c>
      <c r="U516" s="620"/>
      <c r="V516" s="621"/>
      <c r="W516" s="882">
        <f t="shared" si="32"/>
        <v>0</v>
      </c>
      <c r="X516" s="882">
        <f t="shared" si="30"/>
        <v>0</v>
      </c>
    </row>
    <row r="517" spans="1:24" ht="27" customHeight="1">
      <c r="A517" s="583"/>
      <c r="B517" s="583">
        <v>506</v>
      </c>
      <c r="C517" s="581">
        <v>5</v>
      </c>
      <c r="D517" s="582" t="s">
        <v>1371</v>
      </c>
      <c r="E517" s="583" t="s">
        <v>1372</v>
      </c>
      <c r="F517" s="599"/>
      <c r="G517" s="599"/>
      <c r="H517" s="599"/>
      <c r="I517" s="599"/>
      <c r="J517" s="599"/>
      <c r="K517" s="599"/>
      <c r="L517" s="599"/>
      <c r="M517" s="599"/>
      <c r="N517" s="599"/>
      <c r="O517" s="599"/>
      <c r="P517" s="599"/>
      <c r="Q517" s="882">
        <f t="shared" si="34"/>
        <v>0</v>
      </c>
      <c r="R517" s="599">
        <v>-2017</v>
      </c>
      <c r="S517" s="882">
        <f t="shared" si="33"/>
        <v>0</v>
      </c>
      <c r="T517" s="599">
        <f t="shared" si="33"/>
        <v>0</v>
      </c>
      <c r="U517" s="620"/>
      <c r="V517" s="621"/>
      <c r="W517" s="882">
        <f t="shared" si="32"/>
        <v>0</v>
      </c>
      <c r="X517" s="882">
        <f t="shared" si="30"/>
        <v>0</v>
      </c>
    </row>
    <row r="518" spans="1:24" ht="27" customHeight="1">
      <c r="A518" s="583"/>
      <c r="B518" s="583">
        <v>506</v>
      </c>
      <c r="C518" s="581">
        <v>5</v>
      </c>
      <c r="D518" s="582" t="s">
        <v>1617</v>
      </c>
      <c r="E518" s="583" t="s">
        <v>1623</v>
      </c>
      <c r="F518" s="599"/>
      <c r="G518" s="599"/>
      <c r="H518" s="599"/>
      <c r="I518" s="599"/>
      <c r="J518" s="599"/>
      <c r="K518" s="599"/>
      <c r="L518" s="599"/>
      <c r="M518" s="599"/>
      <c r="N518" s="599"/>
      <c r="O518" s="599"/>
      <c r="P518" s="599"/>
      <c r="Q518" s="882">
        <f t="shared" si="34"/>
        <v>0</v>
      </c>
      <c r="R518" s="599"/>
      <c r="S518" s="882">
        <f t="shared" ref="S518:T533" si="35">ROUND((Q518/1000000),0)</f>
        <v>0</v>
      </c>
      <c r="T518" s="599">
        <f t="shared" si="35"/>
        <v>0</v>
      </c>
      <c r="U518" s="620"/>
      <c r="V518" s="621"/>
      <c r="W518" s="882">
        <f t="shared" si="32"/>
        <v>0</v>
      </c>
      <c r="X518" s="882">
        <f t="shared" si="30"/>
        <v>0</v>
      </c>
    </row>
    <row r="519" spans="1:24" ht="27" customHeight="1">
      <c r="A519" s="583"/>
      <c r="B519" s="583">
        <v>506</v>
      </c>
      <c r="C519" s="581">
        <v>5</v>
      </c>
      <c r="D519" s="582" t="s">
        <v>1618</v>
      </c>
      <c r="E519" s="583" t="s">
        <v>1624</v>
      </c>
      <c r="F519" s="599"/>
      <c r="G519" s="599"/>
      <c r="H519" s="599"/>
      <c r="I519" s="599"/>
      <c r="J519" s="599"/>
      <c r="K519" s="599"/>
      <c r="L519" s="599"/>
      <c r="M519" s="599"/>
      <c r="N519" s="599"/>
      <c r="O519" s="599"/>
      <c r="P519" s="599"/>
      <c r="Q519" s="882">
        <f t="shared" si="34"/>
        <v>0</v>
      </c>
      <c r="R519" s="599"/>
      <c r="S519" s="882">
        <f t="shared" si="35"/>
        <v>0</v>
      </c>
      <c r="T519" s="599">
        <f t="shared" si="35"/>
        <v>0</v>
      </c>
      <c r="U519" s="620"/>
      <c r="V519" s="621"/>
      <c r="W519" s="882">
        <f t="shared" si="32"/>
        <v>0</v>
      </c>
      <c r="X519" s="882">
        <f t="shared" si="30"/>
        <v>0</v>
      </c>
    </row>
    <row r="520" spans="1:24" ht="27" customHeight="1">
      <c r="A520" s="583"/>
      <c r="B520" s="583">
        <v>506</v>
      </c>
      <c r="C520" s="581">
        <v>5</v>
      </c>
      <c r="D520" s="582" t="s">
        <v>1619</v>
      </c>
      <c r="E520" s="583" t="s">
        <v>1625</v>
      </c>
      <c r="F520" s="599"/>
      <c r="G520" s="599"/>
      <c r="H520" s="599"/>
      <c r="I520" s="599"/>
      <c r="J520" s="599"/>
      <c r="K520" s="599"/>
      <c r="L520" s="599"/>
      <c r="M520" s="599"/>
      <c r="N520" s="599"/>
      <c r="O520" s="599"/>
      <c r="P520" s="599"/>
      <c r="Q520" s="882">
        <f t="shared" si="34"/>
        <v>0</v>
      </c>
      <c r="R520" s="599"/>
      <c r="S520" s="882">
        <f t="shared" si="35"/>
        <v>0</v>
      </c>
      <c r="T520" s="599">
        <f t="shared" si="35"/>
        <v>0</v>
      </c>
      <c r="U520" s="620"/>
      <c r="V520" s="621"/>
      <c r="W520" s="882">
        <f t="shared" si="32"/>
        <v>0</v>
      </c>
      <c r="X520" s="882">
        <f t="shared" si="30"/>
        <v>0</v>
      </c>
    </row>
    <row r="521" spans="1:24" ht="27" customHeight="1">
      <c r="A521" s="583"/>
      <c r="B521" s="583">
        <v>506</v>
      </c>
      <c r="C521" s="581">
        <v>5</v>
      </c>
      <c r="D521" s="582" t="s">
        <v>1620</v>
      </c>
      <c r="E521" s="583" t="s">
        <v>1626</v>
      </c>
      <c r="F521" s="599"/>
      <c r="G521" s="599"/>
      <c r="H521" s="599"/>
      <c r="I521" s="599"/>
      <c r="J521" s="599"/>
      <c r="K521" s="599"/>
      <c r="L521" s="599"/>
      <c r="M521" s="599"/>
      <c r="N521" s="599"/>
      <c r="O521" s="599"/>
      <c r="P521" s="599"/>
      <c r="Q521" s="882">
        <f t="shared" si="34"/>
        <v>0</v>
      </c>
      <c r="R521" s="599"/>
      <c r="S521" s="882">
        <f t="shared" si="35"/>
        <v>0</v>
      </c>
      <c r="T521" s="599">
        <f t="shared" si="35"/>
        <v>0</v>
      </c>
      <c r="U521" s="620"/>
      <c r="V521" s="621"/>
      <c r="W521" s="882">
        <f t="shared" si="32"/>
        <v>0</v>
      </c>
      <c r="X521" s="882">
        <f t="shared" si="30"/>
        <v>0</v>
      </c>
    </row>
    <row r="522" spans="1:24" ht="27" customHeight="1">
      <c r="A522" s="583"/>
      <c r="B522" s="583">
        <v>506</v>
      </c>
      <c r="C522" s="581">
        <v>5</v>
      </c>
      <c r="D522" s="582" t="s">
        <v>1621</v>
      </c>
      <c r="E522" s="583" t="s">
        <v>1627</v>
      </c>
      <c r="F522" s="599"/>
      <c r="G522" s="599"/>
      <c r="H522" s="599"/>
      <c r="I522" s="599"/>
      <c r="J522" s="599"/>
      <c r="K522" s="599"/>
      <c r="L522" s="599"/>
      <c r="M522" s="599"/>
      <c r="N522" s="599"/>
      <c r="O522" s="599"/>
      <c r="P522" s="599"/>
      <c r="Q522" s="882">
        <f t="shared" si="34"/>
        <v>0</v>
      </c>
      <c r="R522" s="599"/>
      <c r="S522" s="882">
        <f t="shared" si="35"/>
        <v>0</v>
      </c>
      <c r="T522" s="599">
        <f t="shared" si="35"/>
        <v>0</v>
      </c>
      <c r="U522" s="620"/>
      <c r="V522" s="621"/>
      <c r="W522" s="882">
        <f t="shared" si="32"/>
        <v>0</v>
      </c>
      <c r="X522" s="882">
        <f t="shared" si="30"/>
        <v>0</v>
      </c>
    </row>
    <row r="523" spans="1:24" ht="27" customHeight="1">
      <c r="A523" s="583"/>
      <c r="B523" s="583">
        <v>1018</v>
      </c>
      <c r="C523" s="581">
        <v>10</v>
      </c>
      <c r="D523" s="582" t="s">
        <v>913</v>
      </c>
      <c r="E523" s="583" t="s">
        <v>1006</v>
      </c>
      <c r="F523" s="599"/>
      <c r="G523" s="599"/>
      <c r="H523" s="599"/>
      <c r="I523" s="599"/>
      <c r="J523" s="599"/>
      <c r="K523" s="599"/>
      <c r="L523" s="599"/>
      <c r="M523" s="599"/>
      <c r="N523" s="599"/>
      <c r="O523" s="599"/>
      <c r="P523" s="599"/>
      <c r="Q523" s="882">
        <f t="shared" si="34"/>
        <v>0</v>
      </c>
      <c r="R523" s="599">
        <v>-339656007</v>
      </c>
      <c r="S523" s="882">
        <f t="shared" si="35"/>
        <v>0</v>
      </c>
      <c r="T523" s="599">
        <f t="shared" si="35"/>
        <v>-340</v>
      </c>
      <c r="U523" s="620"/>
      <c r="V523" s="621"/>
      <c r="W523" s="882">
        <f t="shared" si="32"/>
        <v>0</v>
      </c>
      <c r="X523" s="882">
        <f t="shared" si="30"/>
        <v>0</v>
      </c>
    </row>
    <row r="524" spans="1:24" ht="27" customHeight="1">
      <c r="A524" s="583"/>
      <c r="B524" s="583">
        <v>506</v>
      </c>
      <c r="C524" s="581">
        <v>5</v>
      </c>
      <c r="D524" s="582" t="s">
        <v>1622</v>
      </c>
      <c r="E524" s="583" t="s">
        <v>1628</v>
      </c>
      <c r="F524" s="599"/>
      <c r="G524" s="599"/>
      <c r="H524" s="599"/>
      <c r="I524" s="599"/>
      <c r="J524" s="599"/>
      <c r="K524" s="599"/>
      <c r="L524" s="599"/>
      <c r="M524" s="599"/>
      <c r="N524" s="599"/>
      <c r="O524" s="599"/>
      <c r="P524" s="599"/>
      <c r="Q524" s="882">
        <f t="shared" si="34"/>
        <v>0</v>
      </c>
      <c r="R524" s="599">
        <v>1</v>
      </c>
      <c r="S524" s="882">
        <f t="shared" si="35"/>
        <v>0</v>
      </c>
      <c r="T524" s="599">
        <f t="shared" si="35"/>
        <v>0</v>
      </c>
      <c r="U524" s="620"/>
      <c r="V524" s="621"/>
      <c r="W524" s="882">
        <f t="shared" si="32"/>
        <v>0</v>
      </c>
      <c r="X524" s="882">
        <f t="shared" si="30"/>
        <v>0</v>
      </c>
    </row>
    <row r="525" spans="1:24" ht="27" customHeight="1">
      <c r="A525" s="583"/>
      <c r="B525" s="583">
        <v>506</v>
      </c>
      <c r="C525" s="581">
        <v>5</v>
      </c>
      <c r="D525" s="582" t="s">
        <v>1026</v>
      </c>
      <c r="E525" s="583" t="s">
        <v>1030</v>
      </c>
      <c r="F525" s="599"/>
      <c r="G525" s="599"/>
      <c r="H525" s="599"/>
      <c r="I525" s="599"/>
      <c r="J525" s="599"/>
      <c r="K525" s="599"/>
      <c r="L525" s="599"/>
      <c r="M525" s="599"/>
      <c r="N525" s="599"/>
      <c r="O525" s="599"/>
      <c r="P525" s="599"/>
      <c r="Q525" s="882">
        <f t="shared" si="34"/>
        <v>0</v>
      </c>
      <c r="R525" s="599">
        <v>1</v>
      </c>
      <c r="S525" s="882">
        <f t="shared" si="35"/>
        <v>0</v>
      </c>
      <c r="T525" s="599">
        <f t="shared" si="35"/>
        <v>0</v>
      </c>
      <c r="U525" s="620"/>
      <c r="V525" s="621"/>
      <c r="W525" s="882">
        <f t="shared" si="32"/>
        <v>0</v>
      </c>
      <c r="X525" s="882">
        <f t="shared" si="30"/>
        <v>0</v>
      </c>
    </row>
    <row r="526" spans="1:24" ht="27" customHeight="1">
      <c r="A526" s="583"/>
      <c r="B526" s="583">
        <v>1018</v>
      </c>
      <c r="C526" s="581">
        <v>10</v>
      </c>
      <c r="D526" s="582" t="s">
        <v>742</v>
      </c>
      <c r="E526" s="583" t="s">
        <v>743</v>
      </c>
      <c r="F526" s="599"/>
      <c r="G526" s="599"/>
      <c r="H526" s="599"/>
      <c r="I526" s="599"/>
      <c r="J526" s="599"/>
      <c r="K526" s="599"/>
      <c r="L526" s="599"/>
      <c r="M526" s="599"/>
      <c r="N526" s="599"/>
      <c r="O526" s="599"/>
      <c r="P526" s="599"/>
      <c r="Q526" s="882">
        <f t="shared" si="34"/>
        <v>0</v>
      </c>
      <c r="R526" s="599">
        <v>-3999804000</v>
      </c>
      <c r="S526" s="882">
        <f t="shared" si="35"/>
        <v>0</v>
      </c>
      <c r="T526" s="599">
        <f t="shared" si="35"/>
        <v>-4000</v>
      </c>
      <c r="U526" s="620"/>
      <c r="V526" s="621"/>
      <c r="W526" s="882">
        <f t="shared" si="32"/>
        <v>0</v>
      </c>
      <c r="X526" s="882">
        <f t="shared" si="30"/>
        <v>0</v>
      </c>
    </row>
    <row r="527" spans="1:24" ht="27" customHeight="1">
      <c r="A527" s="583"/>
      <c r="B527" s="583">
        <v>606</v>
      </c>
      <c r="C527" s="581">
        <v>6</v>
      </c>
      <c r="D527" s="582" t="s">
        <v>621</v>
      </c>
      <c r="E527" s="583" t="s">
        <v>1643</v>
      </c>
      <c r="F527" s="599">
        <v>309676356057</v>
      </c>
      <c r="G527" s="599"/>
      <c r="H527" s="599">
        <v>752000000</v>
      </c>
      <c r="I527" s="599"/>
      <c r="J527" s="599">
        <v>100000000</v>
      </c>
      <c r="K527" s="599"/>
      <c r="L527" s="599"/>
      <c r="M527" s="599"/>
      <c r="N527" s="599"/>
      <c r="O527" s="599">
        <v>1159823432128</v>
      </c>
      <c r="P527" s="599"/>
      <c r="Q527" s="882">
        <f t="shared" si="34"/>
        <v>1470351788185</v>
      </c>
      <c r="R527" s="599"/>
      <c r="S527" s="882">
        <f t="shared" si="35"/>
        <v>1470352</v>
      </c>
      <c r="T527" s="599">
        <f t="shared" si="35"/>
        <v>0</v>
      </c>
      <c r="U527" s="620"/>
      <c r="V527" s="621"/>
      <c r="W527" s="882">
        <f t="shared" si="32"/>
        <v>1470351788185</v>
      </c>
      <c r="X527" s="882">
        <f t="shared" si="30"/>
        <v>1470352</v>
      </c>
    </row>
    <row r="528" spans="1:24" ht="27" customHeight="1">
      <c r="A528" s="583"/>
      <c r="B528" s="583">
        <v>606</v>
      </c>
      <c r="C528" s="581">
        <v>6</v>
      </c>
      <c r="D528" s="582" t="s">
        <v>623</v>
      </c>
      <c r="E528" s="583" t="s">
        <v>1644</v>
      </c>
      <c r="F528" s="599">
        <v>-309676356057</v>
      </c>
      <c r="G528" s="599"/>
      <c r="H528" s="599">
        <v>-752000000</v>
      </c>
      <c r="I528" s="599"/>
      <c r="J528" s="599">
        <v>-100000000</v>
      </c>
      <c r="K528" s="599"/>
      <c r="L528" s="599"/>
      <c r="M528" s="599"/>
      <c r="N528" s="599"/>
      <c r="O528" s="599">
        <v>-1159823432128</v>
      </c>
      <c r="P528" s="599"/>
      <c r="Q528" s="882">
        <f t="shared" si="34"/>
        <v>-1470351788185</v>
      </c>
      <c r="R528" s="599"/>
      <c r="S528" s="882">
        <f t="shared" si="35"/>
        <v>-1470352</v>
      </c>
      <c r="T528" s="599">
        <f t="shared" si="35"/>
        <v>0</v>
      </c>
      <c r="U528" s="620"/>
      <c r="V528" s="621"/>
      <c r="W528" s="882">
        <f t="shared" si="32"/>
        <v>-1470351788185</v>
      </c>
      <c r="X528" s="882">
        <f t="shared" si="30"/>
        <v>-1470352</v>
      </c>
    </row>
    <row r="529" spans="1:24" ht="27" customHeight="1">
      <c r="A529" s="583">
        <v>3214</v>
      </c>
      <c r="B529" s="583">
        <v>606</v>
      </c>
      <c r="C529" s="581">
        <v>6</v>
      </c>
      <c r="D529" s="582" t="s">
        <v>621</v>
      </c>
      <c r="E529" s="583" t="s">
        <v>1664</v>
      </c>
      <c r="F529" s="599"/>
      <c r="G529" s="599"/>
      <c r="H529" s="599"/>
      <c r="I529" s="599">
        <v>1159823432128</v>
      </c>
      <c r="J529" s="599"/>
      <c r="K529" s="599">
        <v>-1159823432128</v>
      </c>
      <c r="L529" s="599"/>
      <c r="M529" s="599"/>
      <c r="N529" s="599"/>
      <c r="O529" s="599"/>
      <c r="P529" s="599"/>
      <c r="Q529" s="882">
        <f t="shared" si="34"/>
        <v>0</v>
      </c>
      <c r="R529" s="599"/>
      <c r="S529" s="882">
        <f t="shared" si="35"/>
        <v>0</v>
      </c>
      <c r="T529" s="599">
        <f t="shared" si="35"/>
        <v>0</v>
      </c>
      <c r="U529" s="620"/>
      <c r="V529" s="621"/>
      <c r="W529" s="882">
        <f t="shared" si="32"/>
        <v>0</v>
      </c>
      <c r="X529" s="882">
        <f t="shared" si="30"/>
        <v>0</v>
      </c>
    </row>
    <row r="530" spans="1:24" ht="27" customHeight="1">
      <c r="A530" s="583">
        <v>3214</v>
      </c>
      <c r="B530" s="583">
        <v>606</v>
      </c>
      <c r="C530" s="581">
        <v>6</v>
      </c>
      <c r="D530" s="582" t="s">
        <v>623</v>
      </c>
      <c r="E530" s="583" t="s">
        <v>1665</v>
      </c>
      <c r="F530" s="599"/>
      <c r="G530" s="599"/>
      <c r="H530" s="599"/>
      <c r="I530" s="599">
        <v>-1159823432128</v>
      </c>
      <c r="J530" s="599"/>
      <c r="K530" s="599">
        <v>1159823432128</v>
      </c>
      <c r="L530" s="599"/>
      <c r="M530" s="599"/>
      <c r="N530" s="599"/>
      <c r="O530" s="599"/>
      <c r="P530" s="599"/>
      <c r="Q530" s="882">
        <f t="shared" si="34"/>
        <v>0</v>
      </c>
      <c r="R530" s="599"/>
      <c r="S530" s="882">
        <f t="shared" si="35"/>
        <v>0</v>
      </c>
      <c r="T530" s="599">
        <f t="shared" si="35"/>
        <v>0</v>
      </c>
      <c r="U530" s="620"/>
      <c r="V530" s="621"/>
      <c r="W530" s="882">
        <f t="shared" si="32"/>
        <v>0</v>
      </c>
      <c r="X530" s="882">
        <f t="shared" si="30"/>
        <v>0</v>
      </c>
    </row>
    <row r="531" spans="1:24" ht="27" customHeight="1">
      <c r="A531" s="583"/>
      <c r="B531" s="583"/>
      <c r="C531" s="581"/>
      <c r="D531" s="582" t="s">
        <v>1629</v>
      </c>
      <c r="E531" s="583" t="s">
        <v>1632</v>
      </c>
      <c r="F531" s="599"/>
      <c r="G531" s="599"/>
      <c r="H531" s="599"/>
      <c r="I531" s="599"/>
      <c r="J531" s="599"/>
      <c r="K531" s="599"/>
      <c r="L531" s="599"/>
      <c r="M531" s="599"/>
      <c r="N531" s="599"/>
      <c r="O531" s="599"/>
      <c r="P531" s="599"/>
      <c r="Q531" s="882">
        <f t="shared" si="34"/>
        <v>0</v>
      </c>
      <c r="R531" s="599"/>
      <c r="S531" s="882">
        <f t="shared" si="35"/>
        <v>0</v>
      </c>
      <c r="T531" s="599">
        <f t="shared" si="35"/>
        <v>0</v>
      </c>
      <c r="U531" s="620"/>
      <c r="V531" s="621"/>
      <c r="W531" s="882">
        <f t="shared" si="32"/>
        <v>0</v>
      </c>
      <c r="X531" s="882">
        <f t="shared" si="30"/>
        <v>0</v>
      </c>
    </row>
    <row r="532" spans="1:24" ht="27" customHeight="1">
      <c r="A532" s="583"/>
      <c r="B532" s="583">
        <v>506</v>
      </c>
      <c r="C532" s="581">
        <v>5</v>
      </c>
      <c r="D532" s="582" t="s">
        <v>1630</v>
      </c>
      <c r="E532" s="583" t="s">
        <v>1633</v>
      </c>
      <c r="F532" s="599"/>
      <c r="G532" s="599"/>
      <c r="H532" s="599">
        <v>8</v>
      </c>
      <c r="I532" s="599">
        <v>-8</v>
      </c>
      <c r="J532" s="599"/>
      <c r="K532" s="599"/>
      <c r="L532" s="599"/>
      <c r="M532" s="599"/>
      <c r="N532" s="599"/>
      <c r="O532" s="599"/>
      <c r="P532" s="599"/>
      <c r="Q532" s="882">
        <f t="shared" si="34"/>
        <v>0</v>
      </c>
      <c r="R532" s="599"/>
      <c r="S532" s="882">
        <f t="shared" si="35"/>
        <v>0</v>
      </c>
      <c r="T532" s="599">
        <f>ROUND((R532/1000000),0)</f>
        <v>0</v>
      </c>
      <c r="U532" s="620"/>
      <c r="V532" s="621"/>
      <c r="W532" s="882">
        <f t="shared" si="32"/>
        <v>0</v>
      </c>
      <c r="X532" s="882">
        <f>ROUND((W532/1000000),0)</f>
        <v>0</v>
      </c>
    </row>
    <row r="533" spans="1:24" ht="27" customHeight="1">
      <c r="A533" s="583"/>
      <c r="B533" s="583">
        <v>506</v>
      </c>
      <c r="C533" s="581">
        <v>5</v>
      </c>
      <c r="D533" s="582" t="s">
        <v>1631</v>
      </c>
      <c r="E533" s="583" t="s">
        <v>1634</v>
      </c>
      <c r="F533" s="599"/>
      <c r="G533" s="599"/>
      <c r="H533" s="599"/>
      <c r="I533" s="599"/>
      <c r="J533" s="599"/>
      <c r="K533" s="599"/>
      <c r="L533" s="599"/>
      <c r="M533" s="599"/>
      <c r="N533" s="599"/>
      <c r="O533" s="599"/>
      <c r="P533" s="599"/>
      <c r="Q533" s="882">
        <f t="shared" si="34"/>
        <v>0</v>
      </c>
      <c r="R533" s="599"/>
      <c r="S533" s="882">
        <f t="shared" si="35"/>
        <v>0</v>
      </c>
      <c r="T533" s="599">
        <f t="shared" si="35"/>
        <v>0</v>
      </c>
      <c r="U533" s="620"/>
      <c r="V533" s="621"/>
      <c r="W533" s="882">
        <f t="shared" si="32"/>
        <v>0</v>
      </c>
      <c r="X533" s="882">
        <f>ROUND((W533/1000000),0)</f>
        <v>0</v>
      </c>
    </row>
    <row r="534" spans="1:24" ht="22.5" customHeight="1">
      <c r="A534" s="583"/>
      <c r="B534" s="583"/>
      <c r="C534" s="581"/>
      <c r="D534" s="582"/>
      <c r="E534" s="583"/>
      <c r="F534" s="596">
        <f>SUM(F3:F533)</f>
        <v>0</v>
      </c>
      <c r="G534" s="596">
        <f t="shared" ref="G534:P534" si="36">SUM(G3:G533)</f>
        <v>0</v>
      </c>
      <c r="H534" s="596">
        <f t="shared" si="36"/>
        <v>0</v>
      </c>
      <c r="I534" s="596">
        <f t="shared" si="36"/>
        <v>0</v>
      </c>
      <c r="J534" s="596">
        <f t="shared" si="36"/>
        <v>0</v>
      </c>
      <c r="K534" s="596">
        <f t="shared" si="36"/>
        <v>0</v>
      </c>
      <c r="L534" s="596">
        <f t="shared" si="36"/>
        <v>0</v>
      </c>
      <c r="M534" s="596">
        <f t="shared" si="36"/>
        <v>0</v>
      </c>
      <c r="N534" s="596">
        <f t="shared" si="36"/>
        <v>0</v>
      </c>
      <c r="O534" s="596">
        <f t="shared" si="36"/>
        <v>0</v>
      </c>
      <c r="P534" s="596">
        <f t="shared" si="36"/>
        <v>0</v>
      </c>
      <c r="Q534" s="605">
        <f t="shared" ref="Q534:X534" si="37">SUBTOTAL(9,Q3:Q533)</f>
        <v>0</v>
      </c>
      <c r="R534" s="596">
        <f t="shared" si="37"/>
        <v>21010</v>
      </c>
      <c r="S534" s="596">
        <f t="shared" si="37"/>
        <v>-1</v>
      </c>
      <c r="T534" s="596">
        <f t="shared" si="37"/>
        <v>0</v>
      </c>
      <c r="U534" s="602">
        <f t="shared" si="37"/>
        <v>14345905016440</v>
      </c>
      <c r="V534" s="602">
        <f t="shared" si="37"/>
        <v>14345905016440</v>
      </c>
      <c r="W534" s="602">
        <f t="shared" si="37"/>
        <v>0</v>
      </c>
      <c r="X534" s="602">
        <f t="shared" si="37"/>
        <v>-4</v>
      </c>
    </row>
    <row r="535" spans="1:24" ht="22.5">
      <c r="C535" s="597"/>
      <c r="D535" s="597"/>
      <c r="F535" s="911">
        <f t="shared" ref="F535:O535" si="38">SUBTOTAL(9,F3:F533)</f>
        <v>0</v>
      </c>
      <c r="G535" s="911">
        <f t="shared" si="38"/>
        <v>0</v>
      </c>
      <c r="H535" s="911">
        <f t="shared" si="38"/>
        <v>0</v>
      </c>
      <c r="I535" s="911">
        <f t="shared" si="38"/>
        <v>0</v>
      </c>
      <c r="J535" s="911">
        <f t="shared" si="38"/>
        <v>0</v>
      </c>
      <c r="K535" s="911">
        <f t="shared" si="38"/>
        <v>0</v>
      </c>
      <c r="L535" s="911">
        <f t="shared" si="38"/>
        <v>0</v>
      </c>
      <c r="M535" s="911">
        <f t="shared" si="38"/>
        <v>0</v>
      </c>
      <c r="N535" s="911">
        <f t="shared" si="38"/>
        <v>0</v>
      </c>
      <c r="O535" s="911">
        <f t="shared" si="38"/>
        <v>0</v>
      </c>
      <c r="P535" s="911">
        <f>SUBTOTAL(9,P3:P533)</f>
        <v>0</v>
      </c>
      <c r="Q535" s="602">
        <f>SUBTOTAL(9,Q3:Q533)</f>
        <v>0</v>
      </c>
      <c r="R535" s="602">
        <f>SUBTOTAL(9,R3:R533)</f>
        <v>21010</v>
      </c>
      <c r="S535" s="602">
        <f>SUBTOTAL(9,S3:S533)</f>
        <v>-1</v>
      </c>
      <c r="T535" s="602">
        <f>SUBTOTAL(9,T3:T533)</f>
        <v>0</v>
      </c>
      <c r="W535" s="598"/>
      <c r="X535" s="598"/>
    </row>
    <row r="536" spans="1:24" ht="21">
      <c r="C536" s="597"/>
      <c r="D536" s="597"/>
      <c r="O536" s="910"/>
      <c r="Q536" s="598"/>
      <c r="R536" s="598"/>
      <c r="S536" s="598"/>
      <c r="T536" s="598"/>
      <c r="W536" s="598"/>
      <c r="X536" s="598"/>
    </row>
    <row r="537" spans="1:24" ht="21">
      <c r="C537" s="597"/>
      <c r="D537" s="597"/>
      <c r="Q537" s="598"/>
      <c r="R537" s="598"/>
      <c r="S537" s="598"/>
      <c r="T537" s="598"/>
      <c r="W537" s="598"/>
      <c r="X537" s="598"/>
    </row>
    <row r="538" spans="1:24" ht="21">
      <c r="C538" s="597"/>
      <c r="D538" s="597"/>
      <c r="Q538" s="612"/>
      <c r="R538" s="612"/>
      <c r="S538" s="612"/>
      <c r="T538" s="612"/>
      <c r="W538" s="612"/>
      <c r="X538" s="612"/>
    </row>
    <row r="539" spans="1:24" ht="19.5" customHeight="1">
      <c r="C539" s="597"/>
      <c r="D539" s="597"/>
      <c r="E539" s="598"/>
      <c r="F539" s="598"/>
      <c r="G539" s="598"/>
      <c r="H539" s="598"/>
      <c r="I539" s="598"/>
      <c r="J539" s="598"/>
      <c r="K539" s="598"/>
      <c r="L539" s="598"/>
      <c r="M539" s="598"/>
      <c r="N539" s="598"/>
      <c r="O539" s="598"/>
      <c r="P539" s="598"/>
      <c r="Q539" s="613"/>
      <c r="R539" s="613"/>
      <c r="S539" s="613"/>
      <c r="T539" s="613"/>
      <c r="U539" s="598"/>
      <c r="V539" s="598"/>
      <c r="W539" s="613"/>
      <c r="X539" s="613"/>
    </row>
    <row r="540" spans="1:24" ht="19.5" customHeight="1">
      <c r="C540" s="597"/>
      <c r="D540" s="597"/>
      <c r="E540" s="598"/>
      <c r="F540" s="598"/>
      <c r="G540" s="598"/>
      <c r="H540" s="598"/>
      <c r="I540" s="598"/>
      <c r="J540" s="598"/>
      <c r="K540" s="598"/>
      <c r="L540" s="598"/>
      <c r="M540" s="598"/>
      <c r="N540" s="598"/>
      <c r="O540" s="598"/>
      <c r="P540" s="598"/>
      <c r="Q540" s="613"/>
      <c r="R540" s="613"/>
      <c r="S540" s="613"/>
      <c r="T540" s="613"/>
      <c r="U540" s="598"/>
      <c r="V540" s="598"/>
      <c r="W540" s="613"/>
      <c r="X540" s="613"/>
    </row>
    <row r="541" spans="1:24" ht="19.5" customHeight="1">
      <c r="C541" s="597"/>
      <c r="D541" s="597"/>
      <c r="E541" s="598"/>
      <c r="F541" s="598"/>
      <c r="G541" s="598"/>
      <c r="H541" s="598"/>
      <c r="I541" s="598"/>
      <c r="J541" s="598"/>
      <c r="K541" s="598"/>
      <c r="L541" s="598"/>
      <c r="M541" s="598"/>
      <c r="N541" s="598"/>
      <c r="O541" s="598"/>
      <c r="P541" s="598"/>
      <c r="Q541" s="613"/>
      <c r="R541" s="613"/>
      <c r="S541" s="613"/>
      <c r="T541" s="613"/>
      <c r="U541" s="598"/>
      <c r="V541" s="598"/>
      <c r="W541" s="613"/>
      <c r="X541" s="613"/>
    </row>
    <row r="542" spans="1:24" ht="19.5" customHeight="1">
      <c r="C542" s="597"/>
      <c r="D542" s="597"/>
      <c r="E542" s="598"/>
      <c r="F542" s="598"/>
      <c r="G542" s="598"/>
      <c r="H542" s="598"/>
      <c r="I542" s="598"/>
      <c r="J542" s="598"/>
      <c r="K542" s="598"/>
      <c r="L542" s="598"/>
      <c r="M542" s="598"/>
      <c r="N542" s="598"/>
      <c r="O542" s="598"/>
      <c r="P542" s="598"/>
      <c r="Q542" s="613"/>
      <c r="R542" s="613"/>
      <c r="S542" s="613"/>
      <c r="T542" s="613"/>
      <c r="U542" s="598"/>
      <c r="V542" s="598"/>
      <c r="W542" s="613"/>
      <c r="X542" s="613"/>
    </row>
    <row r="543" spans="1:24" ht="19.5" customHeight="1">
      <c r="C543" s="597"/>
      <c r="D543" s="597"/>
      <c r="E543" s="598"/>
      <c r="F543" s="598"/>
      <c r="G543" s="598"/>
      <c r="H543" s="598"/>
      <c r="I543" s="598"/>
      <c r="J543" s="598"/>
      <c r="K543" s="598"/>
      <c r="L543" s="598"/>
      <c r="M543" s="598"/>
      <c r="N543" s="598"/>
      <c r="O543" s="598"/>
      <c r="P543" s="598"/>
      <c r="Q543" s="612"/>
      <c r="R543" s="612"/>
      <c r="S543" s="612"/>
      <c r="T543" s="612"/>
      <c r="U543" s="598"/>
      <c r="V543" s="598"/>
      <c r="W543" s="612"/>
      <c r="X543" s="612"/>
    </row>
    <row r="544" spans="1:24" ht="19.5" customHeight="1">
      <c r="C544" s="597"/>
      <c r="D544" s="597"/>
      <c r="Q544" s="613"/>
      <c r="R544" s="613"/>
      <c r="S544" s="613"/>
      <c r="T544" s="613"/>
      <c r="W544" s="613"/>
      <c r="X544" s="613"/>
    </row>
    <row r="545" spans="3:24" ht="19.5" customHeight="1">
      <c r="C545" s="597"/>
      <c r="D545" s="597"/>
      <c r="Q545" s="613"/>
      <c r="R545" s="613"/>
      <c r="S545" s="613"/>
      <c r="T545" s="613"/>
      <c r="W545" s="613"/>
      <c r="X545" s="613"/>
    </row>
    <row r="546" spans="3:24" ht="19.5" customHeight="1">
      <c r="C546" s="597"/>
      <c r="D546" s="597"/>
      <c r="Q546" s="613"/>
      <c r="R546" s="613"/>
      <c r="S546" s="613"/>
      <c r="T546" s="613"/>
      <c r="W546" s="613"/>
      <c r="X546" s="613"/>
    </row>
    <row r="547" spans="3:24" ht="19.5" customHeight="1">
      <c r="C547" s="597"/>
      <c r="D547" s="597"/>
      <c r="Q547" s="613"/>
      <c r="R547" s="613"/>
      <c r="S547" s="613"/>
      <c r="T547" s="613"/>
      <c r="W547" s="613"/>
      <c r="X547" s="613"/>
    </row>
    <row r="548" spans="3:24" ht="19.5" customHeight="1">
      <c r="C548" s="597"/>
      <c r="D548" s="597"/>
      <c r="Q548" s="613"/>
      <c r="R548" s="613"/>
      <c r="S548" s="613"/>
      <c r="T548" s="613"/>
      <c r="W548" s="613"/>
      <c r="X548" s="613"/>
    </row>
    <row r="549" spans="3:24" ht="19.5" customHeight="1">
      <c r="C549" s="597"/>
      <c r="D549" s="597"/>
      <c r="Q549" s="613"/>
      <c r="R549" s="613"/>
      <c r="S549" s="613"/>
      <c r="T549" s="613"/>
      <c r="W549" s="613"/>
      <c r="X549" s="613"/>
    </row>
    <row r="550" spans="3:24" ht="19.5" customHeight="1">
      <c r="C550" s="597"/>
      <c r="D550" s="597"/>
      <c r="Q550" s="613"/>
      <c r="R550" s="613"/>
      <c r="S550" s="613"/>
      <c r="T550" s="613"/>
      <c r="W550" s="613"/>
      <c r="X550" s="613"/>
    </row>
    <row r="551" spans="3:24" ht="19.5" customHeight="1">
      <c r="C551" s="597"/>
      <c r="D551" s="597"/>
      <c r="Q551" s="613"/>
      <c r="R551" s="613"/>
      <c r="S551" s="613"/>
      <c r="T551" s="613"/>
      <c r="W551" s="613"/>
      <c r="X551" s="613"/>
    </row>
    <row r="552" spans="3:24" ht="19.5" customHeight="1">
      <c r="C552" s="597"/>
      <c r="D552" s="597"/>
      <c r="Q552" s="613"/>
      <c r="R552" s="613"/>
      <c r="S552" s="613"/>
      <c r="T552" s="613"/>
      <c r="W552" s="613"/>
      <c r="X552" s="613"/>
    </row>
    <row r="553" spans="3:24" ht="19.5" customHeight="1">
      <c r="C553" s="597"/>
      <c r="D553" s="597"/>
      <c r="Q553" s="598"/>
      <c r="R553" s="598"/>
      <c r="S553" s="598"/>
      <c r="T553" s="598"/>
      <c r="W553" s="598"/>
      <c r="X553" s="598"/>
    </row>
  </sheetData>
  <autoFilter ref="A2:X534"/>
  <mergeCells count="24">
    <mergeCell ref="A1:A2"/>
    <mergeCell ref="V1:V2"/>
    <mergeCell ref="W1:W2"/>
    <mergeCell ref="P1:P2"/>
    <mergeCell ref="Q1:Q2"/>
    <mergeCell ref="R1:R2"/>
    <mergeCell ref="S1:S2"/>
    <mergeCell ref="T1:T2"/>
    <mergeCell ref="X1:X2"/>
    <mergeCell ref="B1:B2"/>
    <mergeCell ref="C1:C2"/>
    <mergeCell ref="D1:D2"/>
    <mergeCell ref="E1:E2"/>
    <mergeCell ref="F1:F2"/>
    <mergeCell ref="G1:G2"/>
    <mergeCell ref="H1:H2"/>
    <mergeCell ref="I1:I2"/>
    <mergeCell ref="J1:J2"/>
    <mergeCell ref="K1:K2"/>
    <mergeCell ref="L1:L2"/>
    <mergeCell ref="M1:M2"/>
    <mergeCell ref="N1:N2"/>
    <mergeCell ref="O1:O2"/>
    <mergeCell ref="U1:U2"/>
  </mergeCells>
  <printOptions horizontalCentered="1" verticalCentered="1"/>
  <pageMargins left="0" right="0" top="0.15748031496062992" bottom="0" header="0" footer="0"/>
  <pageSetup paperSize="9" scale="10"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Q43"/>
  <sheetViews>
    <sheetView rightToLeft="1" view="pageBreakPreview" zoomScale="60" zoomScaleNormal="80" workbookViewId="0">
      <selection activeCell="AG9" sqref="AG9"/>
    </sheetView>
  </sheetViews>
  <sheetFormatPr defaultColWidth="2" defaultRowHeight="21"/>
  <cols>
    <col min="1" max="1" width="10" style="614" customWidth="1"/>
    <col min="2" max="2" width="7.75" style="890" customWidth="1"/>
    <col min="3" max="3" width="4.125" style="890" customWidth="1"/>
    <col min="4" max="4" width="5.625" style="255" customWidth="1"/>
    <col min="5" max="5" width="21.75" style="255" customWidth="1"/>
    <col min="6" max="6" width="32.375" style="255" customWidth="1"/>
    <col min="7" max="7" width="11.625" style="255" customWidth="1"/>
    <col min="8" max="8" width="2.125" style="255" customWidth="1"/>
    <col min="9" max="9" width="14.25" style="255" customWidth="1"/>
    <col min="10" max="10" width="1.625" style="255" customWidth="1"/>
    <col min="11" max="11" width="17.875" style="255" customWidth="1"/>
    <col min="12" max="12" width="3.5" style="255" customWidth="1"/>
    <col min="13" max="13" width="16.625" style="255" customWidth="1"/>
    <col min="14" max="14" width="2.75" style="255" customWidth="1"/>
    <col min="15" max="15" width="14.625" style="255" customWidth="1"/>
    <col min="16" max="16" width="0.625" style="255" customWidth="1"/>
    <col min="17" max="17" width="0.125" style="255" customWidth="1"/>
    <col min="18" max="19" width="2" style="255" hidden="1" customWidth="1"/>
    <col min="20" max="21" width="2" style="255"/>
    <col min="22" max="22" width="0.125" style="255" customWidth="1"/>
    <col min="23" max="16384" width="2" style="255"/>
  </cols>
  <sheetData>
    <row r="1" spans="1:19" ht="27.75" customHeight="1">
      <c r="A1" s="3193" t="s">
        <v>612</v>
      </c>
      <c r="B1" s="3193"/>
      <c r="C1" s="3193"/>
      <c r="D1" s="3193"/>
      <c r="E1" s="3193"/>
      <c r="F1" s="3193"/>
      <c r="G1" s="3193"/>
      <c r="H1" s="3193"/>
      <c r="I1" s="3193"/>
      <c r="J1" s="3193"/>
      <c r="K1" s="3193"/>
      <c r="L1" s="3193"/>
      <c r="M1" s="3193"/>
      <c r="N1" s="3193"/>
      <c r="O1" s="3193"/>
      <c r="P1" s="3193"/>
      <c r="Q1" s="521"/>
      <c r="R1" s="521"/>
      <c r="S1" s="521"/>
    </row>
    <row r="2" spans="1:19" ht="29.25" customHeight="1">
      <c r="A2" s="3193" t="str">
        <f>مفروضات!A2</f>
        <v>يادداشت هاي توضيحي صورت هاي مالي</v>
      </c>
      <c r="B2" s="3193"/>
      <c r="C2" s="3193"/>
      <c r="D2" s="3193"/>
      <c r="E2" s="3193"/>
      <c r="F2" s="3193"/>
      <c r="G2" s="3193"/>
      <c r="H2" s="3193"/>
      <c r="I2" s="3193"/>
      <c r="J2" s="3193"/>
      <c r="K2" s="3193"/>
      <c r="L2" s="3193"/>
      <c r="M2" s="3193"/>
      <c r="N2" s="3193"/>
      <c r="O2" s="3193"/>
      <c r="P2" s="3193"/>
      <c r="Q2" s="521"/>
      <c r="R2" s="521"/>
      <c r="S2" s="521"/>
    </row>
    <row r="3" spans="1:19" ht="32.25" customHeight="1">
      <c r="A3" s="3193" t="str">
        <f>مفروضات!A3</f>
        <v xml:space="preserve"> سال مالي منتهي به 29 اسفند 1401</v>
      </c>
      <c r="B3" s="3193"/>
      <c r="C3" s="3193"/>
      <c r="D3" s="3193"/>
      <c r="E3" s="3193"/>
      <c r="F3" s="3193"/>
      <c r="G3" s="3193"/>
      <c r="H3" s="3193"/>
      <c r="I3" s="3193"/>
      <c r="J3" s="3193"/>
      <c r="K3" s="3193"/>
      <c r="L3" s="3193"/>
      <c r="M3" s="3193"/>
      <c r="N3" s="3193"/>
      <c r="O3" s="3193"/>
      <c r="P3" s="3193"/>
      <c r="Q3" s="521"/>
      <c r="R3" s="521"/>
      <c r="S3" s="521"/>
    </row>
    <row r="5" spans="1:19" s="170" customFormat="1" ht="26.25" customHeight="1">
      <c r="A5" s="2568"/>
      <c r="B5" s="2029" t="s">
        <v>2090</v>
      </c>
      <c r="C5" s="1616" t="s">
        <v>1417</v>
      </c>
      <c r="D5" s="1617"/>
      <c r="E5" s="1071"/>
      <c r="G5" s="178"/>
      <c r="H5" s="178"/>
      <c r="I5" s="179"/>
      <c r="J5" s="179"/>
      <c r="K5" s="524"/>
      <c r="M5" s="3191" t="s">
        <v>1950</v>
      </c>
      <c r="N5" s="3191"/>
      <c r="O5" s="3191"/>
    </row>
    <row r="6" spans="1:19" ht="27" customHeight="1">
      <c r="E6" s="525"/>
      <c r="F6" s="524"/>
      <c r="G6" s="526"/>
      <c r="J6" s="527"/>
      <c r="K6" s="1551"/>
      <c r="M6" s="1807">
        <v>1401</v>
      </c>
      <c r="N6" s="1073"/>
      <c r="O6" s="1072">
        <v>1400</v>
      </c>
    </row>
    <row r="7" spans="1:19" ht="32.25" customHeight="1">
      <c r="D7" s="456" t="s">
        <v>1281</v>
      </c>
      <c r="E7" s="525"/>
      <c r="F7" s="525"/>
      <c r="G7" s="528"/>
      <c r="J7" s="528"/>
      <c r="M7" s="1074"/>
      <c r="N7" s="1075"/>
      <c r="O7" s="1074"/>
    </row>
    <row r="8" spans="1:19" ht="32.25" customHeight="1">
      <c r="E8" s="3194" t="s">
        <v>1209</v>
      </c>
      <c r="F8" s="3194"/>
      <c r="G8" s="3194"/>
      <c r="J8" s="529"/>
      <c r="M8" s="1614">
        <f>M24</f>
        <v>70787752</v>
      </c>
      <c r="N8" s="1076"/>
      <c r="O8" s="1614">
        <v>24119382</v>
      </c>
    </row>
    <row r="9" spans="1:19" ht="32.25" customHeight="1">
      <c r="E9" s="3194" t="s">
        <v>2504</v>
      </c>
      <c r="F9" s="3194"/>
      <c r="G9" s="3194"/>
      <c r="J9" s="529"/>
      <c r="M9" s="1614">
        <f>-'23-24'!N111</f>
        <v>847135</v>
      </c>
      <c r="N9" s="1076"/>
      <c r="O9" s="1614">
        <v>751216</v>
      </c>
    </row>
    <row r="10" spans="1:19" ht="32.25" customHeight="1" thickBot="1">
      <c r="E10" s="530"/>
      <c r="F10" s="531"/>
      <c r="G10" s="531"/>
      <c r="J10" s="528"/>
      <c r="M10" s="1615">
        <f>SUM(M8:M9)</f>
        <v>71634887</v>
      </c>
      <c r="N10" s="1077"/>
      <c r="O10" s="1615">
        <f>SUM(O8:O9)</f>
        <v>24870598</v>
      </c>
    </row>
    <row r="11" spans="1:19" ht="24.75" customHeight="1" thickTop="1">
      <c r="A11" s="614" t="s">
        <v>1937</v>
      </c>
    </row>
    <row r="12" spans="1:19" s="170" customFormat="1" ht="26.25">
      <c r="A12" s="614"/>
      <c r="B12" s="890"/>
      <c r="C12" s="1078" t="s">
        <v>2007</v>
      </c>
      <c r="D12" s="1079" t="s">
        <v>2646</v>
      </c>
      <c r="E12" s="172"/>
      <c r="G12" s="532"/>
      <c r="H12" s="532"/>
      <c r="I12" s="532"/>
      <c r="J12" s="532"/>
      <c r="K12" s="532"/>
      <c r="L12" s="532"/>
      <c r="P12" s="175"/>
      <c r="Q12" s="175"/>
    </row>
    <row r="13" spans="1:19" s="170" customFormat="1" ht="26.25">
      <c r="A13" s="614"/>
      <c r="B13" s="890"/>
      <c r="C13" s="1078"/>
      <c r="D13" s="1079"/>
      <c r="E13" s="172"/>
      <c r="G13" s="532"/>
      <c r="H13" s="532"/>
      <c r="I13" s="532"/>
      <c r="J13" s="532"/>
      <c r="K13" s="532"/>
      <c r="L13" s="532"/>
      <c r="M13" s="3191" t="s">
        <v>1950</v>
      </c>
      <c r="N13" s="3191"/>
      <c r="O13" s="3191"/>
      <c r="P13" s="175"/>
      <c r="Q13" s="175"/>
    </row>
    <row r="14" spans="1:19" ht="28.5">
      <c r="E14" s="1880"/>
      <c r="F14" s="1881"/>
      <c r="G14" s="1882"/>
      <c r="H14" s="1883"/>
      <c r="I14" s="1884"/>
      <c r="J14" s="1885"/>
      <c r="L14" s="1886"/>
      <c r="M14" s="1807">
        <f>M6</f>
        <v>1401</v>
      </c>
      <c r="N14" s="1887"/>
      <c r="O14" s="2036">
        <f>O6</f>
        <v>1400</v>
      </c>
      <c r="P14" s="175"/>
    </row>
    <row r="15" spans="1:19" ht="19.5" customHeight="1">
      <c r="E15" s="172"/>
      <c r="F15" s="172"/>
      <c r="G15" s="1888"/>
      <c r="H15" s="1889"/>
      <c r="I15" s="1889"/>
      <c r="J15" s="1890"/>
      <c r="L15" s="173"/>
      <c r="M15" s="1891"/>
      <c r="N15" s="174"/>
      <c r="O15" s="1891"/>
      <c r="P15" s="175"/>
    </row>
    <row r="16" spans="1:19" ht="35.25" customHeight="1">
      <c r="D16" s="1892" t="s">
        <v>1210</v>
      </c>
      <c r="F16" s="1893"/>
      <c r="G16" s="1894"/>
      <c r="H16" s="173"/>
      <c r="I16" s="173"/>
      <c r="J16" s="1895"/>
      <c r="L16" s="1896"/>
      <c r="M16" s="1897">
        <f>O24</f>
        <v>24119382</v>
      </c>
      <c r="N16" s="1898"/>
      <c r="O16" s="1899">
        <v>11012993</v>
      </c>
      <c r="P16" s="175"/>
    </row>
    <row r="17" spans="1:16" ht="35.25" customHeight="1">
      <c r="D17" s="1892" t="s">
        <v>2484</v>
      </c>
      <c r="F17" s="1881"/>
      <c r="G17" s="1894"/>
      <c r="H17" s="173"/>
      <c r="I17" s="173"/>
      <c r="J17" s="1895"/>
      <c r="K17" s="503"/>
      <c r="L17" s="1896"/>
      <c r="M17" s="1906">
        <v>9038281</v>
      </c>
      <c r="N17" s="1907"/>
      <c r="O17" s="1908">
        <v>9811680</v>
      </c>
      <c r="P17" s="175"/>
    </row>
    <row r="18" spans="1:16" ht="35.25" customHeight="1">
      <c r="D18" s="1892" t="s">
        <v>2485</v>
      </c>
      <c r="F18" s="1881"/>
      <c r="G18" s="1894"/>
      <c r="H18" s="173"/>
      <c r="I18" s="173"/>
      <c r="J18" s="1895"/>
      <c r="K18" s="503"/>
      <c r="L18" s="1896"/>
      <c r="M18" s="1906">
        <v>-9811680</v>
      </c>
      <c r="N18" s="1907"/>
      <c r="O18" s="2395">
        <v>0</v>
      </c>
      <c r="P18" s="175"/>
    </row>
    <row r="19" spans="1:16" ht="35.25" customHeight="1">
      <c r="D19" s="1900" t="s">
        <v>2424</v>
      </c>
      <c r="F19" s="1881"/>
      <c r="G19" s="1881"/>
      <c r="H19" s="1894"/>
      <c r="I19" s="1894"/>
      <c r="J19" s="1894"/>
      <c r="K19" s="1894"/>
      <c r="L19" s="1894"/>
      <c r="M19" s="1897">
        <v>38081496</v>
      </c>
      <c r="N19" s="1898"/>
      <c r="O19" s="2395">
        <v>0</v>
      </c>
      <c r="P19" s="175"/>
    </row>
    <row r="20" spans="1:16" ht="35.25" customHeight="1">
      <c r="D20" s="1900" t="s">
        <v>1852</v>
      </c>
      <c r="F20" s="1901"/>
      <c r="G20" s="1902"/>
      <c r="H20" s="173"/>
      <c r="I20" s="1903"/>
      <c r="J20" s="1895"/>
      <c r="L20" s="503"/>
      <c r="M20" s="1897">
        <v>2853920</v>
      </c>
      <c r="N20" s="1904"/>
      <c r="O20" s="1899">
        <v>4378769</v>
      </c>
      <c r="P20" s="175"/>
    </row>
    <row r="21" spans="1:16" ht="35.25" customHeight="1">
      <c r="D21" s="1905" t="s">
        <v>2647</v>
      </c>
      <c r="F21" s="1881"/>
      <c r="G21" s="1881"/>
      <c r="H21" s="1894"/>
      <c r="I21" s="1894"/>
      <c r="J21" s="1894"/>
      <c r="K21" s="1894"/>
      <c r="L21" s="1894"/>
      <c r="M21" s="1906">
        <v>-767896</v>
      </c>
      <c r="N21" s="1907"/>
      <c r="O21" s="1908">
        <v>-2853920</v>
      </c>
      <c r="P21" s="175"/>
    </row>
    <row r="22" spans="1:16" ht="35.25" customHeight="1">
      <c r="D22" s="1892" t="s">
        <v>2499</v>
      </c>
      <c r="F22" s="1881"/>
      <c r="G22" s="1894"/>
      <c r="H22" s="173"/>
      <c r="I22" s="173"/>
      <c r="J22" s="1895"/>
      <c r="K22" s="503"/>
      <c r="L22" s="1896"/>
      <c r="M22" s="2835">
        <f>M24-(M16+M18+M20+M19+M21+M17)</f>
        <v>7274249</v>
      </c>
      <c r="N22" s="1898"/>
      <c r="O22" s="2836">
        <v>1769860</v>
      </c>
      <c r="P22" s="175"/>
    </row>
    <row r="23" spans="1:16" ht="35.25" hidden="1" customHeight="1">
      <c r="P23" s="175"/>
    </row>
    <row r="24" spans="1:16" ht="35.25" customHeight="1">
      <c r="A24" s="614">
        <v>100201</v>
      </c>
      <c r="B24" s="614"/>
      <c r="E24" s="1900"/>
      <c r="F24" s="1901"/>
      <c r="G24" s="1902"/>
      <c r="H24" s="173"/>
      <c r="I24" s="1903"/>
      <c r="J24" s="1895"/>
      <c r="K24" s="1420"/>
      <c r="L24" s="503"/>
      <c r="M24" s="2834">
        <f>-SUMIF('1401'!$B$4:$B$571,$A24,'1401'!$V$4:$V$571)</f>
        <v>70787752</v>
      </c>
      <c r="N24" s="1910">
        <f>-SUMIF('94'!$A$3:$A$476,$A24,'94'!$R$3:$R$476)</f>
        <v>4397098</v>
      </c>
      <c r="O24" s="2834">
        <f>SUM(O16:P22)</f>
        <v>24119382</v>
      </c>
      <c r="P24" s="175"/>
    </row>
    <row r="25" spans="1:16" ht="35.25" customHeight="1">
      <c r="B25" s="614"/>
      <c r="D25" s="1900" t="s">
        <v>2648</v>
      </c>
      <c r="E25" s="1900"/>
      <c r="F25" s="1901"/>
      <c r="G25" s="1902"/>
      <c r="H25" s="173"/>
      <c r="I25" s="1903"/>
      <c r="J25" s="1895"/>
      <c r="K25" s="1420"/>
      <c r="L25" s="503"/>
      <c r="M25" s="2837">
        <v>-10000000</v>
      </c>
      <c r="N25" s="1910"/>
      <c r="O25" s="2838"/>
      <c r="P25" s="175"/>
    </row>
    <row r="26" spans="1:16" ht="35.25" customHeight="1" thickBot="1">
      <c r="B26" s="614"/>
      <c r="E26" s="1900"/>
      <c r="F26" s="1901"/>
      <c r="G26" s="1902"/>
      <c r="H26" s="173"/>
      <c r="I26" s="1903"/>
      <c r="J26" s="1895"/>
      <c r="K26" s="1420"/>
      <c r="L26" s="503"/>
      <c r="M26" s="1909">
        <f>SUM(M24:M25)</f>
        <v>60787752</v>
      </c>
      <c r="N26" s="1910"/>
      <c r="O26" s="1909">
        <f>SUM(O24:O25)</f>
        <v>24119382</v>
      </c>
      <c r="P26" s="175"/>
    </row>
    <row r="27" spans="1:16" ht="29.25" thickTop="1">
      <c r="D27" s="1092"/>
      <c r="E27" s="1900"/>
      <c r="F27" s="1901"/>
      <c r="G27" s="1902"/>
      <c r="H27" s="173"/>
      <c r="I27" s="1903"/>
      <c r="J27" s="1895"/>
      <c r="L27" s="503"/>
      <c r="M27" s="1911">
        <f>SUM(M16:M21)</f>
        <v>63513503</v>
      </c>
      <c r="N27" s="1887"/>
      <c r="O27" s="1911">
        <v>7825432</v>
      </c>
      <c r="P27" s="175"/>
    </row>
    <row r="28" spans="1:16" ht="33.75">
      <c r="D28" s="170"/>
      <c r="E28" s="1915"/>
      <c r="F28" s="1916"/>
      <c r="G28" s="1914"/>
      <c r="H28" s="1913"/>
      <c r="I28" s="1914"/>
      <c r="J28" s="1914"/>
      <c r="K28" s="1914"/>
      <c r="L28" s="1917"/>
      <c r="M28" s="1914"/>
      <c r="N28" s="1914"/>
      <c r="O28" s="1912"/>
      <c r="P28" s="533"/>
    </row>
    <row r="29" spans="1:16" s="2155" customFormat="1" ht="26.25">
      <c r="A29" s="2569"/>
      <c r="B29" s="2151">
        <v>-18</v>
      </c>
      <c r="C29" s="2152" t="s">
        <v>530</v>
      </c>
      <c r="D29" s="2153"/>
      <c r="E29" s="2153"/>
      <c r="F29" s="2153"/>
      <c r="G29" s="2153"/>
      <c r="H29" s="2153"/>
      <c r="I29" s="2153"/>
      <c r="J29" s="2153"/>
      <c r="K29" s="2154"/>
      <c r="L29" s="2154"/>
      <c r="M29" s="3192" t="s">
        <v>1950</v>
      </c>
      <c r="N29" s="3192"/>
      <c r="O29" s="3192"/>
    </row>
    <row r="30" spans="1:16" s="2155" customFormat="1" ht="24" customHeight="1">
      <c r="A30" s="2569"/>
      <c r="C30" s="2154"/>
      <c r="D30" s="2154"/>
      <c r="E30" s="2154"/>
      <c r="F30" s="1865"/>
      <c r="G30" s="1865"/>
      <c r="H30" s="1865"/>
      <c r="I30" s="1865"/>
      <c r="J30" s="1865"/>
      <c r="K30" s="2156"/>
      <c r="L30" s="2156"/>
      <c r="M30" s="2157">
        <v>1401</v>
      </c>
      <c r="N30" s="2152"/>
      <c r="O30" s="2158">
        <v>1400</v>
      </c>
    </row>
    <row r="31" spans="1:16" s="2155" customFormat="1" ht="9.75" customHeight="1">
      <c r="A31" s="2569"/>
      <c r="C31" s="2152"/>
      <c r="D31" s="2152"/>
      <c r="E31" s="2152"/>
      <c r="F31" s="2159"/>
      <c r="G31" s="2159"/>
      <c r="H31" s="2159"/>
      <c r="I31" s="2159"/>
      <c r="J31" s="2156"/>
      <c r="K31" s="2160"/>
      <c r="L31" s="2160"/>
      <c r="M31" s="2161"/>
      <c r="N31" s="2154"/>
      <c r="O31" s="2161"/>
    </row>
    <row r="32" spans="1:16" s="2155" customFormat="1" ht="42" customHeight="1">
      <c r="A32" s="2569"/>
      <c r="C32" s="2162"/>
      <c r="D32" s="2162" t="s">
        <v>635</v>
      </c>
      <c r="E32" s="2162"/>
      <c r="F32" s="2163"/>
      <c r="G32" s="2163"/>
      <c r="H32" s="2163"/>
      <c r="I32" s="2163"/>
      <c r="J32" s="1335"/>
      <c r="K32" s="2163"/>
      <c r="L32" s="2163"/>
      <c r="M32" s="2163">
        <f>O35</f>
        <v>9163508</v>
      </c>
      <c r="N32" s="2152"/>
      <c r="O32" s="2163">
        <v>7033450</v>
      </c>
    </row>
    <row r="33" spans="1:43" s="2155" customFormat="1" ht="42" customHeight="1">
      <c r="A33" s="2569"/>
      <c r="C33" s="2162"/>
      <c r="D33" s="2162" t="s">
        <v>1292</v>
      </c>
      <c r="E33" s="2162"/>
      <c r="F33" s="2163"/>
      <c r="G33" s="2163"/>
      <c r="H33" s="2163"/>
      <c r="I33" s="2163"/>
      <c r="J33" s="1335"/>
      <c r="K33" s="2163"/>
      <c r="L33" s="2163"/>
      <c r="M33" s="2163">
        <f>M35-M32-M34</f>
        <v>-478431</v>
      </c>
      <c r="N33" s="2152"/>
      <c r="O33" s="2163">
        <v>-545405</v>
      </c>
    </row>
    <row r="34" spans="1:43" s="2155" customFormat="1" ht="42" customHeight="1">
      <c r="A34" s="2569"/>
      <c r="C34" s="2162"/>
      <c r="D34" s="2162" t="s">
        <v>636</v>
      </c>
      <c r="E34" s="2162"/>
      <c r="F34" s="1866"/>
      <c r="G34" s="2163"/>
      <c r="H34" s="2163"/>
      <c r="I34" s="2163"/>
      <c r="J34" s="1335"/>
      <c r="K34" s="2163"/>
      <c r="L34" s="2163"/>
      <c r="M34" s="2163">
        <v>1199099</v>
      </c>
      <c r="N34" s="2152"/>
      <c r="O34" s="2163">
        <v>2675463</v>
      </c>
    </row>
    <row r="35" spans="1:43" s="2155" customFormat="1" ht="42" customHeight="1" thickBot="1">
      <c r="A35" s="2569">
        <v>1301</v>
      </c>
      <c r="C35" s="2162"/>
      <c r="D35" s="2162" t="s">
        <v>637</v>
      </c>
      <c r="E35" s="2162"/>
      <c r="F35" s="2163"/>
      <c r="G35" s="2163"/>
      <c r="H35" s="2163"/>
      <c r="I35" s="2163"/>
      <c r="J35" s="2163"/>
      <c r="K35" s="2163"/>
      <c r="L35" s="2163"/>
      <c r="M35" s="2164">
        <f>-SUMIF('1401'!$B$4:$B$576,A35,'1401'!$V$4:$V$576)</f>
        <v>9884176</v>
      </c>
      <c r="N35" s="2152"/>
      <c r="O35" s="2164">
        <f>SUM(O32:O34)</f>
        <v>9163508</v>
      </c>
    </row>
    <row r="36" spans="1:43" s="2155" customFormat="1" ht="20.25" customHeight="1" thickTop="1">
      <c r="A36" s="2569"/>
      <c r="B36" s="2151">
        <v>-19</v>
      </c>
      <c r="C36" s="2152" t="s">
        <v>2531</v>
      </c>
      <c r="D36" s="2153"/>
      <c r="E36" s="2153"/>
      <c r="F36" s="2163"/>
      <c r="G36" s="2163"/>
      <c r="H36" s="2163"/>
      <c r="I36" s="2163"/>
      <c r="J36" s="2165"/>
      <c r="K36" s="2165"/>
      <c r="L36" s="2163"/>
      <c r="M36" s="2163"/>
      <c r="N36" s="2152"/>
      <c r="O36" s="2152"/>
    </row>
    <row r="37" spans="1:43" ht="48.75" customHeight="1">
      <c r="B37" s="3198" t="s">
        <v>2541</v>
      </c>
      <c r="C37" s="3198"/>
      <c r="D37" s="3198"/>
      <c r="E37" s="3195" t="s">
        <v>2543</v>
      </c>
      <c r="F37" s="3195"/>
      <c r="G37" s="3195"/>
      <c r="H37" s="3195"/>
      <c r="I37" s="3195"/>
      <c r="J37" s="3195"/>
      <c r="K37" s="3195"/>
      <c r="L37" s="3195"/>
      <c r="M37" s="3195"/>
      <c r="N37" s="3195"/>
      <c r="O37" s="3195"/>
      <c r="P37" s="855"/>
      <c r="Q37" s="855"/>
    </row>
    <row r="38" spans="1:43" ht="28.5">
      <c r="A38" s="1823"/>
      <c r="B38" s="3197" t="s">
        <v>2542</v>
      </c>
      <c r="C38" s="3197"/>
      <c r="D38" s="3197"/>
      <c r="E38" s="1617" t="s">
        <v>2533</v>
      </c>
      <c r="F38" s="1070"/>
      <c r="G38" s="1617"/>
      <c r="H38" s="1070"/>
      <c r="I38" s="1617"/>
      <c r="J38" s="1070"/>
      <c r="K38" s="1617"/>
      <c r="L38" s="1070"/>
      <c r="M38" s="1617"/>
      <c r="N38" s="1070"/>
      <c r="O38" s="2839"/>
      <c r="P38" s="855"/>
      <c r="Q38" s="855"/>
    </row>
    <row r="39" spans="1:43" ht="27.75" customHeight="1">
      <c r="A39" s="1823"/>
      <c r="B39" s="2151"/>
      <c r="C39" s="1617"/>
      <c r="D39" s="1070"/>
      <c r="E39" s="1617"/>
      <c r="F39" s="2840" t="s">
        <v>2534</v>
      </c>
      <c r="G39" s="1617"/>
      <c r="H39" s="1070"/>
      <c r="I39" s="2841" t="s">
        <v>2531</v>
      </c>
      <c r="J39" s="1070"/>
      <c r="K39" s="2842"/>
      <c r="L39" s="2843"/>
      <c r="M39" s="2841" t="s">
        <v>2535</v>
      </c>
      <c r="N39" s="1070"/>
      <c r="O39" s="2839"/>
      <c r="P39" s="855"/>
      <c r="Q39" s="855"/>
    </row>
    <row r="40" spans="1:43" ht="27.75" customHeight="1">
      <c r="A40" s="1823"/>
      <c r="B40" s="2151"/>
      <c r="C40" s="1617" t="s">
        <v>1865</v>
      </c>
      <c r="D40" s="1070"/>
      <c r="E40" s="1617"/>
      <c r="F40" s="1070"/>
      <c r="G40" s="1617"/>
      <c r="H40" s="1070"/>
      <c r="I40" s="1617"/>
      <c r="J40" s="1070"/>
      <c r="K40" s="1617"/>
      <c r="L40" s="1070"/>
      <c r="M40" s="2163"/>
      <c r="N40" s="1070"/>
      <c r="O40" s="2839"/>
      <c r="P40" s="855"/>
      <c r="Q40" s="855"/>
      <c r="AG40" s="2953" t="s">
        <v>2532</v>
      </c>
      <c r="AH40" s="2953"/>
      <c r="AI40" s="2953"/>
      <c r="AJ40" s="2953"/>
      <c r="AK40" s="2953"/>
      <c r="AL40" s="2953"/>
      <c r="AM40" s="2953"/>
      <c r="AN40" s="2953"/>
      <c r="AO40" s="2953"/>
      <c r="AP40" s="2953"/>
      <c r="AQ40" s="2953"/>
    </row>
    <row r="41" spans="1:43" ht="27.75" customHeight="1">
      <c r="A41" s="1823"/>
      <c r="B41" s="2151"/>
      <c r="C41" s="1617"/>
      <c r="D41" s="1070" t="s">
        <v>2536</v>
      </c>
      <c r="E41" s="1617"/>
      <c r="F41" s="2163">
        <v>41193907</v>
      </c>
      <c r="G41" s="1617"/>
      <c r="H41" s="1070"/>
      <c r="I41" s="2163">
        <v>6719938</v>
      </c>
      <c r="J41" s="1070"/>
      <c r="K41" s="1617"/>
      <c r="L41" s="1070"/>
      <c r="M41" s="2163">
        <f>F41+I41</f>
        <v>47913845</v>
      </c>
      <c r="N41" s="1070"/>
      <c r="O41" s="2839"/>
      <c r="P41" s="855"/>
      <c r="Q41" s="855"/>
    </row>
    <row r="42" spans="1:43" ht="27.75" customHeight="1">
      <c r="A42" s="1823"/>
      <c r="B42" s="2151"/>
      <c r="C42" s="1617"/>
      <c r="D42" s="1070" t="s">
        <v>2537</v>
      </c>
      <c r="E42" s="1617"/>
      <c r="F42" s="2163">
        <v>13679069</v>
      </c>
      <c r="G42" s="1617"/>
      <c r="H42" s="1070"/>
      <c r="I42" s="2163">
        <v>-6719938</v>
      </c>
      <c r="J42" s="1070"/>
      <c r="K42" s="1617"/>
      <c r="L42" s="1070"/>
      <c r="M42" s="2163">
        <f>I42+F42</f>
        <v>6959131</v>
      </c>
      <c r="N42" s="1070"/>
      <c r="O42" s="2839"/>
      <c r="P42" s="855"/>
      <c r="Q42" s="855"/>
    </row>
    <row r="43" spans="1:43" ht="42.75" customHeight="1">
      <c r="A43" s="3196">
        <v>25</v>
      </c>
      <c r="B43" s="3196"/>
      <c r="C43" s="3196"/>
      <c r="D43" s="3196"/>
      <c r="E43" s="3196"/>
      <c r="F43" s="3196"/>
      <c r="G43" s="3196"/>
      <c r="H43" s="3196"/>
      <c r="I43" s="3196"/>
      <c r="J43" s="3196"/>
      <c r="K43" s="3196"/>
      <c r="L43" s="3196"/>
      <c r="M43" s="3196"/>
      <c r="N43" s="3196"/>
      <c r="O43" s="3196"/>
      <c r="P43" s="521"/>
      <c r="Q43" s="521"/>
      <c r="R43" s="521"/>
      <c r="S43" s="521"/>
    </row>
  </sheetData>
  <mergeCells count="13">
    <mergeCell ref="AG40:AQ40"/>
    <mergeCell ref="E37:O37"/>
    <mergeCell ref="A43:O43"/>
    <mergeCell ref="B38:D38"/>
    <mergeCell ref="B37:D37"/>
    <mergeCell ref="M13:O13"/>
    <mergeCell ref="M29:O29"/>
    <mergeCell ref="A1:P1"/>
    <mergeCell ref="A2:P2"/>
    <mergeCell ref="A3:P3"/>
    <mergeCell ref="E8:G8"/>
    <mergeCell ref="E9:G9"/>
    <mergeCell ref="M5:O5"/>
  </mergeCells>
  <printOptions horizontalCentered="1" verticalCentered="1"/>
  <pageMargins left="0" right="0" top="0" bottom="0" header="0" footer="0"/>
  <pageSetup paperSize="9" scale="5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P67"/>
  <sheetViews>
    <sheetView rightToLeft="1" view="pageBreakPreview" topLeftCell="A22" zoomScale="40" zoomScaleNormal="46" zoomScaleSheetLayoutView="40" workbookViewId="0">
      <selection activeCell="H29" sqref="H29"/>
    </sheetView>
  </sheetViews>
  <sheetFormatPr defaultColWidth="1.375" defaultRowHeight="21"/>
  <cols>
    <col min="1" max="1" width="2.75" style="928" customWidth="1"/>
    <col min="2" max="2" width="3.625" style="889" customWidth="1"/>
    <col min="3" max="3" width="7.375" style="889" customWidth="1"/>
    <col min="4" max="4" width="21.75" style="889" customWidth="1"/>
    <col min="5" max="5" width="2" style="103" customWidth="1"/>
    <col min="6" max="6" width="15.5" style="103" customWidth="1"/>
    <col min="7" max="7" width="4" style="103" customWidth="1"/>
    <col min="8" max="8" width="26.25" style="103" customWidth="1"/>
    <col min="9" max="9" width="3" style="103" customWidth="1"/>
    <col min="10" max="10" width="28.375" style="103" bestFit="1" customWidth="1"/>
    <col min="11" max="11" width="3.25" style="103" customWidth="1"/>
    <col min="12" max="12" width="24.125" style="103" customWidth="1"/>
    <col min="13" max="13" width="2.125" style="103" customWidth="1"/>
    <col min="14" max="14" width="21.125" style="103" customWidth="1"/>
    <col min="15" max="15" width="3" style="103" customWidth="1"/>
    <col min="16" max="16" width="21.25" style="103" customWidth="1"/>
    <col min="17" max="17" width="2.125" style="103" customWidth="1"/>
    <col min="18" max="18" width="21.875" style="103" customWidth="1"/>
    <col min="19" max="19" width="2.125" style="103" customWidth="1"/>
    <col min="20" max="20" width="21.5" style="103" customWidth="1"/>
    <col min="21" max="21" width="3.125" style="103" customWidth="1"/>
    <col min="22" max="22" width="23.75" style="103" customWidth="1"/>
    <col min="23" max="23" width="3.625" style="103" customWidth="1"/>
    <col min="24" max="24" width="22.125" style="104" customWidth="1"/>
    <col min="25" max="25" width="16.25" style="103" customWidth="1"/>
    <col min="26" max="26" width="26.75" style="103" hidden="1" customWidth="1"/>
    <col min="27" max="27" width="27.375" style="103" customWidth="1"/>
    <col min="28" max="30" width="27.375" customWidth="1"/>
    <col min="31" max="49" width="27.375" style="103" customWidth="1"/>
    <col min="50" max="16384" width="1.375" style="103"/>
  </cols>
  <sheetData>
    <row r="1" spans="1:30" ht="11.25" customHeight="1"/>
    <row r="2" spans="1:30" ht="40.5" customHeight="1">
      <c r="A2" s="3203" t="str">
        <f>مفروضات!A1</f>
        <v>شركت خطوط لوله و مخابرات نفت ايران (سهامي خاص)</v>
      </c>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row>
    <row r="3" spans="1:30" ht="40.5" customHeight="1">
      <c r="A3" s="3203" t="str">
        <f>مفروضات!A2</f>
        <v>يادداشت هاي توضيحي صورت هاي مالي</v>
      </c>
      <c r="B3" s="3203"/>
      <c r="C3" s="3203"/>
      <c r="D3" s="3203"/>
      <c r="E3" s="3203"/>
      <c r="F3" s="3203"/>
      <c r="G3" s="3203"/>
      <c r="H3" s="3203"/>
      <c r="I3" s="3203"/>
      <c r="J3" s="3203"/>
      <c r="K3" s="3203"/>
      <c r="L3" s="3203"/>
      <c r="M3" s="3203"/>
      <c r="N3" s="3203"/>
      <c r="O3" s="3203"/>
      <c r="P3" s="3203"/>
      <c r="Q3" s="3203"/>
      <c r="R3" s="3203"/>
      <c r="S3" s="3203"/>
      <c r="T3" s="3203"/>
      <c r="U3" s="3203"/>
      <c r="V3" s="3203"/>
      <c r="W3" s="3203"/>
      <c r="X3" s="3203"/>
      <c r="Y3" s="3203"/>
      <c r="Z3" s="3203"/>
    </row>
    <row r="4" spans="1:30" ht="49.5" customHeight="1">
      <c r="A4" s="3203" t="str">
        <f>مفروضات!A3</f>
        <v xml:space="preserve"> سال مالي منتهي به 29 اسفند 1401</v>
      </c>
      <c r="B4" s="3203"/>
      <c r="C4" s="3203"/>
      <c r="D4" s="3203"/>
      <c r="E4" s="3203"/>
      <c r="F4" s="3203"/>
      <c r="G4" s="3203"/>
      <c r="H4" s="3203"/>
      <c r="I4" s="3203"/>
      <c r="J4" s="3203"/>
      <c r="K4" s="3203"/>
      <c r="L4" s="3203"/>
      <c r="M4" s="3203"/>
      <c r="N4" s="3203"/>
      <c r="O4" s="3203"/>
      <c r="P4" s="3203"/>
      <c r="Q4" s="3203"/>
      <c r="R4" s="3203"/>
      <c r="S4" s="3203"/>
      <c r="T4" s="3203"/>
      <c r="U4" s="3203"/>
      <c r="V4" s="3203"/>
      <c r="W4" s="3203"/>
      <c r="X4" s="3203"/>
      <c r="Y4" s="3203"/>
      <c r="Z4" s="3203"/>
    </row>
    <row r="5" spans="1:30" ht="45" customHeight="1">
      <c r="A5" s="103"/>
      <c r="B5" s="2722"/>
      <c r="C5" s="2723" t="s">
        <v>2547</v>
      </c>
      <c r="D5" s="2723" t="s">
        <v>2544</v>
      </c>
      <c r="E5" s="2724"/>
      <c r="F5" s="2722"/>
      <c r="G5" s="879"/>
      <c r="H5" s="879"/>
      <c r="I5" s="879"/>
      <c r="J5" s="879"/>
      <c r="K5" s="879"/>
      <c r="L5" s="879"/>
      <c r="M5" s="879"/>
      <c r="N5" s="879"/>
      <c r="O5" s="879"/>
      <c r="P5" s="879"/>
      <c r="Q5" s="879"/>
      <c r="R5" s="879"/>
      <c r="S5" s="879"/>
      <c r="T5" s="1295"/>
      <c r="U5" s="1295"/>
      <c r="V5" s="1295"/>
      <c r="W5" s="879"/>
      <c r="Y5" s="879"/>
      <c r="Z5" s="879"/>
    </row>
    <row r="6" spans="1:30" ht="45" customHeight="1">
      <c r="A6" s="103"/>
      <c r="B6" s="2722"/>
      <c r="C6" s="2723"/>
      <c r="D6" s="2723" t="s">
        <v>2562</v>
      </c>
      <c r="E6" s="2724"/>
      <c r="F6" s="2723" t="s">
        <v>2572</v>
      </c>
      <c r="G6" s="2724"/>
      <c r="H6" s="2722"/>
      <c r="I6" s="879"/>
      <c r="J6" s="879"/>
      <c r="K6" s="879"/>
      <c r="L6" s="879"/>
      <c r="M6" s="2723"/>
      <c r="N6" s="2724"/>
      <c r="O6" s="1323"/>
      <c r="P6" s="1323"/>
      <c r="Q6" s="1323"/>
      <c r="R6" s="1301"/>
      <c r="S6" s="879"/>
      <c r="T6" s="3212" t="s">
        <v>1950</v>
      </c>
      <c r="U6" s="3212"/>
      <c r="V6" s="3212"/>
      <c r="W6" s="879"/>
      <c r="X6" s="2203"/>
      <c r="Y6" s="879"/>
      <c r="Z6" s="879"/>
    </row>
    <row r="7" spans="1:30" s="2756" customFormat="1" ht="45" customHeight="1">
      <c r="B7" s="2757"/>
      <c r="C7" s="2758"/>
      <c r="D7" s="2758"/>
      <c r="E7" s="2758"/>
      <c r="F7" s="2759"/>
      <c r="G7" s="2760"/>
      <c r="H7" s="2760"/>
      <c r="I7" s="2760"/>
      <c r="J7" s="2760"/>
      <c r="K7" s="2760"/>
      <c r="L7" s="2760"/>
      <c r="M7" s="2761"/>
      <c r="N7" s="2761"/>
      <c r="O7" s="2761"/>
      <c r="P7" s="2761"/>
      <c r="Q7" s="2761"/>
      <c r="R7" s="2761"/>
      <c r="S7" s="2761"/>
      <c r="T7" s="2762">
        <v>1401</v>
      </c>
      <c r="U7" s="2763"/>
      <c r="V7" s="2762">
        <v>1400</v>
      </c>
      <c r="W7" s="2761"/>
      <c r="X7" s="2754"/>
      <c r="Y7" s="2761"/>
      <c r="Z7" s="2761"/>
      <c r="AB7" s="2764"/>
      <c r="AC7" s="2764"/>
      <c r="AD7" s="2764"/>
    </row>
    <row r="8" spans="1:30" s="2756" customFormat="1" ht="45" customHeight="1">
      <c r="B8" s="2757"/>
      <c r="C8" s="2758"/>
      <c r="D8" s="2758"/>
      <c r="E8" s="2758"/>
      <c r="F8" s="1261" t="s">
        <v>2563</v>
      </c>
      <c r="G8" s="1261"/>
      <c r="H8" s="2761"/>
      <c r="I8" s="2761"/>
      <c r="J8" s="2761"/>
      <c r="K8" s="2761"/>
      <c r="L8" s="2761"/>
      <c r="M8" s="2761"/>
      <c r="N8" s="2761"/>
      <c r="O8" s="2761"/>
      <c r="P8" s="2761"/>
      <c r="Q8" s="2761"/>
      <c r="R8" s="2761"/>
      <c r="S8" s="2761"/>
      <c r="T8" s="2765">
        <v>0</v>
      </c>
      <c r="U8" s="1261"/>
      <c r="V8" s="1261">
        <v>689997</v>
      </c>
      <c r="W8" s="2761"/>
      <c r="X8" s="2754"/>
      <c r="Y8" s="2761"/>
      <c r="Z8" s="2761"/>
      <c r="AB8" s="2764"/>
      <c r="AC8" s="2764"/>
      <c r="AD8" s="2764"/>
    </row>
    <row r="9" spans="1:30" s="2756" customFormat="1" ht="45" customHeight="1">
      <c r="B9" s="2757"/>
      <c r="C9" s="2758"/>
      <c r="D9" s="2758"/>
      <c r="E9" s="1261"/>
      <c r="F9" s="1261" t="s">
        <v>2564</v>
      </c>
      <c r="G9" s="2761"/>
      <c r="H9" s="1261"/>
      <c r="I9" s="2761"/>
      <c r="J9" s="2761"/>
      <c r="K9" s="2761"/>
      <c r="L9" s="2761"/>
      <c r="M9" s="2761"/>
      <c r="N9" s="2761"/>
      <c r="O9" s="2761"/>
      <c r="P9" s="2761"/>
      <c r="Q9" s="2761"/>
      <c r="R9" s="2761"/>
      <c r="S9" s="2761"/>
      <c r="T9" s="1261">
        <v>181912</v>
      </c>
      <c r="U9" s="1261"/>
      <c r="V9" s="1261">
        <v>0</v>
      </c>
      <c r="W9" s="2761"/>
      <c r="X9" s="2754"/>
      <c r="Y9" s="2761"/>
      <c r="Z9" s="2761"/>
      <c r="AB9" s="2764"/>
      <c r="AC9" s="2764"/>
      <c r="AD9" s="2764"/>
    </row>
    <row r="10" spans="1:30" s="2756" customFormat="1" ht="45" customHeight="1">
      <c r="B10" s="2757"/>
      <c r="C10" s="2758"/>
      <c r="D10" s="2758"/>
      <c r="E10" s="1261"/>
      <c r="F10" s="1261" t="s">
        <v>2565</v>
      </c>
      <c r="G10" s="1261"/>
      <c r="H10" s="2761"/>
      <c r="I10" s="2761"/>
      <c r="J10" s="2761"/>
      <c r="K10" s="2761"/>
      <c r="L10" s="2761"/>
      <c r="M10" s="2761"/>
      <c r="N10" s="2761"/>
      <c r="O10" s="2761"/>
      <c r="P10" s="2761"/>
      <c r="Q10" s="2761"/>
      <c r="R10" s="2761"/>
      <c r="S10" s="2761"/>
      <c r="T10" s="2766">
        <v>0</v>
      </c>
      <c r="U10" s="1261"/>
      <c r="V10" s="2766"/>
      <c r="W10" s="2761"/>
      <c r="X10" s="2754"/>
      <c r="Y10" s="2761"/>
      <c r="Z10" s="2761"/>
      <c r="AB10" s="2764"/>
      <c r="AC10" s="2764"/>
      <c r="AD10" s="2764"/>
    </row>
    <row r="11" spans="1:30" s="2756" customFormat="1" ht="45" customHeight="1">
      <c r="B11" s="2757"/>
      <c r="C11" s="2758"/>
      <c r="D11" s="2758"/>
      <c r="E11" s="1261"/>
      <c r="F11" s="1261"/>
      <c r="G11" s="2761"/>
      <c r="H11" s="1261"/>
      <c r="I11" s="2761"/>
      <c r="J11" s="2761"/>
      <c r="K11" s="2761"/>
      <c r="L11" s="2761"/>
      <c r="M11" s="2761"/>
      <c r="N11" s="2761"/>
      <c r="O11" s="2761"/>
      <c r="P11" s="2761"/>
      <c r="Q11" s="2761"/>
      <c r="R11" s="2761"/>
      <c r="S11" s="2761"/>
      <c r="T11" s="1261">
        <f>SUM(T8:T10)</f>
        <v>181912</v>
      </c>
      <c r="U11" s="1261"/>
      <c r="V11" s="1261">
        <f>SUM(V8:V10)</f>
        <v>689997</v>
      </c>
      <c r="W11" s="2761"/>
      <c r="X11" s="2754"/>
      <c r="Y11" s="2761"/>
      <c r="Z11" s="2761"/>
      <c r="AB11" s="2764"/>
      <c r="AC11" s="2764"/>
      <c r="AD11" s="2764"/>
    </row>
    <row r="12" spans="1:30" s="2756" customFormat="1" ht="45" customHeight="1">
      <c r="B12" s="2757"/>
      <c r="C12" s="2758"/>
      <c r="D12" s="2758"/>
      <c r="E12" s="2758"/>
      <c r="F12" s="1261" t="s">
        <v>2577</v>
      </c>
      <c r="G12" s="1261"/>
      <c r="H12" s="2761"/>
      <c r="I12" s="2761"/>
      <c r="J12" s="2761"/>
      <c r="K12" s="2761"/>
      <c r="L12" s="2761"/>
      <c r="M12" s="2761"/>
      <c r="N12" s="2761"/>
      <c r="O12" s="2761"/>
      <c r="P12" s="2761"/>
      <c r="Q12" s="2761"/>
      <c r="R12" s="2761"/>
      <c r="S12" s="2761"/>
      <c r="T12" s="2766">
        <v>-95000</v>
      </c>
      <c r="U12" s="2761"/>
      <c r="V12" s="2766">
        <v>-689997</v>
      </c>
      <c r="W12" s="2761"/>
      <c r="X12" s="2754"/>
      <c r="Y12" s="2761"/>
      <c r="Z12" s="2761"/>
      <c r="AB12" s="2764"/>
      <c r="AC12" s="2764"/>
      <c r="AD12" s="2764"/>
    </row>
    <row r="13" spans="1:30" s="2756" customFormat="1" ht="45" customHeight="1" thickBot="1">
      <c r="B13" s="2757"/>
      <c r="C13" s="2758"/>
      <c r="D13" s="2758"/>
      <c r="E13" s="2758"/>
      <c r="F13" s="2757"/>
      <c r="G13" s="2761"/>
      <c r="H13" s="2761"/>
      <c r="I13" s="2761"/>
      <c r="J13" s="2761"/>
      <c r="K13" s="2761"/>
      <c r="L13" s="2761"/>
      <c r="M13" s="2761"/>
      <c r="N13" s="2761"/>
      <c r="O13" s="2761"/>
      <c r="P13" s="2761"/>
      <c r="Q13" s="2761"/>
      <c r="R13" s="2761"/>
      <c r="S13" s="2761"/>
      <c r="T13" s="2767">
        <f>SUM(T11:T12)</f>
        <v>86912</v>
      </c>
      <c r="U13" s="2761"/>
      <c r="V13" s="2767">
        <f>SUM(V11:V12)</f>
        <v>0</v>
      </c>
      <c r="W13" s="2761"/>
      <c r="X13" s="2754"/>
      <c r="Y13" s="2761"/>
      <c r="Z13" s="2761"/>
      <c r="AB13" s="2764"/>
      <c r="AC13" s="2764"/>
      <c r="AD13" s="2764"/>
    </row>
    <row r="14" spans="1:30" ht="45" customHeight="1" thickTop="1">
      <c r="A14" s="103"/>
      <c r="D14" s="2722"/>
      <c r="E14" s="2723" t="s">
        <v>2566</v>
      </c>
      <c r="F14" s="2723" t="s">
        <v>2567</v>
      </c>
      <c r="G14" s="2724"/>
      <c r="H14" s="2722"/>
      <c r="I14" s="879"/>
      <c r="J14" s="879"/>
      <c r="K14" s="879"/>
      <c r="L14" s="879"/>
      <c r="M14" s="879"/>
      <c r="N14" s="879"/>
      <c r="O14" s="879"/>
      <c r="P14" s="879"/>
      <c r="Q14" s="879"/>
      <c r="R14" s="879"/>
      <c r="S14" s="879"/>
      <c r="T14" s="1295"/>
      <c r="U14" s="879"/>
      <c r="V14" s="1295"/>
      <c r="W14" s="879"/>
      <c r="X14" s="2203"/>
      <c r="Y14" s="879"/>
      <c r="Z14" s="879"/>
    </row>
    <row r="15" spans="1:30" ht="45" customHeight="1">
      <c r="A15" s="103"/>
      <c r="B15" s="2722"/>
      <c r="C15" s="2723"/>
      <c r="D15" s="2723"/>
      <c r="E15" s="2723"/>
      <c r="F15" s="2722"/>
      <c r="G15" s="879"/>
      <c r="H15" s="879"/>
      <c r="I15" s="879"/>
      <c r="J15" s="879"/>
      <c r="K15" s="879"/>
      <c r="L15" s="879"/>
      <c r="M15" s="879"/>
      <c r="N15" s="879"/>
      <c r="O15" s="879"/>
      <c r="P15" s="879"/>
      <c r="Q15" s="879"/>
      <c r="R15" s="879"/>
      <c r="S15" s="879"/>
      <c r="T15" s="3193" t="s">
        <v>1950</v>
      </c>
      <c r="U15" s="3193"/>
      <c r="V15" s="3193"/>
      <c r="W15" s="879"/>
      <c r="X15" s="2755"/>
      <c r="Y15" s="879"/>
      <c r="Z15" s="879"/>
    </row>
    <row r="16" spans="1:30" ht="51" thickBot="1">
      <c r="B16" s="902"/>
      <c r="C16" s="902"/>
      <c r="D16" s="2768"/>
      <c r="E16" s="2769"/>
      <c r="F16" s="2770"/>
      <c r="G16" s="2771"/>
      <c r="H16" s="2772"/>
      <c r="I16" s="2772"/>
      <c r="J16" s="2772"/>
      <c r="K16" s="2772"/>
      <c r="L16" s="2773">
        <v>1401</v>
      </c>
      <c r="M16" s="2774"/>
      <c r="N16" s="2772"/>
      <c r="O16" s="2772"/>
      <c r="P16" s="2772"/>
      <c r="Q16" s="2772"/>
      <c r="R16" s="2772"/>
      <c r="S16" s="2772"/>
      <c r="T16" s="2775"/>
      <c r="U16" s="2769"/>
      <c r="V16" s="2776">
        <v>1400</v>
      </c>
      <c r="W16" s="2769"/>
      <c r="X16" s="2753"/>
      <c r="Y16" s="2777"/>
      <c r="Z16" s="2777"/>
    </row>
    <row r="17" spans="1:26" ht="51" thickBot="1">
      <c r="B17" s="903"/>
      <c r="C17" s="903"/>
      <c r="D17" s="2768"/>
      <c r="E17" s="2769"/>
      <c r="F17" s="3204" t="s">
        <v>639</v>
      </c>
      <c r="G17" s="2778"/>
      <c r="H17" s="3206" t="s">
        <v>710</v>
      </c>
      <c r="I17" s="2778"/>
      <c r="J17" s="3208" t="s">
        <v>1278</v>
      </c>
      <c r="K17" s="2778"/>
      <c r="L17" s="3210" t="s">
        <v>714</v>
      </c>
      <c r="M17" s="3210"/>
      <c r="N17" s="3210"/>
      <c r="O17" s="3210"/>
      <c r="P17" s="3210"/>
      <c r="Q17" s="3210"/>
      <c r="R17" s="3210"/>
      <c r="S17" s="3210"/>
      <c r="T17" s="3210"/>
      <c r="U17" s="2769"/>
      <c r="V17" s="3208" t="s">
        <v>1793</v>
      </c>
      <c r="W17" s="2769"/>
      <c r="X17" s="3199" t="s">
        <v>1164</v>
      </c>
      <c r="Y17" s="3199"/>
      <c r="Z17" s="3199"/>
    </row>
    <row r="18" spans="1:26" ht="51" thickBot="1">
      <c r="B18" s="904"/>
      <c r="C18" s="904"/>
      <c r="D18" s="2779"/>
      <c r="E18" s="2780"/>
      <c r="F18" s="3205"/>
      <c r="G18" s="2781"/>
      <c r="H18" s="3207"/>
      <c r="I18" s="2781"/>
      <c r="J18" s="3209"/>
      <c r="K18" s="2781"/>
      <c r="L18" s="2782" t="s">
        <v>711</v>
      </c>
      <c r="M18" s="2781"/>
      <c r="N18" s="2782" t="s">
        <v>712</v>
      </c>
      <c r="O18" s="2781"/>
      <c r="P18" s="2782" t="s">
        <v>632</v>
      </c>
      <c r="Q18" s="2781"/>
      <c r="R18" s="2782" t="s">
        <v>1279</v>
      </c>
      <c r="S18" s="2783"/>
      <c r="T18" s="2782" t="s">
        <v>1969</v>
      </c>
      <c r="U18" s="2784"/>
      <c r="V18" s="3209"/>
      <c r="W18" s="2769"/>
      <c r="X18" s="3211"/>
      <c r="Y18" s="3211"/>
      <c r="Z18" s="3211"/>
    </row>
    <row r="19" spans="1:26" ht="50.25">
      <c r="B19" s="904"/>
      <c r="C19" s="904"/>
      <c r="D19" s="2779"/>
      <c r="E19" s="2780"/>
      <c r="F19" s="2785">
        <v>1396</v>
      </c>
      <c r="G19" s="2783"/>
      <c r="H19" s="2786">
        <v>33083</v>
      </c>
      <c r="I19" s="2783"/>
      <c r="J19" s="2786">
        <v>33083</v>
      </c>
      <c r="K19" s="2783"/>
      <c r="L19" s="2787">
        <v>8271</v>
      </c>
      <c r="M19" s="2783"/>
      <c r="N19" s="2786">
        <v>748289</v>
      </c>
      <c r="O19" s="2786"/>
      <c r="P19" s="2786">
        <v>572534</v>
      </c>
      <c r="Q19" s="2786"/>
      <c r="R19" s="2786">
        <v>572534</v>
      </c>
      <c r="S19" s="2786"/>
      <c r="T19" s="2786"/>
      <c r="U19" s="2788"/>
      <c r="V19" s="2786">
        <v>533226</v>
      </c>
      <c r="W19" s="2783"/>
      <c r="X19" s="3199" t="s">
        <v>2427</v>
      </c>
      <c r="Y19" s="3199"/>
      <c r="Z19" s="2789"/>
    </row>
    <row r="20" spans="1:26" ht="50.25">
      <c r="B20" s="904"/>
      <c r="C20" s="904"/>
      <c r="D20" s="2779"/>
      <c r="E20" s="2780"/>
      <c r="F20" s="2785">
        <v>1399</v>
      </c>
      <c r="G20" s="2783"/>
      <c r="H20" s="2786">
        <v>-1734125</v>
      </c>
      <c r="I20" s="2783"/>
      <c r="J20" s="2786"/>
      <c r="K20" s="2783"/>
      <c r="L20" s="2787"/>
      <c r="M20" s="2783"/>
      <c r="N20" s="2786">
        <v>301115</v>
      </c>
      <c r="O20" s="2786"/>
      <c r="P20" s="2786">
        <v>280311</v>
      </c>
      <c r="Q20" s="2786"/>
      <c r="R20" s="2786">
        <v>280311</v>
      </c>
      <c r="S20" s="2786"/>
      <c r="T20" s="2786"/>
      <c r="U20" s="2788"/>
      <c r="V20" s="2786">
        <v>95000</v>
      </c>
      <c r="W20" s="2783"/>
      <c r="X20" s="3199" t="s">
        <v>2427</v>
      </c>
      <c r="Y20" s="3199"/>
      <c r="Z20" s="2789"/>
    </row>
    <row r="21" spans="1:26" s="105" customFormat="1" ht="50.25">
      <c r="A21" s="1340"/>
      <c r="B21" s="906"/>
      <c r="C21" s="1029"/>
      <c r="D21" s="2790"/>
      <c r="E21" s="2783"/>
      <c r="F21" s="2785">
        <v>1400</v>
      </c>
      <c r="G21" s="2783"/>
      <c r="H21" s="2786">
        <v>247086</v>
      </c>
      <c r="I21" s="2783"/>
      <c r="J21" s="2786">
        <v>247086</v>
      </c>
      <c r="K21" s="2783"/>
      <c r="L21" s="2787">
        <v>61771</v>
      </c>
      <c r="M21" s="2783"/>
      <c r="N21" s="2786">
        <v>884577</v>
      </c>
      <c r="O21" s="2786"/>
      <c r="P21" s="2786">
        <v>0</v>
      </c>
      <c r="Q21" s="2786"/>
      <c r="R21" s="2786">
        <v>0</v>
      </c>
      <c r="S21" s="2786"/>
      <c r="T21" s="2786">
        <v>181912</v>
      </c>
      <c r="U21" s="2788"/>
      <c r="V21" s="2786">
        <v>61771</v>
      </c>
      <c r="W21" s="2783"/>
      <c r="X21" s="3199" t="s">
        <v>2599</v>
      </c>
      <c r="Y21" s="3199"/>
      <c r="Z21" s="3199"/>
    </row>
    <row r="22" spans="1:26" s="105" customFormat="1" ht="50.25">
      <c r="A22" s="1340"/>
      <c r="B22" s="906"/>
      <c r="C22" s="1029"/>
      <c r="D22" s="2790"/>
      <c r="E22" s="2783"/>
      <c r="F22" s="2785">
        <v>1401</v>
      </c>
      <c r="G22" s="2783"/>
      <c r="H22" s="2786">
        <v>0</v>
      </c>
      <c r="I22" s="2783"/>
      <c r="J22" s="2786">
        <v>0</v>
      </c>
      <c r="K22" s="2783"/>
      <c r="L22" s="2786">
        <v>0</v>
      </c>
      <c r="M22" s="2783"/>
      <c r="N22" s="2786">
        <v>0</v>
      </c>
      <c r="O22" s="2786"/>
      <c r="P22" s="2786">
        <v>0</v>
      </c>
      <c r="Q22" s="2786"/>
      <c r="R22" s="2786">
        <v>0</v>
      </c>
      <c r="S22" s="2786"/>
      <c r="T22" s="2786">
        <v>0</v>
      </c>
      <c r="U22" s="2788"/>
      <c r="V22" s="2786">
        <v>0</v>
      </c>
      <c r="W22" s="2783"/>
      <c r="X22" s="3199" t="s">
        <v>2598</v>
      </c>
      <c r="Y22" s="3199"/>
      <c r="Z22" s="3199"/>
    </row>
    <row r="23" spans="1:26" s="105" customFormat="1" ht="50.25" hidden="1">
      <c r="A23" s="1340"/>
      <c r="B23" s="906"/>
      <c r="C23" s="1029"/>
      <c r="D23" s="2790"/>
      <c r="E23" s="2783"/>
      <c r="F23" s="2785"/>
      <c r="G23" s="2783"/>
      <c r="H23" s="2786"/>
      <c r="I23" s="2783"/>
      <c r="J23" s="2786"/>
      <c r="K23" s="2783"/>
      <c r="L23" s="2786"/>
      <c r="M23" s="2783"/>
      <c r="N23" s="2786"/>
      <c r="O23" s="2786"/>
      <c r="P23" s="2786"/>
      <c r="Q23" s="2786"/>
      <c r="R23" s="2786"/>
      <c r="S23" s="2786"/>
      <c r="T23" s="2786"/>
      <c r="U23" s="2788"/>
      <c r="V23" s="2786"/>
      <c r="W23" s="2783"/>
      <c r="X23" s="3199"/>
      <c r="Y23" s="3199"/>
      <c r="Z23" s="3199"/>
    </row>
    <row r="24" spans="1:26" s="105" customFormat="1" ht="50.25" hidden="1">
      <c r="A24" s="1340"/>
      <c r="B24" s="906"/>
      <c r="C24" s="1029"/>
      <c r="D24" s="2790"/>
      <c r="E24" s="2783"/>
      <c r="F24" s="2785"/>
      <c r="G24" s="2783"/>
      <c r="H24" s="2786"/>
      <c r="I24" s="2783"/>
      <c r="J24" s="2786"/>
      <c r="K24" s="2783"/>
      <c r="L24" s="2786"/>
      <c r="M24" s="2783"/>
      <c r="N24" s="2786"/>
      <c r="O24" s="2786"/>
      <c r="P24" s="2786"/>
      <c r="Q24" s="2786"/>
      <c r="R24" s="2786"/>
      <c r="S24" s="2786"/>
      <c r="T24" s="2786"/>
      <c r="U24" s="2788"/>
      <c r="V24" s="2786"/>
      <c r="W24" s="2783"/>
      <c r="X24" s="3199"/>
      <c r="Y24" s="3199"/>
      <c r="Z24" s="2789"/>
    </row>
    <row r="25" spans="1:26" s="105" customFormat="1" ht="50.25" hidden="1">
      <c r="A25" s="1340"/>
      <c r="B25" s="906"/>
      <c r="C25" s="1029"/>
      <c r="D25" s="2790"/>
      <c r="E25" s="2783"/>
      <c r="F25" s="2785"/>
      <c r="G25" s="2783"/>
      <c r="H25" s="2786"/>
      <c r="I25" s="2783"/>
      <c r="J25" s="2786"/>
      <c r="K25" s="2783"/>
      <c r="L25" s="2786"/>
      <c r="M25" s="2783"/>
      <c r="N25" s="2786"/>
      <c r="O25" s="2786"/>
      <c r="P25" s="2786"/>
      <c r="Q25" s="2786"/>
      <c r="R25" s="2786"/>
      <c r="S25" s="2786"/>
      <c r="T25" s="2786">
        <f>L25</f>
        <v>0</v>
      </c>
      <c r="U25" s="2788"/>
      <c r="V25" s="2786">
        <v>0</v>
      </c>
      <c r="W25" s="2783"/>
      <c r="X25" s="3199"/>
      <c r="Y25" s="3199"/>
      <c r="Z25" s="2789"/>
    </row>
    <row r="26" spans="1:26" s="105" customFormat="1" ht="50.25">
      <c r="A26" s="1340">
        <v>602</v>
      </c>
      <c r="B26" s="906"/>
      <c r="C26" s="906"/>
      <c r="D26" s="2790"/>
      <c r="E26" s="2791"/>
      <c r="F26" s="2785"/>
      <c r="G26" s="2788"/>
      <c r="H26" s="2788"/>
      <c r="I26" s="2788"/>
      <c r="J26" s="2788"/>
      <c r="K26" s="2788"/>
      <c r="L26" s="2788"/>
      <c r="M26" s="2783"/>
      <c r="N26" s="2786"/>
      <c r="O26" s="2786"/>
      <c r="P26" s="2786"/>
      <c r="Q26" s="2786"/>
      <c r="R26" s="2786"/>
      <c r="S26" s="2786"/>
      <c r="T26" s="2792">
        <f>SUM(T21:T24)</f>
        <v>181912</v>
      </c>
      <c r="U26" s="2788"/>
      <c r="V26" s="2792">
        <f>SUM(V19:V22)</f>
        <v>689997</v>
      </c>
      <c r="W26" s="2783"/>
      <c r="X26" s="2789"/>
      <c r="Y26" s="2789"/>
      <c r="Z26" s="2789"/>
    </row>
    <row r="27" spans="1:26" s="105" customFormat="1" ht="32.25" customHeight="1">
      <c r="A27" s="1340"/>
      <c r="B27" s="906"/>
      <c r="C27" s="906"/>
      <c r="D27" s="2793"/>
      <c r="E27" s="2788"/>
      <c r="F27" s="2788"/>
      <c r="G27" s="2786"/>
      <c r="H27" s="2786"/>
      <c r="I27" s="2794"/>
      <c r="J27" s="2795"/>
      <c r="K27" s="2788"/>
      <c r="L27" s="2788"/>
      <c r="M27" s="2783"/>
      <c r="N27" s="2786"/>
      <c r="O27" s="2786"/>
      <c r="P27" s="2786"/>
      <c r="Q27" s="2786"/>
      <c r="R27" s="2786"/>
      <c r="S27" s="2786"/>
      <c r="T27" s="2796">
        <v>-95000</v>
      </c>
      <c r="U27" s="2786"/>
      <c r="V27" s="2797">
        <f>'21'!J30</f>
        <v>-689997</v>
      </c>
      <c r="W27" s="2783"/>
      <c r="X27" s="2783"/>
      <c r="Y27" s="2798"/>
      <c r="Z27" s="2799"/>
    </row>
    <row r="28" spans="1:26" ht="32.25" customHeight="1" thickBot="1">
      <c r="D28" s="2800"/>
      <c r="E28" s="2777"/>
      <c r="F28" s="2777"/>
      <c r="G28" s="2777"/>
      <c r="H28" s="2777"/>
      <c r="I28" s="2777"/>
      <c r="J28" s="2777"/>
      <c r="K28" s="2777"/>
      <c r="L28" s="2777"/>
      <c r="M28" s="2777"/>
      <c r="N28" s="2777"/>
      <c r="O28" s="2777"/>
      <c r="P28" s="2777"/>
      <c r="Q28" s="2777"/>
      <c r="R28" s="2777"/>
      <c r="S28" s="2777"/>
      <c r="T28" s="2801">
        <f>SUM(T26:T27)</f>
        <v>86912</v>
      </c>
      <c r="U28" s="2777"/>
      <c r="V28" s="2801">
        <f>SUM(V26:V27)</f>
        <v>0</v>
      </c>
      <c r="W28" s="2777"/>
      <c r="X28" s="2753"/>
      <c r="Y28" s="2777"/>
      <c r="Z28" s="2777"/>
    </row>
    <row r="29" spans="1:26" ht="22.5" customHeight="1" thickTop="1">
      <c r="A29" s="1068"/>
    </row>
    <row r="30" spans="1:26" s="105" customFormat="1" ht="3" customHeight="1">
      <c r="A30" s="1340"/>
      <c r="B30" s="905"/>
      <c r="C30" s="103"/>
      <c r="D30" s="103"/>
      <c r="E30" s="103"/>
      <c r="F30" s="103"/>
      <c r="G30" s="103"/>
      <c r="H30" s="103"/>
      <c r="I30" s="103"/>
      <c r="J30" s="103"/>
      <c r="K30" s="103"/>
      <c r="L30" s="103"/>
      <c r="M30" s="103"/>
      <c r="N30" s="103"/>
      <c r="O30" s="103"/>
      <c r="P30" s="103"/>
      <c r="Q30" s="103"/>
      <c r="R30" s="103"/>
      <c r="S30" s="103"/>
      <c r="T30" s="103"/>
      <c r="U30" s="103"/>
      <c r="V30" s="103"/>
      <c r="W30" s="103"/>
      <c r="X30" s="104"/>
      <c r="Y30" s="103"/>
      <c r="Z30" s="103"/>
    </row>
    <row r="31" spans="1:26" ht="42" customHeight="1">
      <c r="C31" s="105"/>
      <c r="D31" s="1044"/>
      <c r="E31" s="106"/>
      <c r="F31" s="3200"/>
      <c r="G31" s="3200"/>
      <c r="H31" s="3200"/>
      <c r="I31" s="3200"/>
      <c r="J31" s="3200"/>
      <c r="K31" s="3200"/>
      <c r="L31" s="3200"/>
      <c r="M31" s="3200"/>
      <c r="N31" s="3200"/>
      <c r="O31" s="3200"/>
      <c r="P31" s="3200"/>
      <c r="Q31" s="3200"/>
      <c r="R31" s="3200"/>
      <c r="S31" s="3200"/>
      <c r="T31" s="3200"/>
      <c r="U31" s="3200"/>
      <c r="V31" s="3200"/>
      <c r="W31" s="3200"/>
      <c r="X31" s="3200"/>
      <c r="Y31" s="3200"/>
      <c r="Z31" s="3200"/>
    </row>
    <row r="32" spans="1:26" ht="69" customHeight="1">
      <c r="C32" s="105"/>
      <c r="D32" s="2802" t="s">
        <v>2568</v>
      </c>
      <c r="E32" s="2803"/>
      <c r="F32" s="3202" t="s">
        <v>2449</v>
      </c>
      <c r="G32" s="3202"/>
      <c r="H32" s="3202"/>
      <c r="I32" s="3202"/>
      <c r="J32" s="3202"/>
      <c r="K32" s="3202"/>
      <c r="L32" s="3202"/>
      <c r="M32" s="3202"/>
      <c r="N32" s="3202"/>
      <c r="O32" s="3202"/>
      <c r="P32" s="3202"/>
      <c r="Q32" s="3202"/>
      <c r="R32" s="3202"/>
      <c r="S32" s="3202"/>
      <c r="T32" s="3202"/>
      <c r="U32" s="3202"/>
      <c r="V32" s="3202"/>
      <c r="W32" s="3202"/>
      <c r="X32" s="3202"/>
      <c r="Y32" s="3202"/>
      <c r="Z32" s="3202"/>
    </row>
    <row r="33" spans="1:42" ht="69" customHeight="1">
      <c r="C33" s="105"/>
      <c r="D33" s="2802" t="s">
        <v>2569</v>
      </c>
      <c r="E33" s="2803"/>
      <c r="F33" s="3202" t="s">
        <v>2450</v>
      </c>
      <c r="G33" s="3202"/>
      <c r="H33" s="3202"/>
      <c r="I33" s="3202"/>
      <c r="J33" s="3202"/>
      <c r="K33" s="3202"/>
      <c r="L33" s="3202"/>
      <c r="M33" s="3202"/>
      <c r="N33" s="3202"/>
      <c r="O33" s="3202"/>
      <c r="P33" s="3202"/>
      <c r="Q33" s="3202"/>
      <c r="R33" s="3202"/>
      <c r="S33" s="3202"/>
      <c r="T33" s="3202"/>
      <c r="U33" s="3202"/>
      <c r="V33" s="3202"/>
      <c r="W33" s="3202"/>
      <c r="X33" s="3202"/>
      <c r="Y33" s="3202"/>
      <c r="Z33" s="3202"/>
    </row>
    <row r="34" spans="1:42" ht="69" customHeight="1">
      <c r="C34" s="105"/>
      <c r="D34" s="2802" t="s">
        <v>2570</v>
      </c>
      <c r="E34" s="2803"/>
      <c r="F34" s="3202" t="s">
        <v>2451</v>
      </c>
      <c r="G34" s="3202"/>
      <c r="H34" s="3202"/>
      <c r="I34" s="3202"/>
      <c r="J34" s="3202"/>
      <c r="K34" s="3202"/>
      <c r="L34" s="3202"/>
      <c r="M34" s="3202"/>
      <c r="N34" s="3202"/>
      <c r="O34" s="3202"/>
      <c r="P34" s="3202"/>
      <c r="Q34" s="3202"/>
      <c r="R34" s="3202"/>
      <c r="S34" s="3202"/>
      <c r="T34" s="3202"/>
      <c r="U34" s="3202"/>
      <c r="V34" s="3202"/>
      <c r="W34" s="3202"/>
      <c r="X34" s="3202"/>
      <c r="Y34" s="3202"/>
      <c r="Z34" s="3202"/>
    </row>
    <row r="35" spans="1:42" ht="69" customHeight="1">
      <c r="C35" s="105"/>
      <c r="D35" s="2802" t="s">
        <v>2571</v>
      </c>
      <c r="E35" s="2803"/>
      <c r="F35" s="3202" t="s">
        <v>2375</v>
      </c>
      <c r="G35" s="3202"/>
      <c r="H35" s="3202"/>
      <c r="I35" s="3202"/>
      <c r="J35" s="3202"/>
      <c r="K35" s="3202"/>
      <c r="L35" s="3202"/>
      <c r="M35" s="3202"/>
      <c r="N35" s="3202"/>
      <c r="O35" s="3202"/>
      <c r="P35" s="3202"/>
      <c r="Q35" s="3202"/>
      <c r="R35" s="3202"/>
      <c r="S35" s="3202"/>
      <c r="T35" s="3202"/>
      <c r="U35" s="3202"/>
      <c r="V35" s="3202"/>
      <c r="W35" s="3202"/>
      <c r="X35" s="3202"/>
      <c r="Y35" s="3202"/>
      <c r="Z35" s="3202"/>
    </row>
    <row r="36" spans="1:42" ht="83.25" customHeight="1">
      <c r="C36" s="1092"/>
      <c r="D36" s="2299"/>
      <c r="E36" s="107"/>
      <c r="F36" s="2459"/>
      <c r="G36" s="2459"/>
      <c r="H36" s="2459"/>
      <c r="I36" s="2459"/>
      <c r="J36" s="2459"/>
      <c r="K36" s="2459"/>
      <c r="L36" s="2459"/>
      <c r="M36" s="2459"/>
      <c r="N36" s="2459"/>
      <c r="O36" s="2459"/>
      <c r="P36" s="2459"/>
      <c r="Q36" s="2459"/>
      <c r="R36" s="2804"/>
      <c r="S36" s="2804"/>
      <c r="T36" s="2804"/>
      <c r="U36" s="2804"/>
      <c r="V36" s="2804"/>
      <c r="W36" s="2804"/>
      <c r="X36" s="2754" t="s">
        <v>1950</v>
      </c>
      <c r="Y36" s="2459"/>
      <c r="Z36" s="2459"/>
      <c r="AA36" s="108"/>
    </row>
    <row r="37" spans="1:42" ht="83.25" customHeight="1">
      <c r="P37" s="918"/>
      <c r="Q37" s="107"/>
      <c r="R37" s="2805" t="s">
        <v>1690</v>
      </c>
      <c r="S37" s="2806"/>
      <c r="T37" s="2807" t="s">
        <v>1691</v>
      </c>
      <c r="U37" s="2806"/>
      <c r="V37" s="2807" t="s">
        <v>1976</v>
      </c>
      <c r="W37" s="2806"/>
      <c r="X37" s="2805" t="s">
        <v>1698</v>
      </c>
      <c r="Y37" s="968"/>
      <c r="AB37" s="103"/>
      <c r="AC37" s="103"/>
      <c r="AD37" s="103"/>
      <c r="AF37" s="957"/>
      <c r="AG37" s="957"/>
      <c r="AH37" s="957"/>
      <c r="AI37" s="957"/>
      <c r="AJ37" s="957"/>
      <c r="AK37" s="957"/>
      <c r="AL37" s="957"/>
      <c r="AM37" s="108"/>
      <c r="AN37"/>
      <c r="AO37"/>
      <c r="AP37"/>
    </row>
    <row r="38" spans="1:42" ht="32.25" customHeight="1">
      <c r="P38" s="918"/>
      <c r="Q38" s="107"/>
      <c r="R38" s="2808"/>
      <c r="S38" s="2806"/>
      <c r="T38" s="2809"/>
      <c r="U38" s="2806"/>
      <c r="V38" s="2809"/>
      <c r="W38" s="2806"/>
      <c r="X38" s="2809"/>
      <c r="Y38" s="968"/>
      <c r="AB38" s="103"/>
      <c r="AC38" s="103"/>
      <c r="AD38" s="103"/>
      <c r="AF38" s="968"/>
      <c r="AG38" s="968"/>
      <c r="AH38" s="968"/>
      <c r="AI38" s="968"/>
      <c r="AJ38" s="968"/>
      <c r="AK38" s="968"/>
      <c r="AL38" s="968"/>
      <c r="AM38" s="108"/>
      <c r="AN38"/>
      <c r="AO38"/>
      <c r="AP38"/>
    </row>
    <row r="39" spans="1:42" s="960" customFormat="1" ht="43.5" customHeight="1">
      <c r="A39" s="1326"/>
      <c r="R39" s="2810">
        <v>1400</v>
      </c>
      <c r="S39" s="2811"/>
      <c r="T39" s="1280">
        <v>-181912</v>
      </c>
      <c r="U39" s="2812"/>
      <c r="V39" s="1261">
        <v>884577</v>
      </c>
      <c r="W39" s="2812"/>
      <c r="X39" s="1280">
        <f>V39+T39</f>
        <v>702665</v>
      </c>
    </row>
    <row r="40" spans="1:42" s="960" customFormat="1" ht="43.5" customHeight="1" thickBot="1">
      <c r="A40" s="1326"/>
      <c r="N40" s="1326"/>
      <c r="O40" s="1326"/>
      <c r="P40" s="1326"/>
      <c r="R40" s="2811"/>
      <c r="S40" s="2811"/>
      <c r="T40" s="2767">
        <f>SUM(T39:T39)</f>
        <v>-181912</v>
      </c>
      <c r="U40" s="2812" t="e">
        <f>SUM(#REF!)</f>
        <v>#REF!</v>
      </c>
      <c r="V40" s="2767">
        <f>SUM(V39:V39)</f>
        <v>884577</v>
      </c>
      <c r="W40" s="2812"/>
      <c r="X40" s="2767">
        <f>SUM(X39:X39)</f>
        <v>702665</v>
      </c>
    </row>
    <row r="41" spans="1:42" s="960" customFormat="1" ht="15" customHeight="1" thickTop="1">
      <c r="A41" s="1326"/>
      <c r="N41" s="1326"/>
      <c r="O41" s="1326"/>
      <c r="P41" s="1326"/>
      <c r="T41" s="1295"/>
      <c r="U41" s="1325"/>
      <c r="V41" s="1295"/>
      <c r="W41" s="1325"/>
      <c r="X41" s="1295"/>
    </row>
    <row r="42" spans="1:42" s="960" customFormat="1" ht="37.5" customHeight="1">
      <c r="A42" s="1326"/>
      <c r="N42" s="1326"/>
      <c r="O42" s="1326"/>
      <c r="P42" s="1326"/>
      <c r="T42" s="1295"/>
      <c r="U42" s="1325"/>
      <c r="V42" s="1295"/>
      <c r="W42" s="1325"/>
      <c r="X42" s="1295"/>
    </row>
    <row r="43" spans="1:42" ht="0.75" customHeight="1">
      <c r="B43" s="103"/>
      <c r="C43" s="103"/>
      <c r="D43" s="103"/>
      <c r="X43" s="103"/>
    </row>
    <row r="44" spans="1:42" ht="228" customHeight="1">
      <c r="B44" s="3201">
        <v>26</v>
      </c>
      <c r="C44" s="3201"/>
      <c r="D44" s="3201"/>
      <c r="E44" s="3201"/>
      <c r="F44" s="3201"/>
      <c r="G44" s="3201"/>
      <c r="H44" s="3201"/>
      <c r="I44" s="3201"/>
      <c r="J44" s="3201"/>
      <c r="K44" s="3201"/>
      <c r="L44" s="3201"/>
      <c r="M44" s="3201"/>
      <c r="N44" s="3201"/>
      <c r="O44" s="3201"/>
      <c r="P44" s="3201"/>
      <c r="Q44" s="3201"/>
      <c r="R44" s="3201"/>
      <c r="S44" s="3201"/>
      <c r="T44" s="3201"/>
      <c r="U44" s="3201"/>
      <c r="V44" s="3201"/>
      <c r="W44" s="3201"/>
      <c r="X44" s="3201"/>
      <c r="Y44" s="3201"/>
      <c r="Z44" s="3201"/>
      <c r="AA44" s="108"/>
    </row>
    <row r="46" spans="1:42" ht="211.5" customHeight="1">
      <c r="C46" s="907" t="s">
        <v>1550</v>
      </c>
      <c r="D46" s="3200" t="s">
        <v>1554</v>
      </c>
      <c r="E46" s="3200"/>
      <c r="F46" s="3200"/>
      <c r="G46" s="3200"/>
      <c r="H46" s="3200"/>
      <c r="I46" s="3200"/>
      <c r="J46" s="3200"/>
      <c r="K46" s="3200"/>
      <c r="L46" s="3200"/>
      <c r="M46" s="3200"/>
      <c r="N46" s="3200"/>
      <c r="O46" s="3200"/>
      <c r="P46" s="3200"/>
      <c r="Q46" s="3200"/>
      <c r="R46" s="3200"/>
      <c r="S46" s="3200"/>
      <c r="T46" s="3200"/>
      <c r="U46" s="3200"/>
      <c r="V46" s="3200"/>
      <c r="W46" s="3200"/>
      <c r="X46" s="3200"/>
      <c r="Y46" s="3200"/>
      <c r="Z46" s="3200"/>
      <c r="AA46" s="108"/>
    </row>
    <row r="49" spans="8:30">
      <c r="N49" s="928"/>
      <c r="O49" s="928"/>
      <c r="P49" s="928"/>
    </row>
    <row r="53" spans="8:30">
      <c r="AB53" s="103"/>
      <c r="AC53" s="103"/>
      <c r="AD53" s="103"/>
    </row>
    <row r="55" spans="8:30">
      <c r="H55" s="1216"/>
    </row>
    <row r="67" spans="10:10">
      <c r="J67" s="103">
        <v>-7717613</v>
      </c>
    </row>
  </sheetData>
  <mergeCells count="25">
    <mergeCell ref="T15:V15"/>
    <mergeCell ref="A2:Z2"/>
    <mergeCell ref="A3:Z3"/>
    <mergeCell ref="A4:Z4"/>
    <mergeCell ref="X22:Z22"/>
    <mergeCell ref="F17:F18"/>
    <mergeCell ref="H17:H18"/>
    <mergeCell ref="J17:J18"/>
    <mergeCell ref="L17:T17"/>
    <mergeCell ref="V17:V18"/>
    <mergeCell ref="X17:Z18"/>
    <mergeCell ref="X21:Z21"/>
    <mergeCell ref="X19:Y19"/>
    <mergeCell ref="X20:Y20"/>
    <mergeCell ref="T6:V6"/>
    <mergeCell ref="X23:Z23"/>
    <mergeCell ref="F31:Z31"/>
    <mergeCell ref="B44:Z44"/>
    <mergeCell ref="D46:Z46"/>
    <mergeCell ref="F34:Z34"/>
    <mergeCell ref="X24:Y24"/>
    <mergeCell ref="F32:Z32"/>
    <mergeCell ref="F35:Z35"/>
    <mergeCell ref="X25:Y25"/>
    <mergeCell ref="F33:Z33"/>
  </mergeCells>
  <printOptions horizontalCentered="1" verticalCentered="1"/>
  <pageMargins left="0" right="0" top="0.17" bottom="0" header="0.17" footer="0"/>
  <pageSetup paperSize="9" scale="30" orientation="portrait" r:id="rId1"/>
  <colBreaks count="1" manualBreakCount="1">
    <brk id="26" max="3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S43"/>
  <sheetViews>
    <sheetView rightToLeft="1" view="pageBreakPreview" topLeftCell="A11" zoomScale="50" zoomScaleNormal="40" zoomScaleSheetLayoutView="50" workbookViewId="0">
      <selection activeCell="I15" sqref="I15"/>
    </sheetView>
  </sheetViews>
  <sheetFormatPr defaultColWidth="1.375" defaultRowHeight="34.5" customHeight="1"/>
  <cols>
    <col min="1" max="1" width="3.75" style="1339" customWidth="1"/>
    <col min="2" max="2" width="12.5" style="1661" customWidth="1"/>
    <col min="3" max="3" width="8.875" style="1661" customWidth="1"/>
    <col min="4" max="4" width="29.25" style="1661" customWidth="1"/>
    <col min="5" max="5" width="20.25" style="1661" customWidth="1"/>
    <col min="6" max="6" width="2.125" style="1661" customWidth="1"/>
    <col min="7" max="7" width="18" style="1661" customWidth="1"/>
    <col min="8" max="8" width="3.25" style="1661" customWidth="1"/>
    <col min="9" max="9" width="16.875" style="1661" customWidth="1"/>
    <col min="10" max="10" width="33" style="1661" customWidth="1"/>
    <col min="11" max="11" width="23" style="1661" customWidth="1"/>
    <col min="12" max="12" width="3" style="1661" customWidth="1"/>
    <col min="13" max="13" width="23.375" style="1661" customWidth="1"/>
    <col min="14" max="14" width="0.625" style="1661" customWidth="1"/>
    <col min="15" max="15" width="22.625" style="1661" customWidth="1"/>
    <col min="16" max="16" width="1.375" style="1661"/>
    <col min="17" max="17" width="19.875" style="1661" customWidth="1"/>
    <col min="18" max="16384" width="1.375" style="1661"/>
  </cols>
  <sheetData>
    <row r="1" spans="1:14" s="228" customFormat="1" ht="40.5" customHeight="1">
      <c r="A1" s="3218" t="s">
        <v>612</v>
      </c>
      <c r="B1" s="3218"/>
      <c r="C1" s="3218"/>
      <c r="D1" s="3218"/>
      <c r="E1" s="3218"/>
      <c r="F1" s="3218"/>
      <c r="G1" s="3218"/>
      <c r="H1" s="3218"/>
      <c r="I1" s="3218"/>
      <c r="J1" s="3218"/>
      <c r="K1" s="3218"/>
      <c r="L1" s="3218"/>
      <c r="M1" s="3218"/>
      <c r="N1" s="3218"/>
    </row>
    <row r="2" spans="1:14" s="228" customFormat="1" ht="40.5" customHeight="1">
      <c r="A2" s="3218" t="str">
        <f>مفروضات!A2</f>
        <v>يادداشت هاي توضيحي صورت هاي مالي</v>
      </c>
      <c r="B2" s="3218"/>
      <c r="C2" s="3218"/>
      <c r="D2" s="3218"/>
      <c r="E2" s="3218"/>
      <c r="F2" s="3218"/>
      <c r="G2" s="3218"/>
      <c r="H2" s="3218"/>
      <c r="I2" s="3218"/>
      <c r="J2" s="3218"/>
      <c r="K2" s="3218"/>
      <c r="L2" s="3218"/>
      <c r="M2" s="3218"/>
      <c r="N2" s="3218"/>
    </row>
    <row r="3" spans="1:14" s="228" customFormat="1" ht="40.5" customHeight="1">
      <c r="A3" s="3218" t="str">
        <f>مفروضات!A3</f>
        <v xml:space="preserve"> سال مالي منتهي به 29 اسفند 1401</v>
      </c>
      <c r="B3" s="3218"/>
      <c r="C3" s="3218"/>
      <c r="D3" s="3218"/>
      <c r="E3" s="3218"/>
      <c r="F3" s="3218"/>
      <c r="G3" s="3218"/>
      <c r="H3" s="3218"/>
      <c r="I3" s="3218"/>
      <c r="J3" s="3218"/>
      <c r="K3" s="3218"/>
      <c r="L3" s="3218"/>
      <c r="M3" s="3218"/>
      <c r="N3" s="3218"/>
    </row>
    <row r="4" spans="1:14" s="230" customFormat="1" ht="9" customHeight="1">
      <c r="A4" s="1508"/>
      <c r="C4" s="1327"/>
      <c r="D4" s="1240"/>
      <c r="E4" s="1327"/>
      <c r="F4" s="1327"/>
      <c r="G4" s="1327"/>
      <c r="H4" s="177"/>
      <c r="I4" s="177"/>
      <c r="J4" s="177"/>
      <c r="K4" s="177"/>
      <c r="L4" s="1327"/>
      <c r="M4" s="1328"/>
    </row>
    <row r="5" spans="1:14" s="255" customFormat="1" ht="39" customHeight="1">
      <c r="A5" s="1823"/>
      <c r="B5" s="1333">
        <v>-21</v>
      </c>
      <c r="C5" s="3215" t="s">
        <v>2012</v>
      </c>
      <c r="D5" s="3215"/>
      <c r="E5" s="1329"/>
      <c r="F5" s="1329"/>
      <c r="G5" s="1329"/>
      <c r="H5" s="1329"/>
      <c r="I5" s="1329"/>
      <c r="J5" s="1330"/>
      <c r="K5" s="1330"/>
      <c r="L5" s="1330"/>
      <c r="M5" s="1330"/>
    </row>
    <row r="6" spans="1:14" s="255" customFormat="1" ht="30.75" customHeight="1">
      <c r="A6" s="1823"/>
      <c r="C6" s="1939"/>
      <c r="D6" s="1940"/>
      <c r="E6" s="1941"/>
      <c r="F6" s="1941"/>
      <c r="G6" s="1941"/>
      <c r="H6" s="1941"/>
      <c r="I6" s="1942"/>
      <c r="J6" s="1942"/>
      <c r="K6" s="3217" t="s">
        <v>1950</v>
      </c>
      <c r="L6" s="3217"/>
      <c r="M6" s="3217"/>
    </row>
    <row r="7" spans="1:14" s="255" customFormat="1" ht="83.25" customHeight="1">
      <c r="A7" s="1823"/>
      <c r="C7" s="1943"/>
      <c r="D7" s="1944"/>
      <c r="E7" s="1944"/>
      <c r="F7" s="1944"/>
      <c r="G7" s="1944"/>
      <c r="H7" s="1944"/>
      <c r="I7" s="1945"/>
      <c r="J7" s="1946"/>
      <c r="K7" s="1808">
        <v>1401</v>
      </c>
      <c r="L7" s="1678"/>
      <c r="M7" s="1681">
        <v>1400</v>
      </c>
    </row>
    <row r="8" spans="1:14" s="255" customFormat="1" ht="30.75" hidden="1" customHeight="1">
      <c r="A8" s="1823"/>
      <c r="C8" s="1331"/>
      <c r="D8" s="1942"/>
      <c r="E8" s="1942"/>
      <c r="F8" s="1942"/>
      <c r="G8" s="1942"/>
      <c r="H8" s="1942"/>
      <c r="I8" s="1942"/>
      <c r="J8" s="1942"/>
      <c r="K8" s="1935"/>
      <c r="L8" s="1678"/>
      <c r="M8" s="1935"/>
    </row>
    <row r="9" spans="1:14" s="255" customFormat="1" ht="39.75" customHeight="1">
      <c r="A9" s="1823"/>
      <c r="C9" s="1331"/>
      <c r="D9" s="1947" t="s">
        <v>2161</v>
      </c>
      <c r="E9" s="1948"/>
      <c r="F9" s="1948"/>
      <c r="G9" s="1948"/>
      <c r="H9" s="1948"/>
      <c r="I9" s="1949"/>
      <c r="J9" s="1948"/>
      <c r="K9" s="1679">
        <f>'سود و زیان'!G17</f>
        <v>-2442528.5</v>
      </c>
      <c r="L9" s="1678"/>
      <c r="M9" s="1679">
        <f>'سود و زیان'!I17</f>
        <v>185315</v>
      </c>
    </row>
    <row r="10" spans="1:14" s="255" customFormat="1" ht="39.75" hidden="1" customHeight="1">
      <c r="A10" s="1823"/>
      <c r="C10" s="1331"/>
      <c r="D10" s="1947" t="s">
        <v>1936</v>
      </c>
      <c r="E10" s="1948"/>
      <c r="F10" s="1948"/>
      <c r="G10" s="1948"/>
      <c r="H10" s="1948"/>
      <c r="I10" s="1949"/>
      <c r="J10" s="1948"/>
      <c r="K10" s="1679"/>
      <c r="L10" s="1678"/>
      <c r="M10" s="1679"/>
    </row>
    <row r="11" spans="1:14" s="255" customFormat="1" ht="39" customHeight="1">
      <c r="A11" s="1823"/>
      <c r="C11" s="1331"/>
      <c r="D11" s="1947" t="s">
        <v>2153</v>
      </c>
      <c r="E11" s="1948"/>
      <c r="F11" s="1948"/>
      <c r="G11" s="1948"/>
      <c r="H11" s="1948"/>
      <c r="I11" s="1949"/>
      <c r="J11" s="1948"/>
      <c r="K11" s="1679">
        <v>0</v>
      </c>
      <c r="L11" s="1678"/>
      <c r="M11" s="1679">
        <v>61772</v>
      </c>
    </row>
    <row r="12" spans="1:14" s="255" customFormat="1" ht="39.75" hidden="1" customHeight="1">
      <c r="A12" s="1823"/>
      <c r="C12" s="1331"/>
      <c r="D12" s="1947" t="s">
        <v>1952</v>
      </c>
      <c r="E12" s="1948"/>
      <c r="F12" s="1948"/>
      <c r="G12" s="1948"/>
      <c r="H12" s="1948"/>
      <c r="I12" s="1949"/>
      <c r="J12" s="1948"/>
      <c r="K12" s="1679">
        <v>0</v>
      </c>
      <c r="L12" s="1678"/>
      <c r="M12" s="1679">
        <v>0</v>
      </c>
    </row>
    <row r="13" spans="1:14" s="255" customFormat="1" ht="39.75" customHeight="1">
      <c r="A13" s="1823"/>
      <c r="C13" s="1331"/>
      <c r="D13" s="1947" t="s">
        <v>1953</v>
      </c>
      <c r="E13" s="1948"/>
      <c r="F13" s="1948"/>
      <c r="G13" s="1948"/>
      <c r="H13" s="1948"/>
      <c r="I13" s="1949"/>
      <c r="J13" s="1948"/>
      <c r="K13" s="1679">
        <f>'25'!M35-'25'!O35</f>
        <v>720668</v>
      </c>
      <c r="L13" s="1678"/>
      <c r="M13" s="1679">
        <v>2130058</v>
      </c>
    </row>
    <row r="14" spans="1:14" s="255" customFormat="1" ht="39.75" customHeight="1">
      <c r="A14" s="1823"/>
      <c r="C14" s="1331"/>
      <c r="D14" s="1947" t="s">
        <v>1491</v>
      </c>
      <c r="E14" s="1948"/>
      <c r="F14" s="1948"/>
      <c r="G14" s="1948"/>
      <c r="H14" s="1948"/>
      <c r="I14" s="1949"/>
      <c r="J14" s="1948"/>
      <c r="K14" s="1679">
        <f>'11'!H25+'11'!T25</f>
        <v>3497326</v>
      </c>
      <c r="L14" s="1678"/>
      <c r="M14" s="1679">
        <v>1759017</v>
      </c>
    </row>
    <row r="15" spans="1:14" s="255" customFormat="1" ht="39.75" customHeight="1">
      <c r="A15" s="1823"/>
      <c r="C15" s="1331"/>
      <c r="D15" s="1947"/>
      <c r="E15" s="1948"/>
      <c r="F15" s="1948"/>
      <c r="G15" s="1948"/>
      <c r="H15" s="1948"/>
      <c r="I15" s="1949"/>
      <c r="J15" s="1948"/>
      <c r="K15" s="1950">
        <f>SUM(K11:K14)+K9</f>
        <v>1775465.5</v>
      </c>
      <c r="L15" s="1678"/>
      <c r="M15" s="1950">
        <f>SUM(M11:M14)+M9</f>
        <v>4136162</v>
      </c>
    </row>
    <row r="16" spans="1:14" s="255" customFormat="1" ht="39.75" customHeight="1">
      <c r="A16" s="1823"/>
      <c r="C16" s="1331"/>
      <c r="D16" s="1947" t="s">
        <v>2077</v>
      </c>
      <c r="E16" s="1948"/>
      <c r="F16" s="1948"/>
      <c r="G16" s="1948"/>
      <c r="H16" s="1948"/>
      <c r="I16" s="1949"/>
      <c r="J16" s="1948"/>
      <c r="K16" s="1679">
        <f>-('وضعیت مالی'!G13+'وضعیت مالی'!G18-'وضعیت مالی'!I18-'وضعیت مالی'!I13+'صورت جریان نقدی'!H21)</f>
        <v>-3155926</v>
      </c>
      <c r="L16" s="1678"/>
      <c r="M16" s="1679">
        <v>-2769478</v>
      </c>
    </row>
    <row r="17" spans="1:19" s="255" customFormat="1" ht="39.75" customHeight="1">
      <c r="A17" s="1823"/>
      <c r="C17" s="1331"/>
      <c r="D17" s="1947" t="s">
        <v>2051</v>
      </c>
      <c r="E17" s="1948"/>
      <c r="F17" s="1948"/>
      <c r="G17" s="1948"/>
      <c r="H17" s="1948"/>
      <c r="I17" s="1949"/>
      <c r="J17" s="1948"/>
      <c r="K17" s="1679">
        <f>-('وضعیت مالی'!G17-'وضعیت مالی'!I17)</f>
        <v>-204234</v>
      </c>
      <c r="L17" s="1678"/>
      <c r="M17" s="1679">
        <v>-628860</v>
      </c>
      <c r="Q17" s="255" t="s">
        <v>2036</v>
      </c>
    </row>
    <row r="18" spans="1:19" s="255" customFormat="1" ht="39.75" customHeight="1">
      <c r="A18" s="1068" t="s">
        <v>2181</v>
      </c>
      <c r="C18" s="1331"/>
      <c r="D18" s="1947" t="s">
        <v>2052</v>
      </c>
      <c r="E18" s="1948"/>
      <c r="F18" s="1948"/>
      <c r="G18" s="1948"/>
      <c r="H18" s="1948"/>
      <c r="I18" s="1949"/>
      <c r="J18" s="1948"/>
      <c r="K18" s="1679">
        <f>'وضعیت مالی'!I16-'وضعیت مالی'!G16</f>
        <v>-139476</v>
      </c>
      <c r="L18" s="1678"/>
      <c r="M18" s="1679">
        <v>-77668</v>
      </c>
      <c r="Q18" s="1734" t="e">
        <f>'23-24'!T30+'وضعیت مالی'!P31</f>
        <v>#REF!</v>
      </c>
    </row>
    <row r="19" spans="1:19" s="255" customFormat="1" ht="37.5" customHeight="1">
      <c r="A19" s="1823"/>
      <c r="C19" s="1331"/>
      <c r="D19" s="1947" t="s">
        <v>2456</v>
      </c>
      <c r="E19" s="1948"/>
      <c r="F19" s="1948"/>
      <c r="G19" s="1948"/>
      <c r="H19" s="1948"/>
      <c r="I19" s="1949"/>
      <c r="J19" s="1948"/>
      <c r="K19" s="1679">
        <v>3669606.5</v>
      </c>
      <c r="L19" s="1678"/>
      <c r="M19" s="1679">
        <v>-89819</v>
      </c>
      <c r="O19" s="1679"/>
      <c r="Q19" s="1734">
        <f>'23-24'!T31+'وضعیت مالی'!P32</f>
        <v>0</v>
      </c>
    </row>
    <row r="20" spans="1:19" s="255" customFormat="1" ht="39.75" hidden="1" customHeight="1" thickBot="1">
      <c r="A20" s="1823"/>
      <c r="C20" s="1331"/>
      <c r="D20" s="1947" t="s">
        <v>2053</v>
      </c>
      <c r="E20" s="1948"/>
      <c r="F20" s="1948"/>
      <c r="G20" s="1948"/>
      <c r="H20" s="1948"/>
      <c r="I20" s="1949"/>
      <c r="J20" s="1948"/>
      <c r="K20" s="1679"/>
      <c r="L20" s="1678"/>
      <c r="M20" s="1679"/>
      <c r="O20" s="1952">
        <f>K19+K20</f>
        <v>3669606.5</v>
      </c>
      <c r="Q20" s="1952">
        <f>+M19+M20</f>
        <v>-89819</v>
      </c>
      <c r="S20" s="1952"/>
    </row>
    <row r="21" spans="1:19" s="255" customFormat="1" ht="39.75" hidden="1" customHeight="1" thickBot="1">
      <c r="A21" s="1823"/>
      <c r="C21" s="1331"/>
      <c r="D21" s="1947" t="s">
        <v>2054</v>
      </c>
      <c r="E21" s="1948"/>
      <c r="F21" s="1948"/>
      <c r="G21" s="1948"/>
      <c r="H21" s="1948"/>
      <c r="I21" s="1949"/>
      <c r="J21" s="1948"/>
      <c r="K21" s="1951"/>
      <c r="L21" s="1678"/>
      <c r="M21" s="1951">
        <v>0</v>
      </c>
      <c r="O21" s="1952">
        <f>'صورت جریان نقدی'!H30</f>
        <v>0</v>
      </c>
      <c r="Q21" s="1952">
        <f>M22-1434881</f>
        <v>-864544</v>
      </c>
    </row>
    <row r="22" spans="1:19" s="255" customFormat="1" ht="39.75" customHeight="1" thickBot="1">
      <c r="A22" s="614"/>
      <c r="C22" s="1331"/>
      <c r="D22" s="1947" t="s">
        <v>1949</v>
      </c>
      <c r="E22" s="1953"/>
      <c r="F22" s="1953"/>
      <c r="G22" s="1953"/>
      <c r="H22" s="1953"/>
      <c r="I22" s="1953"/>
      <c r="J22" s="1953"/>
      <c r="K22" s="1954">
        <f>K15+K16+K17+K18+K19+K20+K21</f>
        <v>1945436</v>
      </c>
      <c r="L22" s="1955">
        <f>L9+L15+L16+L17+L18+L19+L20+L21</f>
        <v>0</v>
      </c>
      <c r="M22" s="1954">
        <f>M15+M16+M17+M18+M19+M20+M21</f>
        <v>570337</v>
      </c>
    </row>
    <row r="23" spans="1:19" s="890" customFormat="1" ht="35.25" customHeight="1" thickTop="1">
      <c r="C23" s="2103"/>
      <c r="D23" s="2104"/>
      <c r="E23" s="2105"/>
      <c r="F23" s="2105"/>
      <c r="G23" s="2105"/>
      <c r="H23" s="2105"/>
      <c r="I23" s="2105"/>
      <c r="J23" s="2105"/>
      <c r="K23" s="2106"/>
      <c r="L23" s="2106"/>
      <c r="M23" s="2106"/>
    </row>
    <row r="24" spans="1:19" ht="72.75" customHeight="1">
      <c r="A24" s="386"/>
      <c r="B24" s="1660">
        <v>-22</v>
      </c>
      <c r="C24" s="3215" t="s">
        <v>2008</v>
      </c>
      <c r="D24" s="3215"/>
      <c r="E24" s="1332"/>
      <c r="F24" s="1332"/>
      <c r="G24" s="1332"/>
      <c r="H24" s="1332"/>
      <c r="I24" s="1332"/>
      <c r="J24" s="1332"/>
      <c r="K24" s="3217" t="s">
        <v>1950</v>
      </c>
      <c r="L24" s="3217"/>
      <c r="M24" s="3217"/>
    </row>
    <row r="25" spans="1:19" s="255" customFormat="1" ht="30.75" customHeight="1">
      <c r="A25" s="614"/>
      <c r="C25" s="1331"/>
      <c r="D25" s="1556"/>
      <c r="E25" s="1332"/>
      <c r="F25" s="1332"/>
      <c r="G25" s="1332"/>
      <c r="H25" s="1332"/>
      <c r="I25" s="1332"/>
      <c r="J25" s="1332"/>
      <c r="K25" s="2123">
        <v>1401</v>
      </c>
      <c r="L25" s="1678"/>
      <c r="M25" s="2123">
        <v>1400</v>
      </c>
    </row>
    <row r="26" spans="1:19" s="255" customFormat="1" ht="53.25" customHeight="1" thickBot="1">
      <c r="A26" s="614"/>
      <c r="C26" s="1936" t="s">
        <v>2701</v>
      </c>
      <c r="D26" s="1556"/>
      <c r="E26" s="1332"/>
      <c r="F26" s="1332"/>
      <c r="G26" s="1332"/>
      <c r="H26" s="1332"/>
      <c r="I26" s="1332"/>
      <c r="J26" s="1332"/>
      <c r="K26" s="1937">
        <f>'14'!W15+'صورت جریان نقدی'!H15</f>
        <v>72698139</v>
      </c>
      <c r="L26" s="1938"/>
      <c r="M26" s="1937">
        <v>29205201</v>
      </c>
    </row>
    <row r="27" spans="1:19" ht="35.25" customHeight="1" thickTop="1">
      <c r="A27" s="386"/>
      <c r="C27" s="1331"/>
      <c r="D27" s="1556"/>
      <c r="E27" s="1332"/>
      <c r="F27" s="1332"/>
      <c r="G27" s="1332"/>
      <c r="H27" s="1332"/>
      <c r="I27" s="1332"/>
      <c r="J27" s="1332"/>
      <c r="K27" s="1680"/>
      <c r="L27" s="1680"/>
      <c r="M27" s="1680"/>
    </row>
    <row r="28" spans="1:19" s="255" customFormat="1" ht="44.25" customHeight="1">
      <c r="A28" s="890"/>
      <c r="B28" s="536" t="s">
        <v>2548</v>
      </c>
      <c r="C28" s="534"/>
      <c r="D28" s="537"/>
      <c r="E28" s="537"/>
      <c r="F28" s="537"/>
      <c r="G28" s="537"/>
      <c r="H28" s="537"/>
      <c r="I28" s="537"/>
      <c r="J28" s="537"/>
      <c r="K28" s="537"/>
      <c r="L28" s="534"/>
      <c r="M28" s="534"/>
      <c r="N28" s="534"/>
      <c r="O28" s="534"/>
      <c r="P28" s="534"/>
      <c r="Q28" s="534"/>
    </row>
    <row r="29" spans="1:19" s="255" customFormat="1" ht="54" customHeight="1">
      <c r="A29" s="1080"/>
      <c r="B29" s="1682" t="s">
        <v>2549</v>
      </c>
      <c r="C29" s="1569"/>
      <c r="D29" s="1570"/>
      <c r="E29" s="537"/>
      <c r="F29" s="537"/>
      <c r="G29" s="537"/>
      <c r="H29" s="537"/>
      <c r="I29" s="537"/>
      <c r="J29" s="537"/>
      <c r="K29" s="537"/>
      <c r="L29" s="534"/>
      <c r="M29" s="534"/>
      <c r="N29" s="534"/>
      <c r="O29" s="534"/>
      <c r="P29" s="534"/>
      <c r="Q29" s="534"/>
    </row>
    <row r="30" spans="1:19" s="255" customFormat="1" ht="302.25" customHeight="1">
      <c r="A30" s="890"/>
      <c r="B30" s="3216" t="s">
        <v>2649</v>
      </c>
      <c r="C30" s="3216"/>
      <c r="D30" s="3216"/>
      <c r="E30" s="3216"/>
      <c r="F30" s="3216"/>
      <c r="G30" s="3216"/>
      <c r="H30" s="3216"/>
      <c r="I30" s="3216"/>
      <c r="J30" s="3216"/>
      <c r="K30" s="3216"/>
      <c r="L30" s="3216"/>
      <c r="M30" s="3216"/>
      <c r="N30" s="3216"/>
      <c r="O30" s="534"/>
      <c r="P30" s="534"/>
      <c r="Q30" s="534"/>
    </row>
    <row r="31" spans="1:19" s="1686" customFormat="1" ht="54.75" customHeight="1">
      <c r="A31" s="1683"/>
      <c r="B31" s="3220" t="s">
        <v>2550</v>
      </c>
      <c r="C31" s="3220"/>
      <c r="D31" s="3220"/>
      <c r="E31" s="1684"/>
      <c r="F31" s="1684"/>
      <c r="G31" s="1684"/>
      <c r="H31" s="1684"/>
      <c r="I31" s="1684"/>
      <c r="J31" s="1684"/>
      <c r="K31" s="1684"/>
      <c r="L31" s="1684"/>
      <c r="M31" s="1684"/>
      <c r="N31" s="1684"/>
      <c r="O31" s="1685"/>
      <c r="P31" s="1685"/>
      <c r="Q31" s="1685"/>
    </row>
    <row r="32" spans="1:19" s="1686" customFormat="1" ht="47.25" customHeight="1">
      <c r="A32" s="1683"/>
      <c r="B32" s="1956"/>
      <c r="C32" s="3219" t="s">
        <v>1959</v>
      </c>
      <c r="D32" s="3219"/>
      <c r="E32" s="3219"/>
      <c r="F32" s="3219"/>
      <c r="G32" s="3219"/>
      <c r="H32" s="3219"/>
      <c r="I32" s="1957"/>
      <c r="J32" s="1957"/>
      <c r="K32" s="3217" t="s">
        <v>1950</v>
      </c>
      <c r="L32" s="3217"/>
      <c r="M32" s="3217"/>
      <c r="N32" s="1684"/>
      <c r="O32" s="1685"/>
      <c r="P32" s="1685"/>
      <c r="Q32" s="1685"/>
    </row>
    <row r="33" spans="1:17" s="255" customFormat="1" ht="75" customHeight="1">
      <c r="A33" s="890"/>
      <c r="B33" s="1958"/>
      <c r="C33" s="1959"/>
      <c r="D33" s="1960"/>
      <c r="E33" s="1960"/>
      <c r="F33" s="1960"/>
      <c r="G33" s="1960"/>
      <c r="J33" s="1962"/>
      <c r="K33" s="1961" t="str">
        <f>مفروضات!A8</f>
        <v>1401/12/29</v>
      </c>
      <c r="L33" s="1962"/>
      <c r="M33" s="1961" t="s">
        <v>2105</v>
      </c>
      <c r="O33" s="534"/>
      <c r="P33" s="534"/>
      <c r="Q33" s="534"/>
    </row>
    <row r="34" spans="1:17" s="255" customFormat="1" ht="46.5" customHeight="1">
      <c r="A34" s="890"/>
      <c r="B34" s="1958"/>
      <c r="C34" s="1959"/>
      <c r="D34" s="1960"/>
      <c r="E34" s="1960"/>
      <c r="F34" s="1960"/>
      <c r="G34" s="1960"/>
      <c r="J34" s="1962"/>
      <c r="K34" s="1960"/>
      <c r="L34" s="1962"/>
      <c r="M34" s="1960"/>
      <c r="O34" s="534"/>
      <c r="P34" s="534"/>
      <c r="Q34" s="534"/>
    </row>
    <row r="35" spans="1:17" s="255" customFormat="1" ht="46.5" customHeight="1">
      <c r="A35" s="890"/>
      <c r="B35" s="1958"/>
      <c r="C35" s="1959"/>
      <c r="D35" s="1960" t="s">
        <v>1883</v>
      </c>
      <c r="E35" s="1960"/>
      <c r="F35" s="1960"/>
      <c r="G35" s="1960"/>
      <c r="J35" s="1688"/>
      <c r="K35" s="1688">
        <f>'وضعیت مالی'!G38</f>
        <v>107707044</v>
      </c>
      <c r="L35" s="1688"/>
      <c r="M35" s="1688">
        <v>55815532</v>
      </c>
      <c r="O35" s="534"/>
      <c r="P35" s="534"/>
      <c r="Q35" s="534"/>
    </row>
    <row r="36" spans="1:17" s="255" customFormat="1" ht="46.5" customHeight="1" thickBot="1">
      <c r="A36" s="890"/>
      <c r="B36" s="1958"/>
      <c r="C36" s="1959"/>
      <c r="D36" s="1960" t="s">
        <v>1873</v>
      </c>
      <c r="E36" s="1960"/>
      <c r="F36" s="1960"/>
      <c r="G36" s="1960"/>
      <c r="J36" s="1688"/>
      <c r="K36" s="1963">
        <f>-'وضعیت مالی'!G19</f>
        <v>-1610503</v>
      </c>
      <c r="L36" s="1964"/>
      <c r="M36" s="1963">
        <v>-399069</v>
      </c>
      <c r="O36" s="534"/>
      <c r="P36" s="534"/>
      <c r="Q36" s="534"/>
    </row>
    <row r="37" spans="1:17" s="255" customFormat="1" ht="46.5" customHeight="1" thickTop="1" thickBot="1">
      <c r="A37" s="890"/>
      <c r="B37" s="1958"/>
      <c r="C37" s="1959"/>
      <c r="D37" s="1960" t="s">
        <v>1960</v>
      </c>
      <c r="E37" s="1960"/>
      <c r="F37" s="1960"/>
      <c r="G37" s="1960"/>
      <c r="J37" s="1688"/>
      <c r="K37" s="1963">
        <f>SUM(K35:K36)</f>
        <v>106096541</v>
      </c>
      <c r="L37" s="1688"/>
      <c r="M37" s="1963">
        <f>SUM(M35:M36)</f>
        <v>55416463</v>
      </c>
      <c r="O37" s="534"/>
      <c r="P37" s="534"/>
      <c r="Q37" s="534"/>
    </row>
    <row r="38" spans="1:17" s="255" customFormat="1" ht="46.5" customHeight="1" thickTop="1" thickBot="1">
      <c r="A38" s="890"/>
      <c r="B38" s="1958"/>
      <c r="C38" s="1959"/>
      <c r="D38" s="1960" t="s">
        <v>1961</v>
      </c>
      <c r="E38" s="1960"/>
      <c r="F38" s="1960"/>
      <c r="G38" s="1960"/>
      <c r="J38" s="1688"/>
      <c r="K38" s="1963">
        <f>'وضعیت مالی'!G28</f>
        <v>1722160</v>
      </c>
      <c r="L38" s="1688"/>
      <c r="M38" s="1963">
        <v>4164688.5</v>
      </c>
      <c r="O38" s="534"/>
      <c r="P38" s="534"/>
      <c r="Q38" s="534"/>
    </row>
    <row r="39" spans="1:17" s="255" customFormat="1" ht="46.5" customHeight="1" thickTop="1" thickBot="1">
      <c r="A39" s="890"/>
      <c r="B39" s="1958"/>
      <c r="C39" s="1959"/>
      <c r="D39" s="3213" t="s">
        <v>1962</v>
      </c>
      <c r="E39" s="3213"/>
      <c r="F39" s="3213"/>
      <c r="G39" s="1960"/>
      <c r="J39" s="1688"/>
      <c r="K39" s="2844">
        <f>K37/K38</f>
        <v>61.606668950620154</v>
      </c>
      <c r="L39" s="1688"/>
      <c r="M39" s="2845">
        <f>M37/M38</f>
        <v>13.306268403987477</v>
      </c>
      <c r="O39" s="534"/>
      <c r="P39" s="534"/>
      <c r="Q39" s="534"/>
    </row>
    <row r="40" spans="1:17" s="255" customFormat="1" ht="46.5" customHeight="1" thickTop="1">
      <c r="A40" s="890"/>
      <c r="B40" s="1958"/>
      <c r="C40" s="1959"/>
      <c r="D40" s="1960"/>
      <c r="E40" s="1960"/>
      <c r="F40" s="1960"/>
      <c r="G40" s="1960"/>
      <c r="J40" s="1688"/>
      <c r="K40" s="1688"/>
      <c r="L40" s="1688"/>
      <c r="M40" s="1688"/>
      <c r="O40" s="534"/>
      <c r="P40" s="534"/>
      <c r="Q40" s="534"/>
    </row>
    <row r="41" spans="1:17" s="255" customFormat="1" ht="46.5" customHeight="1">
      <c r="A41" s="890"/>
      <c r="B41" s="1557"/>
      <c r="C41" s="1662"/>
      <c r="D41" s="1687"/>
      <c r="E41" s="1687"/>
      <c r="F41" s="1687"/>
      <c r="G41" s="1687"/>
      <c r="J41" s="1688"/>
      <c r="K41" s="1688"/>
      <c r="L41" s="1688"/>
      <c r="M41" s="1688"/>
      <c r="O41" s="534"/>
      <c r="P41" s="534"/>
      <c r="Q41" s="534"/>
    </row>
    <row r="42" spans="1:17" s="255" customFormat="1" ht="130.5" customHeight="1">
      <c r="A42" s="3214">
        <v>27</v>
      </c>
      <c r="B42" s="3214"/>
      <c r="C42" s="3214"/>
      <c r="D42" s="3214"/>
      <c r="E42" s="3214"/>
      <c r="F42" s="3214"/>
      <c r="G42" s="3214"/>
      <c r="H42" s="3214"/>
      <c r="I42" s="3214"/>
      <c r="J42" s="3214"/>
      <c r="K42" s="3214"/>
      <c r="L42" s="3214"/>
      <c r="M42" s="3214"/>
      <c r="O42" s="534"/>
      <c r="P42" s="534"/>
      <c r="Q42" s="534"/>
    </row>
    <row r="43" spans="1:17" s="255" customFormat="1" ht="46.5" customHeight="1">
      <c r="A43" s="890"/>
      <c r="B43" s="1557"/>
      <c r="C43" s="1662"/>
      <c r="D43" s="1687"/>
      <c r="E43" s="1687"/>
      <c r="F43" s="1687"/>
      <c r="G43" s="1687"/>
      <c r="J43" s="1688"/>
      <c r="K43" s="1688"/>
      <c r="L43" s="1688"/>
      <c r="M43" s="1688"/>
      <c r="O43" s="534"/>
      <c r="P43" s="534"/>
      <c r="Q43" s="534"/>
    </row>
  </sheetData>
  <mergeCells count="13">
    <mergeCell ref="A1:N1"/>
    <mergeCell ref="A2:N2"/>
    <mergeCell ref="A3:N3"/>
    <mergeCell ref="C32:H32"/>
    <mergeCell ref="B31:D31"/>
    <mergeCell ref="D39:F39"/>
    <mergeCell ref="A42:M42"/>
    <mergeCell ref="C5:D5"/>
    <mergeCell ref="C24:D24"/>
    <mergeCell ref="B30:N30"/>
    <mergeCell ref="K6:M6"/>
    <mergeCell ref="K24:M24"/>
    <mergeCell ref="K32:M32"/>
  </mergeCells>
  <pageMargins left="0" right="0.74803149606299213" top="0.27559055118110237" bottom="0.15748031496062992" header="0.19685039370078741" footer="0.15748031496062992"/>
  <pageSetup paperSize="9" scale="4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2"/>
  <sheetViews>
    <sheetView rightToLeft="1" view="pageBreakPreview" topLeftCell="A10" zoomScale="40" zoomScaleNormal="40" zoomScaleSheetLayoutView="40" workbookViewId="0">
      <selection activeCell="T24" sqref="T24"/>
    </sheetView>
  </sheetViews>
  <sheetFormatPr defaultColWidth="11" defaultRowHeight="21"/>
  <cols>
    <col min="1" max="1" width="13.75" style="890" customWidth="1"/>
    <col min="2" max="2" width="32.125" style="255" customWidth="1"/>
    <col min="3" max="3" width="7" style="255" customWidth="1"/>
    <col min="4" max="4" width="16.125" style="255" customWidth="1"/>
    <col min="5" max="5" width="8" style="255" customWidth="1"/>
    <col min="6" max="6" width="21.25" style="255" customWidth="1"/>
    <col min="7" max="7" width="6.25" style="255" customWidth="1"/>
    <col min="8" max="8" width="23.25" style="255" customWidth="1"/>
    <col min="9" max="9" width="4.25" style="255" customWidth="1"/>
    <col min="10" max="10" width="27.625" style="255" customWidth="1"/>
    <col min="11" max="11" width="4.75" style="255" customWidth="1"/>
    <col min="12" max="12" width="10.875" style="255" customWidth="1"/>
    <col min="13" max="13" width="4.625" style="255" customWidth="1"/>
    <col min="14" max="14" width="19.75" style="255" customWidth="1"/>
    <col min="15" max="15" width="13.125" style="255" customWidth="1"/>
    <col min="16" max="16" width="29" style="255" customWidth="1"/>
    <col min="17" max="17" width="11.375" style="255" customWidth="1"/>
    <col min="18" max="18" width="24.375" style="255" customWidth="1"/>
    <col min="19" max="16384" width="11" style="255"/>
  </cols>
  <sheetData>
    <row r="1" spans="1:21" ht="47.25" customHeight="1">
      <c r="A1" s="3226" t="s">
        <v>612</v>
      </c>
      <c r="B1" s="3226"/>
      <c r="C1" s="3226"/>
      <c r="D1" s="3226"/>
      <c r="E1" s="3226"/>
      <c r="F1" s="3226"/>
      <c r="G1" s="3226"/>
      <c r="H1" s="3226"/>
      <c r="I1" s="3226"/>
      <c r="J1" s="3226"/>
      <c r="K1" s="3226"/>
      <c r="L1" s="3226"/>
      <c r="M1" s="3226"/>
      <c r="N1" s="3226"/>
      <c r="O1" s="3226"/>
      <c r="P1" s="3226"/>
      <c r="Q1" s="3226"/>
      <c r="R1" s="534"/>
      <c r="S1" s="534"/>
    </row>
    <row r="2" spans="1:21" ht="47.25" customHeight="1">
      <c r="A2" s="3226" t="s">
        <v>1515</v>
      </c>
      <c r="B2" s="3226"/>
      <c r="C2" s="3226"/>
      <c r="D2" s="3226"/>
      <c r="E2" s="3226"/>
      <c r="F2" s="3226"/>
      <c r="G2" s="3226"/>
      <c r="H2" s="3226"/>
      <c r="I2" s="3226"/>
      <c r="J2" s="3226"/>
      <c r="K2" s="3226"/>
      <c r="L2" s="3226"/>
      <c r="M2" s="3226"/>
      <c r="N2" s="3226"/>
      <c r="O2" s="3226"/>
      <c r="P2" s="3226"/>
      <c r="Q2" s="3226"/>
      <c r="R2" s="534"/>
      <c r="S2" s="534"/>
    </row>
    <row r="3" spans="1:21" ht="47.25" customHeight="1">
      <c r="A3" s="3226" t="str">
        <f>مفروضات!A7</f>
        <v xml:space="preserve"> سال مالي منتهي به 29 اسفند 1401</v>
      </c>
      <c r="B3" s="3226"/>
      <c r="C3" s="3226"/>
      <c r="D3" s="3226"/>
      <c r="E3" s="3226"/>
      <c r="F3" s="3226"/>
      <c r="G3" s="3226"/>
      <c r="H3" s="3226"/>
      <c r="I3" s="3226"/>
      <c r="J3" s="3226"/>
      <c r="K3" s="3226"/>
      <c r="L3" s="3226"/>
      <c r="M3" s="3226"/>
      <c r="N3" s="3226"/>
      <c r="O3" s="3226"/>
      <c r="P3" s="3226"/>
      <c r="Q3" s="3226"/>
      <c r="R3" s="534"/>
      <c r="S3" s="534"/>
    </row>
    <row r="4" spans="1:21" ht="16.5" customHeight="1">
      <c r="B4" s="535"/>
      <c r="C4" s="535"/>
      <c r="D4" s="535"/>
      <c r="E4" s="535"/>
      <c r="F4" s="535"/>
      <c r="G4" s="535"/>
      <c r="H4" s="535"/>
      <c r="I4" s="535"/>
      <c r="J4" s="535"/>
      <c r="K4" s="535"/>
      <c r="L4" s="535"/>
      <c r="M4" s="535"/>
      <c r="N4" s="535"/>
      <c r="O4" s="535"/>
      <c r="P4" s="535"/>
      <c r="Q4" s="534"/>
      <c r="R4" s="534" t="e">
        <f>'14'!#REF!</f>
        <v>#REF!</v>
      </c>
      <c r="S4" s="534"/>
    </row>
    <row r="5" spans="1:21" s="2048" customFormat="1" ht="16.5" customHeight="1">
      <c r="A5" s="1339"/>
      <c r="B5" s="2047"/>
      <c r="C5" s="3215"/>
      <c r="D5" s="3215"/>
      <c r="E5" s="1329"/>
      <c r="F5" s="1329"/>
      <c r="G5" s="1329"/>
      <c r="H5" s="1329"/>
      <c r="I5" s="1329"/>
      <c r="J5" s="1330"/>
      <c r="K5" s="1330"/>
      <c r="L5" s="1330"/>
      <c r="M5" s="1330"/>
      <c r="N5" s="1330"/>
      <c r="O5" s="1330"/>
    </row>
    <row r="6" spans="1:21" ht="327.75" customHeight="1">
      <c r="B6" s="3224" t="s">
        <v>2650</v>
      </c>
      <c r="C6" s="3225"/>
      <c r="D6" s="3225"/>
      <c r="E6" s="3225"/>
      <c r="F6" s="3225"/>
      <c r="G6" s="3225"/>
      <c r="H6" s="3225"/>
      <c r="I6" s="3225"/>
      <c r="J6" s="3225"/>
      <c r="K6" s="3225"/>
      <c r="L6" s="3225"/>
      <c r="M6" s="3225"/>
      <c r="N6" s="3225"/>
      <c r="O6" s="3225"/>
      <c r="P6" s="3225"/>
      <c r="Q6" s="541"/>
      <c r="R6" s="534"/>
      <c r="S6" s="534"/>
      <c r="T6" s="534"/>
      <c r="U6" s="534"/>
    </row>
    <row r="7" spans="1:21" ht="255" customHeight="1">
      <c r="B7" s="3224" t="s">
        <v>2551</v>
      </c>
      <c r="C7" s="3225"/>
      <c r="D7" s="3225"/>
      <c r="E7" s="3225"/>
      <c r="F7" s="3225"/>
      <c r="G7" s="3225"/>
      <c r="H7" s="3225"/>
      <c r="I7" s="3225"/>
      <c r="J7" s="3225"/>
      <c r="K7" s="3225"/>
      <c r="L7" s="3225"/>
      <c r="M7" s="3225"/>
      <c r="N7" s="3225"/>
      <c r="O7" s="3225"/>
      <c r="P7" s="3225"/>
      <c r="Q7" s="541"/>
      <c r="R7" s="534"/>
      <c r="S7" s="534"/>
      <c r="T7" s="534"/>
      <c r="U7" s="534"/>
    </row>
    <row r="8" spans="1:21" ht="408.75" customHeight="1">
      <c r="B8" s="3227" t="s">
        <v>2552</v>
      </c>
      <c r="C8" s="3228"/>
      <c r="D8" s="3228"/>
      <c r="E8" s="3228"/>
      <c r="F8" s="3228"/>
      <c r="G8" s="3228"/>
      <c r="H8" s="3228"/>
      <c r="I8" s="3228"/>
      <c r="J8" s="3228"/>
      <c r="K8" s="3228"/>
      <c r="L8" s="3228"/>
      <c r="M8" s="3228"/>
      <c r="N8" s="3228"/>
      <c r="O8" s="3228"/>
      <c r="P8" s="3228"/>
      <c r="Q8" s="542"/>
      <c r="R8" s="534"/>
      <c r="S8" s="534"/>
      <c r="T8" s="534"/>
      <c r="U8" s="534"/>
    </row>
    <row r="9" spans="1:21" ht="30" customHeight="1">
      <c r="B9" s="2115"/>
      <c r="C9" s="2116"/>
      <c r="D9" s="2116"/>
      <c r="E9" s="2116"/>
      <c r="F9" s="2116"/>
      <c r="G9" s="2116"/>
      <c r="H9" s="2116"/>
      <c r="I9" s="2116"/>
      <c r="J9" s="2116"/>
      <c r="K9" s="2116"/>
      <c r="L9" s="2116"/>
      <c r="M9" s="2621"/>
      <c r="N9" s="2621"/>
      <c r="O9" s="2116"/>
      <c r="P9" s="2052" t="s">
        <v>1950</v>
      </c>
      <c r="Q9" s="542"/>
      <c r="R9" s="534"/>
      <c r="S9" s="534"/>
      <c r="T9" s="534"/>
      <c r="U9" s="534"/>
    </row>
    <row r="10" spans="1:21" ht="39.75" customHeight="1">
      <c r="B10" s="3229" t="s">
        <v>2020</v>
      </c>
      <c r="C10" s="3229"/>
      <c r="D10" s="3229"/>
      <c r="E10" s="1733"/>
      <c r="F10" s="3229" t="s">
        <v>2021</v>
      </c>
      <c r="G10" s="3229"/>
      <c r="H10" s="3229"/>
      <c r="J10" s="3229" t="s">
        <v>2022</v>
      </c>
      <c r="K10" s="3229"/>
      <c r="L10" s="3229"/>
      <c r="M10" s="2620"/>
      <c r="N10" s="2620"/>
      <c r="O10" s="1733"/>
      <c r="P10" s="2051" t="s">
        <v>2023</v>
      </c>
      <c r="Q10" s="2178"/>
      <c r="R10" s="2177"/>
      <c r="S10" s="534"/>
      <c r="T10" s="534"/>
      <c r="U10" s="534"/>
    </row>
    <row r="11" spans="1:21" ht="39.75" hidden="1" customHeight="1">
      <c r="B11" s="3230"/>
      <c r="C11" s="3230"/>
      <c r="D11" s="3230"/>
      <c r="E11" s="1733"/>
      <c r="F11" s="3231"/>
      <c r="G11" s="3231"/>
      <c r="H11" s="3231"/>
      <c r="I11" s="1734"/>
      <c r="J11" s="3231"/>
      <c r="K11" s="3231"/>
      <c r="L11" s="3231"/>
      <c r="M11" s="2619"/>
      <c r="N11" s="2619"/>
      <c r="O11" s="1735"/>
      <c r="P11" s="2049"/>
      <c r="Q11" s="2176"/>
      <c r="R11" s="2176"/>
      <c r="S11" s="534"/>
      <c r="T11" s="534"/>
      <c r="U11" s="534"/>
    </row>
    <row r="12" spans="1:21" ht="39.75" hidden="1" customHeight="1">
      <c r="B12" s="3232" t="s">
        <v>152</v>
      </c>
      <c r="C12" s="3232"/>
      <c r="D12" s="3232"/>
      <c r="E12" s="2050"/>
      <c r="F12" s="3222" t="str">
        <f>'19'!J56</f>
        <v>-</v>
      </c>
      <c r="G12" s="3222"/>
      <c r="H12" s="3222"/>
      <c r="I12" s="2050"/>
      <c r="J12" s="3233" t="s">
        <v>713</v>
      </c>
      <c r="K12" s="3233"/>
      <c r="L12" s="3233"/>
      <c r="M12" s="2617"/>
      <c r="N12" s="2617"/>
      <c r="O12" s="2050"/>
      <c r="P12" s="2055" t="s">
        <v>713</v>
      </c>
      <c r="Q12" s="2056"/>
      <c r="R12" s="2056"/>
      <c r="S12" s="534"/>
      <c r="T12" s="534"/>
      <c r="U12" s="534"/>
    </row>
    <row r="13" spans="1:21" ht="39.75" customHeight="1">
      <c r="B13" s="3221" t="s">
        <v>2175</v>
      </c>
      <c r="C13" s="3221"/>
      <c r="D13" s="3221"/>
      <c r="E13" s="2920"/>
      <c r="F13" s="3222">
        <f>'19'!J40</f>
        <v>313603</v>
      </c>
      <c r="G13" s="3222"/>
      <c r="H13" s="3222"/>
      <c r="I13" s="2920"/>
      <c r="J13" s="3222">
        <f t="shared" ref="J13:J18" si="0">F13</f>
        <v>313603</v>
      </c>
      <c r="K13" s="3222"/>
      <c r="L13" s="3222"/>
      <c r="M13" s="2918"/>
      <c r="N13" s="2918"/>
      <c r="O13" s="2920"/>
      <c r="P13" s="2919" t="s">
        <v>713</v>
      </c>
      <c r="Q13" s="2919"/>
      <c r="R13" s="2919"/>
      <c r="S13" s="534"/>
      <c r="T13" s="534"/>
      <c r="U13" s="534"/>
    </row>
    <row r="14" spans="1:21" ht="39.75" customHeight="1">
      <c r="A14" s="3221" t="s">
        <v>2452</v>
      </c>
      <c r="B14" s="3221"/>
      <c r="C14" s="3221"/>
      <c r="D14" s="3221"/>
      <c r="E14" s="2860"/>
      <c r="F14" s="3222">
        <f>'19'!J30</f>
        <v>147110</v>
      </c>
      <c r="G14" s="3222"/>
      <c r="H14" s="3222"/>
      <c r="I14" s="2920"/>
      <c r="J14" s="3222">
        <f t="shared" si="0"/>
        <v>147110</v>
      </c>
      <c r="K14" s="3222"/>
      <c r="L14" s="3222"/>
      <c r="M14" s="2919"/>
      <c r="N14" s="2919"/>
      <c r="O14" s="2920"/>
      <c r="P14" s="2919"/>
      <c r="Q14" s="2056"/>
      <c r="R14" s="2056"/>
      <c r="S14" s="534"/>
      <c r="T14" s="534"/>
      <c r="U14" s="534"/>
    </row>
    <row r="15" spans="1:21" ht="39.75" customHeight="1">
      <c r="A15" s="3221" t="s">
        <v>2453</v>
      </c>
      <c r="B15" s="3221" t="s">
        <v>677</v>
      </c>
      <c r="C15" s="3221"/>
      <c r="D15" s="3221"/>
      <c r="E15" s="2860"/>
      <c r="F15" s="3222">
        <f>'19'!J31</f>
        <v>133497</v>
      </c>
      <c r="G15" s="3222"/>
      <c r="H15" s="3222"/>
      <c r="I15" s="2920"/>
      <c r="J15" s="3222">
        <f t="shared" si="0"/>
        <v>133497</v>
      </c>
      <c r="K15" s="3222"/>
      <c r="L15" s="3222"/>
      <c r="M15" s="2919"/>
      <c r="N15" s="2919"/>
      <c r="O15" s="2920"/>
      <c r="P15" s="2919"/>
      <c r="Q15" s="2056"/>
      <c r="R15" s="2056"/>
      <c r="S15" s="534"/>
      <c r="T15" s="534"/>
      <c r="U15" s="534"/>
    </row>
    <row r="16" spans="1:21" ht="39.75" customHeight="1">
      <c r="A16" s="3221" t="s">
        <v>2634</v>
      </c>
      <c r="B16" s="3221"/>
      <c r="C16" s="3221"/>
      <c r="D16" s="3221"/>
      <c r="E16" s="2865"/>
      <c r="F16" s="3222">
        <f>'19'!J32</f>
        <v>2771</v>
      </c>
      <c r="G16" s="3222"/>
      <c r="H16" s="3222"/>
      <c r="I16" s="2920"/>
      <c r="J16" s="3222">
        <f t="shared" si="0"/>
        <v>2771</v>
      </c>
      <c r="K16" s="3222"/>
      <c r="L16" s="3222"/>
      <c r="M16" s="2919"/>
      <c r="N16" s="2919"/>
      <c r="O16" s="2920"/>
      <c r="P16" s="2919"/>
      <c r="Q16" s="2056"/>
      <c r="R16" s="2056"/>
      <c r="S16" s="534"/>
      <c r="T16" s="534"/>
      <c r="U16" s="534"/>
    </row>
    <row r="17" spans="1:21" ht="39.75" customHeight="1">
      <c r="A17" s="3221" t="s">
        <v>2702</v>
      </c>
      <c r="B17" s="3221"/>
      <c r="C17" s="3221"/>
      <c r="D17" s="3221"/>
      <c r="E17" s="2748"/>
      <c r="F17" s="3223">
        <f>'19'!J33</f>
        <v>35736</v>
      </c>
      <c r="G17" s="3223"/>
      <c r="H17" s="3223"/>
      <c r="I17" s="2920"/>
      <c r="J17" s="3223">
        <f t="shared" si="0"/>
        <v>35736</v>
      </c>
      <c r="K17" s="3223"/>
      <c r="L17" s="3223"/>
      <c r="M17" s="2919"/>
      <c r="N17" s="2919"/>
      <c r="O17" s="2920"/>
      <c r="P17" s="2921"/>
      <c r="Q17" s="2056"/>
      <c r="R17" s="2056"/>
      <c r="S17" s="534"/>
      <c r="T17" s="534"/>
      <c r="U17" s="534"/>
    </row>
    <row r="18" spans="1:21" ht="39.75" customHeight="1" thickBot="1">
      <c r="B18" s="3221" t="s">
        <v>679</v>
      </c>
      <c r="C18" s="3221"/>
      <c r="D18" s="3221"/>
      <c r="E18" s="2050"/>
      <c r="F18" s="3234">
        <f>SUM(F13:H17)</f>
        <v>632717</v>
      </c>
      <c r="G18" s="3234"/>
      <c r="H18" s="3234"/>
      <c r="I18" s="2050"/>
      <c r="J18" s="3234">
        <f t="shared" si="0"/>
        <v>632717</v>
      </c>
      <c r="K18" s="3234"/>
      <c r="L18" s="3234"/>
      <c r="M18" s="2616"/>
      <c r="N18" s="2616"/>
      <c r="O18" s="2050"/>
      <c r="P18" s="2419" t="s">
        <v>713</v>
      </c>
      <c r="Q18" s="2055"/>
      <c r="R18" s="2055"/>
      <c r="S18" s="534"/>
      <c r="T18" s="534"/>
      <c r="U18" s="534"/>
    </row>
    <row r="19" spans="1:21" ht="50.25" hidden="1" customHeight="1">
      <c r="B19" s="3235" t="s">
        <v>679</v>
      </c>
      <c r="C19" s="3235"/>
      <c r="D19" s="3235"/>
      <c r="E19" s="2050"/>
      <c r="F19" s="3222">
        <f>SUM(F12:H18)</f>
        <v>1265434</v>
      </c>
      <c r="G19" s="3222"/>
      <c r="H19" s="3222"/>
      <c r="I19" s="2415"/>
      <c r="J19" s="3233" t="s">
        <v>713</v>
      </c>
      <c r="K19" s="3233"/>
      <c r="L19" s="3233"/>
      <c r="M19" s="2617"/>
      <c r="N19" s="2617"/>
      <c r="O19" s="2415"/>
      <c r="P19" s="2414" t="s">
        <v>713</v>
      </c>
      <c r="Q19" s="2055"/>
      <c r="R19" s="2055"/>
      <c r="S19" s="534"/>
      <c r="T19" s="534"/>
      <c r="U19" s="534"/>
    </row>
    <row r="20" spans="1:21" ht="258" customHeight="1" thickTop="1">
      <c r="B20" s="3236" t="s">
        <v>2553</v>
      </c>
      <c r="C20" s="3236"/>
      <c r="D20" s="3236"/>
      <c r="E20" s="3236"/>
      <c r="F20" s="3236"/>
      <c r="G20" s="3236"/>
      <c r="H20" s="3236"/>
      <c r="I20" s="3236"/>
      <c r="J20" s="3236"/>
      <c r="K20" s="3236"/>
      <c r="L20" s="3236"/>
      <c r="M20" s="3236"/>
      <c r="N20" s="3236"/>
      <c r="O20" s="3236"/>
      <c r="P20" s="3236"/>
      <c r="Q20" s="545"/>
      <c r="R20" s="545"/>
      <c r="S20" s="545"/>
      <c r="T20" s="545"/>
      <c r="U20" s="545"/>
    </row>
    <row r="21" spans="1:21" ht="37.5" customHeight="1">
      <c r="B21" s="2050"/>
      <c r="C21" s="2050"/>
      <c r="D21" s="2050"/>
      <c r="E21" s="2050"/>
      <c r="F21" s="2050"/>
      <c r="G21" s="2050"/>
      <c r="I21" s="1733"/>
      <c r="J21" s="1733"/>
      <c r="K21" s="2050"/>
      <c r="L21" s="1733"/>
      <c r="M21" s="1733"/>
      <c r="N21" s="1733"/>
      <c r="O21" s="1733"/>
      <c r="P21" s="2052" t="s">
        <v>1950</v>
      </c>
      <c r="Q21" s="545"/>
      <c r="R21" s="545"/>
      <c r="S21" s="545"/>
      <c r="T21" s="545"/>
      <c r="U21" s="545"/>
    </row>
    <row r="22" spans="1:21" s="273" customFormat="1" ht="51" customHeight="1">
      <c r="A22" s="1689"/>
      <c r="B22" s="3237" t="str">
        <f>مفروضات!A8</f>
        <v>1401/12/29</v>
      </c>
      <c r="C22" s="3237"/>
      <c r="D22" s="3237"/>
      <c r="E22" s="1691"/>
      <c r="F22" s="3237" t="s">
        <v>1983</v>
      </c>
      <c r="G22" s="3237"/>
      <c r="H22" s="3237"/>
      <c r="I22" s="1691"/>
      <c r="J22" s="3237" t="s">
        <v>1984</v>
      </c>
      <c r="K22" s="3237"/>
      <c r="L22" s="3237"/>
      <c r="M22" s="2626"/>
      <c r="N22" s="2615" t="s">
        <v>2465</v>
      </c>
      <c r="O22" s="1691"/>
      <c r="P22" s="1690" t="s">
        <v>679</v>
      </c>
      <c r="Q22" s="1692"/>
      <c r="R22" s="1692"/>
      <c r="S22" s="1692"/>
      <c r="T22" s="1692"/>
      <c r="U22" s="1692"/>
    </row>
    <row r="23" spans="1:21" ht="38.25" customHeight="1">
      <c r="A23" s="1068" t="s">
        <v>2182</v>
      </c>
      <c r="B23" s="3240" t="s">
        <v>2508</v>
      </c>
      <c r="C23" s="3240"/>
      <c r="D23" s="3240"/>
      <c r="E23" s="1693"/>
      <c r="F23" s="3222">
        <v>13821608</v>
      </c>
      <c r="G23" s="3222"/>
      <c r="H23" s="3222"/>
      <c r="I23" s="1693"/>
      <c r="J23" s="3233" t="s">
        <v>713</v>
      </c>
      <c r="K23" s="3233"/>
      <c r="L23" s="3233"/>
      <c r="M23" s="2617"/>
      <c r="N23" s="2053"/>
      <c r="O23" s="1693"/>
      <c r="P23" s="2053">
        <f>F23</f>
        <v>13821608</v>
      </c>
      <c r="Q23" s="545"/>
      <c r="R23" s="534"/>
      <c r="S23" s="534"/>
      <c r="T23" s="534"/>
      <c r="U23" s="534"/>
    </row>
    <row r="24" spans="1:21" ht="38.25" customHeight="1">
      <c r="A24" s="1068"/>
      <c r="B24" s="3240" t="s">
        <v>2467</v>
      </c>
      <c r="C24" s="3240"/>
      <c r="D24" s="3240"/>
      <c r="E24" s="1693"/>
      <c r="F24" s="3222">
        <v>0</v>
      </c>
      <c r="G24" s="3222"/>
      <c r="H24" s="3222"/>
      <c r="I24" s="1693"/>
      <c r="J24" s="3233"/>
      <c r="K24" s="3233"/>
      <c r="L24" s="3233"/>
      <c r="M24" s="2617"/>
      <c r="N24" s="2053">
        <v>61634887</v>
      </c>
      <c r="O24" s="1693"/>
      <c r="P24" s="2053">
        <f>N24</f>
        <v>61634887</v>
      </c>
      <c r="Q24" s="545"/>
      <c r="R24" s="534"/>
      <c r="S24" s="534"/>
      <c r="T24" s="534"/>
      <c r="U24" s="534"/>
    </row>
    <row r="25" spans="1:21" ht="38.25" customHeight="1">
      <c r="A25" s="1068"/>
      <c r="B25" s="3240" t="s">
        <v>2464</v>
      </c>
      <c r="C25" s="3240"/>
      <c r="D25" s="3240"/>
      <c r="E25" s="1693"/>
      <c r="F25" s="3222">
        <f>'26'!T28</f>
        <v>86912</v>
      </c>
      <c r="G25" s="3222"/>
      <c r="H25" s="3222"/>
      <c r="I25" s="1693"/>
      <c r="J25" s="3233" t="s">
        <v>713</v>
      </c>
      <c r="K25" s="3233"/>
      <c r="L25" s="3233"/>
      <c r="M25" s="2617"/>
      <c r="N25" s="2617" t="s">
        <v>713</v>
      </c>
      <c r="O25" s="1693"/>
      <c r="P25" s="2053">
        <f>F25</f>
        <v>86912</v>
      </c>
      <c r="Q25" s="545"/>
      <c r="R25" s="534"/>
      <c r="S25" s="534"/>
      <c r="T25" s="534"/>
      <c r="U25" s="534"/>
    </row>
    <row r="26" spans="1:21" ht="38.25" customHeight="1">
      <c r="B26" s="3240" t="s">
        <v>1963</v>
      </c>
      <c r="C26" s="3240"/>
      <c r="D26" s="3240"/>
      <c r="E26" s="1693"/>
      <c r="F26" s="3222">
        <v>22279461</v>
      </c>
      <c r="G26" s="3222"/>
      <c r="H26" s="3222"/>
      <c r="I26" s="1693"/>
      <c r="J26" s="3223">
        <v>0</v>
      </c>
      <c r="K26" s="3223"/>
      <c r="L26" s="3223"/>
      <c r="M26" s="2616"/>
      <c r="N26" s="2618"/>
      <c r="O26" s="1693"/>
      <c r="P26" s="2053">
        <f>F26</f>
        <v>22279461</v>
      </c>
      <c r="Q26" s="545"/>
      <c r="R26" s="545"/>
      <c r="S26" s="869"/>
      <c r="T26" s="869"/>
      <c r="U26" s="869"/>
    </row>
    <row r="27" spans="1:21" ht="38.25" hidden="1" customHeight="1">
      <c r="B27" s="3242"/>
      <c r="C27" s="3242"/>
      <c r="D27" s="3242"/>
      <c r="E27" s="1693"/>
      <c r="F27" s="3223"/>
      <c r="G27" s="3223"/>
      <c r="H27" s="3223"/>
      <c r="I27" s="1693"/>
      <c r="J27" s="3241" t="s">
        <v>713</v>
      </c>
      <c r="K27" s="3241"/>
      <c r="L27" s="3241"/>
      <c r="M27" s="2617"/>
      <c r="N27" s="2617"/>
      <c r="O27" s="1693"/>
      <c r="P27" s="2053"/>
      <c r="Q27" s="545"/>
      <c r="R27" s="534"/>
      <c r="S27" s="534"/>
      <c r="T27" s="534"/>
      <c r="U27" s="534"/>
    </row>
    <row r="28" spans="1:21" ht="38.25" customHeight="1" thickBot="1">
      <c r="B28" s="3243" t="s">
        <v>679</v>
      </c>
      <c r="C28" s="3243"/>
      <c r="D28" s="3243"/>
      <c r="E28" s="1693"/>
      <c r="F28" s="3239">
        <f>SUM(F23:H27)</f>
        <v>36187981</v>
      </c>
      <c r="G28" s="3239"/>
      <c r="H28" s="3239"/>
      <c r="I28" s="1693"/>
      <c r="J28" s="3234">
        <f>J26</f>
        <v>0</v>
      </c>
      <c r="K28" s="3234"/>
      <c r="L28" s="3234"/>
      <c r="M28" s="2616"/>
      <c r="N28" s="2054">
        <f>SUM(N24:N27)</f>
        <v>61634887</v>
      </c>
      <c r="O28" s="1693"/>
      <c r="P28" s="2054">
        <f>'23-24'!N31+'25'!M10+'26'!T28</f>
        <v>97822868</v>
      </c>
      <c r="Q28" s="545"/>
      <c r="R28" s="534"/>
      <c r="S28" s="534"/>
      <c r="T28" s="534"/>
      <c r="U28" s="534"/>
    </row>
    <row r="29" spans="1:21" ht="12" customHeight="1" thickTop="1">
      <c r="C29" s="1014"/>
      <c r="D29" s="1035"/>
      <c r="E29" s="1035"/>
      <c r="F29" s="1035"/>
      <c r="G29" s="1035"/>
      <c r="H29" s="545"/>
      <c r="I29" s="2027"/>
      <c r="J29" s="2027"/>
      <c r="K29" s="2027"/>
      <c r="L29" s="2027"/>
      <c r="M29" s="2027"/>
      <c r="N29" s="2027"/>
      <c r="O29" s="1015"/>
      <c r="P29" s="1016"/>
      <c r="Q29" s="545"/>
      <c r="R29" s="534"/>
      <c r="S29" s="534"/>
      <c r="T29" s="534"/>
      <c r="U29" s="534"/>
    </row>
    <row r="30" spans="1:21" ht="12" customHeight="1">
      <c r="B30" s="545"/>
      <c r="C30" s="1014"/>
      <c r="D30" s="1035"/>
      <c r="E30" s="1035"/>
      <c r="F30" s="1035"/>
      <c r="G30" s="1035"/>
      <c r="H30" s="2027"/>
      <c r="I30" s="2027"/>
      <c r="J30" s="2027"/>
      <c r="K30" s="2027"/>
      <c r="L30" s="2027"/>
      <c r="M30" s="2027"/>
      <c r="N30" s="2027"/>
      <c r="O30" s="1015"/>
      <c r="P30" s="1016"/>
      <c r="Q30" s="545"/>
      <c r="R30" s="534"/>
      <c r="S30" s="534"/>
      <c r="T30" s="534"/>
      <c r="U30" s="534"/>
    </row>
    <row r="31" spans="1:21" ht="131.25" customHeight="1">
      <c r="B31" s="545"/>
      <c r="C31" s="1014"/>
      <c r="D31" s="1035"/>
      <c r="E31" s="1035"/>
      <c r="F31" s="1035"/>
      <c r="G31" s="1035"/>
      <c r="H31" s="1015"/>
      <c r="I31" s="1015"/>
      <c r="J31" s="1015"/>
      <c r="K31" s="1015"/>
      <c r="L31" s="1015"/>
      <c r="M31" s="1015"/>
      <c r="N31" s="1015"/>
      <c r="O31" s="1015"/>
      <c r="P31" s="1016"/>
      <c r="Q31" s="545"/>
      <c r="R31" s="534"/>
      <c r="S31" s="534"/>
      <c r="T31" s="534"/>
      <c r="U31" s="534"/>
    </row>
    <row r="32" spans="1:21" ht="69.75" customHeight="1">
      <c r="A32" s="3238">
        <v>28</v>
      </c>
      <c r="B32" s="3238"/>
      <c r="C32" s="3238"/>
      <c r="D32" s="3238"/>
      <c r="E32" s="3238"/>
      <c r="F32" s="3238"/>
      <c r="G32" s="3238"/>
      <c r="H32" s="3238"/>
      <c r="I32" s="3238"/>
      <c r="J32" s="3238"/>
      <c r="K32" s="3238"/>
      <c r="L32" s="3238"/>
      <c r="M32" s="3238"/>
      <c r="N32" s="3238"/>
      <c r="O32" s="3238"/>
      <c r="P32" s="3238"/>
      <c r="Q32" s="3238"/>
    </row>
  </sheetData>
  <mergeCells count="60">
    <mergeCell ref="F25:H25"/>
    <mergeCell ref="J25:L25"/>
    <mergeCell ref="B24:D24"/>
    <mergeCell ref="F24:H24"/>
    <mergeCell ref="J24:L24"/>
    <mergeCell ref="A32:Q32"/>
    <mergeCell ref="F22:H22"/>
    <mergeCell ref="F23:H23"/>
    <mergeCell ref="F26:H26"/>
    <mergeCell ref="F27:H27"/>
    <mergeCell ref="F28:H28"/>
    <mergeCell ref="J22:L22"/>
    <mergeCell ref="B23:D23"/>
    <mergeCell ref="J23:L23"/>
    <mergeCell ref="J26:L26"/>
    <mergeCell ref="J27:L27"/>
    <mergeCell ref="J28:L28"/>
    <mergeCell ref="B26:D26"/>
    <mergeCell ref="B27:D27"/>
    <mergeCell ref="B28:D28"/>
    <mergeCell ref="B25:D25"/>
    <mergeCell ref="B19:D19"/>
    <mergeCell ref="F19:H19"/>
    <mergeCell ref="J19:L19"/>
    <mergeCell ref="B20:P20"/>
    <mergeCell ref="B22:D22"/>
    <mergeCell ref="B12:D12"/>
    <mergeCell ref="F12:H12"/>
    <mergeCell ref="J12:L12"/>
    <mergeCell ref="B18:D18"/>
    <mergeCell ref="F18:H18"/>
    <mergeCell ref="J18:L18"/>
    <mergeCell ref="B13:D13"/>
    <mergeCell ref="F13:H13"/>
    <mergeCell ref="J13:L13"/>
    <mergeCell ref="A14:D14"/>
    <mergeCell ref="A15:D15"/>
    <mergeCell ref="A16:D16"/>
    <mergeCell ref="J14:L14"/>
    <mergeCell ref="J15:L15"/>
    <mergeCell ref="J16:L16"/>
    <mergeCell ref="J17:L17"/>
    <mergeCell ref="B8:P8"/>
    <mergeCell ref="B10:D10"/>
    <mergeCell ref="F10:H10"/>
    <mergeCell ref="J10:L10"/>
    <mergeCell ref="B11:D11"/>
    <mergeCell ref="F11:H11"/>
    <mergeCell ref="J11:L11"/>
    <mergeCell ref="B7:P7"/>
    <mergeCell ref="A1:Q1"/>
    <mergeCell ref="A2:Q2"/>
    <mergeCell ref="A3:Q3"/>
    <mergeCell ref="C5:D5"/>
    <mergeCell ref="B6:P6"/>
    <mergeCell ref="A17:D17"/>
    <mergeCell ref="F14:H14"/>
    <mergeCell ref="F15:H15"/>
    <mergeCell ref="F16:H16"/>
    <mergeCell ref="F17:H17"/>
  </mergeCells>
  <printOptions horizontalCentered="1"/>
  <pageMargins left="0.3" right="0.4" top="0.39370078740157499" bottom="0" header="0.27559055118110198" footer="0.19"/>
  <pageSetup paperSize="9" scale="3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R44"/>
  <sheetViews>
    <sheetView rightToLeft="1" view="pageBreakPreview" topLeftCell="B37" zoomScale="70" zoomScaleNormal="60" zoomScaleSheetLayoutView="70" workbookViewId="0">
      <selection activeCell="L49" sqref="L49"/>
    </sheetView>
  </sheetViews>
  <sheetFormatPr defaultColWidth="11" defaultRowHeight="21"/>
  <cols>
    <col min="1" max="1" width="6.5" style="890" customWidth="1"/>
    <col min="2" max="2" width="8.75" style="890" customWidth="1"/>
    <col min="3" max="3" width="8" style="255" customWidth="1"/>
    <col min="4" max="4" width="21.75" style="255" customWidth="1"/>
    <col min="5" max="5" width="49.25" style="255" customWidth="1"/>
    <col min="6" max="6" width="11" style="255"/>
    <col min="7" max="7" width="4.25" style="255" customWidth="1"/>
    <col min="8" max="8" width="19.125" style="255" customWidth="1"/>
    <col min="9" max="9" width="4.75" style="255" customWidth="1"/>
    <col min="10" max="10" width="18.625" style="255" customWidth="1"/>
    <col min="11" max="11" width="2.5" style="255" customWidth="1"/>
    <col min="12" max="12" width="18.625" style="255" customWidth="1"/>
    <col min="13" max="13" width="2.375" style="255" customWidth="1"/>
    <col min="14" max="14" width="11" style="255"/>
    <col min="15" max="15" width="24.375" style="255" customWidth="1"/>
    <col min="16" max="16384" width="11" style="255"/>
  </cols>
  <sheetData>
    <row r="1" spans="1:16" ht="33" customHeight="1">
      <c r="A1" s="3245" t="s">
        <v>612</v>
      </c>
      <c r="B1" s="3245"/>
      <c r="C1" s="3245"/>
      <c r="D1" s="3245"/>
      <c r="E1" s="3245"/>
      <c r="F1" s="3245"/>
      <c r="G1" s="3245"/>
      <c r="H1" s="3245"/>
      <c r="I1" s="3245"/>
      <c r="J1" s="3245"/>
      <c r="K1" s="3245"/>
      <c r="L1" s="3245"/>
      <c r="M1" s="3245"/>
      <c r="N1" s="3245"/>
      <c r="O1" s="534"/>
      <c r="P1" s="534"/>
    </row>
    <row r="2" spans="1:16" ht="35.25" customHeight="1">
      <c r="A2" s="3245" t="s">
        <v>1515</v>
      </c>
      <c r="B2" s="3245"/>
      <c r="C2" s="3245"/>
      <c r="D2" s="3245"/>
      <c r="E2" s="3245"/>
      <c r="F2" s="3245"/>
      <c r="G2" s="3245"/>
      <c r="H2" s="3245"/>
      <c r="I2" s="3245"/>
      <c r="J2" s="3245"/>
      <c r="K2" s="3245"/>
      <c r="L2" s="3245"/>
      <c r="M2" s="3245"/>
      <c r="N2" s="3245"/>
      <c r="O2" s="534"/>
      <c r="P2" s="534"/>
    </row>
    <row r="3" spans="1:16" ht="35.25" customHeight="1">
      <c r="A3" s="3245" t="str">
        <f>مفروضات!A7</f>
        <v xml:space="preserve"> سال مالي منتهي به 29 اسفند 1401</v>
      </c>
      <c r="B3" s="3245"/>
      <c r="C3" s="3245"/>
      <c r="D3" s="3245"/>
      <c r="E3" s="3245"/>
      <c r="F3" s="3245"/>
      <c r="G3" s="3245"/>
      <c r="H3" s="3245"/>
      <c r="I3" s="3245"/>
      <c r="J3" s="3245"/>
      <c r="K3" s="3245"/>
      <c r="L3" s="3245"/>
      <c r="M3" s="3245"/>
      <c r="N3" s="3245"/>
      <c r="O3" s="534"/>
      <c r="P3" s="534"/>
    </row>
    <row r="4" spans="1:16" ht="35.25" customHeight="1">
      <c r="A4" s="2492"/>
      <c r="B4" s="2492"/>
      <c r="C4" s="2492"/>
      <c r="D4" s="2492"/>
      <c r="E4" s="2492"/>
      <c r="F4" s="2492"/>
      <c r="G4" s="2492"/>
      <c r="H4" s="2492"/>
      <c r="I4" s="2492"/>
      <c r="J4" s="2492"/>
      <c r="K4" s="2492"/>
      <c r="L4" s="2492"/>
      <c r="M4" s="2492"/>
      <c r="N4" s="2492"/>
      <c r="O4" s="534"/>
      <c r="P4" s="534"/>
    </row>
    <row r="5" spans="1:16" ht="35.25" customHeight="1">
      <c r="A5" s="2492"/>
      <c r="B5" s="2494"/>
      <c r="C5" s="2494"/>
      <c r="D5" s="2494"/>
      <c r="E5" s="2494"/>
      <c r="F5" s="2494"/>
      <c r="G5" s="2494"/>
      <c r="H5" s="2494"/>
      <c r="I5" s="2494"/>
      <c r="J5" s="2494"/>
      <c r="K5" s="2494"/>
      <c r="L5" s="2494"/>
      <c r="M5" s="2492"/>
      <c r="N5" s="2492"/>
      <c r="O5" s="534"/>
      <c r="P5" s="534"/>
    </row>
    <row r="6" spans="1:16" ht="35.25" customHeight="1">
      <c r="A6" s="2492"/>
      <c r="B6" s="2494" t="s">
        <v>2554</v>
      </c>
      <c r="C6" s="3252" t="s">
        <v>2340</v>
      </c>
      <c r="D6" s="3252"/>
      <c r="E6" s="2494"/>
      <c r="F6" s="2666" t="s">
        <v>2327</v>
      </c>
      <c r="G6" s="2658"/>
      <c r="H6" s="2666" t="s">
        <v>2512</v>
      </c>
      <c r="I6" s="2658"/>
      <c r="J6" s="2666" t="s">
        <v>2511</v>
      </c>
      <c r="K6" s="2494"/>
      <c r="L6" s="2494"/>
      <c r="M6" s="2492"/>
      <c r="N6" s="2492"/>
      <c r="O6" s="2665"/>
      <c r="P6" s="534"/>
    </row>
    <row r="7" spans="1:16" ht="35.25" customHeight="1">
      <c r="A7" s="2653"/>
      <c r="B7" s="2494"/>
      <c r="C7" s="2664" t="s">
        <v>1871</v>
      </c>
      <c r="D7" s="2664"/>
      <c r="E7" s="2494"/>
      <c r="F7" s="2667">
        <v>8</v>
      </c>
      <c r="G7" s="2659"/>
      <c r="H7" s="2661">
        <f>857000+576338</f>
        <v>1433338</v>
      </c>
      <c r="I7" s="2659"/>
      <c r="J7" s="2661">
        <v>0</v>
      </c>
      <c r="K7" s="2494"/>
      <c r="L7" s="2494"/>
      <c r="M7" s="2653"/>
      <c r="N7" s="2653"/>
      <c r="O7" s="534"/>
      <c r="P7" s="534"/>
    </row>
    <row r="8" spans="1:16" ht="35.25" customHeight="1">
      <c r="A8" s="2653"/>
      <c r="B8" s="2494"/>
      <c r="C8" s="2662" t="s">
        <v>2514</v>
      </c>
      <c r="D8" s="2662"/>
      <c r="E8" s="2660"/>
      <c r="F8" s="1016"/>
      <c r="G8" s="2659"/>
      <c r="H8" s="2661">
        <f>H7</f>
        <v>1433338</v>
      </c>
      <c r="I8" s="2659"/>
      <c r="J8" s="2661">
        <f>J7</f>
        <v>0</v>
      </c>
      <c r="K8" s="2494"/>
      <c r="L8" s="2494"/>
      <c r="M8" s="2653"/>
      <c r="N8" s="2653"/>
      <c r="O8" s="534"/>
      <c r="P8" s="534"/>
    </row>
    <row r="9" spans="1:16" ht="35.25" customHeight="1">
      <c r="A9" s="2653"/>
      <c r="B9" s="2494"/>
      <c r="C9" s="2664" t="s">
        <v>2513</v>
      </c>
      <c r="D9" s="2664"/>
      <c r="E9" s="2657"/>
      <c r="F9" s="1016">
        <v>17</v>
      </c>
      <c r="G9" s="2659"/>
      <c r="H9" s="2661">
        <f>-302718</f>
        <v>-302718</v>
      </c>
      <c r="I9" s="2659"/>
      <c r="J9" s="2661">
        <f>-(5433332+173223)</f>
        <v>-5606555</v>
      </c>
      <c r="K9" s="2494"/>
      <c r="L9" s="2494"/>
      <c r="M9" s="2653"/>
      <c r="N9" s="2653"/>
      <c r="O9" s="534"/>
      <c r="P9" s="534"/>
    </row>
    <row r="10" spans="1:16" ht="35.25" customHeight="1">
      <c r="A10" s="2653"/>
      <c r="B10" s="2494"/>
      <c r="C10" s="2663" t="s">
        <v>2515</v>
      </c>
      <c r="D10" s="2663"/>
      <c r="E10" s="2660"/>
      <c r="F10" s="1016"/>
      <c r="G10" s="2659"/>
      <c r="H10" s="2661">
        <f>H9</f>
        <v>-302718</v>
      </c>
      <c r="I10" s="2659"/>
      <c r="J10" s="2661">
        <f>J9</f>
        <v>-5606555</v>
      </c>
      <c r="K10" s="2494"/>
      <c r="L10" s="2494"/>
      <c r="M10" s="2653"/>
      <c r="N10" s="2653"/>
      <c r="O10" s="534"/>
      <c r="P10" s="534"/>
    </row>
    <row r="11" spans="1:16" ht="35.25" customHeight="1" thickBot="1">
      <c r="A11" s="2653"/>
      <c r="B11" s="2494"/>
      <c r="C11" s="2664" t="s">
        <v>2516</v>
      </c>
      <c r="D11" s="2664"/>
      <c r="E11" s="2494"/>
      <c r="F11" s="2494"/>
      <c r="G11" s="2494"/>
      <c r="H11" s="2668">
        <f>H8+H10</f>
        <v>1130620</v>
      </c>
      <c r="I11" s="2494"/>
      <c r="J11" s="2668">
        <f>J10</f>
        <v>-5606555</v>
      </c>
      <c r="K11" s="2494"/>
      <c r="L11" s="2494"/>
      <c r="M11" s="2653"/>
      <c r="N11" s="2653"/>
      <c r="O11" s="534"/>
      <c r="P11" s="534"/>
    </row>
    <row r="12" spans="1:16" ht="35.25" customHeight="1" thickTop="1" thickBot="1">
      <c r="A12" s="2653"/>
      <c r="B12" s="2494"/>
      <c r="C12" s="2664" t="s">
        <v>2517</v>
      </c>
      <c r="D12" s="2664"/>
      <c r="E12" s="2494"/>
      <c r="F12" s="2494"/>
      <c r="G12" s="2494"/>
      <c r="H12" s="2669">
        <v>-864906</v>
      </c>
      <c r="I12" s="2494"/>
      <c r="J12" s="2669">
        <v>-6791667</v>
      </c>
      <c r="K12" s="2494"/>
      <c r="L12" s="2494"/>
      <c r="M12" s="2653"/>
      <c r="N12" s="2653"/>
      <c r="O12" s="534"/>
      <c r="P12" s="534"/>
    </row>
    <row r="13" spans="1:16" ht="35.25" customHeight="1" thickTop="1" thickBot="1">
      <c r="A13" s="2653"/>
      <c r="B13" s="2494"/>
      <c r="C13" s="2664" t="s">
        <v>2518</v>
      </c>
      <c r="D13" s="2664"/>
      <c r="E13" s="2494"/>
      <c r="F13" s="2494"/>
      <c r="G13" s="2494"/>
      <c r="H13" s="2669">
        <f>296362-82183</f>
        <v>214179</v>
      </c>
      <c r="I13" s="2494"/>
      <c r="J13" s="2669">
        <f>-(369418+13443)</f>
        <v>-382861</v>
      </c>
      <c r="K13" s="2494"/>
      <c r="L13" s="2494"/>
      <c r="M13" s="2653"/>
      <c r="N13" s="2653"/>
      <c r="O13" s="534"/>
      <c r="P13" s="534"/>
    </row>
    <row r="14" spans="1:16" ht="40.5" customHeight="1" thickTop="1" thickBot="1">
      <c r="A14" s="2653"/>
      <c r="B14" s="2494"/>
      <c r="C14" s="2664" t="s">
        <v>2530</v>
      </c>
      <c r="D14" s="2664"/>
      <c r="E14" s="2494"/>
      <c r="F14" s="2494"/>
      <c r="G14" s="2494"/>
      <c r="H14" s="2669">
        <v>-253850</v>
      </c>
      <c r="I14" s="2494"/>
      <c r="J14" s="2669">
        <v>-519327</v>
      </c>
      <c r="K14" s="2494"/>
      <c r="L14" s="2494"/>
      <c r="M14" s="2653"/>
      <c r="N14" s="2653"/>
      <c r="O14" s="534"/>
      <c r="P14" s="534"/>
    </row>
    <row r="15" spans="1:16" ht="74.25" customHeight="1" thickTop="1">
      <c r="B15" s="2656"/>
      <c r="C15" s="3250"/>
      <c r="D15" s="3251"/>
      <c r="E15" s="3251"/>
      <c r="F15" s="3251"/>
      <c r="G15" s="3251"/>
      <c r="H15" s="3251"/>
      <c r="I15" s="3251"/>
      <c r="J15" s="3251"/>
      <c r="K15" s="3251"/>
      <c r="L15" s="3251"/>
      <c r="M15" s="534"/>
      <c r="N15" s="534"/>
      <c r="O15" s="534" t="e">
        <f>'14'!#REF!</f>
        <v>#REF!</v>
      </c>
      <c r="P15" s="534"/>
    </row>
    <row r="16" spans="1:16" ht="32.25" customHeight="1">
      <c r="C16" s="535"/>
      <c r="D16" s="535"/>
      <c r="E16" s="535"/>
      <c r="F16" s="535"/>
      <c r="G16" s="535"/>
      <c r="H16" s="535"/>
      <c r="I16" s="535"/>
      <c r="J16" s="535"/>
      <c r="K16" s="535"/>
      <c r="L16" s="535"/>
      <c r="M16" s="534"/>
      <c r="N16" s="534"/>
      <c r="O16" s="534"/>
      <c r="P16" s="534"/>
    </row>
    <row r="17" spans="2:18" ht="32.25" customHeight="1">
      <c r="B17" s="727">
        <v>-25</v>
      </c>
      <c r="C17" s="536" t="s">
        <v>1551</v>
      </c>
      <c r="D17" s="534"/>
      <c r="E17" s="537"/>
      <c r="F17" s="537"/>
      <c r="G17" s="537"/>
      <c r="H17" s="537"/>
      <c r="I17" s="537"/>
      <c r="J17" s="534"/>
      <c r="K17" s="534"/>
      <c r="L17" s="534"/>
      <c r="M17" s="534"/>
      <c r="N17" s="534"/>
      <c r="O17" s="534"/>
      <c r="P17" s="534"/>
    </row>
    <row r="18" spans="2:18" ht="12" customHeight="1">
      <c r="B18" s="1236"/>
      <c r="C18" s="536"/>
      <c r="D18" s="534"/>
      <c r="E18" s="537"/>
      <c r="F18" s="537"/>
      <c r="G18" s="537"/>
      <c r="H18" s="537"/>
      <c r="I18" s="537"/>
      <c r="J18" s="534"/>
      <c r="K18" s="534"/>
      <c r="L18" s="534"/>
      <c r="M18" s="534"/>
      <c r="N18" s="534"/>
      <c r="O18" s="534"/>
      <c r="P18" s="534"/>
    </row>
    <row r="19" spans="2:18" ht="30.75" customHeight="1">
      <c r="C19" s="845" t="s">
        <v>2341</v>
      </c>
      <c r="D19" s="1013" t="s">
        <v>2015</v>
      </c>
      <c r="E19" s="540"/>
      <c r="F19" s="540"/>
      <c r="G19" s="540"/>
      <c r="H19" s="540"/>
      <c r="I19" s="540"/>
      <c r="J19" s="3248" t="s">
        <v>1950</v>
      </c>
      <c r="K19" s="3248"/>
      <c r="L19" s="3248"/>
      <c r="M19" s="534"/>
      <c r="N19" s="534"/>
      <c r="O19" s="534"/>
      <c r="P19" s="534"/>
    </row>
    <row r="20" spans="2:18" ht="45" customHeight="1">
      <c r="C20" s="845"/>
      <c r="D20" s="539"/>
      <c r="E20" s="540"/>
      <c r="F20" s="540"/>
      <c r="G20" s="540"/>
      <c r="H20" s="540"/>
      <c r="I20" s="540"/>
      <c r="J20" s="1183">
        <v>1401</v>
      </c>
      <c r="K20" s="540"/>
      <c r="L20" s="1183">
        <v>1400</v>
      </c>
      <c r="M20" s="541"/>
      <c r="O20" s="534"/>
      <c r="P20" s="534"/>
      <c r="Q20" s="534"/>
      <c r="R20" s="534"/>
    </row>
    <row r="21" spans="2:18" ht="24" customHeight="1">
      <c r="C21" s="542"/>
      <c r="D21" s="543"/>
      <c r="E21" s="542"/>
      <c r="F21" s="544"/>
      <c r="G21" s="544"/>
      <c r="H21" s="544"/>
      <c r="I21" s="544"/>
      <c r="J21" s="544"/>
      <c r="K21" s="544"/>
      <c r="L21" s="847"/>
      <c r="M21" s="542"/>
      <c r="O21" s="534"/>
      <c r="P21" s="534"/>
      <c r="Q21" s="534"/>
      <c r="R21" s="534"/>
    </row>
    <row r="22" spans="2:18" ht="42.75" customHeight="1">
      <c r="C22" s="545"/>
      <c r="D22" s="1014" t="s">
        <v>2043</v>
      </c>
      <c r="E22" s="1014"/>
      <c r="F22" s="1015"/>
      <c r="G22" s="1015"/>
      <c r="H22" s="1015"/>
      <c r="I22" s="1015"/>
      <c r="J22" s="1016">
        <v>538514</v>
      </c>
      <c r="K22" s="1015"/>
      <c r="L22" s="1016">
        <v>577536</v>
      </c>
      <c r="M22" s="545"/>
      <c r="O22" s="545"/>
      <c r="P22" s="545"/>
      <c r="Q22" s="545"/>
      <c r="R22" s="545"/>
    </row>
    <row r="23" spans="2:18" ht="42.75" customHeight="1">
      <c r="C23" s="545"/>
      <c r="D23" s="1014" t="s">
        <v>2042</v>
      </c>
      <c r="E23" s="1014"/>
      <c r="F23" s="1015"/>
      <c r="G23" s="1015"/>
      <c r="H23" s="1015"/>
      <c r="I23" s="1015"/>
      <c r="J23" s="1016">
        <v>215529</v>
      </c>
      <c r="K23" s="1015"/>
      <c r="L23" s="1016">
        <v>152271</v>
      </c>
      <c r="M23" s="545"/>
      <c r="O23" s="545"/>
      <c r="P23" s="545"/>
      <c r="Q23" s="545"/>
      <c r="R23" s="545"/>
    </row>
    <row r="24" spans="2:18" ht="42.75" customHeight="1">
      <c r="C24" s="1027"/>
      <c r="D24" s="1014" t="s">
        <v>1029</v>
      </c>
      <c r="E24" s="1014"/>
      <c r="F24" s="1015"/>
      <c r="G24" s="1015"/>
      <c r="H24" s="1015"/>
      <c r="I24" s="1015"/>
      <c r="J24" s="1016">
        <v>97066</v>
      </c>
      <c r="K24" s="1015"/>
      <c r="L24" s="1016">
        <v>122290</v>
      </c>
      <c r="M24" s="545"/>
      <c r="O24" s="545"/>
      <c r="P24" s="545"/>
      <c r="Q24" s="545"/>
      <c r="R24" s="545"/>
    </row>
    <row r="25" spans="2:18" ht="42.75" customHeight="1">
      <c r="C25" s="1027"/>
      <c r="D25" s="1014" t="s">
        <v>1763</v>
      </c>
      <c r="E25" s="1014"/>
      <c r="F25" s="1015"/>
      <c r="G25" s="1015"/>
      <c r="H25" s="1015"/>
      <c r="I25" s="1015"/>
      <c r="J25" s="1016">
        <v>93193</v>
      </c>
      <c r="K25" s="1015"/>
      <c r="L25" s="1016">
        <v>201893</v>
      </c>
      <c r="M25" s="545"/>
      <c r="O25" s="545"/>
      <c r="P25" s="545"/>
      <c r="Q25" s="545"/>
      <c r="R25" s="545"/>
    </row>
    <row r="26" spans="2:18" ht="42.75" customHeight="1">
      <c r="C26" s="1027"/>
      <c r="D26" s="1014" t="s">
        <v>1400</v>
      </c>
      <c r="E26" s="1014"/>
      <c r="F26" s="1015"/>
      <c r="G26" s="1015"/>
      <c r="H26" s="1015"/>
      <c r="I26" s="1015"/>
      <c r="J26" s="1016">
        <v>15377</v>
      </c>
      <c r="K26" s="1015"/>
      <c r="L26" s="1016">
        <v>25419</v>
      </c>
      <c r="M26" s="545"/>
      <c r="O26" s="545"/>
      <c r="P26" s="545"/>
      <c r="Q26" s="545"/>
      <c r="R26" s="545"/>
    </row>
    <row r="27" spans="2:18" ht="42.75" customHeight="1">
      <c r="C27" s="545"/>
      <c r="D27" s="1014" t="s">
        <v>2044</v>
      </c>
      <c r="E27" s="846"/>
      <c r="F27" s="1015"/>
      <c r="G27" s="1015"/>
      <c r="H27" s="1015"/>
      <c r="I27" s="1015"/>
      <c r="J27" s="1016">
        <v>13561</v>
      </c>
      <c r="K27" s="1015"/>
      <c r="L27" s="1016">
        <v>43309</v>
      </c>
      <c r="M27" s="545"/>
      <c r="O27" s="534"/>
      <c r="P27" s="534"/>
      <c r="Q27" s="534"/>
      <c r="R27" s="534"/>
    </row>
    <row r="28" spans="2:18" ht="42.75" customHeight="1">
      <c r="C28" s="545"/>
      <c r="D28" s="1014" t="s">
        <v>1940</v>
      </c>
      <c r="E28" s="1014"/>
      <c r="F28" s="1015"/>
      <c r="G28" s="1015"/>
      <c r="H28" s="1015"/>
      <c r="I28" s="1015"/>
      <c r="J28" s="1016">
        <v>11612</v>
      </c>
      <c r="K28" s="1015"/>
      <c r="L28" s="1016">
        <v>19624</v>
      </c>
      <c r="M28" s="545"/>
      <c r="O28" s="534"/>
      <c r="P28" s="534"/>
      <c r="Q28" s="534"/>
      <c r="R28" s="534"/>
    </row>
    <row r="29" spans="2:18" ht="42.75" customHeight="1">
      <c r="C29" s="545"/>
      <c r="D29" s="1014" t="s">
        <v>1938</v>
      </c>
      <c r="E29" s="1014"/>
      <c r="F29" s="1015"/>
      <c r="G29" s="1015"/>
      <c r="H29" s="1015"/>
      <c r="I29" s="1015"/>
      <c r="J29" s="1016">
        <v>4427</v>
      </c>
      <c r="K29" s="1015"/>
      <c r="L29" s="1016">
        <v>12594</v>
      </c>
      <c r="M29" s="545"/>
      <c r="O29" s="534"/>
      <c r="P29" s="534"/>
      <c r="Q29" s="534"/>
      <c r="R29" s="534"/>
    </row>
    <row r="30" spans="2:18" ht="42.75" customHeight="1">
      <c r="C30" s="545"/>
      <c r="D30" s="1014" t="s">
        <v>1939</v>
      </c>
      <c r="E30" s="846"/>
      <c r="F30" s="1015"/>
      <c r="G30" s="1015"/>
      <c r="H30" s="1015"/>
      <c r="I30" s="1015"/>
      <c r="J30" s="1016">
        <v>3838</v>
      </c>
      <c r="K30" s="1015"/>
      <c r="L30" s="1016">
        <v>87783</v>
      </c>
      <c r="M30" s="545"/>
      <c r="O30" s="534"/>
      <c r="P30" s="534"/>
      <c r="Q30" s="534"/>
      <c r="R30" s="534"/>
    </row>
    <row r="31" spans="2:18" ht="42.75" customHeight="1">
      <c r="C31" s="545"/>
      <c r="D31" s="1014" t="s">
        <v>1762</v>
      </c>
      <c r="E31" s="1014"/>
      <c r="F31" s="1015"/>
      <c r="G31" s="1015"/>
      <c r="H31" s="1015"/>
      <c r="I31" s="1015"/>
      <c r="J31" s="1016">
        <v>1946</v>
      </c>
      <c r="K31" s="1015"/>
      <c r="L31" s="1016">
        <v>31728</v>
      </c>
      <c r="M31" s="545"/>
      <c r="O31" s="534"/>
      <c r="P31" s="534"/>
      <c r="Q31" s="534"/>
      <c r="R31" s="534"/>
    </row>
    <row r="32" spans="2:18" ht="42.75" customHeight="1">
      <c r="C32" s="545"/>
      <c r="D32" s="1014" t="s">
        <v>2468</v>
      </c>
      <c r="E32" s="1014"/>
      <c r="F32" s="1015"/>
      <c r="G32" s="1015"/>
      <c r="H32" s="1015"/>
      <c r="I32" s="1015"/>
      <c r="J32" s="1016">
        <v>125771</v>
      </c>
      <c r="K32" s="1015"/>
      <c r="L32" s="1016">
        <v>154421</v>
      </c>
      <c r="M32" s="545"/>
      <c r="O32" s="545"/>
      <c r="P32" s="545"/>
      <c r="Q32" s="545"/>
      <c r="R32" s="545"/>
    </row>
    <row r="33" spans="1:18" ht="42" customHeight="1" thickBot="1">
      <c r="C33" s="534"/>
      <c r="D33" s="546"/>
      <c r="E33" s="577"/>
      <c r="F33" s="537"/>
      <c r="G33" s="537"/>
      <c r="H33" s="537"/>
      <c r="I33" s="537"/>
      <c r="J33" s="2032">
        <f>SUM(J22:J32)</f>
        <v>1120834</v>
      </c>
      <c r="K33" s="537"/>
      <c r="L33" s="2032">
        <f>SUM(L22:L32)</f>
        <v>1428868</v>
      </c>
      <c r="M33" s="534"/>
      <c r="O33" s="534"/>
      <c r="P33" s="534"/>
      <c r="Q33" s="534"/>
      <c r="R33" s="534"/>
    </row>
    <row r="34" spans="1:18" ht="69.75" customHeight="1" thickTop="1">
      <c r="C34" s="534"/>
      <c r="D34" s="546"/>
      <c r="E34" s="577"/>
      <c r="F34" s="537"/>
      <c r="G34" s="537"/>
      <c r="H34" s="537"/>
      <c r="I34" s="537"/>
      <c r="J34" s="534"/>
      <c r="K34" s="534"/>
      <c r="L34" s="578"/>
      <c r="M34" s="534"/>
      <c r="N34" s="534"/>
      <c r="O34" s="534"/>
      <c r="P34" s="534"/>
    </row>
    <row r="35" spans="1:18" ht="105" customHeight="1">
      <c r="B35" s="1237"/>
      <c r="C35" s="538" t="s">
        <v>2555</v>
      </c>
      <c r="D35" s="3247" t="s">
        <v>2405</v>
      </c>
      <c r="E35" s="3247"/>
      <c r="F35" s="3247"/>
      <c r="G35" s="3247"/>
      <c r="H35" s="3247"/>
      <c r="I35" s="3247"/>
      <c r="J35" s="3247"/>
      <c r="K35" s="3247"/>
      <c r="L35" s="3247"/>
      <c r="M35" s="1164"/>
      <c r="N35" s="534"/>
      <c r="O35" s="534"/>
      <c r="P35" s="534"/>
    </row>
    <row r="36" spans="1:18" ht="19.5" customHeight="1">
      <c r="B36" s="1237"/>
      <c r="C36" s="538"/>
      <c r="D36" s="1062"/>
      <c r="E36" s="1062"/>
      <c r="F36" s="1062"/>
      <c r="G36" s="1062"/>
      <c r="H36" s="1062"/>
      <c r="I36" s="1062"/>
      <c r="J36" s="1062"/>
      <c r="K36" s="1062"/>
      <c r="L36" s="1062"/>
      <c r="M36" s="1062"/>
      <c r="N36" s="534"/>
      <c r="O36" s="534"/>
      <c r="P36" s="534"/>
    </row>
    <row r="37" spans="1:18" ht="32.25" customHeight="1">
      <c r="B37" s="1237"/>
      <c r="C37" s="881" t="s">
        <v>2556</v>
      </c>
      <c r="D37" s="3246" t="s">
        <v>2013</v>
      </c>
      <c r="E37" s="3246"/>
      <c r="F37" s="3246"/>
      <c r="G37" s="3246"/>
      <c r="H37" s="3246"/>
      <c r="I37" s="3246"/>
      <c r="J37" s="3246"/>
      <c r="K37" s="3246"/>
      <c r="L37" s="3246"/>
      <c r="M37" s="880"/>
      <c r="N37" s="534"/>
      <c r="O37" s="534"/>
      <c r="P37" s="534"/>
    </row>
    <row r="38" spans="1:18" ht="33.75" hidden="1" customHeight="1">
      <c r="C38" s="851" t="s">
        <v>1522</v>
      </c>
      <c r="D38" s="851" t="s">
        <v>1559</v>
      </c>
      <c r="E38" s="851"/>
      <c r="F38" s="851"/>
      <c r="G38" s="851"/>
      <c r="H38" s="851"/>
      <c r="I38" s="851"/>
      <c r="J38" s="851"/>
      <c r="K38" s="851"/>
      <c r="L38" s="851"/>
      <c r="M38" s="534"/>
      <c r="N38" s="534"/>
      <c r="O38" s="534"/>
      <c r="P38" s="534"/>
    </row>
    <row r="39" spans="1:18" ht="78" customHeight="1">
      <c r="B39" s="2496"/>
      <c r="C39" s="2846" t="s">
        <v>2557</v>
      </c>
      <c r="D39" s="3249" t="s">
        <v>2339</v>
      </c>
      <c r="E39" s="3249"/>
      <c r="F39" s="3249"/>
      <c r="G39" s="3249"/>
      <c r="H39" s="3249"/>
      <c r="I39" s="3249"/>
      <c r="J39" s="3249"/>
      <c r="K39" s="3249"/>
      <c r="L39" s="3249"/>
      <c r="M39" s="3246"/>
      <c r="N39" s="3246"/>
      <c r="O39" s="534"/>
      <c r="P39" s="534"/>
    </row>
    <row r="40" spans="1:18" ht="68.25" customHeight="1">
      <c r="B40" s="1237"/>
      <c r="C40" s="2493"/>
      <c r="D40" s="3246" t="s">
        <v>2704</v>
      </c>
      <c r="E40" s="3246"/>
      <c r="F40" s="3246"/>
      <c r="G40" s="3246"/>
      <c r="H40" s="3246"/>
      <c r="I40" s="3246"/>
      <c r="J40" s="3246"/>
      <c r="K40" s="3246"/>
      <c r="L40" s="3246"/>
      <c r="M40" s="534"/>
      <c r="N40" s="534"/>
      <c r="O40" s="534"/>
      <c r="P40" s="534"/>
    </row>
    <row r="41" spans="1:18" ht="41.25" customHeight="1">
      <c r="B41" s="1237"/>
      <c r="C41" s="2493" t="s">
        <v>2538</v>
      </c>
      <c r="D41" s="2493" t="s">
        <v>2703</v>
      </c>
      <c r="E41" s="1334"/>
      <c r="F41" s="2024"/>
      <c r="G41" s="534"/>
      <c r="H41" s="1334"/>
      <c r="I41" s="1334"/>
      <c r="J41" s="1334"/>
      <c r="K41" s="534"/>
      <c r="L41" s="1334"/>
      <c r="M41" s="534"/>
      <c r="N41" s="534"/>
      <c r="O41" s="534"/>
      <c r="P41" s="534"/>
    </row>
    <row r="42" spans="1:18" ht="46.5" customHeight="1">
      <c r="A42" s="1067"/>
      <c r="B42" s="1067"/>
      <c r="C42" s="1065"/>
      <c r="D42" s="1066"/>
      <c r="E42" s="3244"/>
      <c r="F42" s="3244"/>
      <c r="G42" s="3244"/>
      <c r="H42" s="3244"/>
      <c r="I42" s="3244"/>
      <c r="J42" s="3244"/>
      <c r="K42" s="3244"/>
      <c r="L42" s="3244"/>
      <c r="M42" s="3244"/>
      <c r="N42" s="3244"/>
      <c r="O42" s="1060"/>
    </row>
    <row r="43" spans="1:18" ht="46.5" customHeight="1"/>
    <row r="44" spans="1:18" ht="33.75">
      <c r="F44" s="1068">
        <v>29</v>
      </c>
    </row>
  </sheetData>
  <mergeCells count="12">
    <mergeCell ref="E42:N42"/>
    <mergeCell ref="A1:N1"/>
    <mergeCell ref="A2:N2"/>
    <mergeCell ref="A3:N3"/>
    <mergeCell ref="D37:L37"/>
    <mergeCell ref="D35:L35"/>
    <mergeCell ref="J19:L19"/>
    <mergeCell ref="D39:L39"/>
    <mergeCell ref="M39:N39"/>
    <mergeCell ref="D40:L40"/>
    <mergeCell ref="C15:L15"/>
    <mergeCell ref="C6:D6"/>
  </mergeCells>
  <printOptions horizontalCentered="1"/>
  <pageMargins left="0.15748031496062992" right="0.11811023622047245" top="0.39370078740157483" bottom="0.19685039370078741" header="0.27559055118110237" footer="0.27559055118110237"/>
  <pageSetup paperSize="9" scale="46"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AI57"/>
  <sheetViews>
    <sheetView rightToLeft="1" view="pageBreakPreview" topLeftCell="D25" zoomScale="40" zoomScaleNormal="74" zoomScaleSheetLayoutView="40" workbookViewId="0">
      <selection activeCell="I31" activeCellId="1" sqref="I26 I31"/>
    </sheetView>
  </sheetViews>
  <sheetFormatPr defaultColWidth="1.375" defaultRowHeight="39.75" customHeight="1"/>
  <cols>
    <col min="1" max="1" width="1.75" style="1219" customWidth="1"/>
    <col min="2" max="2" width="12.125" style="246" customWidth="1"/>
    <col min="3" max="3" width="8.5" style="246" customWidth="1"/>
    <col min="4" max="4" width="21.75" style="246" customWidth="1"/>
    <col min="5" max="5" width="75.375" style="253" customWidth="1"/>
    <col min="6" max="8" width="29.125" style="246" customWidth="1"/>
    <col min="9" max="9" width="27.875" style="246" customWidth="1"/>
    <col min="10" max="10" width="27" style="246" customWidth="1"/>
    <col min="11" max="11" width="28.875" style="246" bestFit="1" customWidth="1"/>
    <col min="12" max="12" width="31" style="246" customWidth="1"/>
    <col min="13" max="13" width="32.375" style="246" customWidth="1"/>
    <col min="14" max="14" width="23.5" style="246" hidden="1" customWidth="1"/>
    <col min="15" max="15" width="26.625" style="246" bestFit="1" customWidth="1"/>
    <col min="16" max="18" width="30.5" style="246" customWidth="1"/>
    <col min="19" max="27" width="1.375" style="246"/>
    <col min="28" max="28" width="24.625" style="246" customWidth="1"/>
    <col min="29" max="29" width="31.125" style="246" customWidth="1"/>
    <col min="30" max="30" width="1.375" style="246"/>
    <col min="31" max="31" width="22.25" style="246" bestFit="1" customWidth="1"/>
    <col min="32" max="16384" width="1.375" style="246"/>
  </cols>
  <sheetData>
    <row r="1" spans="1:35" s="619" customFormat="1" ht="66.75" customHeight="1">
      <c r="A1" s="3319" t="s">
        <v>612</v>
      </c>
      <c r="B1" s="3319"/>
      <c r="C1" s="3319"/>
      <c r="D1" s="3319"/>
      <c r="E1" s="3319"/>
      <c r="F1" s="3319"/>
      <c r="G1" s="3319"/>
      <c r="H1" s="3319"/>
      <c r="I1" s="3319"/>
      <c r="J1" s="3319"/>
      <c r="K1" s="3319"/>
      <c r="L1" s="3319"/>
      <c r="M1" s="3319"/>
    </row>
    <row r="2" spans="1:35" s="619" customFormat="1" ht="64.5" customHeight="1">
      <c r="A2" s="3319" t="s">
        <v>1515</v>
      </c>
      <c r="B2" s="3319"/>
      <c r="C2" s="3319"/>
      <c r="D2" s="3319"/>
      <c r="E2" s="3319"/>
      <c r="F2" s="3319"/>
      <c r="G2" s="3319"/>
      <c r="H2" s="3319"/>
      <c r="I2" s="3319"/>
      <c r="J2" s="3319"/>
      <c r="K2" s="3319"/>
      <c r="L2" s="3319"/>
      <c r="M2" s="3319"/>
    </row>
    <row r="3" spans="1:35" s="619" customFormat="1" ht="92.25" customHeight="1">
      <c r="A3" s="3319" t="str">
        <f>مفروضات!A3</f>
        <v xml:space="preserve"> سال مالي منتهي به 29 اسفند 1401</v>
      </c>
      <c r="B3" s="3319"/>
      <c r="C3" s="3319"/>
      <c r="D3" s="3319"/>
      <c r="E3" s="3319"/>
      <c r="F3" s="3319"/>
      <c r="G3" s="3319"/>
      <c r="H3" s="3319"/>
      <c r="I3" s="3319"/>
      <c r="J3" s="3319"/>
      <c r="K3" s="3319"/>
      <c r="L3" s="3319"/>
      <c r="M3" s="3319"/>
    </row>
    <row r="4" spans="1:35" ht="80.25" customHeight="1">
      <c r="B4" s="1241">
        <v>-27</v>
      </c>
      <c r="C4" s="1242" t="s">
        <v>1435</v>
      </c>
      <c r="D4" s="1243"/>
      <c r="E4" s="1244"/>
      <c r="F4" s="1245"/>
      <c r="G4" s="1245"/>
      <c r="H4" s="1245"/>
      <c r="I4" s="1245"/>
      <c r="J4" s="1246"/>
      <c r="K4" s="1246"/>
      <c r="L4" s="1247"/>
      <c r="M4" s="1247"/>
      <c r="N4" s="1247"/>
      <c r="O4" s="1247"/>
      <c r="P4" s="1247"/>
      <c r="Q4" s="1248"/>
      <c r="R4" s="1248"/>
      <c r="S4" s="1248"/>
    </row>
    <row r="5" spans="1:35" ht="72.75" customHeight="1" thickBot="1">
      <c r="B5" s="1619"/>
      <c r="C5" s="1618" t="s">
        <v>2558</v>
      </c>
      <c r="D5" s="3316" t="s">
        <v>1686</v>
      </c>
      <c r="E5" s="3316"/>
      <c r="F5" s="1250"/>
      <c r="G5" s="1250"/>
      <c r="H5" s="1250"/>
      <c r="I5" s="1250"/>
      <c r="J5" s="1250"/>
      <c r="K5" s="1250"/>
      <c r="L5" s="1251"/>
      <c r="M5" s="1252" t="s">
        <v>1560</v>
      </c>
      <c r="N5" s="1253"/>
      <c r="O5" s="1253"/>
      <c r="P5" s="1253"/>
      <c r="Q5" s="1253"/>
      <c r="R5" s="1249"/>
      <c r="S5" s="1249"/>
      <c r="T5" s="655"/>
      <c r="U5" s="655"/>
      <c r="V5" s="655"/>
      <c r="W5" s="655"/>
    </row>
    <row r="6" spans="1:35" ht="80.25" customHeight="1" thickBot="1">
      <c r="B6" s="1248"/>
      <c r="C6" s="1248"/>
      <c r="D6" s="1623" t="s">
        <v>62</v>
      </c>
      <c r="E6" s="1624" t="s">
        <v>1294</v>
      </c>
      <c r="F6" s="3317" t="s">
        <v>676</v>
      </c>
      <c r="G6" s="3318"/>
      <c r="H6" s="3318"/>
      <c r="I6" s="3318"/>
      <c r="J6" s="1625" t="s">
        <v>1276</v>
      </c>
      <c r="K6" s="1625" t="s">
        <v>1531</v>
      </c>
      <c r="L6" s="1625" t="s">
        <v>1530</v>
      </c>
      <c r="M6" s="1626" t="s">
        <v>1529</v>
      </c>
      <c r="N6" s="1254" t="s">
        <v>1532</v>
      </c>
      <c r="O6" s="1255" t="s">
        <v>1678</v>
      </c>
      <c r="P6" s="1251"/>
      <c r="Q6" s="1251"/>
      <c r="R6" s="1256"/>
      <c r="S6" s="1256"/>
      <c r="T6" s="656"/>
      <c r="U6" s="656"/>
      <c r="V6" s="656"/>
      <c r="W6" s="656"/>
    </row>
    <row r="7" spans="1:35" ht="86.25" customHeight="1" thickBot="1">
      <c r="B7" s="1248"/>
      <c r="C7" s="1248"/>
      <c r="D7" s="3306" t="s">
        <v>1293</v>
      </c>
      <c r="E7" s="1627" t="s">
        <v>1541</v>
      </c>
      <c r="F7" s="3309" t="s">
        <v>1685</v>
      </c>
      <c r="G7" s="3310"/>
      <c r="H7" s="3310"/>
      <c r="I7" s="3310"/>
      <c r="J7" s="1628" t="s">
        <v>713</v>
      </c>
      <c r="K7" s="1629">
        <v>28373</v>
      </c>
      <c r="L7" s="1630">
        <v>20147</v>
      </c>
      <c r="M7" s="1631">
        <f>O7-K7+L7</f>
        <v>8095669</v>
      </c>
      <c r="N7" s="1260" t="s">
        <v>1533</v>
      </c>
      <c r="O7" s="1259">
        <f>'23-24'!N97</f>
        <v>8103895</v>
      </c>
      <c r="P7" s="1261"/>
      <c r="Q7" s="1259">
        <f>'19'!J30</f>
        <v>147110</v>
      </c>
      <c r="R7" s="1256"/>
      <c r="S7" s="1256"/>
      <c r="T7" s="656"/>
      <c r="U7" s="656"/>
      <c r="V7" s="656"/>
      <c r="W7" s="656"/>
      <c r="AB7" s="3300" t="s">
        <v>780</v>
      </c>
      <c r="AC7" s="3300"/>
      <c r="AD7" s="3300"/>
      <c r="AE7" s="3300"/>
      <c r="AF7" s="249" t="e">
        <f>#REF!+#REF!</f>
        <v>#REF!</v>
      </c>
      <c r="AG7" s="250" t="e">
        <f>AI7-AF7</f>
        <v>#REF!</v>
      </c>
      <c r="AH7" s="251"/>
      <c r="AI7" s="250">
        <v>-2247187</v>
      </c>
    </row>
    <row r="8" spans="1:35" ht="93.75" customHeight="1" thickBot="1">
      <c r="B8" s="1248"/>
      <c r="C8" s="1248"/>
      <c r="D8" s="3308"/>
      <c r="E8" s="1632" t="s">
        <v>1540</v>
      </c>
      <c r="F8" s="3301" t="s">
        <v>1685</v>
      </c>
      <c r="G8" s="3302"/>
      <c r="H8" s="3302"/>
      <c r="I8" s="3302"/>
      <c r="J8" s="1633" t="s">
        <v>713</v>
      </c>
      <c r="K8" s="1634">
        <v>0</v>
      </c>
      <c r="L8" s="1635">
        <v>0</v>
      </c>
      <c r="M8" s="1631">
        <f>O8-K8+L8</f>
        <v>-70787752</v>
      </c>
      <c r="N8" s="1260" t="s">
        <v>1534</v>
      </c>
      <c r="O8" s="1259">
        <f>-'25'!M24</f>
        <v>-70787752</v>
      </c>
      <c r="P8" s="1261"/>
      <c r="Q8" s="1261">
        <f>-'25'!M24</f>
        <v>-70787752</v>
      </c>
      <c r="R8" s="1256"/>
      <c r="S8" s="1256"/>
      <c r="T8" s="656"/>
      <c r="U8" s="656"/>
      <c r="V8" s="656"/>
      <c r="W8" s="656"/>
      <c r="AB8" s="3300" t="s">
        <v>780</v>
      </c>
      <c r="AC8" s="3300"/>
      <c r="AD8" s="3300"/>
      <c r="AE8" s="3300"/>
      <c r="AF8" s="249" t="e">
        <f>#REF!+#REF!</f>
        <v>#REF!</v>
      </c>
      <c r="AG8" s="250" t="e">
        <f>AI8-AF8</f>
        <v>#REF!</v>
      </c>
      <c r="AH8" s="251"/>
      <c r="AI8" s="250">
        <v>-139471</v>
      </c>
    </row>
    <row r="9" spans="1:35" ht="69" customHeight="1" thickBot="1">
      <c r="B9" s="1248"/>
      <c r="C9" s="1248"/>
      <c r="D9" s="3303" t="s">
        <v>1492</v>
      </c>
      <c r="E9" s="3304"/>
      <c r="F9" s="3304"/>
      <c r="G9" s="3304"/>
      <c r="H9" s="3304"/>
      <c r="I9" s="3305"/>
      <c r="J9" s="1264"/>
      <c r="K9" s="1265">
        <f>SUM(K7:K8)</f>
        <v>28373</v>
      </c>
      <c r="L9" s="1266">
        <f>SUM(L7:L8)</f>
        <v>20147</v>
      </c>
      <c r="M9" s="1267">
        <f>SUM(M7:M8)</f>
        <v>-62692083</v>
      </c>
      <c r="N9" s="1260"/>
      <c r="O9" s="1259">
        <f>O8+O7</f>
        <v>-62683857</v>
      </c>
      <c r="P9" s="1261"/>
      <c r="Q9" s="1261"/>
      <c r="R9" s="1256"/>
      <c r="S9" s="1256"/>
      <c r="T9" s="656"/>
      <c r="U9" s="656"/>
      <c r="V9" s="656"/>
      <c r="W9" s="656"/>
      <c r="AB9" s="1064"/>
      <c r="AC9" s="1064"/>
      <c r="AD9" s="1064"/>
      <c r="AE9" s="1064"/>
      <c r="AF9" s="249"/>
      <c r="AG9" s="250"/>
      <c r="AH9" s="251"/>
      <c r="AI9" s="250"/>
    </row>
    <row r="10" spans="1:35" ht="72" customHeight="1" thickBot="1">
      <c r="B10" s="1248"/>
      <c r="C10" s="1248"/>
      <c r="D10" s="3306" t="s">
        <v>1552</v>
      </c>
      <c r="E10" s="1627" t="s">
        <v>638</v>
      </c>
      <c r="F10" s="3309" t="s">
        <v>1977</v>
      </c>
      <c r="G10" s="3310"/>
      <c r="H10" s="3310"/>
      <c r="I10" s="3311"/>
      <c r="J10" s="1628" t="s">
        <v>713</v>
      </c>
      <c r="K10" s="1629">
        <v>20269464</v>
      </c>
      <c r="L10" s="1630">
        <v>85599</v>
      </c>
      <c r="M10" s="1631">
        <v>0</v>
      </c>
      <c r="N10" s="1260" t="s">
        <v>1533</v>
      </c>
      <c r="O10" s="1255">
        <f>-'23-24'!N39</f>
        <v>0</v>
      </c>
      <c r="P10" s="1271"/>
      <c r="Q10" s="1271" t="e">
        <f>-'23-24'!#REF!</f>
        <v>#REF!</v>
      </c>
      <c r="R10" s="1271"/>
      <c r="S10" s="1256">
        <f>2063731+1371684</f>
        <v>3435415</v>
      </c>
      <c r="T10" s="656"/>
      <c r="U10" s="656"/>
      <c r="V10" s="656"/>
      <c r="W10" s="656"/>
      <c r="X10" s="656"/>
    </row>
    <row r="11" spans="1:35" ht="72" customHeight="1" thickBot="1">
      <c r="B11" s="1248"/>
      <c r="C11" s="1248"/>
      <c r="D11" s="3307"/>
      <c r="E11" s="1257" t="s">
        <v>718</v>
      </c>
      <c r="F11" s="3312" t="s">
        <v>1977</v>
      </c>
      <c r="G11" s="3313"/>
      <c r="H11" s="3313"/>
      <c r="I11" s="3314"/>
      <c r="J11" s="1258" t="s">
        <v>713</v>
      </c>
      <c r="K11" s="1255">
        <v>17773</v>
      </c>
      <c r="L11" s="1259">
        <v>609</v>
      </c>
      <c r="M11" s="1631"/>
      <c r="N11" s="1260" t="s">
        <v>1533</v>
      </c>
      <c r="O11" s="1259">
        <f>-'23-24'!N36</f>
        <v>0</v>
      </c>
      <c r="P11" s="1261"/>
      <c r="Q11" s="1261">
        <f>-'23-24'!N36</f>
        <v>0</v>
      </c>
      <c r="R11" s="1261"/>
      <c r="S11" s="1256">
        <f>69+3072</f>
        <v>3141</v>
      </c>
      <c r="T11" s="656"/>
      <c r="U11" s="656"/>
      <c r="V11" s="656"/>
      <c r="W11" s="656"/>
      <c r="X11" s="656"/>
    </row>
    <row r="12" spans="1:35" ht="69" customHeight="1" thickBot="1">
      <c r="B12" s="1248"/>
      <c r="C12" s="1248"/>
      <c r="D12" s="3307"/>
      <c r="E12" s="1272" t="s">
        <v>717</v>
      </c>
      <c r="F12" s="3312" t="s">
        <v>1977</v>
      </c>
      <c r="G12" s="3313"/>
      <c r="H12" s="3313"/>
      <c r="I12" s="3314"/>
      <c r="J12" s="1258" t="s">
        <v>713</v>
      </c>
      <c r="K12" s="1255">
        <v>8630904</v>
      </c>
      <c r="L12" s="1259">
        <v>58806</v>
      </c>
      <c r="M12" s="1631"/>
      <c r="N12" s="1260" t="s">
        <v>1533</v>
      </c>
      <c r="O12" s="1259">
        <f>-'23-24'!N38</f>
        <v>0</v>
      </c>
      <c r="P12" s="1261"/>
      <c r="Q12" s="1261" t="e">
        <f>-'23-24'!#REF!</f>
        <v>#REF!</v>
      </c>
      <c r="R12" s="1261"/>
      <c r="S12" s="1256">
        <f>965164+880591</f>
        <v>1845755</v>
      </c>
      <c r="T12" s="656"/>
      <c r="U12" s="656"/>
      <c r="V12" s="656"/>
      <c r="W12" s="656"/>
      <c r="X12" s="656"/>
    </row>
    <row r="13" spans="1:35" ht="71.25" customHeight="1" thickBot="1">
      <c r="B13" s="1248"/>
      <c r="C13" s="1248"/>
      <c r="D13" s="3308"/>
      <c r="E13" s="1636" t="s">
        <v>1706</v>
      </c>
      <c r="F13" s="3301" t="s">
        <v>1977</v>
      </c>
      <c r="G13" s="3302"/>
      <c r="H13" s="3302"/>
      <c r="I13" s="3315"/>
      <c r="J13" s="1633" t="s">
        <v>713</v>
      </c>
      <c r="K13" s="1634">
        <v>6037278</v>
      </c>
      <c r="L13" s="1635">
        <v>38954</v>
      </c>
      <c r="M13" s="1631"/>
      <c r="N13" s="1260" t="s">
        <v>1533</v>
      </c>
      <c r="O13" s="1259">
        <f>-'23-24'!N40</f>
        <v>-6868</v>
      </c>
      <c r="P13" s="1261"/>
      <c r="Q13" s="1261" t="e">
        <f>'19'!#REF!</f>
        <v>#REF!</v>
      </c>
      <c r="R13" s="1261"/>
      <c r="S13" s="1256">
        <f>352051+635641</f>
        <v>987692</v>
      </c>
      <c r="T13" s="656"/>
      <c r="U13" s="656"/>
      <c r="V13" s="656"/>
      <c r="W13" s="656"/>
      <c r="X13" s="656"/>
    </row>
    <row r="14" spans="1:35" ht="78.75" customHeight="1" thickBot="1">
      <c r="B14" s="1248"/>
      <c r="C14" s="1274"/>
      <c r="D14" s="3268" t="s">
        <v>1492</v>
      </c>
      <c r="E14" s="3269"/>
      <c r="F14" s="3269"/>
      <c r="G14" s="3269"/>
      <c r="H14" s="3269"/>
      <c r="I14" s="3270"/>
      <c r="J14" s="2934"/>
      <c r="K14" s="1275">
        <f>SUM(K10:K13)</f>
        <v>34955419</v>
      </c>
      <c r="L14" s="1276">
        <f>SUM(L10:L13)</f>
        <v>183968</v>
      </c>
      <c r="M14" s="1622">
        <f>SUM(M10:M13)</f>
        <v>0</v>
      </c>
      <c r="N14" s="1260"/>
      <c r="O14" s="1259">
        <v>0</v>
      </c>
      <c r="P14" s="1261"/>
      <c r="Q14" s="1261"/>
      <c r="R14" s="1261"/>
      <c r="S14" s="1256"/>
      <c r="T14" s="656"/>
      <c r="U14" s="656"/>
      <c r="V14" s="656"/>
      <c r="W14" s="656"/>
      <c r="X14" s="656"/>
    </row>
    <row r="15" spans="1:35" ht="78.75" customHeight="1" thickBot="1">
      <c r="B15" s="1248"/>
      <c r="C15" s="1274"/>
      <c r="D15" s="3295" t="s">
        <v>1553</v>
      </c>
      <c r="E15" s="1627" t="s">
        <v>1725</v>
      </c>
      <c r="F15" s="3297"/>
      <c r="G15" s="3298"/>
      <c r="H15" s="3298"/>
      <c r="I15" s="3299"/>
      <c r="J15" s="2935"/>
      <c r="K15" s="2932">
        <v>533112</v>
      </c>
      <c r="L15" s="1276">
        <v>18660</v>
      </c>
      <c r="M15" s="2929"/>
      <c r="N15" s="1260"/>
      <c r="O15" s="2930"/>
      <c r="P15" s="1261"/>
      <c r="Q15" s="1261"/>
      <c r="R15" s="1261"/>
      <c r="S15" s="1256"/>
      <c r="T15" s="656"/>
      <c r="U15" s="656"/>
      <c r="V15" s="656"/>
      <c r="W15" s="656"/>
      <c r="X15" s="656"/>
    </row>
    <row r="16" spans="1:35" ht="76.5" customHeight="1" thickBot="1">
      <c r="B16" s="1248"/>
      <c r="C16" s="1248"/>
      <c r="D16" s="3296"/>
      <c r="E16" s="2931" t="s">
        <v>1525</v>
      </c>
      <c r="F16" s="3271"/>
      <c r="G16" s="3272"/>
      <c r="H16" s="3272"/>
      <c r="I16" s="3273"/>
      <c r="J16" s="2935" t="s">
        <v>713</v>
      </c>
      <c r="K16" s="2932">
        <v>5920</v>
      </c>
      <c r="L16" s="1276"/>
      <c r="M16" s="1631"/>
      <c r="N16" s="1260" t="s">
        <v>1533</v>
      </c>
      <c r="O16" s="1259">
        <f>'1401'!V139+'1401'!V140</f>
        <v>492</v>
      </c>
      <c r="P16" s="1261"/>
      <c r="Q16" s="1261"/>
      <c r="R16" s="1261"/>
      <c r="S16" s="1256">
        <f>352051+635641</f>
        <v>987692</v>
      </c>
      <c r="T16" s="656"/>
      <c r="U16" s="656"/>
      <c r="V16" s="656"/>
      <c r="W16" s="656"/>
      <c r="X16" s="656"/>
    </row>
    <row r="17" spans="1:24" ht="78.75" customHeight="1" thickBot="1">
      <c r="B17" s="1248"/>
      <c r="C17" s="1248"/>
      <c r="D17" s="3274" t="s">
        <v>1326</v>
      </c>
      <c r="E17" s="3275"/>
      <c r="F17" s="3275"/>
      <c r="G17" s="3275"/>
      <c r="H17" s="3275"/>
      <c r="I17" s="3276"/>
      <c r="J17" s="2936"/>
      <c r="K17" s="2933">
        <f>K16+K14+K9+K15</f>
        <v>35522824</v>
      </c>
      <c r="L17" s="2933">
        <f>L16+L14+L9+L15</f>
        <v>222775</v>
      </c>
      <c r="M17" s="1277">
        <f>M16+M14+M9</f>
        <v>-62692083</v>
      </c>
      <c r="N17" s="1278"/>
      <c r="O17" s="1279">
        <f>SUM(O9:O16)</f>
        <v>-62690233</v>
      </c>
      <c r="P17" s="1280"/>
      <c r="Q17" s="1280"/>
      <c r="R17" s="1280"/>
      <c r="S17" s="1256"/>
      <c r="T17" s="656"/>
      <c r="U17" s="656"/>
      <c r="V17" s="656"/>
      <c r="W17" s="656"/>
      <c r="X17" s="656"/>
    </row>
    <row r="18" spans="1:24" ht="24" customHeight="1">
      <c r="A18" s="2196" t="s">
        <v>2182</v>
      </c>
      <c r="B18" s="1248"/>
      <c r="C18" s="1248"/>
      <c r="D18" s="1256"/>
      <c r="E18" s="1281"/>
      <c r="F18" s="1256"/>
      <c r="G18" s="1256"/>
      <c r="H18" s="1256"/>
      <c r="I18" s="1256"/>
      <c r="J18" s="1256"/>
      <c r="K18" s="1256"/>
      <c r="L18" s="1256"/>
      <c r="M18" s="1256"/>
      <c r="N18" s="1256"/>
      <c r="O18" s="1256"/>
      <c r="P18" s="1256"/>
      <c r="Q18" s="1256"/>
      <c r="R18" s="1256"/>
      <c r="S18" s="1256"/>
    </row>
    <row r="19" spans="1:24" s="1061" customFormat="1" ht="63.75" customHeight="1">
      <c r="A19" s="353"/>
      <c r="B19" s="255"/>
      <c r="C19" s="538" t="s">
        <v>2559</v>
      </c>
      <c r="D19" s="3277" t="s">
        <v>1696</v>
      </c>
      <c r="E19" s="3277"/>
      <c r="F19" s="3277"/>
      <c r="G19" s="3277"/>
      <c r="H19" s="3277"/>
      <c r="I19" s="3277"/>
      <c r="J19" s="3277"/>
      <c r="K19" s="3277"/>
      <c r="L19" s="3277"/>
      <c r="M19" s="3277"/>
      <c r="N19" s="3277"/>
      <c r="O19" s="3277"/>
      <c r="P19" s="3277"/>
      <c r="Q19" s="3277"/>
      <c r="R19" s="3277"/>
      <c r="S19" s="3277"/>
      <c r="T19" s="248"/>
      <c r="U19" s="247"/>
      <c r="V19" s="247"/>
      <c r="W19" s="247"/>
    </row>
    <row r="20" spans="1:24" ht="47.25" customHeight="1" thickBot="1">
      <c r="B20" s="1248"/>
      <c r="C20" s="538" t="s">
        <v>2560</v>
      </c>
      <c r="D20" s="1282" t="s">
        <v>1519</v>
      </c>
      <c r="E20" s="1283"/>
      <c r="F20" s="1283"/>
      <c r="G20" s="1283"/>
      <c r="H20" s="1283"/>
      <c r="I20" s="1283"/>
      <c r="J20" s="1283"/>
      <c r="K20" s="1283"/>
      <c r="L20" s="1283"/>
      <c r="M20" s="1252" t="s">
        <v>1560</v>
      </c>
      <c r="N20" s="1283"/>
      <c r="O20" s="1283"/>
      <c r="P20" s="1283"/>
      <c r="Q20" s="1283"/>
      <c r="R20" s="1283"/>
      <c r="S20" s="1248"/>
    </row>
    <row r="21" spans="1:24" ht="88.5" customHeight="1">
      <c r="B21" s="1248"/>
      <c r="C21" s="1284"/>
      <c r="D21" s="3278" t="s">
        <v>62</v>
      </c>
      <c r="E21" s="3281" t="s">
        <v>1294</v>
      </c>
      <c r="F21" s="3284" t="s">
        <v>1309</v>
      </c>
      <c r="G21" s="3292" t="s">
        <v>2478</v>
      </c>
      <c r="H21" s="3292" t="s">
        <v>2479</v>
      </c>
      <c r="I21" s="3287" t="s">
        <v>1310</v>
      </c>
      <c r="J21" s="3290">
        <v>1401</v>
      </c>
      <c r="K21" s="3290"/>
      <c r="L21" s="3290">
        <v>1400</v>
      </c>
      <c r="M21" s="3291"/>
      <c r="N21" s="1253"/>
      <c r="O21" s="1285"/>
      <c r="P21" s="1286"/>
      <c r="Q21" s="1248"/>
      <c r="R21" s="1248"/>
      <c r="S21" s="1248"/>
    </row>
    <row r="22" spans="1:24" s="252" customFormat="1" ht="52.5" customHeight="1">
      <c r="A22" s="1220"/>
      <c r="B22" s="1287"/>
      <c r="C22" s="1284"/>
      <c r="D22" s="3279"/>
      <c r="E22" s="3282"/>
      <c r="F22" s="3285"/>
      <c r="G22" s="3293"/>
      <c r="H22" s="3293"/>
      <c r="I22" s="3288"/>
      <c r="J22" s="3255" t="s">
        <v>1295</v>
      </c>
      <c r="K22" s="3255"/>
      <c r="L22" s="3255" t="s">
        <v>1295</v>
      </c>
      <c r="M22" s="3256"/>
      <c r="N22" s="1288"/>
      <c r="O22" s="1285"/>
      <c r="P22" s="1286"/>
      <c r="Q22" s="1287"/>
      <c r="R22" s="1287"/>
      <c r="S22" s="1287"/>
    </row>
    <row r="23" spans="1:24" ht="52.5" customHeight="1" thickBot="1">
      <c r="B23" s="1248"/>
      <c r="C23" s="1289"/>
      <c r="D23" s="3280"/>
      <c r="E23" s="3283"/>
      <c r="F23" s="3286"/>
      <c r="G23" s="3294"/>
      <c r="H23" s="3294"/>
      <c r="I23" s="3289"/>
      <c r="J23" s="1965" t="s">
        <v>1296</v>
      </c>
      <c r="K23" s="1649" t="s">
        <v>1297</v>
      </c>
      <c r="L23" s="1648" t="s">
        <v>1296</v>
      </c>
      <c r="M23" s="1650" t="s">
        <v>1297</v>
      </c>
      <c r="N23" s="1290"/>
      <c r="O23" s="1291"/>
      <c r="P23" s="1292"/>
      <c r="Q23" s="1248"/>
      <c r="R23" s="1248"/>
      <c r="S23" s="1248"/>
    </row>
    <row r="24" spans="1:24" ht="88.5" customHeight="1">
      <c r="B24" s="1248"/>
      <c r="C24" s="1293"/>
      <c r="D24" s="3257" t="s">
        <v>1293</v>
      </c>
      <c r="E24" s="1268" t="s">
        <v>1541</v>
      </c>
      <c r="F24" s="1629"/>
      <c r="G24" s="1629"/>
      <c r="H24" s="1629"/>
      <c r="I24" s="1629">
        <f>'23-24'!N35</f>
        <v>8103895</v>
      </c>
      <c r="J24" s="1299">
        <v>0</v>
      </c>
      <c r="K24" s="1270">
        <f>I24</f>
        <v>8103895</v>
      </c>
      <c r="L24" s="1299"/>
      <c r="M24" s="1621">
        <v>4447274</v>
      </c>
      <c r="N24" s="1261"/>
      <c r="O24" s="1295"/>
      <c r="P24" s="1296">
        <v>-4769380</v>
      </c>
      <c r="Q24" s="1248"/>
      <c r="R24" s="1248"/>
      <c r="S24" s="1248"/>
    </row>
    <row r="25" spans="1:24" ht="87.75" customHeight="1" thickBot="1">
      <c r="B25" s="1248"/>
      <c r="C25" s="1293"/>
      <c r="D25" s="3258"/>
      <c r="E25" s="1262" t="s">
        <v>1540</v>
      </c>
      <c r="F25" s="1263">
        <f>J25</f>
        <v>0</v>
      </c>
      <c r="G25" s="1263"/>
      <c r="H25" s="1263"/>
      <c r="I25" s="1263">
        <f>-O8</f>
        <v>70787752</v>
      </c>
      <c r="J25" s="1297">
        <v>0</v>
      </c>
      <c r="K25" s="1297">
        <f>I25</f>
        <v>70787752</v>
      </c>
      <c r="L25" s="1297">
        <v>0</v>
      </c>
      <c r="M25" s="1620">
        <v>24119382</v>
      </c>
      <c r="N25" s="1261"/>
      <c r="O25" s="1295"/>
      <c r="P25" s="1296"/>
      <c r="Q25" s="1248"/>
      <c r="R25" s="1248"/>
      <c r="S25" s="1248"/>
    </row>
    <row r="26" spans="1:24" ht="72.75" customHeight="1" thickBot="1">
      <c r="B26" s="1248"/>
      <c r="C26" s="1293"/>
      <c r="D26" s="3259"/>
      <c r="E26" s="1640" t="s">
        <v>1492</v>
      </c>
      <c r="F26" s="1275">
        <f>SUM(F24:F25)</f>
        <v>0</v>
      </c>
      <c r="G26" s="1275"/>
      <c r="H26" s="1275"/>
      <c r="I26" s="1265">
        <f>SUM(I24:I25)</f>
        <v>78891647</v>
      </c>
      <c r="J26" s="1265">
        <f t="shared" ref="J26" si="0">SUM(J24:J25)</f>
        <v>0</v>
      </c>
      <c r="K26" s="1265">
        <f>SUM(K24:K25)</f>
        <v>78891647</v>
      </c>
      <c r="L26" s="1298">
        <f>SUM(L24:L25)</f>
        <v>0</v>
      </c>
      <c r="M26" s="1637">
        <f>SUM(M24:M25)</f>
        <v>28566656</v>
      </c>
      <c r="N26" s="1261"/>
      <c r="O26" s="1295"/>
      <c r="P26" s="1296"/>
      <c r="Q26" s="1248"/>
      <c r="R26" s="1248"/>
      <c r="S26" s="1248"/>
    </row>
    <row r="27" spans="1:24" ht="74.25" customHeight="1">
      <c r="B27" s="1248"/>
      <c r="C27" s="1293"/>
      <c r="D27" s="3260" t="s">
        <v>1552</v>
      </c>
      <c r="E27" s="1268" t="s">
        <v>638</v>
      </c>
      <c r="F27" s="1269">
        <f>'19'!J30</f>
        <v>147110</v>
      </c>
      <c r="G27" s="1269"/>
      <c r="H27" s="1269"/>
      <c r="I27" s="1269">
        <f>K27</f>
        <v>0</v>
      </c>
      <c r="J27" s="1299">
        <f>F27</f>
        <v>147110</v>
      </c>
      <c r="K27" s="1270">
        <f>'23-24'!N39</f>
        <v>0</v>
      </c>
      <c r="L27" s="1270">
        <v>0</v>
      </c>
      <c r="M27" s="1966">
        <v>18858</v>
      </c>
      <c r="N27" s="1300"/>
      <c r="O27" s="1301"/>
      <c r="P27" s="1302">
        <v>-652163</v>
      </c>
      <c r="Q27" s="1248"/>
      <c r="R27" s="1248"/>
      <c r="S27" s="1248"/>
    </row>
    <row r="28" spans="1:24" ht="74.25" customHeight="1">
      <c r="B28" s="1248"/>
      <c r="C28" s="1293"/>
      <c r="D28" s="3258"/>
      <c r="E28" s="1257" t="s">
        <v>718</v>
      </c>
      <c r="F28" s="1269">
        <f>'19'!J32</f>
        <v>2771</v>
      </c>
      <c r="G28" s="1269">
        <f>'17'!L8</f>
        <v>19588477</v>
      </c>
      <c r="H28" s="1269">
        <f>'17'!L23</f>
        <v>2450978</v>
      </c>
      <c r="I28" s="1269"/>
      <c r="J28" s="1294">
        <f>H28+G28+F28</f>
        <v>22042226</v>
      </c>
      <c r="K28" s="1259">
        <f>-O11</f>
        <v>0</v>
      </c>
      <c r="L28" s="1259">
        <v>0</v>
      </c>
      <c r="M28" s="1638">
        <v>20914</v>
      </c>
      <c r="N28" s="1300"/>
      <c r="O28" s="1295"/>
      <c r="P28" s="1296">
        <v>125244</v>
      </c>
      <c r="Q28" s="1248"/>
      <c r="R28" s="1248"/>
      <c r="S28" s="1248"/>
    </row>
    <row r="29" spans="1:24" ht="74.25" hidden="1" customHeight="1">
      <c r="B29" s="1248"/>
      <c r="C29" s="1293"/>
      <c r="D29" s="3258"/>
      <c r="E29" s="1257" t="s">
        <v>1725</v>
      </c>
      <c r="F29" s="1269">
        <v>0</v>
      </c>
      <c r="G29" s="1269"/>
      <c r="H29" s="1269"/>
      <c r="I29" s="1269">
        <v>0</v>
      </c>
      <c r="J29" s="1294" t="e">
        <f>#REF!</f>
        <v>#REF!</v>
      </c>
      <c r="K29" s="1259"/>
      <c r="L29" s="1259">
        <v>0</v>
      </c>
      <c r="M29" s="1638">
        <v>0</v>
      </c>
      <c r="N29" s="1300"/>
      <c r="O29" s="1295"/>
      <c r="P29" s="1296"/>
      <c r="Q29" s="1248"/>
      <c r="R29" s="1248"/>
      <c r="S29" s="1248"/>
    </row>
    <row r="30" spans="1:24" ht="74.25" customHeight="1">
      <c r="B30" s="1248"/>
      <c r="C30" s="1293"/>
      <c r="D30" s="3258"/>
      <c r="E30" s="1272" t="s">
        <v>717</v>
      </c>
      <c r="F30" s="1269">
        <f>'19'!J31</f>
        <v>133497</v>
      </c>
      <c r="G30" s="1269"/>
      <c r="H30" s="1269"/>
      <c r="I30" s="1269">
        <f>K30</f>
        <v>0</v>
      </c>
      <c r="J30" s="1294">
        <f>F30</f>
        <v>133497</v>
      </c>
      <c r="K30" s="1259">
        <f>'23-24'!N38</f>
        <v>0</v>
      </c>
      <c r="L30" s="1294"/>
      <c r="M30" s="1638">
        <v>12157</v>
      </c>
      <c r="N30" s="1300"/>
      <c r="O30" s="1295"/>
      <c r="P30" s="1303">
        <v>307459</v>
      </c>
      <c r="Q30" s="1304"/>
      <c r="R30" s="1304"/>
      <c r="S30" s="1248"/>
    </row>
    <row r="31" spans="1:24" ht="74.25" customHeight="1" thickBot="1">
      <c r="B31" s="1248"/>
      <c r="C31" s="1293"/>
      <c r="D31" s="3258"/>
      <c r="E31" s="1273" t="s">
        <v>1706</v>
      </c>
      <c r="F31" s="1269"/>
      <c r="G31" s="1269"/>
      <c r="H31" s="1269"/>
      <c r="I31" s="1269">
        <f>K31</f>
        <v>6868</v>
      </c>
      <c r="J31" s="1297"/>
      <c r="K31" s="1967">
        <f>'23-24'!N40</f>
        <v>6868</v>
      </c>
      <c r="L31" s="1297">
        <v>0</v>
      </c>
      <c r="M31" s="1639">
        <v>28101</v>
      </c>
      <c r="N31" s="1300"/>
      <c r="O31" s="1295"/>
      <c r="P31" s="1303">
        <v>-333159</v>
      </c>
      <c r="Q31" s="1304"/>
      <c r="R31" s="1304"/>
      <c r="S31" s="1248"/>
    </row>
    <row r="32" spans="1:24" ht="74.25" customHeight="1" thickBot="1">
      <c r="B32" s="1248"/>
      <c r="C32" s="1293"/>
      <c r="D32" s="3259"/>
      <c r="E32" s="1640" t="s">
        <v>1492</v>
      </c>
      <c r="F32" s="1265">
        <f t="shared" ref="F32:M32" si="1">SUM(F27:F31)</f>
        <v>283378</v>
      </c>
      <c r="G32" s="1265"/>
      <c r="H32" s="1265"/>
      <c r="I32" s="1265">
        <f t="shared" si="1"/>
        <v>6868</v>
      </c>
      <c r="J32" s="1298">
        <f>J31+J30+J28+J27</f>
        <v>22322833</v>
      </c>
      <c r="K32" s="1266">
        <f t="shared" si="1"/>
        <v>6868</v>
      </c>
      <c r="L32" s="1266">
        <f t="shared" si="1"/>
        <v>0</v>
      </c>
      <c r="M32" s="1267">
        <f t="shared" si="1"/>
        <v>80030</v>
      </c>
      <c r="N32" s="1300"/>
      <c r="O32" s="1295"/>
      <c r="P32" s="1295"/>
      <c r="Q32" s="1248"/>
      <c r="R32" s="1248"/>
      <c r="S32" s="1248"/>
    </row>
    <row r="33" spans="1:19" ht="69" customHeight="1" thickBot="1">
      <c r="B33" s="1248"/>
      <c r="C33" s="1293"/>
      <c r="D33" s="1641" t="s">
        <v>1553</v>
      </c>
      <c r="E33" s="1642" t="s">
        <v>1525</v>
      </c>
      <c r="F33" s="1643">
        <f>'19'!J44</f>
        <v>96401</v>
      </c>
      <c r="G33" s="1643"/>
      <c r="H33" s="1643"/>
      <c r="I33" s="1643">
        <v>0</v>
      </c>
      <c r="J33" s="1644">
        <f>F33</f>
        <v>96401</v>
      </c>
      <c r="K33" s="1645">
        <v>0</v>
      </c>
      <c r="L33" s="1644">
        <v>92831</v>
      </c>
      <c r="M33" s="1646">
        <v>0</v>
      </c>
      <c r="N33" s="1300"/>
      <c r="O33" s="1295"/>
      <c r="P33" s="1296">
        <v>-263846</v>
      </c>
      <c r="Q33" s="1248"/>
      <c r="R33" s="1248"/>
      <c r="S33" s="1248"/>
    </row>
    <row r="34" spans="1:19" ht="75.75" customHeight="1" thickBot="1">
      <c r="B34" s="1248"/>
      <c r="C34" s="1293"/>
      <c r="D34" s="3261" t="s">
        <v>1326</v>
      </c>
      <c r="E34" s="3262"/>
      <c r="F34" s="1647">
        <f t="shared" ref="F34:M34" si="2">F33+F32+F26</f>
        <v>379779</v>
      </c>
      <c r="G34" s="1647"/>
      <c r="H34" s="1647"/>
      <c r="I34" s="1647">
        <f t="shared" si="2"/>
        <v>78898515</v>
      </c>
      <c r="J34" s="1647">
        <f t="shared" si="2"/>
        <v>22419234</v>
      </c>
      <c r="K34" s="1647">
        <f t="shared" si="2"/>
        <v>78898515</v>
      </c>
      <c r="L34" s="1647">
        <f t="shared" si="2"/>
        <v>92831</v>
      </c>
      <c r="M34" s="2628">
        <f t="shared" si="2"/>
        <v>28646686</v>
      </c>
      <c r="N34" s="1305"/>
      <c r="O34" s="1306"/>
      <c r="P34" s="1307"/>
      <c r="Q34" s="1248"/>
      <c r="R34" s="1248"/>
      <c r="S34" s="1248"/>
    </row>
    <row r="35" spans="1:19" ht="75.75" customHeight="1" thickBot="1">
      <c r="B35" s="1248"/>
      <c r="C35" s="1293"/>
      <c r="D35" s="3266" t="s">
        <v>2457</v>
      </c>
      <c r="E35" s="3267"/>
      <c r="F35" s="2708">
        <v>11</v>
      </c>
      <c r="G35" s="1299">
        <v>8</v>
      </c>
      <c r="H35" s="2627">
        <v>8</v>
      </c>
      <c r="I35" s="2627">
        <v>17</v>
      </c>
      <c r="J35" s="2627">
        <v>11</v>
      </c>
      <c r="K35" s="2627">
        <v>17</v>
      </c>
      <c r="L35" s="2627">
        <v>11</v>
      </c>
      <c r="M35" s="2627">
        <v>17</v>
      </c>
      <c r="N35" s="1305"/>
      <c r="O35" s="1306"/>
      <c r="P35" s="1307"/>
      <c r="Q35" s="1248"/>
      <c r="R35" s="1248"/>
      <c r="S35" s="1248"/>
    </row>
    <row r="36" spans="1:19" ht="75.75" customHeight="1">
      <c r="B36" s="3265" t="s">
        <v>2561</v>
      </c>
      <c r="C36" s="3265"/>
      <c r="D36" s="3263" t="s">
        <v>2376</v>
      </c>
      <c r="E36" s="3264"/>
      <c r="F36" s="3264"/>
      <c r="G36" s="3264"/>
      <c r="H36" s="3264"/>
      <c r="I36" s="3264"/>
      <c r="J36" s="3264"/>
      <c r="K36" s="3264"/>
      <c r="L36" s="3264"/>
      <c r="M36" s="3264"/>
      <c r="N36" s="1305"/>
      <c r="O36" s="1306"/>
      <c r="P36" s="1307"/>
      <c r="Q36" s="1248"/>
      <c r="R36" s="1248"/>
      <c r="S36" s="1248"/>
    </row>
    <row r="37" spans="1:19" ht="96.75" hidden="1" customHeight="1">
      <c r="B37" s="1309" t="s">
        <v>1769</v>
      </c>
      <c r="C37" s="1310" t="s">
        <v>1436</v>
      </c>
      <c r="D37" s="1311"/>
      <c r="E37" s="1312"/>
      <c r="F37" s="1313"/>
      <c r="G37" s="1313"/>
      <c r="H37" s="1313"/>
      <c r="I37" s="1314"/>
      <c r="J37" s="1314"/>
      <c r="K37" s="1314"/>
      <c r="L37" s="1314"/>
      <c r="M37" s="1314"/>
      <c r="N37" s="1315"/>
      <c r="O37" s="1316"/>
      <c r="P37" s="1248"/>
      <c r="Q37" s="1248"/>
      <c r="R37" s="1248"/>
      <c r="S37" s="1248"/>
    </row>
    <row r="38" spans="1:19" ht="96.75" hidden="1" customHeight="1">
      <c r="B38" s="1311"/>
      <c r="C38" s="1308" t="s">
        <v>1802</v>
      </c>
      <c r="D38" s="3253" t="s">
        <v>1815</v>
      </c>
      <c r="E38" s="3253"/>
      <c r="F38" s="1313"/>
      <c r="G38" s="1313"/>
      <c r="H38" s="1313"/>
      <c r="I38" s="1252"/>
      <c r="J38" s="1252"/>
      <c r="K38" s="1252"/>
      <c r="L38" s="1252"/>
      <c r="M38" s="1252"/>
      <c r="N38" s="1317"/>
      <c r="O38" s="1318"/>
      <c r="P38" s="1248"/>
      <c r="Q38" s="1248"/>
      <c r="R38" s="1248"/>
      <c r="S38" s="1248"/>
    </row>
    <row r="39" spans="1:19" ht="42.75" customHeight="1">
      <c r="B39" s="1311"/>
      <c r="C39" s="1319"/>
      <c r="D39" s="3253"/>
      <c r="E39" s="3253"/>
      <c r="F39" s="1313"/>
      <c r="G39" s="1313"/>
      <c r="H39" s="1313"/>
      <c r="I39" s="1252"/>
      <c r="J39" s="1252"/>
      <c r="K39" s="1252"/>
      <c r="L39" s="1252"/>
      <c r="M39" s="1252"/>
      <c r="N39" s="1317"/>
      <c r="O39" s="1318"/>
      <c r="P39" s="1248"/>
      <c r="Q39" s="1248"/>
      <c r="R39" s="1248"/>
      <c r="S39" s="1248"/>
    </row>
    <row r="40" spans="1:19" ht="3.75" customHeight="1">
      <c r="B40" s="1248"/>
      <c r="C40" s="1313"/>
      <c r="D40" s="1248"/>
      <c r="E40" s="1248"/>
      <c r="F40" s="1248"/>
      <c r="G40" s="1248"/>
      <c r="H40" s="1248"/>
      <c r="I40" s="1248"/>
      <c r="J40" s="1248"/>
      <c r="K40" s="1248"/>
      <c r="L40" s="1248"/>
      <c r="M40" s="1248"/>
      <c r="N40" s="1248"/>
      <c r="O40" s="1248"/>
      <c r="P40" s="1248"/>
      <c r="Q40" s="1248"/>
      <c r="R40" s="1248"/>
      <c r="S40" s="1248"/>
    </row>
    <row r="41" spans="1:19" ht="16.5" hidden="1" customHeight="1">
      <c r="B41" s="1248"/>
      <c r="C41" s="1320"/>
      <c r="D41" s="1248"/>
      <c r="E41" s="1248"/>
      <c r="F41" s="1248"/>
      <c r="G41" s="1248"/>
      <c r="H41" s="1248"/>
      <c r="I41" s="1248"/>
      <c r="J41" s="1248"/>
      <c r="K41" s="1248"/>
      <c r="L41" s="1248"/>
      <c r="M41" s="1248"/>
      <c r="N41" s="1248"/>
      <c r="O41" s="1248"/>
      <c r="P41" s="1248"/>
      <c r="Q41" s="1248"/>
      <c r="R41" s="1248"/>
      <c r="S41" s="1248"/>
    </row>
    <row r="42" spans="1:19" ht="29.25" hidden="1" customHeight="1">
      <c r="B42" s="1248"/>
      <c r="C42" s="1320"/>
      <c r="D42" s="1248"/>
      <c r="E42" s="1248"/>
      <c r="F42" s="1248"/>
      <c r="G42" s="1248"/>
      <c r="H42" s="1248"/>
      <c r="I42" s="1248"/>
      <c r="J42" s="1248"/>
      <c r="K42" s="1248"/>
      <c r="L42" s="1248"/>
      <c r="M42" s="1248"/>
      <c r="N42" s="1248"/>
      <c r="O42" s="1248"/>
      <c r="P42" s="1248"/>
      <c r="Q42" s="1248"/>
      <c r="R42" s="1248"/>
      <c r="S42" s="1248"/>
    </row>
    <row r="43" spans="1:19" ht="220.5" customHeight="1">
      <c r="A43" s="3254">
        <v>30</v>
      </c>
      <c r="B43" s="3254"/>
      <c r="C43" s="3254"/>
      <c r="D43" s="3254"/>
      <c r="E43" s="3254"/>
      <c r="F43" s="3254"/>
      <c r="G43" s="3254"/>
      <c r="H43" s="3254"/>
      <c r="I43" s="3254"/>
      <c r="J43" s="3254"/>
      <c r="K43" s="3254"/>
      <c r="L43" s="3254"/>
      <c r="M43" s="3254"/>
      <c r="N43" s="1063"/>
    </row>
    <row r="57" spans="12:12" ht="39.75" customHeight="1">
      <c r="L57" s="246">
        <v>-7717613</v>
      </c>
    </row>
  </sheetData>
  <mergeCells count="41">
    <mergeCell ref="D5:E5"/>
    <mergeCell ref="F6:I6"/>
    <mergeCell ref="A1:M1"/>
    <mergeCell ref="A2:M2"/>
    <mergeCell ref="A3:M3"/>
    <mergeCell ref="AB7:AE7"/>
    <mergeCell ref="F8:I8"/>
    <mergeCell ref="AB8:AE8"/>
    <mergeCell ref="D9:I9"/>
    <mergeCell ref="D10:D13"/>
    <mergeCell ref="F10:I10"/>
    <mergeCell ref="F11:I11"/>
    <mergeCell ref="F12:I12"/>
    <mergeCell ref="F13:I13"/>
    <mergeCell ref="D7:D8"/>
    <mergeCell ref="F7:I7"/>
    <mergeCell ref="D14:I14"/>
    <mergeCell ref="F16:I16"/>
    <mergeCell ref="D17:I17"/>
    <mergeCell ref="D19:S19"/>
    <mergeCell ref="D21:D23"/>
    <mergeCell ref="E21:E23"/>
    <mergeCell ref="F21:F23"/>
    <mergeCell ref="I21:I23"/>
    <mergeCell ref="J21:K21"/>
    <mergeCell ref="L21:M21"/>
    <mergeCell ref="G21:G23"/>
    <mergeCell ref="H21:H23"/>
    <mergeCell ref="D15:D16"/>
    <mergeCell ref="F15:I15"/>
    <mergeCell ref="D38:E38"/>
    <mergeCell ref="D39:E39"/>
    <mergeCell ref="A43:M43"/>
    <mergeCell ref="J22:K22"/>
    <mergeCell ref="L22:M22"/>
    <mergeCell ref="D24:D26"/>
    <mergeCell ref="D27:D32"/>
    <mergeCell ref="D34:E34"/>
    <mergeCell ref="D36:M36"/>
    <mergeCell ref="B36:C36"/>
    <mergeCell ref="D35:E35"/>
  </mergeCells>
  <printOptions horizontalCentered="1" verticalCentered="1"/>
  <pageMargins left="0.15748031496062992" right="0.19685039370078741" top="0.23622047244094491" bottom="0.31496062992125984" header="0" footer="0"/>
  <pageSetup paperSize="9" scale="24"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rightToLeft="1" view="pageBreakPreview" topLeftCell="A4" zoomScale="93" zoomScaleNormal="100" zoomScaleSheetLayoutView="93" workbookViewId="0">
      <selection activeCell="E10" sqref="E10"/>
    </sheetView>
  </sheetViews>
  <sheetFormatPr defaultRowHeight="39.950000000000003" customHeight="1"/>
  <cols>
    <col min="1" max="1" width="5.75" customWidth="1"/>
    <col min="2" max="2" width="34.75" style="2270" customWidth="1"/>
    <col min="3" max="3" width="14.2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2473</v>
      </c>
      <c r="C3" s="3320"/>
      <c r="D3" s="3320"/>
      <c r="E3" s="3320"/>
      <c r="F3" s="3320"/>
      <c r="G3" s="3320"/>
      <c r="H3" s="3320"/>
      <c r="I3" s="3320"/>
    </row>
    <row r="4" spans="1:9" ht="30" customHeight="1">
      <c r="A4" s="2422"/>
      <c r="B4" s="3320" t="s">
        <v>2377</v>
      </c>
      <c r="C4" s="3320"/>
      <c r="D4" s="3320"/>
      <c r="E4" s="3320"/>
      <c r="F4" s="3320"/>
      <c r="G4" s="3320"/>
      <c r="H4" s="3320"/>
      <c r="I4" s="3320"/>
    </row>
    <row r="5" spans="1:9" ht="30" customHeight="1">
      <c r="A5" s="2422"/>
      <c r="B5" s="3331"/>
      <c r="C5" s="3331"/>
      <c r="D5" s="3331"/>
      <c r="E5" s="3331"/>
      <c r="F5" s="3331"/>
      <c r="G5" s="3331"/>
      <c r="H5" s="3331"/>
      <c r="I5" s="3331"/>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34" t="s">
        <v>2245</v>
      </c>
      <c r="C9" s="2428"/>
      <c r="D9" s="2428"/>
      <c r="E9" s="2428"/>
      <c r="F9" s="2428"/>
      <c r="G9" s="2429"/>
      <c r="H9" s="2435"/>
      <c r="I9" s="2428"/>
    </row>
    <row r="10" spans="1:9" ht="30" customHeight="1">
      <c r="A10" s="2422"/>
      <c r="B10" s="2434" t="s">
        <v>2246</v>
      </c>
      <c r="C10" s="2428">
        <v>49748939</v>
      </c>
      <c r="D10" s="2428">
        <v>49748939</v>
      </c>
      <c r="E10" s="2428">
        <f>'10'!K33</f>
        <v>53677666</v>
      </c>
      <c r="F10" s="2428">
        <f>E10-D10</f>
        <v>3928727</v>
      </c>
      <c r="G10" s="2429">
        <f t="shared" ref="G10:G22" si="0">F10/D10*100</f>
        <v>7.8971071121737886</v>
      </c>
      <c r="H10" s="2435" t="s">
        <v>2247</v>
      </c>
      <c r="I10" s="2436">
        <v>5</v>
      </c>
    </row>
    <row r="11" spans="1:9" ht="30" customHeight="1">
      <c r="A11" s="2422"/>
      <c r="B11" s="2434" t="s">
        <v>2219</v>
      </c>
      <c r="C11" s="2428">
        <v>200000</v>
      </c>
      <c r="D11" s="2428">
        <v>200000</v>
      </c>
      <c r="E11" s="2428">
        <v>893307</v>
      </c>
      <c r="F11" s="2428">
        <f>E11-D11</f>
        <v>693307</v>
      </c>
      <c r="G11" s="2429">
        <f t="shared" si="0"/>
        <v>346.65350000000001</v>
      </c>
      <c r="H11" s="2449" t="s">
        <v>2221</v>
      </c>
      <c r="I11" s="2436">
        <v>7</v>
      </c>
    </row>
    <row r="12" spans="1:9" ht="30" customHeight="1">
      <c r="A12" s="2422"/>
      <c r="B12" s="2437" t="s">
        <v>2248</v>
      </c>
      <c r="C12" s="2432">
        <f>SUM(C10:C11)</f>
        <v>49948939</v>
      </c>
      <c r="D12" s="2432">
        <f>SUM(D10:D11)</f>
        <v>49948939</v>
      </c>
      <c r="E12" s="2432">
        <f>SUM(E10:E11)</f>
        <v>54570973</v>
      </c>
      <c r="F12" s="2432">
        <f>E12-D12</f>
        <v>4622034</v>
      </c>
      <c r="G12" s="2433">
        <f t="shared" si="0"/>
        <v>9.2535178775268889</v>
      </c>
      <c r="H12" s="2438"/>
      <c r="I12" s="2439" t="s">
        <v>2249</v>
      </c>
    </row>
    <row r="13" spans="1:9" ht="30" customHeight="1">
      <c r="A13" s="2422"/>
      <c r="B13" s="2437" t="s">
        <v>2250</v>
      </c>
      <c r="C13" s="2432">
        <f>C12</f>
        <v>49948939</v>
      </c>
      <c r="D13" s="2432">
        <f>D12</f>
        <v>49948939</v>
      </c>
      <c r="E13" s="2432">
        <f>E12</f>
        <v>54570973</v>
      </c>
      <c r="F13" s="2432">
        <f>E13-D13</f>
        <v>4622034</v>
      </c>
      <c r="G13" s="2433">
        <f t="shared" si="0"/>
        <v>9.2535178775268889</v>
      </c>
      <c r="H13" s="2438"/>
      <c r="I13" s="2439" t="s">
        <v>2249</v>
      </c>
    </row>
    <row r="14" spans="1:9" ht="30" customHeight="1">
      <c r="A14" s="2422"/>
      <c r="B14" s="2437" t="s">
        <v>2251</v>
      </c>
      <c r="C14" s="2432">
        <f>SUM(C15:C18)</f>
        <v>18823</v>
      </c>
      <c r="D14" s="2432">
        <f>SUM(D15:D18)</f>
        <v>18823</v>
      </c>
      <c r="E14" s="2432">
        <f>SUM(E15:E18)</f>
        <v>19035</v>
      </c>
      <c r="F14" s="2432">
        <f t="shared" ref="F14:F22" si="1">D14-E14</f>
        <v>-212</v>
      </c>
      <c r="G14" s="2433">
        <f t="shared" si="0"/>
        <v>-1.1262816766721564</v>
      </c>
      <c r="H14" s="2438"/>
      <c r="I14" s="2439">
        <v>6</v>
      </c>
    </row>
    <row r="15" spans="1:9" ht="30" customHeight="1">
      <c r="A15" s="2422"/>
      <c r="B15" s="2434" t="s">
        <v>2252</v>
      </c>
      <c r="C15" s="2428">
        <v>11007</v>
      </c>
      <c r="D15" s="2428">
        <v>11007</v>
      </c>
      <c r="E15" s="2428">
        <v>11531</v>
      </c>
      <c r="F15" s="2428">
        <f t="shared" si="1"/>
        <v>-524</v>
      </c>
      <c r="G15" s="2429">
        <f t="shared" si="0"/>
        <v>-4.7606068865267561</v>
      </c>
      <c r="H15" s="2460"/>
      <c r="I15" s="2436">
        <v>6</v>
      </c>
    </row>
    <row r="16" spans="1:9" ht="30" customHeight="1">
      <c r="A16" s="2422"/>
      <c r="B16" s="2434" t="s">
        <v>2253</v>
      </c>
      <c r="C16" s="2428">
        <v>4411</v>
      </c>
      <c r="D16" s="2428">
        <v>4411</v>
      </c>
      <c r="E16" s="2428">
        <v>4158</v>
      </c>
      <c r="F16" s="2428">
        <f t="shared" si="1"/>
        <v>253</v>
      </c>
      <c r="G16" s="2429">
        <f t="shared" si="0"/>
        <v>5.7356608478802995</v>
      </c>
      <c r="H16" s="3322" t="s">
        <v>2316</v>
      </c>
      <c r="I16" s="2436">
        <v>6</v>
      </c>
    </row>
    <row r="17" spans="1:9" ht="30" customHeight="1">
      <c r="A17" s="2422"/>
      <c r="B17" s="2434" t="s">
        <v>2254</v>
      </c>
      <c r="C17" s="2428">
        <v>173</v>
      </c>
      <c r="D17" s="2428">
        <v>173</v>
      </c>
      <c r="E17" s="2428">
        <v>177</v>
      </c>
      <c r="F17" s="2428">
        <f t="shared" si="1"/>
        <v>-4</v>
      </c>
      <c r="G17" s="2429">
        <f t="shared" si="0"/>
        <v>-2.3121387283236992</v>
      </c>
      <c r="H17" s="3324"/>
      <c r="I17" s="2436">
        <v>6</v>
      </c>
    </row>
    <row r="18" spans="1:9" ht="30" customHeight="1">
      <c r="A18" s="2422"/>
      <c r="B18" s="2434" t="s">
        <v>2255</v>
      </c>
      <c r="C18" s="2428">
        <v>3232</v>
      </c>
      <c r="D18" s="2428">
        <v>3232</v>
      </c>
      <c r="E18" s="2428">
        <v>3169</v>
      </c>
      <c r="F18" s="2428">
        <f t="shared" si="1"/>
        <v>63</v>
      </c>
      <c r="G18" s="2429">
        <f t="shared" si="0"/>
        <v>1.9492574257425743</v>
      </c>
      <c r="H18" s="2435"/>
      <c r="I18" s="2436">
        <v>6</v>
      </c>
    </row>
    <row r="19" spans="1:9" ht="30" customHeight="1">
      <c r="A19" s="2422"/>
      <c r="B19" s="2437" t="s">
        <v>2256</v>
      </c>
      <c r="C19" s="2432">
        <f>C20+C21+C22+'32'!C9</f>
        <v>11106280</v>
      </c>
      <c r="D19" s="2432">
        <f>D20+D21+D22+'32'!D9</f>
        <v>11106280</v>
      </c>
      <c r="E19" s="2432">
        <f>E20+E21+E22+'32'!E9</f>
        <v>14506212</v>
      </c>
      <c r="F19" s="2432">
        <f t="shared" si="1"/>
        <v>-3399932</v>
      </c>
      <c r="G19" s="2433">
        <f t="shared" si="0"/>
        <v>-30.612698401264872</v>
      </c>
      <c r="H19" s="2438"/>
      <c r="I19" s="2439">
        <v>6</v>
      </c>
    </row>
    <row r="20" spans="1:9" ht="30" customHeight="1">
      <c r="A20" s="2422"/>
      <c r="B20" s="2448" t="s">
        <v>2257</v>
      </c>
      <c r="C20" s="2428">
        <v>7963786</v>
      </c>
      <c r="D20" s="2428">
        <v>7963786</v>
      </c>
      <c r="E20" s="2428">
        <v>10805119</v>
      </c>
      <c r="F20" s="2428">
        <f t="shared" si="1"/>
        <v>-2841333</v>
      </c>
      <c r="G20" s="2429">
        <f t="shared" si="0"/>
        <v>-35.678168649936097</v>
      </c>
      <c r="H20" s="3322" t="s">
        <v>2316</v>
      </c>
      <c r="I20" s="2436">
        <v>6</v>
      </c>
    </row>
    <row r="21" spans="1:9" ht="30" customHeight="1">
      <c r="A21" s="2422"/>
      <c r="B21" s="2434" t="s">
        <v>2253</v>
      </c>
      <c r="C21" s="2428">
        <v>2129918</v>
      </c>
      <c r="D21" s="2428">
        <v>2129918</v>
      </c>
      <c r="E21" s="2428">
        <v>2386874</v>
      </c>
      <c r="F21" s="2428">
        <f t="shared" si="1"/>
        <v>-256956</v>
      </c>
      <c r="G21" s="2429">
        <f t="shared" si="0"/>
        <v>-12.064126412378316</v>
      </c>
      <c r="H21" s="3323"/>
      <c r="I21" s="2436">
        <v>6</v>
      </c>
    </row>
    <row r="22" spans="1:9" ht="30" customHeight="1">
      <c r="A22" s="2422"/>
      <c r="B22" s="2434" t="s">
        <v>2254</v>
      </c>
      <c r="C22" s="2428">
        <v>68524</v>
      </c>
      <c r="D22" s="2428">
        <v>68524</v>
      </c>
      <c r="E22" s="2428">
        <v>116635</v>
      </c>
      <c r="F22" s="2428">
        <f t="shared" si="1"/>
        <v>-48111</v>
      </c>
      <c r="G22" s="2429">
        <f t="shared" si="0"/>
        <v>-70.210437219076525</v>
      </c>
      <c r="H22" s="3324"/>
      <c r="I22" s="2436">
        <v>6</v>
      </c>
    </row>
    <row r="23" spans="1:9" ht="30" customHeight="1">
      <c r="A23" s="2422"/>
      <c r="B23" s="2440"/>
      <c r="C23" s="2441"/>
      <c r="D23" s="2441"/>
      <c r="E23" s="2441"/>
      <c r="F23" s="2441"/>
      <c r="G23" s="2442"/>
      <c r="H23" s="2443"/>
      <c r="I23" s="2444"/>
    </row>
    <row r="24" spans="1:9" ht="30" customHeight="1">
      <c r="A24" s="3321">
        <v>31</v>
      </c>
      <c r="B24" s="3321"/>
      <c r="C24" s="3321"/>
      <c r="D24" s="3321"/>
      <c r="E24" s="3321"/>
      <c r="F24" s="3321"/>
      <c r="G24" s="3321"/>
      <c r="H24" s="3321"/>
      <c r="I24" s="3321"/>
    </row>
  </sheetData>
  <mergeCells count="14">
    <mergeCell ref="B2:I2"/>
    <mergeCell ref="A24:I24"/>
    <mergeCell ref="H20:H22"/>
    <mergeCell ref="B4:I4"/>
    <mergeCell ref="B3:I3"/>
    <mergeCell ref="B7:B8"/>
    <mergeCell ref="C7:C8"/>
    <mergeCell ref="D7:D8"/>
    <mergeCell ref="E7:E8"/>
    <mergeCell ref="F7:G7"/>
    <mergeCell ref="H7:H8"/>
    <mergeCell ref="I7:I8"/>
    <mergeCell ref="B5:I5"/>
    <mergeCell ref="H16:H17"/>
  </mergeCells>
  <pageMargins left="0.7" right="0.7" top="0.75" bottom="0.75" header="0.3" footer="0.3"/>
  <pageSetup paperSize="9" scale="6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60" zoomScaleNormal="100" workbookViewId="0">
      <selection activeCell="B2" sqref="B2:I4"/>
    </sheetView>
  </sheetViews>
  <sheetFormatPr defaultRowHeight="14.25"/>
  <cols>
    <col min="1" max="1" width="5.75" customWidth="1"/>
    <col min="2" max="2" width="34.75" style="2270" customWidth="1"/>
    <col min="3" max="3" width="14.87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2378</v>
      </c>
      <c r="C3" s="3320"/>
      <c r="D3" s="3320"/>
      <c r="E3" s="3320"/>
      <c r="F3" s="3320"/>
      <c r="G3" s="3320"/>
      <c r="H3" s="3320"/>
      <c r="I3" s="3320"/>
    </row>
    <row r="4" spans="1:9" ht="30" customHeight="1">
      <c r="A4" s="2422"/>
      <c r="B4" s="3320" t="s">
        <v>2377</v>
      </c>
      <c r="C4" s="3320"/>
      <c r="D4" s="3320"/>
      <c r="E4" s="3320"/>
      <c r="F4" s="3320"/>
      <c r="G4" s="3320"/>
      <c r="H4" s="3320"/>
      <c r="I4" s="3320"/>
    </row>
    <row r="5" spans="1:9" ht="30" customHeight="1">
      <c r="A5" s="2422"/>
      <c r="B5" s="3331"/>
      <c r="C5" s="3331"/>
      <c r="D5" s="3331"/>
      <c r="E5" s="3331"/>
      <c r="F5" s="3331"/>
      <c r="G5" s="3331"/>
      <c r="H5" s="3331"/>
      <c r="I5" s="3331"/>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34" t="s">
        <v>2255</v>
      </c>
      <c r="C9" s="2428">
        <v>944052</v>
      </c>
      <c r="D9" s="2428">
        <v>944052</v>
      </c>
      <c r="E9" s="2428">
        <v>1197584</v>
      </c>
      <c r="F9" s="2428">
        <f t="shared" ref="F9:F22" si="0">D9-E9</f>
        <v>-253532</v>
      </c>
      <c r="G9" s="2429">
        <f t="shared" ref="G9:G22" si="1">F9/D9*100</f>
        <v>-26.855724049098988</v>
      </c>
      <c r="H9" s="2460" t="s">
        <v>2316</v>
      </c>
      <c r="I9" s="2436">
        <v>6</v>
      </c>
    </row>
    <row r="10" spans="1:9" ht="30" customHeight="1">
      <c r="A10" s="2422"/>
      <c r="B10" s="2434" t="s">
        <v>2258</v>
      </c>
      <c r="C10" s="2428"/>
      <c r="D10" s="2428"/>
      <c r="E10" s="2428"/>
      <c r="F10" s="2428">
        <f t="shared" si="0"/>
        <v>0</v>
      </c>
      <c r="G10" s="2429"/>
      <c r="H10" s="2461"/>
      <c r="I10" s="2436">
        <v>6</v>
      </c>
    </row>
    <row r="11" spans="1:9" ht="30" customHeight="1">
      <c r="A11" s="2422"/>
      <c r="B11" s="2434" t="s">
        <v>2259</v>
      </c>
      <c r="C11" s="2428">
        <v>1049994</v>
      </c>
      <c r="D11" s="2428">
        <v>1049994</v>
      </c>
      <c r="E11" s="2428">
        <v>1907451</v>
      </c>
      <c r="F11" s="2428">
        <f t="shared" si="0"/>
        <v>-857457</v>
      </c>
      <c r="G11" s="2429">
        <f t="shared" si="1"/>
        <v>-81.663038074503277</v>
      </c>
      <c r="H11" s="2462" t="s">
        <v>2316</v>
      </c>
      <c r="I11" s="2436">
        <v>6</v>
      </c>
    </row>
    <row r="12" spans="1:9" ht="26.25" customHeight="1">
      <c r="A12" s="2422"/>
      <c r="B12" s="2437" t="s">
        <v>2260</v>
      </c>
      <c r="C12" s="2432">
        <f>'31'!C14+'31'!C19+'32'!C10+'32'!C11</f>
        <v>12175097</v>
      </c>
      <c r="D12" s="2432">
        <f>'31'!D14+'31'!D19+'32'!D10+'32'!D11</f>
        <v>12175097</v>
      </c>
      <c r="E12" s="2432">
        <f>'31'!E14+'31'!E19+'32'!E10+'32'!E11</f>
        <v>16432698</v>
      </c>
      <c r="F12" s="2432">
        <f t="shared" si="0"/>
        <v>-4257601</v>
      </c>
      <c r="G12" s="2433">
        <f t="shared" si="1"/>
        <v>-34.969750138335655</v>
      </c>
      <c r="H12" s="2438"/>
      <c r="I12" s="2439">
        <v>6</v>
      </c>
    </row>
    <row r="13" spans="1:9" ht="39" customHeight="1">
      <c r="A13" s="2422"/>
      <c r="B13" s="2434" t="s">
        <v>2261</v>
      </c>
      <c r="C13" s="2428">
        <v>7174471</v>
      </c>
      <c r="D13" s="2428">
        <v>7174471</v>
      </c>
      <c r="E13" s="2428">
        <v>11989492</v>
      </c>
      <c r="F13" s="2428">
        <f t="shared" si="0"/>
        <v>-4815021</v>
      </c>
      <c r="G13" s="2429">
        <f t="shared" si="1"/>
        <v>-67.113254761222123</v>
      </c>
      <c r="H13" s="2435" t="s">
        <v>2318</v>
      </c>
      <c r="I13" s="2436">
        <v>6</v>
      </c>
    </row>
    <row r="14" spans="1:9" ht="30" customHeight="1">
      <c r="A14" s="2422"/>
      <c r="B14" s="2434" t="s">
        <v>2262</v>
      </c>
      <c r="C14" s="2428">
        <v>2681829</v>
      </c>
      <c r="D14" s="2428">
        <v>2681829</v>
      </c>
      <c r="E14" s="2428">
        <v>3345704</v>
      </c>
      <c r="F14" s="2428">
        <f t="shared" si="0"/>
        <v>-663875</v>
      </c>
      <c r="G14" s="2429">
        <f t="shared" si="1"/>
        <v>-24.754561159566848</v>
      </c>
      <c r="H14" s="2435"/>
      <c r="I14" s="2436">
        <v>6</v>
      </c>
    </row>
    <row r="15" spans="1:9" ht="30" customHeight="1">
      <c r="A15" s="2422"/>
      <c r="B15" s="2434" t="s">
        <v>2263</v>
      </c>
      <c r="C15" s="2428">
        <v>25200</v>
      </c>
      <c r="D15" s="2428">
        <v>25200</v>
      </c>
      <c r="E15" s="2428">
        <v>24095</v>
      </c>
      <c r="F15" s="2428">
        <f t="shared" si="0"/>
        <v>1105</v>
      </c>
      <c r="G15" s="2429">
        <f t="shared" si="1"/>
        <v>4.3849206349206344</v>
      </c>
      <c r="H15" s="2435" t="s">
        <v>2319</v>
      </c>
      <c r="I15" s="2436">
        <v>6</v>
      </c>
    </row>
    <row r="16" spans="1:9" ht="30" customHeight="1">
      <c r="A16" s="2422"/>
      <c r="B16" s="2434" t="s">
        <v>2264</v>
      </c>
      <c r="C16" s="2428">
        <v>2753551</v>
      </c>
      <c r="D16" s="2428">
        <v>2753551</v>
      </c>
      <c r="E16" s="2428">
        <v>1843912</v>
      </c>
      <c r="F16" s="2428">
        <f t="shared" si="0"/>
        <v>909639</v>
      </c>
      <c r="G16" s="2429">
        <f t="shared" si="1"/>
        <v>33.035124462920791</v>
      </c>
      <c r="H16" s="2435" t="s">
        <v>2320</v>
      </c>
      <c r="I16" s="2436">
        <v>6</v>
      </c>
    </row>
    <row r="17" spans="1:9" ht="30" customHeight="1">
      <c r="A17" s="2422"/>
      <c r="B17" s="2434" t="s">
        <v>2265</v>
      </c>
      <c r="C17" s="2428">
        <v>356288</v>
      </c>
      <c r="D17" s="2428">
        <v>356288</v>
      </c>
      <c r="E17" s="2428">
        <v>112521</v>
      </c>
      <c r="F17" s="2428">
        <f t="shared" si="0"/>
        <v>243767</v>
      </c>
      <c r="G17" s="2429">
        <f t="shared" si="1"/>
        <v>68.418526585234417</v>
      </c>
      <c r="H17" s="2435" t="s">
        <v>2321</v>
      </c>
      <c r="I17" s="2436">
        <v>6</v>
      </c>
    </row>
    <row r="18" spans="1:9" ht="30" customHeight="1">
      <c r="A18" s="2422"/>
      <c r="B18" s="2434" t="s">
        <v>2266</v>
      </c>
      <c r="C18" s="2428">
        <v>10654369</v>
      </c>
      <c r="D18" s="2428">
        <v>10654369</v>
      </c>
      <c r="E18" s="2428">
        <v>6352202</v>
      </c>
      <c r="F18" s="2428">
        <f t="shared" si="0"/>
        <v>4302167</v>
      </c>
      <c r="G18" s="2429">
        <f t="shared" si="1"/>
        <v>40.379369252181895</v>
      </c>
      <c r="H18" s="2435"/>
      <c r="I18" s="2436">
        <v>6</v>
      </c>
    </row>
    <row r="19" spans="1:9" ht="30" customHeight="1">
      <c r="A19" s="2422"/>
      <c r="B19" s="2434" t="s">
        <v>2267</v>
      </c>
      <c r="C19" s="2428">
        <v>318980</v>
      </c>
      <c r="D19" s="2428">
        <v>318980</v>
      </c>
      <c r="E19" s="2428">
        <v>352896</v>
      </c>
      <c r="F19" s="2428">
        <f t="shared" si="0"/>
        <v>-33916</v>
      </c>
      <c r="G19" s="2429">
        <f t="shared" si="1"/>
        <v>-10.632641544924446</v>
      </c>
      <c r="H19" s="2462" t="s">
        <v>2316</v>
      </c>
      <c r="I19" s="2436">
        <v>6</v>
      </c>
    </row>
    <row r="20" spans="1:9" ht="30" customHeight="1">
      <c r="A20" s="2422"/>
      <c r="B20" s="2434" t="s">
        <v>2268</v>
      </c>
      <c r="C20" s="2428">
        <v>825716</v>
      </c>
      <c r="D20" s="2428">
        <v>825716</v>
      </c>
      <c r="E20" s="2428">
        <v>812975</v>
      </c>
      <c r="F20" s="2428">
        <f t="shared" si="0"/>
        <v>12741</v>
      </c>
      <c r="G20" s="2429">
        <f t="shared" si="1"/>
        <v>1.5430244781498725</v>
      </c>
      <c r="H20" s="2435"/>
      <c r="I20" s="2436">
        <v>6</v>
      </c>
    </row>
    <row r="21" spans="1:9" ht="30" customHeight="1">
      <c r="A21" s="2422"/>
      <c r="B21" s="2434" t="s">
        <v>2269</v>
      </c>
      <c r="C21" s="2428">
        <v>275024</v>
      </c>
      <c r="D21" s="2428">
        <v>275024</v>
      </c>
      <c r="E21" s="2428">
        <v>170312</v>
      </c>
      <c r="F21" s="2428">
        <f t="shared" si="0"/>
        <v>104712</v>
      </c>
      <c r="G21" s="2429">
        <f t="shared" si="1"/>
        <v>38.073768107510617</v>
      </c>
      <c r="H21" s="2435" t="s">
        <v>2454</v>
      </c>
      <c r="I21" s="2436">
        <v>6</v>
      </c>
    </row>
    <row r="22" spans="1:9" ht="30" customHeight="1">
      <c r="A22" s="2422"/>
      <c r="B22" s="2434" t="s">
        <v>2270</v>
      </c>
      <c r="C22" s="2428">
        <v>1321504</v>
      </c>
      <c r="D22" s="2428">
        <v>1321504</v>
      </c>
      <c r="E22" s="2428">
        <v>3164295</v>
      </c>
      <c r="F22" s="2428">
        <f t="shared" si="0"/>
        <v>-1842791</v>
      </c>
      <c r="G22" s="2429">
        <f t="shared" si="1"/>
        <v>-139.44649429740659</v>
      </c>
      <c r="H22" s="2435"/>
      <c r="I22" s="2436">
        <v>6</v>
      </c>
    </row>
    <row r="23" spans="1:9" ht="30" customHeight="1">
      <c r="A23" s="2422"/>
      <c r="B23" s="2440"/>
      <c r="C23" s="2441"/>
      <c r="D23" s="2441"/>
      <c r="E23" s="2441"/>
      <c r="F23" s="2441"/>
      <c r="G23" s="2442"/>
      <c r="H23" s="2443"/>
      <c r="I23" s="2444"/>
    </row>
    <row r="24" spans="1:9" ht="30" customHeight="1">
      <c r="A24" s="3321">
        <v>32</v>
      </c>
      <c r="B24" s="3321"/>
      <c r="C24" s="3321"/>
      <c r="D24" s="3321"/>
      <c r="E24" s="3321"/>
      <c r="F24" s="3321"/>
      <c r="G24" s="3321"/>
      <c r="H24" s="3321"/>
      <c r="I24" s="3321"/>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2">
    <mergeCell ref="I7:I8"/>
    <mergeCell ref="A24:I24"/>
    <mergeCell ref="B2:I2"/>
    <mergeCell ref="B3:I3"/>
    <mergeCell ref="B4:I4"/>
    <mergeCell ref="B5:I5"/>
    <mergeCell ref="B7:B8"/>
    <mergeCell ref="C7:C8"/>
    <mergeCell ref="D7:D8"/>
    <mergeCell ref="E7:E8"/>
    <mergeCell ref="F7:G7"/>
    <mergeCell ref="H7:H8"/>
  </mergeCells>
  <pageMargins left="0.7" right="0.7" top="0.75" bottom="0.75" header="0.3" footer="0.3"/>
  <pageSetup paperSize="9" scale="6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60" zoomScaleNormal="100" workbookViewId="0">
      <selection activeCell="B2" sqref="B2:I4"/>
    </sheetView>
  </sheetViews>
  <sheetFormatPr defaultRowHeight="14.25"/>
  <cols>
    <col min="1" max="1" width="5.75" customWidth="1"/>
    <col min="2" max="2" width="34.75" style="2270" customWidth="1"/>
    <col min="3" max="3" width="14.2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2378</v>
      </c>
      <c r="C3" s="3320"/>
      <c r="D3" s="3320"/>
      <c r="E3" s="3320"/>
      <c r="F3" s="3320"/>
      <c r="G3" s="3320"/>
      <c r="H3" s="3320"/>
      <c r="I3" s="3320"/>
    </row>
    <row r="4" spans="1:9" ht="30" customHeight="1">
      <c r="A4" s="2422"/>
      <c r="B4" s="3320" t="s">
        <v>2377</v>
      </c>
      <c r="C4" s="3320"/>
      <c r="D4" s="3320"/>
      <c r="E4" s="3320"/>
      <c r="F4" s="3320"/>
      <c r="G4" s="3320"/>
      <c r="H4" s="3320"/>
      <c r="I4" s="3320"/>
    </row>
    <row r="5" spans="1:9" ht="30" customHeight="1">
      <c r="A5" s="2422"/>
      <c r="B5" s="3331"/>
      <c r="C5" s="3331"/>
      <c r="D5" s="3331"/>
      <c r="E5" s="3331"/>
      <c r="F5" s="3331"/>
      <c r="G5" s="3331"/>
      <c r="H5" s="3331"/>
      <c r="I5" s="3331"/>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37" t="s">
        <v>2271</v>
      </c>
      <c r="C9" s="2432">
        <f>'32'!C13+'32'!C14+'32'!C15+'32'!C16+'32'!C17+'32'!C18+'32'!C19+'32'!C20+'32'!C21+'32'!C22</f>
        <v>26386932</v>
      </c>
      <c r="D9" s="2432">
        <f>'32'!D13+'32'!D14+'32'!D15+'32'!D16+'32'!D17+'32'!D18+'32'!D19+'32'!D20+'32'!D21+'32'!D22</f>
        <v>26386932</v>
      </c>
      <c r="E9" s="2432">
        <f>'32'!E13+'32'!E14+'32'!E15+'32'!E16+'32'!E17+'32'!E18+'32'!E19+'32'!E20+'32'!E21+'32'!E22</f>
        <v>28168404</v>
      </c>
      <c r="F9" s="2432">
        <f t="shared" ref="F9:F22" si="0">D9-E9</f>
        <v>-1781472</v>
      </c>
      <c r="G9" s="2433">
        <f>F9/D9*100</f>
        <v>-6.7513419142475524</v>
      </c>
      <c r="H9" s="2438"/>
      <c r="I9" s="2439">
        <v>6</v>
      </c>
    </row>
    <row r="10" spans="1:9" ht="30" customHeight="1">
      <c r="A10" s="2422"/>
      <c r="B10" s="2437" t="s">
        <v>2272</v>
      </c>
      <c r="C10" s="2432">
        <f>C9+'32'!C12</f>
        <v>38562029</v>
      </c>
      <c r="D10" s="2432">
        <f>D9+'32'!D12</f>
        <v>38562029</v>
      </c>
      <c r="E10" s="2432">
        <f>E9+'32'!E12</f>
        <v>44601102</v>
      </c>
      <c r="F10" s="2432">
        <f t="shared" si="0"/>
        <v>-6039073</v>
      </c>
      <c r="G10" s="2433">
        <f>F10/D10*100</f>
        <v>-15.660672315764298</v>
      </c>
      <c r="H10" s="2438"/>
      <c r="I10" s="2439">
        <v>6</v>
      </c>
    </row>
    <row r="11" spans="1:9" ht="30" customHeight="1">
      <c r="A11" s="2422"/>
      <c r="B11" s="2450" t="s">
        <v>2273</v>
      </c>
      <c r="C11" s="2432">
        <f>C10</f>
        <v>38562029</v>
      </c>
      <c r="D11" s="2432">
        <f t="shared" ref="D11:F11" si="1">D10</f>
        <v>38562029</v>
      </c>
      <c r="E11" s="2432">
        <f t="shared" si="1"/>
        <v>44601102</v>
      </c>
      <c r="F11" s="2432">
        <f t="shared" si="1"/>
        <v>-6039073</v>
      </c>
      <c r="G11" s="2433">
        <f>F11/D11*100</f>
        <v>-15.660672315764298</v>
      </c>
      <c r="H11" s="2438"/>
      <c r="I11" s="2439">
        <v>6</v>
      </c>
    </row>
    <row r="12" spans="1:9" ht="30" customHeight="1">
      <c r="A12" s="2422"/>
      <c r="B12" s="2437" t="s">
        <v>2274</v>
      </c>
      <c r="C12" s="2432">
        <f>'31'!C13-'33'!C11</f>
        <v>11386910</v>
      </c>
      <c r="D12" s="2432">
        <f>'31'!D13-'33'!D11</f>
        <v>11386910</v>
      </c>
      <c r="E12" s="2432">
        <f>'31'!E13-'33'!E11</f>
        <v>9969871</v>
      </c>
      <c r="F12" s="2432">
        <f t="shared" si="0"/>
        <v>1417039</v>
      </c>
      <c r="G12" s="2433">
        <f>F12/D12*100</f>
        <v>12.444455958640228</v>
      </c>
      <c r="H12" s="2438"/>
      <c r="I12" s="2439"/>
    </row>
    <row r="13" spans="1:9" ht="30" customHeight="1">
      <c r="A13" s="2422"/>
      <c r="B13" s="2434" t="s">
        <v>2275</v>
      </c>
      <c r="C13" s="2428"/>
      <c r="D13" s="2428"/>
      <c r="E13" s="2428"/>
      <c r="F13" s="2428">
        <f t="shared" si="0"/>
        <v>0</v>
      </c>
      <c r="G13" s="2429"/>
      <c r="H13" s="2435"/>
      <c r="I13" s="2436"/>
    </row>
    <row r="14" spans="1:9" ht="30" customHeight="1">
      <c r="A14" s="2422"/>
      <c r="B14" s="2434" t="s">
        <v>2276</v>
      </c>
      <c r="C14" s="2428"/>
      <c r="D14" s="2428">
        <v>0</v>
      </c>
      <c r="E14" s="2428">
        <v>0</v>
      </c>
      <c r="F14" s="2428">
        <f t="shared" si="0"/>
        <v>0</v>
      </c>
      <c r="G14" s="2429"/>
      <c r="H14" s="2435"/>
      <c r="I14" s="2436"/>
    </row>
    <row r="15" spans="1:9" ht="30" customHeight="1">
      <c r="A15" s="2422"/>
      <c r="B15" s="2437" t="s">
        <v>2277</v>
      </c>
      <c r="C15" s="2432"/>
      <c r="D15" s="2432">
        <v>0</v>
      </c>
      <c r="E15" s="2432">
        <v>0</v>
      </c>
      <c r="F15" s="2432">
        <f t="shared" si="0"/>
        <v>0</v>
      </c>
      <c r="G15" s="2433"/>
      <c r="H15" s="2438"/>
      <c r="I15" s="2439"/>
    </row>
    <row r="16" spans="1:9" ht="30" customHeight="1">
      <c r="A16" s="2422"/>
      <c r="B16" s="2434" t="s">
        <v>2278</v>
      </c>
      <c r="C16" s="2428"/>
      <c r="D16" s="2428"/>
      <c r="E16" s="2428"/>
      <c r="F16" s="2428">
        <f t="shared" si="0"/>
        <v>0</v>
      </c>
      <c r="G16" s="2429"/>
      <c r="I16" s="2436"/>
    </row>
    <row r="17" spans="1:9" ht="30" customHeight="1">
      <c r="A17" s="2422"/>
      <c r="B17" s="2437" t="s">
        <v>2251</v>
      </c>
      <c r="C17" s="2432">
        <f>C18+C19+C20+C21</f>
        <v>2395</v>
      </c>
      <c r="D17" s="2432">
        <f t="shared" ref="D17:E17" si="2">D18+D19+D20+D21</f>
        <v>2395</v>
      </c>
      <c r="E17" s="2432">
        <f t="shared" si="2"/>
        <v>3167</v>
      </c>
      <c r="F17" s="2432">
        <f t="shared" si="0"/>
        <v>-772</v>
      </c>
      <c r="G17" s="2433">
        <f t="shared" ref="G17:G22" si="3">F17/D17*100</f>
        <v>-32.233820459290186</v>
      </c>
      <c r="H17" s="2438"/>
      <c r="I17" s="2439">
        <v>6</v>
      </c>
    </row>
    <row r="18" spans="1:9" ht="30" customHeight="1">
      <c r="A18" s="2422"/>
      <c r="B18" s="2434" t="s">
        <v>2252</v>
      </c>
      <c r="C18" s="2428">
        <v>1400</v>
      </c>
      <c r="D18" s="2428">
        <v>1400</v>
      </c>
      <c r="E18" s="2428">
        <v>1924</v>
      </c>
      <c r="F18" s="2428">
        <f t="shared" si="0"/>
        <v>-524</v>
      </c>
      <c r="G18" s="2429">
        <f t="shared" si="3"/>
        <v>-37.428571428571431</v>
      </c>
      <c r="H18" s="2466" t="s">
        <v>2316</v>
      </c>
      <c r="I18" s="2436">
        <v>6</v>
      </c>
    </row>
    <row r="19" spans="1:9" ht="30" customHeight="1">
      <c r="A19" s="2422"/>
      <c r="B19" s="2434" t="s">
        <v>2253</v>
      </c>
      <c r="C19" s="2428">
        <v>497</v>
      </c>
      <c r="D19" s="2428">
        <v>497</v>
      </c>
      <c r="E19" s="2428">
        <v>617</v>
      </c>
      <c r="F19" s="2428">
        <f t="shared" si="0"/>
        <v>-120</v>
      </c>
      <c r="G19" s="2429">
        <f t="shared" si="3"/>
        <v>-24.144869215291749</v>
      </c>
      <c r="H19" s="2466"/>
      <c r="I19" s="2436">
        <v>6</v>
      </c>
    </row>
    <row r="20" spans="1:9" ht="30" customHeight="1">
      <c r="A20" s="2422"/>
      <c r="B20" s="2434" t="s">
        <v>2254</v>
      </c>
      <c r="C20" s="2428">
        <v>23</v>
      </c>
      <c r="D20" s="2428">
        <v>23</v>
      </c>
      <c r="E20" s="2428">
        <v>25</v>
      </c>
      <c r="F20" s="2428">
        <f t="shared" si="0"/>
        <v>-2</v>
      </c>
      <c r="G20" s="2429">
        <f t="shared" si="3"/>
        <v>-8.695652173913043</v>
      </c>
      <c r="H20" s="3323" t="s">
        <v>2316</v>
      </c>
      <c r="I20" s="2436">
        <v>6</v>
      </c>
    </row>
    <row r="21" spans="1:9" ht="30" customHeight="1">
      <c r="A21" s="2422"/>
      <c r="B21" s="2434" t="s">
        <v>2255</v>
      </c>
      <c r="C21" s="2428">
        <v>475</v>
      </c>
      <c r="D21" s="2428">
        <v>475</v>
      </c>
      <c r="E21" s="2428">
        <v>601</v>
      </c>
      <c r="F21" s="2428">
        <f t="shared" si="0"/>
        <v>-126</v>
      </c>
      <c r="G21" s="2429">
        <f t="shared" si="3"/>
        <v>-26.526315789473685</v>
      </c>
      <c r="H21" s="3324"/>
      <c r="I21" s="2436">
        <v>6</v>
      </c>
    </row>
    <row r="22" spans="1:9" ht="30" customHeight="1">
      <c r="A22" s="2422"/>
      <c r="B22" s="2437" t="s">
        <v>2256</v>
      </c>
      <c r="C22" s="2432">
        <f>'34'!C9+'34'!C10+'34'!C11+'34'!C12</f>
        <v>1973511</v>
      </c>
      <c r="D22" s="2432">
        <f>'34'!D9+'34'!D10+'34'!D11+'34'!D12</f>
        <v>1973511</v>
      </c>
      <c r="E22" s="2432">
        <f>'34'!E9+'34'!E10+'34'!E11+'34'!E12</f>
        <v>2104737</v>
      </c>
      <c r="F22" s="2432">
        <f t="shared" si="0"/>
        <v>-131226</v>
      </c>
      <c r="G22" s="2433">
        <f t="shared" si="3"/>
        <v>-6.6493675484960564</v>
      </c>
      <c r="H22" s="2438"/>
      <c r="I22" s="2439">
        <v>6</v>
      </c>
    </row>
    <row r="23" spans="1:9" ht="30" customHeight="1">
      <c r="A23" s="2422"/>
      <c r="B23" s="2440"/>
      <c r="C23" s="2441"/>
      <c r="D23" s="2441"/>
      <c r="E23" s="2441"/>
      <c r="F23" s="2441"/>
      <c r="G23" s="2442"/>
      <c r="H23" s="2443"/>
      <c r="I23" s="2444"/>
    </row>
    <row r="24" spans="1:9" ht="30" customHeight="1">
      <c r="A24" s="3321">
        <v>33</v>
      </c>
      <c r="B24" s="3321"/>
      <c r="C24" s="3321"/>
      <c r="D24" s="3321"/>
      <c r="E24" s="3321"/>
      <c r="F24" s="3321"/>
      <c r="G24" s="3321"/>
      <c r="H24" s="3321"/>
      <c r="I24" s="3321"/>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3">
    <mergeCell ref="I7:I8"/>
    <mergeCell ref="A24:I24"/>
    <mergeCell ref="B2:I2"/>
    <mergeCell ref="B3:I3"/>
    <mergeCell ref="B4:I4"/>
    <mergeCell ref="B5:I5"/>
    <mergeCell ref="B7:B8"/>
    <mergeCell ref="C7:C8"/>
    <mergeCell ref="D7:D8"/>
    <mergeCell ref="E7:E8"/>
    <mergeCell ref="F7:G7"/>
    <mergeCell ref="H7:H8"/>
    <mergeCell ref="H20:H21"/>
  </mergeCells>
  <pageMargins left="0.7" right="0.7" top="0.75" bottom="0.75" header="0.3" footer="0.3"/>
  <pageSetup paperSize="9" scale="6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60" zoomScaleNormal="100" workbookViewId="0">
      <selection activeCell="L12" sqref="L12"/>
    </sheetView>
  </sheetViews>
  <sheetFormatPr defaultRowHeight="14.25"/>
  <cols>
    <col min="1" max="1" width="5.75" customWidth="1"/>
    <col min="2" max="2" width="34.75" style="2270" customWidth="1"/>
    <col min="3" max="3" width="14.2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2378</v>
      </c>
      <c r="C3" s="3320"/>
      <c r="D3" s="3320"/>
      <c r="E3" s="3320"/>
      <c r="F3" s="3320"/>
      <c r="G3" s="3320"/>
      <c r="H3" s="3320"/>
      <c r="I3" s="3320"/>
    </row>
    <row r="4" spans="1:9" ht="30" customHeight="1">
      <c r="A4" s="2422"/>
      <c r="B4" s="3320" t="s">
        <v>2377</v>
      </c>
      <c r="C4" s="3320"/>
      <c r="D4" s="3320"/>
      <c r="E4" s="3320"/>
      <c r="F4" s="3320"/>
      <c r="G4" s="3320"/>
      <c r="H4" s="3320"/>
      <c r="I4" s="3320"/>
    </row>
    <row r="5" spans="1:9" ht="30" customHeight="1">
      <c r="A5" s="2422"/>
      <c r="B5" s="2420"/>
      <c r="C5" s="2420"/>
      <c r="D5" s="2420"/>
      <c r="E5" s="2420"/>
      <c r="F5" s="2420"/>
      <c r="G5" s="2420"/>
      <c r="H5" s="2420"/>
      <c r="I5" s="2420"/>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48" t="s">
        <v>2257</v>
      </c>
      <c r="C9" s="2428">
        <v>1316689</v>
      </c>
      <c r="D9" s="2428">
        <v>1316689</v>
      </c>
      <c r="E9" s="2428">
        <v>1459946</v>
      </c>
      <c r="F9" s="2428">
        <f t="shared" ref="F9:F22" si="0">D9-E9</f>
        <v>-143257</v>
      </c>
      <c r="G9" s="2429">
        <f>F9/D9*100</f>
        <v>-10.880093932583929</v>
      </c>
      <c r="H9" s="3322" t="s">
        <v>2316</v>
      </c>
      <c r="I9" s="2436">
        <v>6</v>
      </c>
    </row>
    <row r="10" spans="1:9" ht="30" customHeight="1">
      <c r="A10" s="2422"/>
      <c r="B10" s="2456" t="s">
        <v>2253</v>
      </c>
      <c r="C10" s="2430">
        <v>468174</v>
      </c>
      <c r="D10" s="2430">
        <v>468174</v>
      </c>
      <c r="E10" s="2430">
        <v>424486</v>
      </c>
      <c r="F10" s="2430">
        <f t="shared" si="0"/>
        <v>43688</v>
      </c>
      <c r="G10" s="2431">
        <f>F10/D10*100</f>
        <v>9.3315733039425517</v>
      </c>
      <c r="H10" s="3324"/>
      <c r="I10" s="2458">
        <v>6</v>
      </c>
    </row>
    <row r="11" spans="1:9" ht="30" customHeight="1">
      <c r="A11" s="2422"/>
      <c r="B11" s="2434" t="s">
        <v>2254</v>
      </c>
      <c r="C11" s="2428">
        <v>11256</v>
      </c>
      <c r="D11" s="2428">
        <v>11256</v>
      </c>
      <c r="E11" s="2428">
        <v>43637</v>
      </c>
      <c r="F11" s="2428">
        <f t="shared" si="0"/>
        <v>-32381</v>
      </c>
      <c r="G11" s="2429">
        <f>F11/D11*100</f>
        <v>-287.67768301350389</v>
      </c>
      <c r="H11" s="2435"/>
      <c r="I11" s="2436">
        <v>6</v>
      </c>
    </row>
    <row r="12" spans="1:9" ht="30" customHeight="1">
      <c r="A12" s="2422"/>
      <c r="B12" s="2434" t="s">
        <v>2255</v>
      </c>
      <c r="C12" s="2428">
        <v>177392</v>
      </c>
      <c r="D12" s="2428">
        <v>177392</v>
      </c>
      <c r="E12" s="2428">
        <v>176668</v>
      </c>
      <c r="F12" s="2428">
        <f t="shared" si="0"/>
        <v>724</v>
      </c>
      <c r="G12" s="2429">
        <f>F12/D12*100</f>
        <v>0.40813565436998284</v>
      </c>
      <c r="H12" s="2435"/>
      <c r="I12" s="2436">
        <v>6</v>
      </c>
    </row>
    <row r="13" spans="1:9" ht="30" customHeight="1">
      <c r="A13" s="2422"/>
      <c r="B13" s="2434" t="s">
        <v>2258</v>
      </c>
      <c r="C13" s="2428">
        <v>19800</v>
      </c>
      <c r="D13" s="2428">
        <v>19800</v>
      </c>
      <c r="E13" s="2428">
        <v>0</v>
      </c>
      <c r="F13" s="2428">
        <f t="shared" si="0"/>
        <v>19800</v>
      </c>
      <c r="G13" s="2429"/>
      <c r="H13" s="2435"/>
      <c r="I13" s="2436">
        <v>6</v>
      </c>
    </row>
    <row r="14" spans="1:9" ht="30" customHeight="1">
      <c r="A14" s="2422"/>
      <c r="B14" s="2434" t="s">
        <v>2259</v>
      </c>
      <c r="C14" s="2428">
        <v>208295</v>
      </c>
      <c r="D14" s="2428">
        <v>208295</v>
      </c>
      <c r="E14" s="2428">
        <v>483957</v>
      </c>
      <c r="F14" s="2428">
        <f t="shared" si="0"/>
        <v>-275662</v>
      </c>
      <c r="G14" s="2429">
        <f t="shared" ref="G14:G22" si="1">F14/D14*100</f>
        <v>-132.3421109484145</v>
      </c>
      <c r="H14" s="2435" t="s">
        <v>2316</v>
      </c>
      <c r="I14" s="2436">
        <v>6</v>
      </c>
    </row>
    <row r="15" spans="1:9" ht="30" customHeight="1">
      <c r="A15" s="2422"/>
      <c r="B15" s="2450" t="s">
        <v>2279</v>
      </c>
      <c r="C15" s="2432">
        <f>'33'!C22+'33'!C17+'34'!C13+'34'!C14</f>
        <v>2204001</v>
      </c>
      <c r="D15" s="2432">
        <f>'33'!D22+'33'!D17+'34'!D13+'34'!D14</f>
        <v>2204001</v>
      </c>
      <c r="E15" s="2432">
        <f>'33'!E22+'33'!E17+'34'!E13+'34'!E14</f>
        <v>2591861</v>
      </c>
      <c r="F15" s="2432">
        <f t="shared" si="0"/>
        <v>-387860</v>
      </c>
      <c r="G15" s="2433">
        <f t="shared" si="1"/>
        <v>-17.597995645192537</v>
      </c>
      <c r="H15" s="2438"/>
      <c r="I15" s="2439">
        <v>6</v>
      </c>
    </row>
    <row r="16" spans="1:9" ht="30" customHeight="1">
      <c r="A16" s="2422"/>
      <c r="B16" s="2434" t="s">
        <v>2261</v>
      </c>
      <c r="C16" s="2428">
        <v>891879</v>
      </c>
      <c r="D16" s="2428">
        <v>891879</v>
      </c>
      <c r="E16" s="2428">
        <v>868091</v>
      </c>
      <c r="F16" s="2428">
        <f t="shared" si="0"/>
        <v>23788</v>
      </c>
      <c r="G16" s="2429">
        <f t="shared" si="1"/>
        <v>2.6671779467842613</v>
      </c>
      <c r="H16" s="2435"/>
      <c r="I16" s="2436">
        <v>6</v>
      </c>
    </row>
    <row r="17" spans="1:9" ht="30" customHeight="1">
      <c r="A17" s="2422"/>
      <c r="B17" s="2434" t="s">
        <v>2263</v>
      </c>
      <c r="C17" s="2428">
        <v>1113</v>
      </c>
      <c r="D17" s="2428">
        <v>1113</v>
      </c>
      <c r="E17" s="2428">
        <v>5341</v>
      </c>
      <c r="F17" s="2428">
        <f t="shared" si="0"/>
        <v>-4228</v>
      </c>
      <c r="G17" s="2429">
        <f t="shared" si="1"/>
        <v>-379.87421383647802</v>
      </c>
      <c r="H17" s="2435"/>
      <c r="I17" s="2436">
        <v>6</v>
      </c>
    </row>
    <row r="18" spans="1:9" ht="30" customHeight="1">
      <c r="A18" s="2422"/>
      <c r="B18" s="2434" t="s">
        <v>2280</v>
      </c>
      <c r="C18" s="2428">
        <v>10566</v>
      </c>
      <c r="D18" s="2428">
        <v>10566</v>
      </c>
      <c r="E18" s="2428">
        <v>9136</v>
      </c>
      <c r="F18" s="2428">
        <f t="shared" si="0"/>
        <v>1430</v>
      </c>
      <c r="G18" s="2429">
        <f t="shared" si="1"/>
        <v>13.533976907060383</v>
      </c>
      <c r="H18" s="2435"/>
      <c r="I18" s="2436">
        <v>6</v>
      </c>
    </row>
    <row r="19" spans="1:9" ht="30" customHeight="1">
      <c r="A19" s="2422"/>
      <c r="B19" s="2434" t="s">
        <v>2281</v>
      </c>
      <c r="C19" s="2428">
        <v>64445</v>
      </c>
      <c r="D19" s="2428">
        <v>64445</v>
      </c>
      <c r="E19" s="2428">
        <v>30465</v>
      </c>
      <c r="F19" s="2428">
        <f t="shared" si="0"/>
        <v>33980</v>
      </c>
      <c r="G19" s="2429">
        <f t="shared" si="1"/>
        <v>52.727131662658081</v>
      </c>
      <c r="H19" s="2435"/>
      <c r="I19" s="2436">
        <v>6</v>
      </c>
    </row>
    <row r="20" spans="1:9" ht="30" customHeight="1">
      <c r="A20" s="2422"/>
      <c r="B20" s="2434" t="s">
        <v>2266</v>
      </c>
      <c r="C20" s="2428">
        <v>204914</v>
      </c>
      <c r="D20" s="2428">
        <v>204914</v>
      </c>
      <c r="E20" s="2428">
        <v>11542</v>
      </c>
      <c r="F20" s="2428">
        <f t="shared" si="0"/>
        <v>193372</v>
      </c>
      <c r="G20" s="2429">
        <f t="shared" si="1"/>
        <v>94.36739315029719</v>
      </c>
      <c r="H20" s="2435"/>
      <c r="I20" s="2436">
        <v>6</v>
      </c>
    </row>
    <row r="21" spans="1:9" ht="30" customHeight="1">
      <c r="A21" s="2422"/>
      <c r="B21" s="2434" t="s">
        <v>2262</v>
      </c>
      <c r="C21" s="2428">
        <v>418171</v>
      </c>
      <c r="D21" s="2428">
        <v>418171</v>
      </c>
      <c r="E21" s="2428">
        <v>151621</v>
      </c>
      <c r="F21" s="2428">
        <f t="shared" si="0"/>
        <v>266550</v>
      </c>
      <c r="G21" s="2429">
        <f t="shared" si="1"/>
        <v>63.741866365673374</v>
      </c>
      <c r="H21" s="2435"/>
      <c r="I21" s="2436">
        <v>6</v>
      </c>
    </row>
    <row r="22" spans="1:9" ht="30" customHeight="1">
      <c r="A22" s="2422"/>
      <c r="B22" s="2434" t="s">
        <v>2282</v>
      </c>
      <c r="C22" s="2428">
        <v>214438</v>
      </c>
      <c r="D22" s="2428">
        <v>214438</v>
      </c>
      <c r="E22" s="2428">
        <v>69</v>
      </c>
      <c r="F22" s="2428">
        <f t="shared" si="0"/>
        <v>214369</v>
      </c>
      <c r="G22" s="2429">
        <f t="shared" si="1"/>
        <v>99.967822867215688</v>
      </c>
      <c r="H22" s="2435"/>
      <c r="I22" s="2436">
        <v>6</v>
      </c>
    </row>
    <row r="23" spans="1:9" ht="30" customHeight="1">
      <c r="A23" s="2422"/>
      <c r="B23" s="2451"/>
      <c r="C23" s="2452"/>
      <c r="D23" s="2452"/>
      <c r="E23" s="2452"/>
      <c r="F23" s="2452"/>
      <c r="G23" s="2453"/>
      <c r="H23" s="2454"/>
      <c r="I23" s="2455"/>
    </row>
    <row r="24" spans="1:9" ht="30" customHeight="1">
      <c r="A24" s="3321">
        <v>34</v>
      </c>
      <c r="B24" s="3321"/>
      <c r="C24" s="3321"/>
      <c r="D24" s="3321"/>
      <c r="E24" s="3321"/>
      <c r="F24" s="3321"/>
      <c r="G24" s="3321"/>
      <c r="H24" s="3321"/>
      <c r="I24" s="3321"/>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2">
    <mergeCell ref="I7:I8"/>
    <mergeCell ref="A24:I24"/>
    <mergeCell ref="B2:I2"/>
    <mergeCell ref="B3:I3"/>
    <mergeCell ref="B4:I4"/>
    <mergeCell ref="B7:B8"/>
    <mergeCell ref="C7:C8"/>
    <mergeCell ref="D7:D8"/>
    <mergeCell ref="E7:E8"/>
    <mergeCell ref="F7:G7"/>
    <mergeCell ref="H7:H8"/>
    <mergeCell ref="H9:H10"/>
  </mergeCells>
  <pageMargins left="0.7" right="0.7" top="0.75" bottom="0.75" header="0.3" footer="0.3"/>
  <pageSetup paperSize="9" scale="6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C574"/>
  <sheetViews>
    <sheetView rightToLeft="1" zoomScale="91" zoomScaleNormal="91" zoomScaleSheetLayoutView="98" workbookViewId="0">
      <pane ySplit="2" topLeftCell="A3" activePane="bottomLeft" state="frozen"/>
      <selection activeCell="E19" sqref="E19:G19"/>
      <selection pane="bottomLeft" activeCell="E19" sqref="E19:G19"/>
    </sheetView>
  </sheetViews>
  <sheetFormatPr defaultColWidth="1.375" defaultRowHeight="19.5" customHeight="1"/>
  <cols>
    <col min="1" max="1" width="7.625" style="597" bestFit="1" customWidth="1"/>
    <col min="2" max="2" width="8" style="597" bestFit="1" customWidth="1"/>
    <col min="3" max="3" width="5.625" style="580" bestFit="1" customWidth="1"/>
    <col min="4" max="4" width="24" style="1145" customWidth="1"/>
    <col min="5" max="5" width="33.75" style="1140" bestFit="1" customWidth="1"/>
    <col min="6" max="6" width="20.625" style="597" customWidth="1"/>
    <col min="7" max="9" width="19.375" style="597" customWidth="1"/>
    <col min="10" max="10" width="19" style="597" customWidth="1"/>
    <col min="11" max="11" width="20.25" style="597" customWidth="1"/>
    <col min="12" max="12" width="19.375" style="597" customWidth="1"/>
    <col min="13" max="13" width="17.75" style="597" customWidth="1"/>
    <col min="14" max="14" width="18.375" style="597" customWidth="1"/>
    <col min="15" max="15" width="17.75" style="597" customWidth="1"/>
    <col min="16" max="18" width="19.875" style="597" customWidth="1"/>
    <col min="19" max="19" width="21.25" style="1119" bestFit="1" customWidth="1"/>
    <col min="20" max="20" width="20.625" style="597" customWidth="1"/>
    <col min="21" max="21" width="14.25" style="1102" customWidth="1"/>
    <col min="22" max="22" width="12.625" style="597" customWidth="1"/>
    <col min="23" max="23" width="20.625" style="597" bestFit="1" customWidth="1"/>
    <col min="24" max="24" width="23" style="597" customWidth="1"/>
    <col min="25" max="25" width="21" style="1102" bestFit="1" customWidth="1"/>
    <col min="26" max="26" width="13.875" style="597" bestFit="1" customWidth="1"/>
    <col min="27" max="28" width="1.375" style="597"/>
    <col min="29" max="29" width="6.25" style="597" customWidth="1"/>
    <col min="30" max="16384" width="1.375" style="597"/>
  </cols>
  <sheetData>
    <row r="1" spans="1:29" s="608" customFormat="1" ht="18.75" customHeight="1">
      <c r="A1" s="2937" t="s">
        <v>1683</v>
      </c>
      <c r="B1" s="2937" t="s">
        <v>1658</v>
      </c>
      <c r="C1" s="2939" t="s">
        <v>1657</v>
      </c>
      <c r="D1" s="1142"/>
      <c r="E1" s="2941" t="s">
        <v>62</v>
      </c>
      <c r="F1" s="2945" t="s">
        <v>1566</v>
      </c>
      <c r="G1" s="2945" t="s">
        <v>1567</v>
      </c>
      <c r="H1" s="2945" t="s">
        <v>1568</v>
      </c>
      <c r="I1" s="2945" t="s">
        <v>1366</v>
      </c>
      <c r="J1" s="2945" t="s">
        <v>1367</v>
      </c>
      <c r="K1" s="2945" t="s">
        <v>1475</v>
      </c>
      <c r="L1" s="2945" t="s">
        <v>1437</v>
      </c>
      <c r="M1" s="2945" t="s">
        <v>1438</v>
      </c>
      <c r="N1" s="2945" t="s">
        <v>1439</v>
      </c>
      <c r="O1" s="2945" t="s">
        <v>1498</v>
      </c>
      <c r="P1" s="2945" t="s">
        <v>1569</v>
      </c>
      <c r="Q1" s="1425" t="s">
        <v>1847</v>
      </c>
      <c r="R1" s="1425" t="s">
        <v>1848</v>
      </c>
      <c r="S1" s="2978" t="s">
        <v>1816</v>
      </c>
      <c r="T1" s="2949">
        <v>1396</v>
      </c>
      <c r="U1" s="2959">
        <v>1397</v>
      </c>
      <c r="V1" s="2949">
        <v>1396</v>
      </c>
      <c r="W1" s="2955" t="s">
        <v>1473</v>
      </c>
      <c r="X1" s="2957" t="s">
        <v>1474</v>
      </c>
      <c r="Y1" s="2959" t="s">
        <v>1817</v>
      </c>
      <c r="Z1" s="2949" t="s">
        <v>1818</v>
      </c>
    </row>
    <row r="2" spans="1:29" s="609" customFormat="1" ht="18.75" customHeight="1">
      <c r="A2" s="2938"/>
      <c r="B2" s="2938"/>
      <c r="C2" s="2940"/>
      <c r="D2" s="1143"/>
      <c r="E2" s="2942"/>
      <c r="F2" s="2946"/>
      <c r="G2" s="2946"/>
      <c r="H2" s="2946"/>
      <c r="I2" s="2946"/>
      <c r="J2" s="2946"/>
      <c r="K2" s="2946"/>
      <c r="L2" s="2946"/>
      <c r="M2" s="2946"/>
      <c r="N2" s="2946"/>
      <c r="O2" s="2946"/>
      <c r="P2" s="2946"/>
      <c r="Q2" s="1426"/>
      <c r="R2" s="1426"/>
      <c r="S2" s="2948"/>
      <c r="T2" s="2950"/>
      <c r="U2" s="2960"/>
      <c r="V2" s="2950"/>
      <c r="W2" s="2956"/>
      <c r="X2" s="2958"/>
      <c r="Y2" s="2960"/>
      <c r="Z2" s="2950"/>
    </row>
    <row r="3" spans="1:29" ht="27" customHeight="1">
      <c r="A3" s="583"/>
      <c r="B3" s="583">
        <v>1012</v>
      </c>
      <c r="C3" s="581">
        <v>10</v>
      </c>
      <c r="D3" s="1137" t="s">
        <v>425</v>
      </c>
      <c r="E3" s="1138" t="s">
        <v>426</v>
      </c>
      <c r="F3" s="599">
        <v>-9626000</v>
      </c>
      <c r="G3" s="599">
        <v>0</v>
      </c>
      <c r="H3" s="599"/>
      <c r="I3" s="599"/>
      <c r="J3" s="599"/>
      <c r="K3" s="599"/>
      <c r="L3" s="599"/>
      <c r="M3" s="599"/>
      <c r="N3" s="599"/>
      <c r="O3" s="599"/>
      <c r="P3" s="599"/>
      <c r="Q3" s="599"/>
      <c r="R3" s="599">
        <v>0</v>
      </c>
      <c r="S3" s="1096">
        <f>SUM(F3:R3)</f>
        <v>-9626000</v>
      </c>
      <c r="T3" s="599">
        <v>-10626000</v>
      </c>
      <c r="U3" s="1096">
        <f>ROUND((S3/1000000),0)</f>
        <v>-10</v>
      </c>
      <c r="V3" s="599">
        <v>-11</v>
      </c>
      <c r="W3" s="620"/>
      <c r="X3" s="621"/>
      <c r="Y3" s="1096">
        <f>S3+X3-W3</f>
        <v>-9626000</v>
      </c>
      <c r="Z3" s="882">
        <f>ROUND((Y3/1000000),0)</f>
        <v>-10</v>
      </c>
      <c r="AC3" s="882">
        <f>U3-Z3</f>
        <v>0</v>
      </c>
    </row>
    <row r="4" spans="1:29" ht="27" customHeight="1">
      <c r="A4" s="583"/>
      <c r="B4" s="583">
        <v>1009</v>
      </c>
      <c r="C4" s="581">
        <v>10</v>
      </c>
      <c r="D4" s="1137" t="s">
        <v>1202</v>
      </c>
      <c r="E4" s="1138" t="s">
        <v>1082</v>
      </c>
      <c r="F4" s="599">
        <v>14714000</v>
      </c>
      <c r="G4" s="599"/>
      <c r="H4" s="599"/>
      <c r="I4" s="599"/>
      <c r="J4" s="599"/>
      <c r="K4" s="599"/>
      <c r="L4" s="599"/>
      <c r="M4" s="599"/>
      <c r="N4" s="599"/>
      <c r="O4" s="599"/>
      <c r="P4" s="599"/>
      <c r="Q4" s="599"/>
      <c r="R4" s="599"/>
      <c r="S4" s="1096">
        <f t="shared" ref="S4:S68" si="0">SUM(F4:R4)</f>
        <v>14714000</v>
      </c>
      <c r="T4" s="599">
        <v>14714000</v>
      </c>
      <c r="U4" s="1096">
        <f t="shared" ref="U4:U68" si="1">ROUND((S4/1000000),0)</f>
        <v>15</v>
      </c>
      <c r="V4" s="599">
        <v>15</v>
      </c>
      <c r="W4" s="620"/>
      <c r="X4" s="621"/>
      <c r="Y4" s="1096">
        <f t="shared" ref="Y4:Y68" si="2">S4+X4-W4</f>
        <v>14714000</v>
      </c>
      <c r="Z4" s="882">
        <f t="shared" ref="Z4:Z68" si="3">ROUND((Y4/1000000),0)</f>
        <v>15</v>
      </c>
    </row>
    <row r="5" spans="1:29" ht="27" customHeight="1">
      <c r="A5" s="583"/>
      <c r="B5" s="583">
        <v>401</v>
      </c>
      <c r="C5" s="581">
        <v>4</v>
      </c>
      <c r="D5" s="1137" t="s">
        <v>825</v>
      </c>
      <c r="E5" s="1138" t="s">
        <v>826</v>
      </c>
      <c r="F5" s="599"/>
      <c r="G5" s="599"/>
      <c r="H5" s="599"/>
      <c r="I5" s="599"/>
      <c r="J5" s="599"/>
      <c r="K5" s="599"/>
      <c r="L5" s="599"/>
      <c r="M5" s="599"/>
      <c r="N5" s="599"/>
      <c r="O5" s="599"/>
      <c r="P5" s="599"/>
      <c r="Q5" s="599"/>
      <c r="R5" s="599"/>
      <c r="S5" s="1096">
        <f t="shared" si="0"/>
        <v>0</v>
      </c>
      <c r="T5" s="599">
        <v>0</v>
      </c>
      <c r="U5" s="1096">
        <f t="shared" si="1"/>
        <v>0</v>
      </c>
      <c r="V5" s="599">
        <v>0</v>
      </c>
      <c r="W5" s="620"/>
      <c r="X5" s="621"/>
      <c r="Y5" s="1096">
        <f t="shared" si="2"/>
        <v>0</v>
      </c>
      <c r="Z5" s="882">
        <f t="shared" si="3"/>
        <v>0</v>
      </c>
    </row>
    <row r="6" spans="1:29" ht="27" customHeight="1">
      <c r="A6" s="583"/>
      <c r="B6" s="583">
        <v>1009</v>
      </c>
      <c r="C6" s="581">
        <v>10</v>
      </c>
      <c r="D6" s="1137" t="s">
        <v>607</v>
      </c>
      <c r="E6" s="1138" t="s">
        <v>606</v>
      </c>
      <c r="F6" s="599"/>
      <c r="G6" s="599"/>
      <c r="H6" s="599"/>
      <c r="I6" s="599"/>
      <c r="J6" s="599"/>
      <c r="K6" s="599"/>
      <c r="L6" s="599"/>
      <c r="M6" s="599"/>
      <c r="N6" s="599"/>
      <c r="O6" s="599"/>
      <c r="P6" s="599"/>
      <c r="Q6" s="599"/>
      <c r="R6" s="599"/>
      <c r="S6" s="1096">
        <f t="shared" si="0"/>
        <v>0</v>
      </c>
      <c r="T6" s="599">
        <v>-9166674</v>
      </c>
      <c r="U6" s="1096">
        <f t="shared" si="1"/>
        <v>0</v>
      </c>
      <c r="V6" s="599">
        <v>-9</v>
      </c>
      <c r="W6" s="620"/>
      <c r="X6" s="621"/>
      <c r="Y6" s="1096">
        <f t="shared" si="2"/>
        <v>0</v>
      </c>
      <c r="Z6" s="882">
        <f t="shared" si="3"/>
        <v>0</v>
      </c>
    </row>
    <row r="7" spans="1:29" ht="27" customHeight="1">
      <c r="A7" s="583"/>
      <c r="B7" s="583"/>
      <c r="C7" s="581"/>
      <c r="D7" s="1137">
        <v>6503855</v>
      </c>
      <c r="E7" s="1138"/>
      <c r="F7" s="599"/>
      <c r="G7" s="599"/>
      <c r="H7" s="599"/>
      <c r="I7" s="599"/>
      <c r="J7" s="599"/>
      <c r="K7" s="599"/>
      <c r="L7" s="599"/>
      <c r="M7" s="599"/>
      <c r="N7" s="599"/>
      <c r="O7" s="599"/>
      <c r="P7" s="599"/>
      <c r="Q7" s="599"/>
      <c r="R7" s="599"/>
      <c r="S7" s="1096"/>
      <c r="T7" s="599"/>
      <c r="U7" s="1096"/>
      <c r="V7" s="599"/>
      <c r="W7" s="620"/>
      <c r="X7" s="621"/>
      <c r="Y7" s="1096"/>
      <c r="Z7" s="882"/>
    </row>
    <row r="8" spans="1:29" ht="27" customHeight="1">
      <c r="A8" s="583"/>
      <c r="B8" s="583">
        <v>1009</v>
      </c>
      <c r="C8" s="581">
        <v>10</v>
      </c>
      <c r="D8" s="1137" t="s">
        <v>873</v>
      </c>
      <c r="E8" s="1138" t="s">
        <v>827</v>
      </c>
      <c r="F8" s="599">
        <v>0</v>
      </c>
      <c r="G8" s="599"/>
      <c r="H8" s="599"/>
      <c r="I8" s="599"/>
      <c r="J8" s="599"/>
      <c r="K8" s="599"/>
      <c r="L8" s="599"/>
      <c r="M8" s="599"/>
      <c r="N8" s="599"/>
      <c r="O8" s="599"/>
      <c r="P8" s="599"/>
      <c r="Q8" s="599"/>
      <c r="R8" s="599"/>
      <c r="S8" s="1096">
        <f t="shared" si="0"/>
        <v>0</v>
      </c>
      <c r="T8" s="599">
        <v>0</v>
      </c>
      <c r="U8" s="1096">
        <f t="shared" si="1"/>
        <v>0</v>
      </c>
      <c r="V8" s="599">
        <v>0</v>
      </c>
      <c r="W8" s="620"/>
      <c r="X8" s="621"/>
      <c r="Y8" s="1096">
        <f t="shared" si="2"/>
        <v>0</v>
      </c>
      <c r="Z8" s="882">
        <f t="shared" si="3"/>
        <v>0</v>
      </c>
    </row>
    <row r="9" spans="1:29" ht="27" customHeight="1">
      <c r="A9" s="583"/>
      <c r="B9" s="583">
        <v>1009</v>
      </c>
      <c r="C9" s="581">
        <v>10</v>
      </c>
      <c r="D9" s="1137" t="s">
        <v>427</v>
      </c>
      <c r="E9" s="1139" t="s">
        <v>775</v>
      </c>
      <c r="F9" s="599">
        <v>-15613794</v>
      </c>
      <c r="G9" s="599"/>
      <c r="H9" s="599"/>
      <c r="I9" s="599"/>
      <c r="J9" s="599"/>
      <c r="K9" s="599"/>
      <c r="L9" s="599"/>
      <c r="M9" s="599"/>
      <c r="N9" s="599"/>
      <c r="O9" s="599"/>
      <c r="P9" s="599"/>
      <c r="Q9" s="599"/>
      <c r="R9" s="599"/>
      <c r="S9" s="1096">
        <f t="shared" si="0"/>
        <v>-15613794</v>
      </c>
      <c r="T9" s="599">
        <v>46284638</v>
      </c>
      <c r="U9" s="1096">
        <f t="shared" si="1"/>
        <v>-16</v>
      </c>
      <c r="V9" s="599">
        <v>46</v>
      </c>
      <c r="W9" s="620"/>
      <c r="X9" s="621"/>
      <c r="Y9" s="1096">
        <f t="shared" si="2"/>
        <v>-15613794</v>
      </c>
      <c r="Z9" s="882">
        <f t="shared" si="3"/>
        <v>-16</v>
      </c>
    </row>
    <row r="10" spans="1:29" ht="27" customHeight="1">
      <c r="A10" s="583"/>
      <c r="B10" s="583">
        <v>1009</v>
      </c>
      <c r="C10" s="581">
        <v>10</v>
      </c>
      <c r="D10" s="1137" t="s">
        <v>829</v>
      </c>
      <c r="E10" s="1138" t="s">
        <v>830</v>
      </c>
      <c r="F10" s="599"/>
      <c r="G10" s="599"/>
      <c r="H10" s="599"/>
      <c r="I10" s="599"/>
      <c r="J10" s="599"/>
      <c r="K10" s="599"/>
      <c r="L10" s="599"/>
      <c r="M10" s="599"/>
      <c r="N10" s="599"/>
      <c r="O10" s="599"/>
      <c r="P10" s="599"/>
      <c r="Q10" s="599"/>
      <c r="R10" s="599"/>
      <c r="S10" s="1096">
        <f t="shared" si="0"/>
        <v>0</v>
      </c>
      <c r="T10" s="599">
        <v>0</v>
      </c>
      <c r="U10" s="1096">
        <f t="shared" si="1"/>
        <v>0</v>
      </c>
      <c r="V10" s="599">
        <v>0</v>
      </c>
      <c r="W10" s="620"/>
      <c r="X10" s="621"/>
      <c r="Y10" s="1096">
        <f t="shared" si="2"/>
        <v>0</v>
      </c>
      <c r="Z10" s="882">
        <f t="shared" si="3"/>
        <v>0</v>
      </c>
    </row>
    <row r="11" spans="1:29" ht="27" customHeight="1">
      <c r="A11" s="583"/>
      <c r="B11" s="583">
        <v>1009</v>
      </c>
      <c r="C11" s="1131">
        <v>10</v>
      </c>
      <c r="D11" s="1137" t="s">
        <v>1440</v>
      </c>
      <c r="E11" s="1138" t="s">
        <v>1266</v>
      </c>
      <c r="F11" s="599">
        <v>-51169475</v>
      </c>
      <c r="G11" s="599"/>
      <c r="H11" s="599"/>
      <c r="I11" s="599"/>
      <c r="J11" s="599"/>
      <c r="K11" s="599"/>
      <c r="L11" s="599"/>
      <c r="M11" s="599"/>
      <c r="N11" s="599"/>
      <c r="O11" s="599"/>
      <c r="P11" s="599"/>
      <c r="Q11" s="599"/>
      <c r="R11" s="599"/>
      <c r="S11" s="1096">
        <f t="shared" si="0"/>
        <v>-51169475</v>
      </c>
      <c r="T11" s="599">
        <v>-334509475</v>
      </c>
      <c r="U11" s="1096">
        <f t="shared" si="1"/>
        <v>-51</v>
      </c>
      <c r="V11" s="599">
        <v>-335</v>
      </c>
      <c r="W11" s="620"/>
      <c r="X11" s="621"/>
      <c r="Y11" s="1096">
        <f t="shared" si="2"/>
        <v>-51169475</v>
      </c>
      <c r="Z11" s="882">
        <f t="shared" si="3"/>
        <v>-51</v>
      </c>
    </row>
    <row r="12" spans="1:29" ht="27" customHeight="1">
      <c r="A12" s="583"/>
      <c r="B12" s="583">
        <v>1009</v>
      </c>
      <c r="C12" s="581">
        <v>10</v>
      </c>
      <c r="D12" s="1137" t="s">
        <v>1167</v>
      </c>
      <c r="E12" s="1138" t="s">
        <v>1168</v>
      </c>
      <c r="F12" s="599">
        <v>-3665727</v>
      </c>
      <c r="G12" s="599">
        <v>-1351800</v>
      </c>
      <c r="H12" s="599"/>
      <c r="I12" s="599"/>
      <c r="J12" s="599"/>
      <c r="K12" s="599"/>
      <c r="L12" s="599"/>
      <c r="M12" s="599"/>
      <c r="N12" s="599"/>
      <c r="O12" s="599"/>
      <c r="P12" s="599"/>
      <c r="Q12" s="599"/>
      <c r="R12" s="599"/>
      <c r="S12" s="1096">
        <f t="shared" si="0"/>
        <v>-5017527</v>
      </c>
      <c r="T12" s="599">
        <v>-5083052</v>
      </c>
      <c r="U12" s="1096">
        <f t="shared" si="1"/>
        <v>-5</v>
      </c>
      <c r="V12" s="599">
        <v>-5</v>
      </c>
      <c r="W12" s="620"/>
      <c r="X12" s="621"/>
      <c r="Y12" s="1096">
        <f t="shared" si="2"/>
        <v>-5017527</v>
      </c>
      <c r="Z12" s="882">
        <f t="shared" si="3"/>
        <v>-5</v>
      </c>
    </row>
    <row r="13" spans="1:29" ht="27" customHeight="1">
      <c r="A13" s="583"/>
      <c r="B13" s="583">
        <v>1009</v>
      </c>
      <c r="C13" s="581">
        <v>10</v>
      </c>
      <c r="D13" s="1137" t="s">
        <v>1227</v>
      </c>
      <c r="E13" s="1138" t="s">
        <v>1228</v>
      </c>
      <c r="F13" s="599">
        <v>33500000</v>
      </c>
      <c r="G13" s="599"/>
      <c r="H13" s="599"/>
      <c r="I13" s="599"/>
      <c r="J13" s="599"/>
      <c r="K13" s="599"/>
      <c r="L13" s="599"/>
      <c r="M13" s="599"/>
      <c r="N13" s="599"/>
      <c r="O13" s="599"/>
      <c r="P13" s="599"/>
      <c r="Q13" s="599"/>
      <c r="R13" s="599"/>
      <c r="S13" s="1096">
        <f t="shared" si="0"/>
        <v>33500000</v>
      </c>
      <c r="T13" s="599">
        <v>30500000</v>
      </c>
      <c r="U13" s="1096">
        <f t="shared" si="1"/>
        <v>34</v>
      </c>
      <c r="V13" s="599">
        <v>31</v>
      </c>
      <c r="W13" s="620"/>
      <c r="X13" s="621"/>
      <c r="Y13" s="1096">
        <f t="shared" si="2"/>
        <v>33500000</v>
      </c>
      <c r="Z13" s="882">
        <f t="shared" si="3"/>
        <v>34</v>
      </c>
    </row>
    <row r="14" spans="1:29" ht="27" customHeight="1">
      <c r="A14" s="583"/>
      <c r="B14" s="583">
        <v>1009</v>
      </c>
      <c r="C14" s="581">
        <v>10</v>
      </c>
      <c r="D14" s="1137" t="s">
        <v>430</v>
      </c>
      <c r="E14" s="1138" t="s">
        <v>431</v>
      </c>
      <c r="F14" s="599">
        <v>-24200000</v>
      </c>
      <c r="G14" s="599"/>
      <c r="H14" s="599">
        <v>21000000</v>
      </c>
      <c r="I14" s="599"/>
      <c r="J14" s="599"/>
      <c r="K14" s="599"/>
      <c r="L14" s="599"/>
      <c r="M14" s="599"/>
      <c r="N14" s="599"/>
      <c r="O14" s="599"/>
      <c r="P14" s="599"/>
      <c r="Q14" s="599"/>
      <c r="R14" s="599"/>
      <c r="S14" s="1096">
        <f t="shared" si="0"/>
        <v>-3200000</v>
      </c>
      <c r="T14" s="599">
        <v>-3200000</v>
      </c>
      <c r="U14" s="1096">
        <f t="shared" si="1"/>
        <v>-3</v>
      </c>
      <c r="V14" s="599">
        <v>-3</v>
      </c>
      <c r="W14" s="620"/>
      <c r="X14" s="621"/>
      <c r="Y14" s="1096">
        <f t="shared" si="2"/>
        <v>-3200000</v>
      </c>
      <c r="Z14" s="882">
        <f t="shared" si="3"/>
        <v>-3</v>
      </c>
    </row>
    <row r="15" spans="1:29" ht="27" customHeight="1">
      <c r="A15" s="583"/>
      <c r="B15" s="583">
        <v>401</v>
      </c>
      <c r="C15" s="581">
        <v>4</v>
      </c>
      <c r="D15" s="1137" t="s">
        <v>432</v>
      </c>
      <c r="E15" s="1138" t="s">
        <v>433</v>
      </c>
      <c r="F15" s="599">
        <v>-2730698809</v>
      </c>
      <c r="G15" s="599"/>
      <c r="H15" s="599">
        <v>-10000000</v>
      </c>
      <c r="I15" s="599"/>
      <c r="J15" s="599"/>
      <c r="K15" s="599"/>
      <c r="L15" s="599"/>
      <c r="M15" s="599"/>
      <c r="N15" s="599"/>
      <c r="O15" s="599"/>
      <c r="P15" s="599"/>
      <c r="Q15" s="599"/>
      <c r="R15" s="599"/>
      <c r="S15" s="1096">
        <f t="shared" si="0"/>
        <v>-2740698809</v>
      </c>
      <c r="T15" s="599">
        <v>-419410921</v>
      </c>
      <c r="U15" s="1096">
        <f t="shared" si="1"/>
        <v>-2741</v>
      </c>
      <c r="V15" s="599">
        <v>-419</v>
      </c>
      <c r="W15" s="620"/>
      <c r="X15" s="621"/>
      <c r="Y15" s="1096">
        <f t="shared" si="2"/>
        <v>-2740698809</v>
      </c>
      <c r="Z15" s="882">
        <f t="shared" si="3"/>
        <v>-2741</v>
      </c>
    </row>
    <row r="16" spans="1:29" ht="42.75" customHeight="1">
      <c r="A16" s="583"/>
      <c r="B16" s="583">
        <v>401</v>
      </c>
      <c r="C16" s="581">
        <v>4</v>
      </c>
      <c r="D16" s="1137" t="s">
        <v>925</v>
      </c>
      <c r="E16" s="1139" t="s">
        <v>926</v>
      </c>
      <c r="F16" s="599"/>
      <c r="G16" s="599"/>
      <c r="H16" s="599"/>
      <c r="I16" s="599"/>
      <c r="J16" s="599"/>
      <c r="K16" s="599"/>
      <c r="L16" s="599"/>
      <c r="M16" s="599"/>
      <c r="N16" s="599"/>
      <c r="O16" s="599"/>
      <c r="P16" s="599"/>
      <c r="Q16" s="599"/>
      <c r="R16" s="599"/>
      <c r="S16" s="1096">
        <f t="shared" si="0"/>
        <v>0</v>
      </c>
      <c r="T16" s="599">
        <v>15689580</v>
      </c>
      <c r="U16" s="1096">
        <f t="shared" si="1"/>
        <v>0</v>
      </c>
      <c r="V16" s="599">
        <v>16</v>
      </c>
      <c r="W16" s="620"/>
      <c r="X16" s="621"/>
      <c r="Y16" s="1096">
        <f t="shared" si="2"/>
        <v>0</v>
      </c>
      <c r="Z16" s="882">
        <f t="shared" si="3"/>
        <v>0</v>
      </c>
    </row>
    <row r="17" spans="1:26" ht="27" customHeight="1">
      <c r="A17" s="583"/>
      <c r="B17" s="583">
        <v>1009</v>
      </c>
      <c r="C17" s="581">
        <v>10</v>
      </c>
      <c r="D17" s="1137" t="s">
        <v>434</v>
      </c>
      <c r="E17" s="1138" t="s">
        <v>435</v>
      </c>
      <c r="F17" s="599"/>
      <c r="G17" s="599"/>
      <c r="H17" s="599"/>
      <c r="I17" s="599"/>
      <c r="J17" s="599"/>
      <c r="K17" s="599"/>
      <c r="L17" s="599"/>
      <c r="M17" s="599"/>
      <c r="N17" s="599"/>
      <c r="O17" s="599"/>
      <c r="P17" s="599"/>
      <c r="Q17" s="599"/>
      <c r="R17" s="599"/>
      <c r="S17" s="1096">
        <f t="shared" si="0"/>
        <v>0</v>
      </c>
      <c r="T17" s="599">
        <v>0</v>
      </c>
      <c r="U17" s="1096">
        <f t="shared" si="1"/>
        <v>0</v>
      </c>
      <c r="V17" s="599">
        <v>0</v>
      </c>
      <c r="W17" s="620"/>
      <c r="X17" s="621"/>
      <c r="Y17" s="1096">
        <f t="shared" si="2"/>
        <v>0</v>
      </c>
      <c r="Z17" s="882">
        <f t="shared" si="3"/>
        <v>0</v>
      </c>
    </row>
    <row r="18" spans="1:26" ht="27" customHeight="1">
      <c r="A18" s="583"/>
      <c r="B18" s="583">
        <v>401</v>
      </c>
      <c r="C18" s="581">
        <v>4</v>
      </c>
      <c r="D18" s="1137" t="s">
        <v>436</v>
      </c>
      <c r="E18" s="1138" t="s">
        <v>437</v>
      </c>
      <c r="F18" s="599"/>
      <c r="G18" s="599"/>
      <c r="H18" s="599"/>
      <c r="I18" s="599"/>
      <c r="J18" s="599"/>
      <c r="K18" s="599"/>
      <c r="L18" s="599"/>
      <c r="M18" s="599"/>
      <c r="N18" s="599"/>
      <c r="O18" s="599"/>
      <c r="P18" s="599"/>
      <c r="Q18" s="599"/>
      <c r="R18" s="599"/>
      <c r="S18" s="1096">
        <f t="shared" si="0"/>
        <v>0</v>
      </c>
      <c r="T18" s="599">
        <v>0</v>
      </c>
      <c r="U18" s="1096">
        <f t="shared" si="1"/>
        <v>0</v>
      </c>
      <c r="V18" s="599">
        <v>0</v>
      </c>
      <c r="W18" s="620"/>
      <c r="X18" s="621"/>
      <c r="Y18" s="1096">
        <f t="shared" si="2"/>
        <v>0</v>
      </c>
      <c r="Z18" s="882">
        <f t="shared" si="3"/>
        <v>0</v>
      </c>
    </row>
    <row r="19" spans="1:26" ht="27" customHeight="1">
      <c r="A19" s="583"/>
      <c r="B19" s="583">
        <v>1009</v>
      </c>
      <c r="C19" s="581">
        <v>10</v>
      </c>
      <c r="D19" s="1137" t="s">
        <v>438</v>
      </c>
      <c r="E19" s="1138" t="s">
        <v>176</v>
      </c>
      <c r="F19" s="599">
        <v>-579263338</v>
      </c>
      <c r="G19" s="599">
        <v>-616292993</v>
      </c>
      <c r="H19" s="599">
        <v>-7084387</v>
      </c>
      <c r="I19" s="599"/>
      <c r="J19" s="599"/>
      <c r="K19" s="599"/>
      <c r="L19" s="599"/>
      <c r="M19" s="599"/>
      <c r="N19" s="599"/>
      <c r="O19" s="599"/>
      <c r="P19" s="599"/>
      <c r="Q19" s="599"/>
      <c r="R19" s="599"/>
      <c r="S19" s="1096">
        <f t="shared" si="0"/>
        <v>-1202640718</v>
      </c>
      <c r="T19" s="599">
        <v>-974970106</v>
      </c>
      <c r="U19" s="1096">
        <f t="shared" si="1"/>
        <v>-1203</v>
      </c>
      <c r="V19" s="599">
        <v>-975</v>
      </c>
      <c r="W19" s="620"/>
      <c r="X19" s="621"/>
      <c r="Y19" s="1096">
        <f t="shared" si="2"/>
        <v>-1202640718</v>
      </c>
      <c r="Z19" s="882">
        <f t="shared" si="3"/>
        <v>-1203</v>
      </c>
    </row>
    <row r="20" spans="1:26" ht="27" customHeight="1">
      <c r="A20" s="583"/>
      <c r="B20" s="583">
        <v>401</v>
      </c>
      <c r="C20" s="581">
        <v>4</v>
      </c>
      <c r="D20" s="1137" t="s">
        <v>1169</v>
      </c>
      <c r="E20" s="1138" t="s">
        <v>1102</v>
      </c>
      <c r="F20" s="599"/>
      <c r="G20" s="599"/>
      <c r="H20" s="599"/>
      <c r="I20" s="599"/>
      <c r="J20" s="599"/>
      <c r="K20" s="599"/>
      <c r="L20" s="599"/>
      <c r="M20" s="599"/>
      <c r="N20" s="599"/>
      <c r="O20" s="599"/>
      <c r="P20" s="599"/>
      <c r="Q20" s="599"/>
      <c r="R20" s="599"/>
      <c r="S20" s="1096">
        <f t="shared" si="0"/>
        <v>0</v>
      </c>
      <c r="T20" s="599">
        <v>0</v>
      </c>
      <c r="U20" s="1096">
        <f t="shared" si="1"/>
        <v>0</v>
      </c>
      <c r="V20" s="599">
        <v>0</v>
      </c>
      <c r="W20" s="620"/>
      <c r="X20" s="621"/>
      <c r="Y20" s="1096">
        <f t="shared" si="2"/>
        <v>0</v>
      </c>
      <c r="Z20" s="882">
        <f t="shared" si="3"/>
        <v>0</v>
      </c>
    </row>
    <row r="21" spans="1:26" ht="27" customHeight="1">
      <c r="A21" s="583"/>
      <c r="B21" s="583">
        <v>1009</v>
      </c>
      <c r="C21" s="581">
        <v>10</v>
      </c>
      <c r="D21" s="1137" t="s">
        <v>472</v>
      </c>
      <c r="E21" s="1138" t="s">
        <v>473</v>
      </c>
      <c r="F21" s="599">
        <v>-5017470578</v>
      </c>
      <c r="G21" s="599">
        <v>573959249</v>
      </c>
      <c r="H21" s="599">
        <v>-132130267</v>
      </c>
      <c r="I21" s="599"/>
      <c r="J21" s="599"/>
      <c r="K21" s="599"/>
      <c r="L21" s="599"/>
      <c r="M21" s="599"/>
      <c r="N21" s="599"/>
      <c r="O21" s="599"/>
      <c r="P21" s="599"/>
      <c r="Q21" s="599"/>
      <c r="R21" s="599"/>
      <c r="S21" s="1096">
        <f t="shared" si="0"/>
        <v>-4575641596</v>
      </c>
      <c r="T21" s="599">
        <v>-5356056102</v>
      </c>
      <c r="U21" s="1096">
        <f t="shared" si="1"/>
        <v>-4576</v>
      </c>
      <c r="V21" s="599">
        <v>-5356</v>
      </c>
      <c r="W21" s="620"/>
      <c r="X21" s="621"/>
      <c r="Y21" s="1096">
        <f t="shared" si="2"/>
        <v>-4575641596</v>
      </c>
      <c r="Z21" s="882">
        <f t="shared" si="3"/>
        <v>-4576</v>
      </c>
    </row>
    <row r="22" spans="1:26" ht="27" customHeight="1">
      <c r="A22" s="583"/>
      <c r="B22" s="583">
        <v>1009</v>
      </c>
      <c r="C22" s="581">
        <v>10</v>
      </c>
      <c r="D22" s="1137" t="s">
        <v>698</v>
      </c>
      <c r="E22" s="1138" t="s">
        <v>927</v>
      </c>
      <c r="F22" s="599"/>
      <c r="G22" s="599"/>
      <c r="H22" s="599"/>
      <c r="I22" s="599"/>
      <c r="J22" s="599"/>
      <c r="K22" s="599"/>
      <c r="L22" s="599"/>
      <c r="M22" s="599"/>
      <c r="N22" s="599"/>
      <c r="O22" s="599"/>
      <c r="P22" s="599"/>
      <c r="Q22" s="599"/>
      <c r="R22" s="599"/>
      <c r="S22" s="1096">
        <f t="shared" si="0"/>
        <v>0</v>
      </c>
      <c r="T22" s="599">
        <v>0</v>
      </c>
      <c r="U22" s="1096">
        <f t="shared" si="1"/>
        <v>0</v>
      </c>
      <c r="V22" s="599">
        <v>0</v>
      </c>
      <c r="W22" s="620"/>
      <c r="X22" s="621"/>
      <c r="Y22" s="1096">
        <f t="shared" si="2"/>
        <v>0</v>
      </c>
      <c r="Z22" s="882">
        <f t="shared" si="3"/>
        <v>0</v>
      </c>
    </row>
    <row r="23" spans="1:26" ht="27" customHeight="1">
      <c r="A23" s="583"/>
      <c r="B23" s="583">
        <v>1009</v>
      </c>
      <c r="C23" s="581">
        <v>10</v>
      </c>
      <c r="D23" s="1137" t="s">
        <v>831</v>
      </c>
      <c r="E23" s="1138" t="s">
        <v>552</v>
      </c>
      <c r="F23" s="599"/>
      <c r="G23" s="599"/>
      <c r="H23" s="599"/>
      <c r="I23" s="599"/>
      <c r="J23" s="599"/>
      <c r="K23" s="599"/>
      <c r="L23" s="599"/>
      <c r="M23" s="599"/>
      <c r="N23" s="599"/>
      <c r="O23" s="599"/>
      <c r="P23" s="599"/>
      <c r="Q23" s="599"/>
      <c r="R23" s="599"/>
      <c r="S23" s="1096">
        <f t="shared" si="0"/>
        <v>0</v>
      </c>
      <c r="T23" s="599">
        <v>0</v>
      </c>
      <c r="U23" s="1096">
        <f t="shared" si="1"/>
        <v>0</v>
      </c>
      <c r="V23" s="599">
        <v>0</v>
      </c>
      <c r="W23" s="620"/>
      <c r="X23" s="621"/>
      <c r="Y23" s="1096">
        <f t="shared" si="2"/>
        <v>0</v>
      </c>
      <c r="Z23" s="882">
        <f t="shared" si="3"/>
        <v>0</v>
      </c>
    </row>
    <row r="24" spans="1:26" ht="27" customHeight="1">
      <c r="A24" s="583"/>
      <c r="B24" s="583">
        <v>401</v>
      </c>
      <c r="C24" s="581">
        <v>4</v>
      </c>
      <c r="D24" s="1137" t="s">
        <v>128</v>
      </c>
      <c r="E24" s="1138" t="s">
        <v>1083</v>
      </c>
      <c r="F24" s="599">
        <v>1183961580</v>
      </c>
      <c r="G24" s="599"/>
      <c r="H24" s="599"/>
      <c r="I24" s="599"/>
      <c r="J24" s="599"/>
      <c r="K24" s="599"/>
      <c r="L24" s="599"/>
      <c r="M24" s="599"/>
      <c r="N24" s="599"/>
      <c r="O24" s="599"/>
      <c r="P24" s="599"/>
      <c r="Q24" s="599"/>
      <c r="R24" s="599"/>
      <c r="S24" s="1096">
        <f t="shared" si="0"/>
        <v>1183961580</v>
      </c>
      <c r="T24" s="599">
        <v>0</v>
      </c>
      <c r="U24" s="1096">
        <f t="shared" si="1"/>
        <v>1184</v>
      </c>
      <c r="V24" s="599">
        <v>0</v>
      </c>
      <c r="W24" s="620"/>
      <c r="X24" s="621"/>
      <c r="Y24" s="1096">
        <f t="shared" si="2"/>
        <v>1183961580</v>
      </c>
      <c r="Z24" s="882">
        <f t="shared" si="3"/>
        <v>1184</v>
      </c>
    </row>
    <row r="25" spans="1:26" ht="27" customHeight="1">
      <c r="A25" s="583"/>
      <c r="B25" s="583">
        <v>1002</v>
      </c>
      <c r="C25" s="581">
        <v>10</v>
      </c>
      <c r="D25" s="1137" t="s">
        <v>132</v>
      </c>
      <c r="E25" s="1138" t="s">
        <v>1761</v>
      </c>
      <c r="F25" s="599">
        <v>218661203</v>
      </c>
      <c r="G25" s="599">
        <v>-17438273</v>
      </c>
      <c r="H25" s="599">
        <v>17438273</v>
      </c>
      <c r="I25" s="599">
        <v>-6714993218</v>
      </c>
      <c r="J25" s="599"/>
      <c r="K25" s="599"/>
      <c r="L25" s="599"/>
      <c r="M25" s="599"/>
      <c r="N25" s="599"/>
      <c r="O25" s="599"/>
      <c r="P25" s="599"/>
      <c r="Q25" s="599"/>
      <c r="R25" s="599"/>
      <c r="S25" s="1096">
        <f t="shared" si="0"/>
        <v>-6496332015</v>
      </c>
      <c r="T25" s="599">
        <v>-5290785954</v>
      </c>
      <c r="U25" s="1096">
        <f t="shared" si="1"/>
        <v>-6496</v>
      </c>
      <c r="V25" s="599">
        <v>-5291</v>
      </c>
      <c r="W25" s="620"/>
      <c r="X25" s="621"/>
      <c r="Y25" s="1096">
        <f t="shared" si="2"/>
        <v>-6496332015</v>
      </c>
      <c r="Z25" s="882">
        <f t="shared" si="3"/>
        <v>-6496</v>
      </c>
    </row>
    <row r="26" spans="1:26" ht="27" customHeight="1">
      <c r="A26" s="583"/>
      <c r="B26" s="583">
        <v>1301</v>
      </c>
      <c r="C26" s="581">
        <v>11</v>
      </c>
      <c r="D26" s="1137" t="s">
        <v>134</v>
      </c>
      <c r="E26" s="1138" t="s">
        <v>135</v>
      </c>
      <c r="F26" s="599">
        <v>-16985250012</v>
      </c>
      <c r="G26" s="599">
        <v>-741121144</v>
      </c>
      <c r="H26" s="599">
        <v>-3142811482</v>
      </c>
      <c r="I26" s="599"/>
      <c r="J26" s="599">
        <v>2057286635</v>
      </c>
      <c r="K26" s="599"/>
      <c r="L26" s="599"/>
      <c r="M26" s="599"/>
      <c r="N26" s="599"/>
      <c r="O26" s="599"/>
      <c r="P26" s="599"/>
      <c r="Q26" s="599"/>
      <c r="R26" s="599"/>
      <c r="S26" s="1096">
        <f t="shared" si="0"/>
        <v>-18811896003</v>
      </c>
      <c r="T26" s="599">
        <v>-20207803923</v>
      </c>
      <c r="U26" s="1096">
        <f t="shared" si="1"/>
        <v>-18812</v>
      </c>
      <c r="V26" s="599">
        <v>-20208</v>
      </c>
      <c r="W26" s="620"/>
      <c r="X26" s="621"/>
      <c r="Y26" s="1096">
        <f t="shared" si="2"/>
        <v>-18811896003</v>
      </c>
      <c r="Z26" s="882">
        <f t="shared" si="3"/>
        <v>-18812</v>
      </c>
    </row>
    <row r="27" spans="1:26" ht="27" customHeight="1">
      <c r="A27" s="583"/>
      <c r="B27" s="583">
        <v>1009</v>
      </c>
      <c r="C27" s="581">
        <v>10</v>
      </c>
      <c r="D27" s="1137" t="s">
        <v>1170</v>
      </c>
      <c r="E27" s="1138" t="s">
        <v>1171</v>
      </c>
      <c r="F27" s="599">
        <v>165799200</v>
      </c>
      <c r="G27" s="599"/>
      <c r="H27" s="599"/>
      <c r="I27" s="599"/>
      <c r="J27" s="599"/>
      <c r="K27" s="599"/>
      <c r="L27" s="599"/>
      <c r="M27" s="599"/>
      <c r="N27" s="599"/>
      <c r="O27" s="599"/>
      <c r="P27" s="599"/>
      <c r="Q27" s="599"/>
      <c r="R27" s="599"/>
      <c r="S27" s="1096">
        <f t="shared" si="0"/>
        <v>165799200</v>
      </c>
      <c r="T27" s="599">
        <v>0</v>
      </c>
      <c r="U27" s="1096">
        <f t="shared" si="1"/>
        <v>166</v>
      </c>
      <c r="V27" s="599">
        <v>0</v>
      </c>
      <c r="W27" s="620"/>
      <c r="X27" s="621"/>
      <c r="Y27" s="1096">
        <f t="shared" si="2"/>
        <v>165799200</v>
      </c>
      <c r="Z27" s="882">
        <f t="shared" si="3"/>
        <v>166</v>
      </c>
    </row>
    <row r="28" spans="1:26" ht="27" customHeight="1">
      <c r="A28" s="583"/>
      <c r="B28" s="583">
        <v>1009</v>
      </c>
      <c r="C28" s="581">
        <v>10</v>
      </c>
      <c r="D28" s="1137" t="s">
        <v>1229</v>
      </c>
      <c r="E28" s="1138" t="s">
        <v>1084</v>
      </c>
      <c r="F28" s="599"/>
      <c r="G28" s="599"/>
      <c r="H28" s="599"/>
      <c r="I28" s="599"/>
      <c r="J28" s="599"/>
      <c r="K28" s="599"/>
      <c r="L28" s="599"/>
      <c r="M28" s="599"/>
      <c r="N28" s="599"/>
      <c r="O28" s="599"/>
      <c r="P28" s="599"/>
      <c r="Q28" s="599"/>
      <c r="R28" s="599"/>
      <c r="S28" s="1096">
        <f t="shared" si="0"/>
        <v>0</v>
      </c>
      <c r="T28" s="599">
        <v>0</v>
      </c>
      <c r="U28" s="1096">
        <f t="shared" si="1"/>
        <v>0</v>
      </c>
      <c r="V28" s="599">
        <v>0</v>
      </c>
      <c r="W28" s="620"/>
      <c r="X28" s="621"/>
      <c r="Y28" s="1096">
        <f t="shared" si="2"/>
        <v>0</v>
      </c>
      <c r="Z28" s="882">
        <f t="shared" si="3"/>
        <v>0</v>
      </c>
    </row>
    <row r="29" spans="1:26" ht="27" customHeight="1">
      <c r="A29" s="583"/>
      <c r="B29" s="583">
        <v>1009</v>
      </c>
      <c r="C29" s="581">
        <v>10</v>
      </c>
      <c r="D29" s="1137" t="s">
        <v>136</v>
      </c>
      <c r="E29" s="1138" t="s">
        <v>700</v>
      </c>
      <c r="F29" s="599">
        <v>-251542130</v>
      </c>
      <c r="G29" s="599"/>
      <c r="H29" s="599">
        <v>741121144</v>
      </c>
      <c r="I29" s="599"/>
      <c r="J29" s="599"/>
      <c r="K29" s="599"/>
      <c r="L29" s="599"/>
      <c r="M29" s="599"/>
      <c r="N29" s="599"/>
      <c r="O29" s="599"/>
      <c r="P29" s="599"/>
      <c r="Q29" s="599"/>
      <c r="R29" s="599"/>
      <c r="S29" s="1096">
        <f t="shared" si="0"/>
        <v>489579014</v>
      </c>
      <c r="T29" s="599">
        <v>1032879042</v>
      </c>
      <c r="U29" s="1096">
        <f t="shared" si="1"/>
        <v>490</v>
      </c>
      <c r="V29" s="599">
        <v>1033</v>
      </c>
      <c r="W29" s="620"/>
      <c r="X29" s="621"/>
      <c r="Y29" s="1096">
        <f t="shared" si="2"/>
        <v>489579014</v>
      </c>
      <c r="Z29" s="882">
        <f t="shared" si="3"/>
        <v>490</v>
      </c>
    </row>
    <row r="30" spans="1:26" ht="27" customHeight="1">
      <c r="A30" s="583"/>
      <c r="B30" s="583">
        <v>401</v>
      </c>
      <c r="C30" s="581">
        <v>4</v>
      </c>
      <c r="D30" s="1137" t="s">
        <v>928</v>
      </c>
      <c r="E30" s="1138" t="s">
        <v>929</v>
      </c>
      <c r="F30" s="599">
        <v>446036848993</v>
      </c>
      <c r="G30" s="599">
        <v>-50009473589</v>
      </c>
      <c r="H30" s="599">
        <v>-396027375404</v>
      </c>
      <c r="I30" s="599"/>
      <c r="J30" s="599"/>
      <c r="K30" s="599"/>
      <c r="L30" s="599"/>
      <c r="M30" s="599"/>
      <c r="N30" s="599"/>
      <c r="O30" s="599"/>
      <c r="P30" s="599"/>
      <c r="Q30" s="599"/>
      <c r="R30" s="599"/>
      <c r="S30" s="1096">
        <f t="shared" si="0"/>
        <v>0</v>
      </c>
      <c r="T30" s="599">
        <v>37919008470</v>
      </c>
      <c r="U30" s="1096">
        <f t="shared" si="1"/>
        <v>0</v>
      </c>
      <c r="V30" s="599">
        <v>37919</v>
      </c>
      <c r="W30" s="620"/>
      <c r="X30" s="621"/>
      <c r="Y30" s="1096">
        <f t="shared" si="2"/>
        <v>0</v>
      </c>
      <c r="Z30" s="882">
        <f t="shared" si="3"/>
        <v>0</v>
      </c>
    </row>
    <row r="31" spans="1:26" ht="27" customHeight="1">
      <c r="A31" s="583"/>
      <c r="B31" s="583">
        <v>1009</v>
      </c>
      <c r="C31" s="581">
        <v>10</v>
      </c>
      <c r="D31" s="1137" t="s">
        <v>83</v>
      </c>
      <c r="E31" s="1138" t="s">
        <v>931</v>
      </c>
      <c r="F31" s="599">
        <v>-9502080</v>
      </c>
      <c r="G31" s="599">
        <v>9502080</v>
      </c>
      <c r="H31" s="599"/>
      <c r="I31" s="599"/>
      <c r="J31" s="599"/>
      <c r="K31" s="599"/>
      <c r="L31" s="599"/>
      <c r="M31" s="599"/>
      <c r="N31" s="599"/>
      <c r="O31" s="599"/>
      <c r="P31" s="599"/>
      <c r="Q31" s="599"/>
      <c r="R31" s="599"/>
      <c r="S31" s="1096">
        <f t="shared" si="0"/>
        <v>0</v>
      </c>
      <c r="T31" s="599">
        <v>-4751040</v>
      </c>
      <c r="U31" s="1096">
        <f t="shared" si="1"/>
        <v>0</v>
      </c>
      <c r="V31" s="599">
        <v>-5</v>
      </c>
      <c r="W31" s="620"/>
      <c r="X31" s="621"/>
      <c r="Y31" s="1096">
        <f t="shared" si="2"/>
        <v>0</v>
      </c>
      <c r="Z31" s="882">
        <f t="shared" si="3"/>
        <v>0</v>
      </c>
    </row>
    <row r="32" spans="1:26" ht="27" customHeight="1">
      <c r="A32" s="583"/>
      <c r="B32" s="583">
        <v>1009</v>
      </c>
      <c r="C32" s="581">
        <v>10</v>
      </c>
      <c r="D32" s="1137" t="s">
        <v>212</v>
      </c>
      <c r="E32" s="1138" t="s">
        <v>930</v>
      </c>
      <c r="F32" s="599">
        <v>-408107052743</v>
      </c>
      <c r="G32" s="599">
        <v>48278722343</v>
      </c>
      <c r="H32" s="599">
        <v>359828330400</v>
      </c>
      <c r="I32" s="599"/>
      <c r="J32" s="599"/>
      <c r="K32" s="599"/>
      <c r="L32" s="599"/>
      <c r="M32" s="599"/>
      <c r="N32" s="599"/>
      <c r="O32" s="599"/>
      <c r="P32" s="599"/>
      <c r="Q32" s="599"/>
      <c r="R32" s="599"/>
      <c r="S32" s="1096">
        <f t="shared" si="0"/>
        <v>0</v>
      </c>
      <c r="T32" s="599">
        <v>-36174018136</v>
      </c>
      <c r="U32" s="1096">
        <f t="shared" si="1"/>
        <v>0</v>
      </c>
      <c r="V32" s="599">
        <v>-36174</v>
      </c>
      <c r="W32" s="620"/>
      <c r="X32" s="621"/>
      <c r="Y32" s="1096">
        <f t="shared" si="2"/>
        <v>0</v>
      </c>
      <c r="Z32" s="882">
        <f t="shared" si="3"/>
        <v>0</v>
      </c>
    </row>
    <row r="33" spans="1:26" ht="27" customHeight="1">
      <c r="A33" s="583"/>
      <c r="B33" s="583"/>
      <c r="C33" s="581" t="s">
        <v>765</v>
      </c>
      <c r="D33" s="1137" t="s">
        <v>932</v>
      </c>
      <c r="E33" s="1138" t="s">
        <v>934</v>
      </c>
      <c r="F33" s="599"/>
      <c r="G33" s="599"/>
      <c r="H33" s="599"/>
      <c r="I33" s="599"/>
      <c r="J33" s="599"/>
      <c r="K33" s="599"/>
      <c r="L33" s="599"/>
      <c r="M33" s="599"/>
      <c r="N33" s="599"/>
      <c r="O33" s="599"/>
      <c r="P33" s="599"/>
      <c r="Q33" s="599"/>
      <c r="R33" s="599"/>
      <c r="S33" s="1096">
        <f t="shared" si="0"/>
        <v>0</v>
      </c>
      <c r="T33" s="599">
        <v>0</v>
      </c>
      <c r="U33" s="1096">
        <f t="shared" si="1"/>
        <v>0</v>
      </c>
      <c r="V33" s="599">
        <v>0</v>
      </c>
      <c r="W33" s="620"/>
      <c r="X33" s="621"/>
      <c r="Y33" s="1096">
        <f t="shared" si="2"/>
        <v>0</v>
      </c>
      <c r="Z33" s="882">
        <f t="shared" si="3"/>
        <v>0</v>
      </c>
    </row>
    <row r="34" spans="1:26" ht="27" customHeight="1">
      <c r="A34" s="583"/>
      <c r="B34" s="583"/>
      <c r="C34" s="581" t="s">
        <v>765</v>
      </c>
      <c r="D34" s="1137" t="s">
        <v>1427</v>
      </c>
      <c r="E34" s="1138" t="s">
        <v>935</v>
      </c>
      <c r="F34" s="599"/>
      <c r="G34" s="599"/>
      <c r="H34" s="599"/>
      <c r="I34" s="599"/>
      <c r="J34" s="599"/>
      <c r="K34" s="599"/>
      <c r="L34" s="599"/>
      <c r="M34" s="599"/>
      <c r="N34" s="599"/>
      <c r="O34" s="599"/>
      <c r="P34" s="599"/>
      <c r="Q34" s="599"/>
      <c r="R34" s="599"/>
      <c r="S34" s="1096">
        <f t="shared" si="0"/>
        <v>0</v>
      </c>
      <c r="T34" s="599">
        <v>0</v>
      </c>
      <c r="U34" s="1096">
        <f t="shared" si="1"/>
        <v>0</v>
      </c>
      <c r="V34" s="599">
        <v>0</v>
      </c>
      <c r="W34" s="620"/>
      <c r="X34" s="621"/>
      <c r="Y34" s="1096">
        <f t="shared" si="2"/>
        <v>0</v>
      </c>
      <c r="Z34" s="882">
        <f t="shared" si="3"/>
        <v>0</v>
      </c>
    </row>
    <row r="35" spans="1:26" ht="27" customHeight="1">
      <c r="A35" s="583"/>
      <c r="B35" s="583">
        <v>1009</v>
      </c>
      <c r="C35" s="581">
        <v>10</v>
      </c>
      <c r="D35" s="1137" t="s">
        <v>933</v>
      </c>
      <c r="E35" s="1138" t="s">
        <v>936</v>
      </c>
      <c r="F35" s="599">
        <v>-521160</v>
      </c>
      <c r="G35" s="599"/>
      <c r="H35" s="599">
        <v>521160</v>
      </c>
      <c r="I35" s="599"/>
      <c r="J35" s="599"/>
      <c r="K35" s="599"/>
      <c r="L35" s="599"/>
      <c r="M35" s="599"/>
      <c r="N35" s="599"/>
      <c r="O35" s="599"/>
      <c r="P35" s="599"/>
      <c r="Q35" s="599"/>
      <c r="R35" s="599"/>
      <c r="S35" s="1096">
        <f t="shared" si="0"/>
        <v>0</v>
      </c>
      <c r="T35" s="599">
        <v>0</v>
      </c>
      <c r="U35" s="1096">
        <f t="shared" si="1"/>
        <v>0</v>
      </c>
      <c r="V35" s="599">
        <v>0</v>
      </c>
      <c r="W35" s="620"/>
      <c r="X35" s="621"/>
      <c r="Y35" s="1096">
        <f t="shared" si="2"/>
        <v>0</v>
      </c>
      <c r="Z35" s="882">
        <f t="shared" si="3"/>
        <v>0</v>
      </c>
    </row>
    <row r="36" spans="1:26" ht="27" customHeight="1">
      <c r="A36" s="583"/>
      <c r="B36" s="583">
        <v>1009</v>
      </c>
      <c r="C36" s="581">
        <v>10</v>
      </c>
      <c r="D36" s="1137" t="s">
        <v>1572</v>
      </c>
      <c r="E36" s="1138" t="s">
        <v>1573</v>
      </c>
      <c r="F36" s="599">
        <v>-1996700</v>
      </c>
      <c r="G36" s="599"/>
      <c r="H36" s="599"/>
      <c r="I36" s="599"/>
      <c r="J36" s="599">
        <v>1996700</v>
      </c>
      <c r="K36" s="599"/>
      <c r="L36" s="599"/>
      <c r="M36" s="599"/>
      <c r="N36" s="599"/>
      <c r="O36" s="599"/>
      <c r="P36" s="599"/>
      <c r="Q36" s="599"/>
      <c r="R36" s="599"/>
      <c r="S36" s="1096">
        <f t="shared" si="0"/>
        <v>0</v>
      </c>
      <c r="T36" s="599">
        <v>0</v>
      </c>
      <c r="U36" s="1096">
        <f t="shared" si="1"/>
        <v>0</v>
      </c>
      <c r="V36" s="599">
        <v>0</v>
      </c>
      <c r="W36" s="620"/>
      <c r="X36" s="621"/>
      <c r="Y36" s="1096">
        <f t="shared" si="2"/>
        <v>0</v>
      </c>
      <c r="Z36" s="882">
        <f t="shared" si="3"/>
        <v>0</v>
      </c>
    </row>
    <row r="37" spans="1:26" ht="27" customHeight="1">
      <c r="A37" s="583"/>
      <c r="B37" s="583">
        <v>1009</v>
      </c>
      <c r="C37" s="581">
        <v>10</v>
      </c>
      <c r="D37" s="1137" t="s">
        <v>1574</v>
      </c>
      <c r="E37" s="1138" t="s">
        <v>1575</v>
      </c>
      <c r="F37" s="599">
        <v>-2596700</v>
      </c>
      <c r="G37" s="599"/>
      <c r="H37" s="599"/>
      <c r="I37" s="599"/>
      <c r="J37" s="599">
        <v>2596700</v>
      </c>
      <c r="K37" s="599"/>
      <c r="L37" s="599"/>
      <c r="M37" s="599"/>
      <c r="N37" s="599"/>
      <c r="O37" s="599"/>
      <c r="P37" s="599"/>
      <c r="Q37" s="599"/>
      <c r="R37" s="599"/>
      <c r="S37" s="1096">
        <f t="shared" si="0"/>
        <v>0</v>
      </c>
      <c r="T37" s="599">
        <v>0</v>
      </c>
      <c r="U37" s="1096">
        <f t="shared" si="1"/>
        <v>0</v>
      </c>
      <c r="V37" s="599">
        <v>0</v>
      </c>
      <c r="W37" s="620"/>
      <c r="X37" s="621"/>
      <c r="Y37" s="1096">
        <f t="shared" si="2"/>
        <v>0</v>
      </c>
      <c r="Z37" s="882">
        <f t="shared" si="3"/>
        <v>0</v>
      </c>
    </row>
    <row r="38" spans="1:26" ht="27" customHeight="1">
      <c r="A38" s="583"/>
      <c r="B38" s="583">
        <v>1009</v>
      </c>
      <c r="C38" s="581">
        <v>10</v>
      </c>
      <c r="D38" s="1137" t="s">
        <v>1230</v>
      </c>
      <c r="E38" s="1138" t="s">
        <v>1231</v>
      </c>
      <c r="F38" s="599"/>
      <c r="G38" s="599"/>
      <c r="H38" s="599"/>
      <c r="I38" s="599"/>
      <c r="J38" s="599"/>
      <c r="K38" s="599"/>
      <c r="L38" s="599"/>
      <c r="M38" s="599"/>
      <c r="N38" s="599"/>
      <c r="O38" s="599"/>
      <c r="P38" s="599"/>
      <c r="Q38" s="599"/>
      <c r="R38" s="599"/>
      <c r="S38" s="1096">
        <f t="shared" si="0"/>
        <v>0</v>
      </c>
      <c r="T38" s="599">
        <v>0</v>
      </c>
      <c r="U38" s="1096">
        <f t="shared" si="1"/>
        <v>0</v>
      </c>
      <c r="V38" s="599">
        <v>0</v>
      </c>
      <c r="W38" s="620"/>
      <c r="X38" s="621"/>
      <c r="Y38" s="1096">
        <f t="shared" si="2"/>
        <v>0</v>
      </c>
      <c r="Z38" s="882">
        <f t="shared" si="3"/>
        <v>0</v>
      </c>
    </row>
    <row r="39" spans="1:26" ht="27" customHeight="1">
      <c r="A39" s="583"/>
      <c r="B39" s="583">
        <v>401</v>
      </c>
      <c r="C39" s="581">
        <v>4</v>
      </c>
      <c r="D39" s="1137" t="s">
        <v>1085</v>
      </c>
      <c r="E39" s="1138" t="s">
        <v>1086</v>
      </c>
      <c r="F39" s="599"/>
      <c r="G39" s="599"/>
      <c r="H39" s="599"/>
      <c r="I39" s="599"/>
      <c r="J39" s="599"/>
      <c r="K39" s="599"/>
      <c r="L39" s="599"/>
      <c r="M39" s="599"/>
      <c r="N39" s="599"/>
      <c r="O39" s="599"/>
      <c r="P39" s="599"/>
      <c r="Q39" s="599"/>
      <c r="R39" s="599"/>
      <c r="S39" s="1096">
        <f t="shared" si="0"/>
        <v>0</v>
      </c>
      <c r="T39" s="599">
        <v>0</v>
      </c>
      <c r="U39" s="1096">
        <f t="shared" si="1"/>
        <v>0</v>
      </c>
      <c r="V39" s="599">
        <v>0</v>
      </c>
      <c r="W39" s="620"/>
      <c r="X39" s="621"/>
      <c r="Y39" s="1096">
        <f t="shared" si="2"/>
        <v>0</v>
      </c>
      <c r="Z39" s="882">
        <f t="shared" si="3"/>
        <v>0</v>
      </c>
    </row>
    <row r="40" spans="1:26" ht="27" customHeight="1">
      <c r="A40" s="583"/>
      <c r="B40" s="583">
        <v>1009</v>
      </c>
      <c r="C40" s="581">
        <v>10</v>
      </c>
      <c r="D40" s="1137" t="s">
        <v>84</v>
      </c>
      <c r="E40" s="1138" t="s">
        <v>699</v>
      </c>
      <c r="F40" s="599">
        <v>3058806363</v>
      </c>
      <c r="G40" s="599"/>
      <c r="H40" s="599"/>
      <c r="I40" s="599"/>
      <c r="J40" s="599"/>
      <c r="K40" s="599"/>
      <c r="L40" s="599"/>
      <c r="M40" s="599"/>
      <c r="N40" s="599"/>
      <c r="O40" s="599"/>
      <c r="P40" s="599"/>
      <c r="Q40" s="599"/>
      <c r="R40" s="599"/>
      <c r="S40" s="1096">
        <f t="shared" si="0"/>
        <v>3058806363</v>
      </c>
      <c r="T40" s="599">
        <v>-950036742</v>
      </c>
      <c r="U40" s="1096">
        <f t="shared" si="1"/>
        <v>3059</v>
      </c>
      <c r="V40" s="599">
        <v>-950</v>
      </c>
      <c r="W40" s="620"/>
      <c r="X40" s="621"/>
      <c r="Y40" s="1096">
        <f t="shared" si="2"/>
        <v>3058806363</v>
      </c>
      <c r="Z40" s="882">
        <f t="shared" si="3"/>
        <v>3059</v>
      </c>
    </row>
    <row r="41" spans="1:26" ht="27" customHeight="1">
      <c r="A41" s="583"/>
      <c r="B41" s="583">
        <v>401</v>
      </c>
      <c r="C41" s="581">
        <v>4</v>
      </c>
      <c r="D41" s="1137" t="s">
        <v>874</v>
      </c>
      <c r="E41" s="1138" t="s">
        <v>875</v>
      </c>
      <c r="F41" s="599">
        <v>173715375</v>
      </c>
      <c r="G41" s="599">
        <v>-14255600</v>
      </c>
      <c r="H41" s="599"/>
      <c r="I41" s="599"/>
      <c r="J41" s="599"/>
      <c r="K41" s="599"/>
      <c r="L41" s="599"/>
      <c r="M41" s="599"/>
      <c r="N41" s="599"/>
      <c r="O41" s="599"/>
      <c r="P41" s="599"/>
      <c r="Q41" s="599"/>
      <c r="R41" s="599"/>
      <c r="S41" s="1096">
        <f t="shared" si="0"/>
        <v>159459775</v>
      </c>
      <c r="T41" s="599">
        <v>55517099</v>
      </c>
      <c r="U41" s="738">
        <f>ROUND((S41/1000000),0)+1</f>
        <v>160</v>
      </c>
      <c r="V41" s="599">
        <v>56</v>
      </c>
      <c r="W41" s="620"/>
      <c r="X41" s="621"/>
      <c r="Y41" s="1096">
        <f t="shared" si="2"/>
        <v>159459775</v>
      </c>
      <c r="Z41" s="882">
        <f t="shared" si="3"/>
        <v>159</v>
      </c>
    </row>
    <row r="42" spans="1:26" ht="27" customHeight="1">
      <c r="A42" s="583"/>
      <c r="B42" s="583">
        <v>1009</v>
      </c>
      <c r="C42" s="1131">
        <v>10</v>
      </c>
      <c r="D42" s="1137" t="s">
        <v>86</v>
      </c>
      <c r="E42" s="1138" t="s">
        <v>876</v>
      </c>
      <c r="F42" s="599">
        <v>-169059366</v>
      </c>
      <c r="G42" s="599">
        <v>47250429</v>
      </c>
      <c r="H42" s="599"/>
      <c r="I42" s="599"/>
      <c r="J42" s="599"/>
      <c r="K42" s="599"/>
      <c r="L42" s="599"/>
      <c r="M42" s="599"/>
      <c r="N42" s="599"/>
      <c r="O42" s="599"/>
      <c r="P42" s="599"/>
      <c r="Q42" s="599"/>
      <c r="R42" s="599"/>
      <c r="S42" s="1096">
        <f t="shared" si="0"/>
        <v>-121808937</v>
      </c>
      <c r="T42" s="599">
        <v>-38785851</v>
      </c>
      <c r="U42" s="1096">
        <f t="shared" si="1"/>
        <v>-122</v>
      </c>
      <c r="V42" s="599">
        <v>-39</v>
      </c>
      <c r="W42" s="620"/>
      <c r="X42" s="621"/>
      <c r="Y42" s="1096">
        <f t="shared" si="2"/>
        <v>-121808937</v>
      </c>
      <c r="Z42" s="882">
        <f t="shared" si="3"/>
        <v>-122</v>
      </c>
    </row>
    <row r="43" spans="1:26" ht="27" customHeight="1">
      <c r="A43" s="583"/>
      <c r="B43" s="583">
        <v>401</v>
      </c>
      <c r="C43" s="581">
        <v>4</v>
      </c>
      <c r="D43" s="1137" t="s">
        <v>1172</v>
      </c>
      <c r="E43" s="1138" t="s">
        <v>1173</v>
      </c>
      <c r="F43" s="599">
        <v>371728605</v>
      </c>
      <c r="G43" s="599">
        <v>-60203333</v>
      </c>
      <c r="H43" s="599">
        <v>-305525272</v>
      </c>
      <c r="I43" s="599"/>
      <c r="J43" s="599">
        <v>-6000000</v>
      </c>
      <c r="K43" s="599"/>
      <c r="L43" s="599"/>
      <c r="M43" s="599"/>
      <c r="N43" s="599"/>
      <c r="O43" s="599"/>
      <c r="P43" s="599"/>
      <c r="Q43" s="599"/>
      <c r="R43" s="599"/>
      <c r="S43" s="1096">
        <f t="shared" si="0"/>
        <v>0</v>
      </c>
      <c r="T43" s="599">
        <v>0</v>
      </c>
      <c r="U43" s="1096">
        <f t="shared" si="1"/>
        <v>0</v>
      </c>
      <c r="V43" s="599">
        <v>0</v>
      </c>
      <c r="W43" s="620"/>
      <c r="X43" s="621"/>
      <c r="Y43" s="1096">
        <f t="shared" si="2"/>
        <v>0</v>
      </c>
      <c r="Z43" s="882">
        <f t="shared" si="3"/>
        <v>0</v>
      </c>
    </row>
    <row r="44" spans="1:26" ht="27" customHeight="1">
      <c r="A44" s="583"/>
      <c r="B44" s="583">
        <v>401</v>
      </c>
      <c r="C44" s="581">
        <v>4</v>
      </c>
      <c r="D44" s="1137" t="s">
        <v>1087</v>
      </c>
      <c r="E44" s="1138" t="s">
        <v>1088</v>
      </c>
      <c r="F44" s="599">
        <v>455576</v>
      </c>
      <c r="G44" s="599"/>
      <c r="H44" s="599"/>
      <c r="I44" s="599"/>
      <c r="J44" s="599"/>
      <c r="K44" s="599"/>
      <c r="L44" s="599"/>
      <c r="M44" s="599"/>
      <c r="N44" s="599"/>
      <c r="O44" s="599"/>
      <c r="P44" s="599"/>
      <c r="Q44" s="599"/>
      <c r="R44" s="599"/>
      <c r="S44" s="1096">
        <f t="shared" si="0"/>
        <v>455576</v>
      </c>
      <c r="T44" s="599">
        <v>455576</v>
      </c>
      <c r="U44" s="738">
        <v>1</v>
      </c>
      <c r="V44" s="599">
        <v>0</v>
      </c>
      <c r="W44" s="620"/>
      <c r="X44" s="621"/>
      <c r="Y44" s="1096">
        <f t="shared" si="2"/>
        <v>455576</v>
      </c>
      <c r="Z44" s="882">
        <f t="shared" si="3"/>
        <v>0</v>
      </c>
    </row>
    <row r="45" spans="1:26" ht="27" customHeight="1">
      <c r="A45" s="583"/>
      <c r="B45" s="583">
        <v>401</v>
      </c>
      <c r="C45" s="581">
        <v>4</v>
      </c>
      <c r="D45" s="1137" t="s">
        <v>1232</v>
      </c>
      <c r="E45" s="1138" t="s">
        <v>1233</v>
      </c>
      <c r="F45" s="599">
        <v>56235000</v>
      </c>
      <c r="G45" s="599">
        <v>-21472000</v>
      </c>
      <c r="H45" s="599">
        <v>21472000</v>
      </c>
      <c r="I45" s="599"/>
      <c r="J45" s="599"/>
      <c r="K45" s="599"/>
      <c r="L45" s="599"/>
      <c r="M45" s="599"/>
      <c r="N45" s="599"/>
      <c r="O45" s="599"/>
      <c r="P45" s="599"/>
      <c r="Q45" s="599"/>
      <c r="R45" s="599"/>
      <c r="S45" s="1096">
        <f t="shared" si="0"/>
        <v>56235000</v>
      </c>
      <c r="T45" s="599">
        <v>32276000</v>
      </c>
      <c r="U45" s="1096">
        <f>ROUND((S45/1000000),0)</f>
        <v>56</v>
      </c>
      <c r="V45" s="599">
        <v>32</v>
      </c>
      <c r="W45" s="620"/>
      <c r="X45" s="621"/>
      <c r="Y45" s="1096">
        <f t="shared" si="2"/>
        <v>56235000</v>
      </c>
      <c r="Z45" s="882">
        <f t="shared" si="3"/>
        <v>56</v>
      </c>
    </row>
    <row r="46" spans="1:26" ht="27" customHeight="1">
      <c r="A46" s="583"/>
      <c r="B46" s="583">
        <v>1009</v>
      </c>
      <c r="C46" s="581">
        <v>10</v>
      </c>
      <c r="D46" s="1137" t="s">
        <v>89</v>
      </c>
      <c r="E46" s="1138" t="s">
        <v>937</v>
      </c>
      <c r="F46" s="599">
        <v>-157102057</v>
      </c>
      <c r="G46" s="599">
        <v>9502080</v>
      </c>
      <c r="H46" s="599">
        <v>19200000</v>
      </c>
      <c r="I46" s="599"/>
      <c r="J46" s="599"/>
      <c r="K46" s="599"/>
      <c r="L46" s="599"/>
      <c r="M46" s="599"/>
      <c r="N46" s="599"/>
      <c r="O46" s="599"/>
      <c r="P46" s="599"/>
      <c r="Q46" s="599"/>
      <c r="R46" s="599"/>
      <c r="S46" s="1096">
        <f t="shared" si="0"/>
        <v>-128399977</v>
      </c>
      <c r="T46" s="599">
        <v>-53000000</v>
      </c>
      <c r="U46" s="1096">
        <f t="shared" si="1"/>
        <v>-128</v>
      </c>
      <c r="V46" s="599">
        <v>-53</v>
      </c>
      <c r="W46" s="620"/>
      <c r="X46" s="621"/>
      <c r="Y46" s="1096">
        <f t="shared" si="2"/>
        <v>-128399977</v>
      </c>
      <c r="Z46" s="882">
        <f t="shared" si="3"/>
        <v>-128</v>
      </c>
    </row>
    <row r="47" spans="1:26" ht="27" customHeight="1">
      <c r="A47" s="583"/>
      <c r="B47" s="583">
        <v>1009</v>
      </c>
      <c r="C47" s="581">
        <v>10</v>
      </c>
      <c r="D47" s="1137" t="s">
        <v>1576</v>
      </c>
      <c r="E47" s="1138" t="s">
        <v>1577</v>
      </c>
      <c r="F47" s="599">
        <v>-46342832</v>
      </c>
      <c r="G47" s="599"/>
      <c r="H47" s="599"/>
      <c r="I47" s="599"/>
      <c r="J47" s="599">
        <v>46342832</v>
      </c>
      <c r="K47" s="599"/>
      <c r="L47" s="599"/>
      <c r="M47" s="599"/>
      <c r="N47" s="599"/>
      <c r="O47" s="599"/>
      <c r="P47" s="599"/>
      <c r="Q47" s="599"/>
      <c r="R47" s="599"/>
      <c r="S47" s="1096">
        <f t="shared" si="0"/>
        <v>0</v>
      </c>
      <c r="T47" s="599">
        <v>0</v>
      </c>
      <c r="U47" s="1096">
        <f t="shared" si="1"/>
        <v>0</v>
      </c>
      <c r="V47" s="599">
        <v>0</v>
      </c>
      <c r="W47" s="620"/>
      <c r="X47" s="621"/>
      <c r="Y47" s="1096">
        <f t="shared" si="2"/>
        <v>0</v>
      </c>
      <c r="Z47" s="882">
        <f t="shared" si="3"/>
        <v>0</v>
      </c>
    </row>
    <row r="48" spans="1:26" ht="27" customHeight="1">
      <c r="A48" s="583"/>
      <c r="B48" s="583">
        <v>401</v>
      </c>
      <c r="C48" s="581">
        <v>4</v>
      </c>
      <c r="D48" s="1137" t="s">
        <v>1089</v>
      </c>
      <c r="E48" s="1138" t="s">
        <v>957</v>
      </c>
      <c r="F48" s="599">
        <v>1821250745</v>
      </c>
      <c r="G48" s="599">
        <v>-227983405</v>
      </c>
      <c r="H48" s="599">
        <v>-1577008960</v>
      </c>
      <c r="I48" s="599"/>
      <c r="J48" s="599"/>
      <c r="K48" s="599"/>
      <c r="L48" s="599"/>
      <c r="M48" s="599"/>
      <c r="N48" s="599"/>
      <c r="O48" s="599"/>
      <c r="P48" s="599"/>
      <c r="Q48" s="599"/>
      <c r="R48" s="599"/>
      <c r="S48" s="1096">
        <f t="shared" si="0"/>
        <v>16258380</v>
      </c>
      <c r="T48" s="599">
        <v>0</v>
      </c>
      <c r="U48" s="1096">
        <f t="shared" si="1"/>
        <v>16</v>
      </c>
      <c r="V48" s="599">
        <v>0</v>
      </c>
      <c r="W48" s="620"/>
      <c r="X48" s="621"/>
      <c r="Y48" s="1096">
        <f t="shared" si="2"/>
        <v>16258380</v>
      </c>
      <c r="Z48" s="882">
        <f t="shared" si="3"/>
        <v>16</v>
      </c>
    </row>
    <row r="49" spans="1:26" ht="27" customHeight="1">
      <c r="A49" s="583"/>
      <c r="B49" s="583">
        <v>401</v>
      </c>
      <c r="C49" s="581">
        <v>4</v>
      </c>
      <c r="D49" s="1137" t="s">
        <v>1578</v>
      </c>
      <c r="E49" s="1138" t="s">
        <v>957</v>
      </c>
      <c r="F49" s="599">
        <v>-7</v>
      </c>
      <c r="G49" s="599"/>
      <c r="H49" s="599"/>
      <c r="I49" s="599"/>
      <c r="J49" s="599"/>
      <c r="K49" s="599"/>
      <c r="L49" s="599"/>
      <c r="M49" s="599"/>
      <c r="N49" s="599"/>
      <c r="O49" s="599"/>
      <c r="P49" s="599"/>
      <c r="Q49" s="599"/>
      <c r="R49" s="599"/>
      <c r="S49" s="1096">
        <f t="shared" si="0"/>
        <v>-7</v>
      </c>
      <c r="T49" s="599">
        <v>-7</v>
      </c>
      <c r="U49" s="1096">
        <f t="shared" si="1"/>
        <v>0</v>
      </c>
      <c r="V49" s="599">
        <v>0</v>
      </c>
      <c r="W49" s="620"/>
      <c r="X49" s="621"/>
      <c r="Y49" s="1096">
        <f t="shared" si="2"/>
        <v>-7</v>
      </c>
      <c r="Z49" s="882">
        <f t="shared" si="3"/>
        <v>0</v>
      </c>
    </row>
    <row r="50" spans="1:26" ht="27" customHeight="1">
      <c r="A50" s="583"/>
      <c r="B50" s="583">
        <v>1009</v>
      </c>
      <c r="C50" s="581">
        <v>10</v>
      </c>
      <c r="D50" s="1137" t="s">
        <v>1332</v>
      </c>
      <c r="E50" s="1138" t="s">
        <v>1331</v>
      </c>
      <c r="F50" s="599"/>
      <c r="G50" s="599"/>
      <c r="H50" s="599"/>
      <c r="I50" s="599"/>
      <c r="J50" s="599"/>
      <c r="K50" s="599"/>
      <c r="L50" s="599"/>
      <c r="M50" s="599"/>
      <c r="N50" s="599"/>
      <c r="O50" s="599"/>
      <c r="P50" s="599"/>
      <c r="Q50" s="599"/>
      <c r="R50" s="599"/>
      <c r="S50" s="1096">
        <f t="shared" si="0"/>
        <v>0</v>
      </c>
      <c r="T50" s="599">
        <v>0</v>
      </c>
      <c r="U50" s="1096">
        <f t="shared" si="1"/>
        <v>0</v>
      </c>
      <c r="V50" s="599">
        <v>0</v>
      </c>
      <c r="W50" s="620"/>
      <c r="X50" s="621"/>
      <c r="Y50" s="1096">
        <f t="shared" si="2"/>
        <v>0</v>
      </c>
      <c r="Z50" s="882">
        <f t="shared" si="3"/>
        <v>0</v>
      </c>
    </row>
    <row r="51" spans="1:26" ht="27" customHeight="1">
      <c r="A51" s="583"/>
      <c r="B51" s="583">
        <v>401</v>
      </c>
      <c r="C51" s="581">
        <v>4</v>
      </c>
      <c r="D51" s="582" t="s">
        <v>92</v>
      </c>
      <c r="E51" s="1138" t="s">
        <v>1821</v>
      </c>
      <c r="F51" s="599">
        <v>70832880</v>
      </c>
      <c r="G51" s="599"/>
      <c r="H51" s="599"/>
      <c r="I51" s="599"/>
      <c r="J51" s="599"/>
      <c r="K51" s="599"/>
      <c r="L51" s="599"/>
      <c r="M51" s="599"/>
      <c r="N51" s="599"/>
      <c r="O51" s="599"/>
      <c r="P51" s="599"/>
      <c r="Q51" s="599"/>
      <c r="R51" s="599"/>
      <c r="S51" s="1096">
        <f t="shared" si="0"/>
        <v>70832880</v>
      </c>
      <c r="T51" s="599"/>
      <c r="U51" s="1096">
        <f t="shared" si="1"/>
        <v>71</v>
      </c>
      <c r="V51" s="599"/>
      <c r="W51" s="620"/>
      <c r="X51" s="621"/>
      <c r="Y51" s="1096">
        <f t="shared" si="2"/>
        <v>70832880</v>
      </c>
      <c r="Z51" s="882">
        <f t="shared" si="3"/>
        <v>71</v>
      </c>
    </row>
    <row r="52" spans="1:26" ht="27" customHeight="1">
      <c r="A52" s="583"/>
      <c r="B52" s="583">
        <v>401</v>
      </c>
      <c r="C52" s="581">
        <v>4</v>
      </c>
      <c r="D52" s="1137" t="s">
        <v>216</v>
      </c>
      <c r="E52" s="1138" t="s">
        <v>706</v>
      </c>
      <c r="F52" s="599"/>
      <c r="G52" s="599"/>
      <c r="H52" s="599"/>
      <c r="I52" s="599"/>
      <c r="J52" s="599"/>
      <c r="K52" s="599"/>
      <c r="L52" s="599"/>
      <c r="M52" s="599"/>
      <c r="N52" s="599"/>
      <c r="O52" s="599"/>
      <c r="P52" s="599"/>
      <c r="Q52" s="599"/>
      <c r="R52" s="599"/>
      <c r="S52" s="1096">
        <f t="shared" si="0"/>
        <v>0</v>
      </c>
      <c r="T52" s="599">
        <v>2083332</v>
      </c>
      <c r="U52" s="1096">
        <f t="shared" si="1"/>
        <v>0</v>
      </c>
      <c r="V52" s="599">
        <v>2</v>
      </c>
      <c r="W52" s="620"/>
      <c r="X52" s="621"/>
      <c r="Y52" s="1096">
        <f t="shared" si="2"/>
        <v>0</v>
      </c>
      <c r="Z52" s="882">
        <f t="shared" si="3"/>
        <v>0</v>
      </c>
    </row>
    <row r="53" spans="1:26" ht="27" customHeight="1">
      <c r="A53" s="583"/>
      <c r="B53" s="583">
        <v>1009</v>
      </c>
      <c r="C53" s="581">
        <v>10</v>
      </c>
      <c r="D53" s="1137" t="s">
        <v>562</v>
      </c>
      <c r="E53" s="1138" t="s">
        <v>705</v>
      </c>
      <c r="F53" s="599"/>
      <c r="G53" s="599"/>
      <c r="H53" s="599"/>
      <c r="I53" s="599"/>
      <c r="J53" s="599"/>
      <c r="K53" s="599"/>
      <c r="L53" s="599"/>
      <c r="M53" s="599"/>
      <c r="N53" s="599"/>
      <c r="O53" s="599"/>
      <c r="P53" s="599"/>
      <c r="Q53" s="599"/>
      <c r="R53" s="599"/>
      <c r="S53" s="1096">
        <f t="shared" si="0"/>
        <v>0</v>
      </c>
      <c r="T53" s="599">
        <v>0</v>
      </c>
      <c r="U53" s="1096">
        <f t="shared" si="1"/>
        <v>0</v>
      </c>
      <c r="V53" s="599">
        <v>0</v>
      </c>
      <c r="W53" s="620"/>
      <c r="X53" s="621"/>
      <c r="Y53" s="1096">
        <f t="shared" si="2"/>
        <v>0</v>
      </c>
      <c r="Z53" s="882">
        <f t="shared" si="3"/>
        <v>0</v>
      </c>
    </row>
    <row r="54" spans="1:26" ht="27" customHeight="1">
      <c r="A54" s="583"/>
      <c r="B54" s="583">
        <v>401</v>
      </c>
      <c r="C54" s="581">
        <v>4</v>
      </c>
      <c r="D54" s="1137" t="s">
        <v>564</v>
      </c>
      <c r="E54" s="1138" t="s">
        <v>704</v>
      </c>
      <c r="F54" s="599">
        <v>58502000</v>
      </c>
      <c r="G54" s="599"/>
      <c r="H54" s="599"/>
      <c r="I54" s="599"/>
      <c r="J54" s="599"/>
      <c r="K54" s="599"/>
      <c r="L54" s="599"/>
      <c r="M54" s="599"/>
      <c r="N54" s="599"/>
      <c r="O54" s="599"/>
      <c r="P54" s="599"/>
      <c r="Q54" s="599"/>
      <c r="R54" s="599"/>
      <c r="S54" s="1096">
        <f t="shared" si="0"/>
        <v>58502000</v>
      </c>
      <c r="T54" s="599">
        <v>58502000</v>
      </c>
      <c r="U54" s="1096">
        <f t="shared" si="1"/>
        <v>59</v>
      </c>
      <c r="V54" s="599">
        <v>59</v>
      </c>
      <c r="W54" s="620"/>
      <c r="X54" s="621"/>
      <c r="Y54" s="1096">
        <f t="shared" si="2"/>
        <v>58502000</v>
      </c>
      <c r="Z54" s="882">
        <f t="shared" si="3"/>
        <v>59</v>
      </c>
    </row>
    <row r="55" spans="1:26" ht="27" customHeight="1">
      <c r="A55" s="583"/>
      <c r="B55" s="583">
        <v>401</v>
      </c>
      <c r="C55" s="581">
        <v>4</v>
      </c>
      <c r="D55" s="1137" t="s">
        <v>184</v>
      </c>
      <c r="E55" s="1138" t="s">
        <v>832</v>
      </c>
      <c r="F55" s="599"/>
      <c r="G55" s="599"/>
      <c r="H55" s="599"/>
      <c r="I55" s="599"/>
      <c r="J55" s="599"/>
      <c r="K55" s="599"/>
      <c r="L55" s="599"/>
      <c r="M55" s="599"/>
      <c r="N55" s="599"/>
      <c r="O55" s="599"/>
      <c r="P55" s="599"/>
      <c r="Q55" s="599"/>
      <c r="R55" s="599"/>
      <c r="S55" s="1096">
        <f t="shared" si="0"/>
        <v>0</v>
      </c>
      <c r="T55" s="599">
        <v>133452</v>
      </c>
      <c r="U55" s="1096">
        <f t="shared" si="1"/>
        <v>0</v>
      </c>
      <c r="V55" s="599">
        <v>0</v>
      </c>
      <c r="W55" s="620"/>
      <c r="X55" s="621"/>
      <c r="Y55" s="1096">
        <f t="shared" si="2"/>
        <v>0</v>
      </c>
      <c r="Z55" s="882">
        <f t="shared" si="3"/>
        <v>0</v>
      </c>
    </row>
    <row r="56" spans="1:26" ht="27" customHeight="1">
      <c r="A56" s="583"/>
      <c r="B56" s="583">
        <v>401</v>
      </c>
      <c r="C56" s="581">
        <v>4</v>
      </c>
      <c r="D56" s="1137" t="s">
        <v>479</v>
      </c>
      <c r="E56" s="1138" t="s">
        <v>701</v>
      </c>
      <c r="F56" s="599">
        <v>147601948</v>
      </c>
      <c r="G56" s="599"/>
      <c r="H56" s="599">
        <v>70634993</v>
      </c>
      <c r="I56" s="599"/>
      <c r="J56" s="599"/>
      <c r="K56" s="599"/>
      <c r="L56" s="599"/>
      <c r="M56" s="599"/>
      <c r="N56" s="599"/>
      <c r="O56" s="599"/>
      <c r="P56" s="599"/>
      <c r="Q56" s="599"/>
      <c r="R56" s="599"/>
      <c r="S56" s="1096">
        <f t="shared" si="0"/>
        <v>218236941</v>
      </c>
      <c r="T56" s="599">
        <v>381560996</v>
      </c>
      <c r="U56" s="1096">
        <f t="shared" si="1"/>
        <v>218</v>
      </c>
      <c r="V56" s="599">
        <v>382</v>
      </c>
      <c r="W56" s="620"/>
      <c r="X56" s="621"/>
      <c r="Y56" s="1096">
        <f t="shared" si="2"/>
        <v>218236941</v>
      </c>
      <c r="Z56" s="882">
        <f t="shared" si="3"/>
        <v>218</v>
      </c>
    </row>
    <row r="57" spans="1:26" ht="27" customHeight="1">
      <c r="A57" s="583"/>
      <c r="B57" s="583">
        <v>401</v>
      </c>
      <c r="C57" s="581">
        <v>4</v>
      </c>
      <c r="D57" s="1137" t="s">
        <v>480</v>
      </c>
      <c r="E57" s="1138" t="s">
        <v>702</v>
      </c>
      <c r="F57" s="599"/>
      <c r="G57" s="599"/>
      <c r="H57" s="599"/>
      <c r="I57" s="599"/>
      <c r="J57" s="599"/>
      <c r="K57" s="599"/>
      <c r="L57" s="599"/>
      <c r="M57" s="599"/>
      <c r="N57" s="599"/>
      <c r="O57" s="599"/>
      <c r="P57" s="599"/>
      <c r="Q57" s="599"/>
      <c r="R57" s="599"/>
      <c r="S57" s="1096">
        <f t="shared" si="0"/>
        <v>0</v>
      </c>
      <c r="T57" s="599">
        <v>0</v>
      </c>
      <c r="U57" s="1096">
        <f t="shared" si="1"/>
        <v>0</v>
      </c>
      <c r="V57" s="599">
        <v>0</v>
      </c>
      <c r="W57" s="620"/>
      <c r="X57" s="621"/>
      <c r="Y57" s="1096">
        <f t="shared" si="2"/>
        <v>0</v>
      </c>
      <c r="Z57" s="882">
        <f t="shared" si="3"/>
        <v>0</v>
      </c>
    </row>
    <row r="58" spans="1:26" ht="27" customHeight="1">
      <c r="A58" s="583"/>
      <c r="B58" s="583">
        <v>1009</v>
      </c>
      <c r="C58" s="581">
        <v>10</v>
      </c>
      <c r="D58" s="1137" t="s">
        <v>481</v>
      </c>
      <c r="E58" s="1138" t="s">
        <v>1333</v>
      </c>
      <c r="F58" s="599"/>
      <c r="G58" s="599"/>
      <c r="H58" s="599"/>
      <c r="I58" s="599"/>
      <c r="J58" s="599"/>
      <c r="K58" s="599"/>
      <c r="L58" s="599"/>
      <c r="M58" s="599"/>
      <c r="N58" s="599"/>
      <c r="O58" s="599"/>
      <c r="P58" s="599"/>
      <c r="Q58" s="599"/>
      <c r="R58" s="599"/>
      <c r="S58" s="1096">
        <f t="shared" si="0"/>
        <v>0</v>
      </c>
      <c r="T58" s="599">
        <v>0</v>
      </c>
      <c r="U58" s="1096">
        <f t="shared" si="1"/>
        <v>0</v>
      </c>
      <c r="V58" s="599">
        <v>0</v>
      </c>
      <c r="W58" s="620"/>
      <c r="X58" s="621"/>
      <c r="Y58" s="1096">
        <f t="shared" si="2"/>
        <v>0</v>
      </c>
      <c r="Z58" s="882">
        <f t="shared" si="3"/>
        <v>0</v>
      </c>
    </row>
    <row r="59" spans="1:26" ht="27" customHeight="1">
      <c r="A59" s="583"/>
      <c r="B59" s="583">
        <v>401</v>
      </c>
      <c r="C59" s="581">
        <v>4</v>
      </c>
      <c r="D59" s="1137" t="s">
        <v>220</v>
      </c>
      <c r="E59" s="1138" t="s">
        <v>703</v>
      </c>
      <c r="F59" s="599"/>
      <c r="G59" s="599"/>
      <c r="H59" s="599"/>
      <c r="I59" s="599"/>
      <c r="J59" s="599"/>
      <c r="K59" s="599"/>
      <c r="L59" s="599"/>
      <c r="M59" s="599"/>
      <c r="N59" s="599"/>
      <c r="O59" s="599"/>
      <c r="P59" s="599"/>
      <c r="Q59" s="599"/>
      <c r="R59" s="599"/>
      <c r="S59" s="1096">
        <f t="shared" si="0"/>
        <v>0</v>
      </c>
      <c r="T59" s="599">
        <v>0</v>
      </c>
      <c r="U59" s="1096">
        <f t="shared" si="1"/>
        <v>0</v>
      </c>
      <c r="V59" s="599">
        <v>0</v>
      </c>
      <c r="W59" s="620"/>
      <c r="X59" s="621"/>
      <c r="Y59" s="1096">
        <f t="shared" si="2"/>
        <v>0</v>
      </c>
      <c r="Z59" s="882">
        <f t="shared" si="3"/>
        <v>0</v>
      </c>
    </row>
    <row r="60" spans="1:26" ht="27" customHeight="1">
      <c r="A60" s="583"/>
      <c r="B60" s="583">
        <v>420</v>
      </c>
      <c r="C60" s="581">
        <v>4</v>
      </c>
      <c r="D60" s="1137" t="s">
        <v>483</v>
      </c>
      <c r="E60" s="1138" t="s">
        <v>1057</v>
      </c>
      <c r="F60" s="599">
        <v>47525205063</v>
      </c>
      <c r="G60" s="599">
        <v>-57916586</v>
      </c>
      <c r="H60" s="599">
        <v>-770000000</v>
      </c>
      <c r="I60" s="599"/>
      <c r="J60" s="599"/>
      <c r="K60" s="599"/>
      <c r="L60" s="599"/>
      <c r="M60" s="599"/>
      <c r="N60" s="599"/>
      <c r="O60" s="599"/>
      <c r="P60" s="599"/>
      <c r="Q60" s="599"/>
      <c r="R60" s="599"/>
      <c r="S60" s="1096">
        <f t="shared" si="0"/>
        <v>46697288477</v>
      </c>
      <c r="T60" s="599">
        <v>70443459026</v>
      </c>
      <c r="U60" s="1096">
        <f t="shared" si="1"/>
        <v>46697</v>
      </c>
      <c r="V60" s="599">
        <v>70443</v>
      </c>
      <c r="W60" s="620"/>
      <c r="X60" s="621"/>
      <c r="Y60" s="1096">
        <f t="shared" si="2"/>
        <v>46697288477</v>
      </c>
      <c r="Z60" s="882">
        <f t="shared" si="3"/>
        <v>46697</v>
      </c>
    </row>
    <row r="61" spans="1:26" ht="27" customHeight="1">
      <c r="A61" s="583"/>
      <c r="B61" s="583">
        <v>401</v>
      </c>
      <c r="C61" s="581">
        <v>4</v>
      </c>
      <c r="D61" s="1137" t="s">
        <v>483</v>
      </c>
      <c r="E61" s="1138" t="s">
        <v>1159</v>
      </c>
      <c r="F61" s="599"/>
      <c r="G61" s="599"/>
      <c r="H61" s="599"/>
      <c r="I61" s="599"/>
      <c r="J61" s="599"/>
      <c r="K61" s="599"/>
      <c r="L61" s="599"/>
      <c r="M61" s="599"/>
      <c r="N61" s="599"/>
      <c r="O61" s="599"/>
      <c r="P61" s="599"/>
      <c r="Q61" s="599"/>
      <c r="R61" s="599"/>
      <c r="S61" s="1096">
        <f t="shared" si="0"/>
        <v>0</v>
      </c>
      <c r="T61" s="599">
        <v>0</v>
      </c>
      <c r="U61" s="1096">
        <f t="shared" si="1"/>
        <v>0</v>
      </c>
      <c r="V61" s="599">
        <v>0</v>
      </c>
      <c r="W61" s="620"/>
      <c r="X61" s="621"/>
      <c r="Y61" s="1096">
        <f t="shared" si="2"/>
        <v>0</v>
      </c>
      <c r="Z61" s="882">
        <f t="shared" si="3"/>
        <v>0</v>
      </c>
    </row>
    <row r="62" spans="1:26" ht="27" customHeight="1">
      <c r="A62" s="583"/>
      <c r="B62" s="583">
        <v>401</v>
      </c>
      <c r="C62" s="581">
        <v>4</v>
      </c>
      <c r="D62" s="1137" t="s">
        <v>0</v>
      </c>
      <c r="E62" s="1138" t="s">
        <v>1090</v>
      </c>
      <c r="F62" s="599">
        <v>25351280</v>
      </c>
      <c r="G62" s="599"/>
      <c r="H62" s="599">
        <v>-25351280</v>
      </c>
      <c r="I62" s="599"/>
      <c r="J62" s="599"/>
      <c r="K62" s="599"/>
      <c r="L62" s="599"/>
      <c r="M62" s="599"/>
      <c r="N62" s="599"/>
      <c r="O62" s="599"/>
      <c r="P62" s="599"/>
      <c r="Q62" s="599"/>
      <c r="R62" s="599"/>
      <c r="S62" s="1096">
        <f t="shared" si="0"/>
        <v>0</v>
      </c>
      <c r="T62" s="599">
        <v>25351280</v>
      </c>
      <c r="U62" s="1096">
        <f t="shared" si="1"/>
        <v>0</v>
      </c>
      <c r="V62" s="599">
        <v>25</v>
      </c>
      <c r="W62" s="620"/>
      <c r="X62" s="621"/>
      <c r="Y62" s="1096">
        <f t="shared" si="2"/>
        <v>0</v>
      </c>
      <c r="Z62" s="882">
        <f t="shared" si="3"/>
        <v>0</v>
      </c>
    </row>
    <row r="63" spans="1:26" ht="27" customHeight="1">
      <c r="A63" s="583"/>
      <c r="B63" s="583">
        <v>401</v>
      </c>
      <c r="C63" s="581">
        <v>4</v>
      </c>
      <c r="D63" s="1137" t="s">
        <v>224</v>
      </c>
      <c r="E63" s="1138" t="s">
        <v>474</v>
      </c>
      <c r="F63" s="599">
        <v>-339155850</v>
      </c>
      <c r="G63" s="599">
        <v>-3943610</v>
      </c>
      <c r="H63" s="599">
        <v>-3943610</v>
      </c>
      <c r="I63" s="599"/>
      <c r="J63" s="599"/>
      <c r="K63" s="599">
        <v>36240300</v>
      </c>
      <c r="L63" s="599"/>
      <c r="M63" s="599"/>
      <c r="N63" s="599"/>
      <c r="O63" s="599"/>
      <c r="P63" s="599"/>
      <c r="Q63" s="599"/>
      <c r="R63" s="599"/>
      <c r="S63" s="1096">
        <f t="shared" si="0"/>
        <v>-310802770</v>
      </c>
      <c r="T63" s="599">
        <v>-30537130</v>
      </c>
      <c r="U63" s="1096">
        <f t="shared" si="1"/>
        <v>-311</v>
      </c>
      <c r="V63" s="599">
        <v>-31</v>
      </c>
      <c r="W63" s="620"/>
      <c r="X63" s="621"/>
      <c r="Y63" s="1096">
        <f t="shared" si="2"/>
        <v>-310802770</v>
      </c>
      <c r="Z63" s="882">
        <f t="shared" si="3"/>
        <v>-311</v>
      </c>
    </row>
    <row r="64" spans="1:26" ht="27" customHeight="1">
      <c r="A64" s="583"/>
      <c r="B64" s="583">
        <v>401</v>
      </c>
      <c r="C64" s="581">
        <v>4</v>
      </c>
      <c r="D64" s="1137" t="s">
        <v>1234</v>
      </c>
      <c r="E64" s="1138" t="s">
        <v>1235</v>
      </c>
      <c r="F64" s="599">
        <v>14250000000</v>
      </c>
      <c r="G64" s="599"/>
      <c r="H64" s="599"/>
      <c r="I64" s="599"/>
      <c r="J64" s="599"/>
      <c r="K64" s="599"/>
      <c r="L64" s="599"/>
      <c r="M64" s="599"/>
      <c r="N64" s="599"/>
      <c r="O64" s="599"/>
      <c r="P64" s="599"/>
      <c r="Q64" s="599"/>
      <c r="R64" s="599"/>
      <c r="S64" s="1096">
        <f t="shared" si="0"/>
        <v>14250000000</v>
      </c>
      <c r="T64" s="599">
        <v>12290000000</v>
      </c>
      <c r="U64" s="1096">
        <f t="shared" si="1"/>
        <v>14250</v>
      </c>
      <c r="V64" s="599">
        <v>12290</v>
      </c>
      <c r="W64" s="620"/>
      <c r="X64" s="621"/>
      <c r="Y64" s="1096">
        <f t="shared" si="2"/>
        <v>14250000000</v>
      </c>
      <c r="Z64" s="882">
        <f t="shared" si="3"/>
        <v>14250</v>
      </c>
    </row>
    <row r="65" spans="1:26" ht="27" customHeight="1">
      <c r="A65" s="583"/>
      <c r="B65" s="583">
        <v>401</v>
      </c>
      <c r="C65" s="581">
        <v>4</v>
      </c>
      <c r="D65" s="1137" t="s">
        <v>1606</v>
      </c>
      <c r="E65" s="1138" t="s">
        <v>1607</v>
      </c>
      <c r="F65" s="599"/>
      <c r="G65" s="599"/>
      <c r="H65" s="599"/>
      <c r="I65" s="599"/>
      <c r="J65" s="599"/>
      <c r="K65" s="599"/>
      <c r="L65" s="599"/>
      <c r="M65" s="599"/>
      <c r="N65" s="599"/>
      <c r="O65" s="599"/>
      <c r="P65" s="599"/>
      <c r="Q65" s="599"/>
      <c r="R65" s="599"/>
      <c r="S65" s="1096">
        <f t="shared" si="0"/>
        <v>0</v>
      </c>
      <c r="T65" s="599">
        <v>0</v>
      </c>
      <c r="U65" s="1096">
        <f t="shared" si="1"/>
        <v>0</v>
      </c>
      <c r="V65" s="599">
        <v>0</v>
      </c>
      <c r="W65" s="620"/>
      <c r="X65" s="621"/>
      <c r="Y65" s="1096">
        <f t="shared" si="2"/>
        <v>0</v>
      </c>
      <c r="Z65" s="882">
        <f t="shared" si="3"/>
        <v>0</v>
      </c>
    </row>
    <row r="66" spans="1:26" ht="27" customHeight="1">
      <c r="A66" s="583"/>
      <c r="B66" s="583">
        <v>401</v>
      </c>
      <c r="C66" s="581">
        <v>4</v>
      </c>
      <c r="D66" s="1137" t="s">
        <v>2</v>
      </c>
      <c r="E66" s="1138" t="s">
        <v>877</v>
      </c>
      <c r="F66" s="599">
        <v>19280001316</v>
      </c>
      <c r="G66" s="599">
        <v>157916562</v>
      </c>
      <c r="H66" s="599">
        <v>770000000</v>
      </c>
      <c r="I66" s="599"/>
      <c r="J66" s="599"/>
      <c r="K66" s="599"/>
      <c r="L66" s="599"/>
      <c r="M66" s="599"/>
      <c r="N66" s="599"/>
      <c r="O66" s="599"/>
      <c r="P66" s="599"/>
      <c r="Q66" s="599"/>
      <c r="R66" s="599"/>
      <c r="S66" s="1096">
        <f t="shared" si="0"/>
        <v>20207917878</v>
      </c>
      <c r="T66" s="599">
        <v>12566370657</v>
      </c>
      <c r="U66" s="1096">
        <f t="shared" si="1"/>
        <v>20208</v>
      </c>
      <c r="V66" s="599">
        <v>12566</v>
      </c>
      <c r="W66" s="620"/>
      <c r="X66" s="621"/>
      <c r="Y66" s="1096">
        <f t="shared" si="2"/>
        <v>20207917878</v>
      </c>
      <c r="Z66" s="882">
        <f t="shared" si="3"/>
        <v>20208</v>
      </c>
    </row>
    <row r="67" spans="1:26" ht="27" customHeight="1">
      <c r="A67" s="583"/>
      <c r="B67" s="583">
        <v>406</v>
      </c>
      <c r="C67" s="581">
        <v>4</v>
      </c>
      <c r="D67" s="1137" t="s">
        <v>476</v>
      </c>
      <c r="E67" s="1138" t="s">
        <v>1174</v>
      </c>
      <c r="F67" s="599">
        <v>-6000000</v>
      </c>
      <c r="G67" s="599"/>
      <c r="H67" s="599"/>
      <c r="I67" s="599"/>
      <c r="J67" s="599"/>
      <c r="K67" s="599"/>
      <c r="L67" s="599"/>
      <c r="M67" s="599"/>
      <c r="N67" s="599"/>
      <c r="O67" s="599"/>
      <c r="P67" s="599"/>
      <c r="Q67" s="599"/>
      <c r="R67" s="599"/>
      <c r="S67" s="1096">
        <f t="shared" si="0"/>
        <v>-6000000</v>
      </c>
      <c r="T67" s="599">
        <v>-6000000</v>
      </c>
      <c r="U67" s="1096">
        <f t="shared" si="1"/>
        <v>-6</v>
      </c>
      <c r="V67" s="599">
        <v>-6</v>
      </c>
      <c r="W67" s="620"/>
      <c r="X67" s="621"/>
      <c r="Y67" s="1096">
        <f t="shared" si="2"/>
        <v>-6000000</v>
      </c>
      <c r="Z67" s="882">
        <f t="shared" si="3"/>
        <v>-6</v>
      </c>
    </row>
    <row r="68" spans="1:26" ht="27" customHeight="1">
      <c r="A68" s="583"/>
      <c r="B68" s="583">
        <v>1009</v>
      </c>
      <c r="C68" s="581">
        <v>10</v>
      </c>
      <c r="D68" s="1137" t="s">
        <v>3</v>
      </c>
      <c r="E68" s="1138" t="s">
        <v>938</v>
      </c>
      <c r="F68" s="599"/>
      <c r="G68" s="599"/>
      <c r="H68" s="599"/>
      <c r="I68" s="599"/>
      <c r="J68" s="599"/>
      <c r="K68" s="599"/>
      <c r="L68" s="599"/>
      <c r="M68" s="599"/>
      <c r="N68" s="599"/>
      <c r="O68" s="599"/>
      <c r="P68" s="599"/>
      <c r="Q68" s="599"/>
      <c r="R68" s="599"/>
      <c r="S68" s="1096">
        <f t="shared" si="0"/>
        <v>0</v>
      </c>
      <c r="T68" s="599">
        <v>0</v>
      </c>
      <c r="U68" s="1096">
        <f t="shared" si="1"/>
        <v>0</v>
      </c>
      <c r="V68" s="599">
        <v>0</v>
      </c>
      <c r="W68" s="620"/>
      <c r="X68" s="621"/>
      <c r="Y68" s="1096">
        <f t="shared" si="2"/>
        <v>0</v>
      </c>
      <c r="Z68" s="882">
        <f t="shared" si="3"/>
        <v>0</v>
      </c>
    </row>
    <row r="69" spans="1:26" ht="27" customHeight="1">
      <c r="A69" s="583"/>
      <c r="B69" s="583">
        <v>1009</v>
      </c>
      <c r="C69" s="581">
        <v>10</v>
      </c>
      <c r="D69" s="1137" t="s">
        <v>4</v>
      </c>
      <c r="E69" s="1138" t="s">
        <v>440</v>
      </c>
      <c r="F69" s="599">
        <v>-366770496455</v>
      </c>
      <c r="G69" s="599"/>
      <c r="H69" s="599"/>
      <c r="I69" s="599"/>
      <c r="J69" s="599"/>
      <c r="K69" s="599"/>
      <c r="L69" s="599"/>
      <c r="M69" s="599"/>
      <c r="N69" s="599"/>
      <c r="O69" s="599"/>
      <c r="P69" s="599"/>
      <c r="Q69" s="599"/>
      <c r="R69" s="599"/>
      <c r="S69" s="1096">
        <f t="shared" ref="S69:S133" si="4">SUM(F69:R69)</f>
        <v>-366770496455</v>
      </c>
      <c r="T69" s="599">
        <v>-212562194663</v>
      </c>
      <c r="U69" s="1096">
        <f t="shared" ref="U69:U133" si="5">ROUND((S69/1000000),0)</f>
        <v>-366770</v>
      </c>
      <c r="V69" s="599">
        <v>-212562</v>
      </c>
      <c r="W69" s="620"/>
      <c r="X69" s="621"/>
      <c r="Y69" s="1096">
        <f t="shared" ref="Y69:Y133" si="6">S69+X69-W69</f>
        <v>-366770496455</v>
      </c>
      <c r="Z69" s="882">
        <f t="shared" ref="Z69:Z133" si="7">ROUND((Y69/1000000),0)</f>
        <v>-366770</v>
      </c>
    </row>
    <row r="70" spans="1:26" ht="27" customHeight="1">
      <c r="A70" s="583"/>
      <c r="B70" s="583">
        <v>401</v>
      </c>
      <c r="C70" s="581">
        <v>4</v>
      </c>
      <c r="D70" s="1137" t="s">
        <v>441</v>
      </c>
      <c r="E70" s="1138" t="s">
        <v>442</v>
      </c>
      <c r="F70" s="599">
        <v>19722279</v>
      </c>
      <c r="G70" s="599"/>
      <c r="H70" s="599"/>
      <c r="I70" s="599"/>
      <c r="J70" s="599"/>
      <c r="K70" s="599"/>
      <c r="L70" s="599"/>
      <c r="M70" s="599"/>
      <c r="N70" s="599"/>
      <c r="O70" s="599"/>
      <c r="P70" s="599"/>
      <c r="Q70" s="599"/>
      <c r="R70" s="599"/>
      <c r="S70" s="1096">
        <f t="shared" si="4"/>
        <v>19722279</v>
      </c>
      <c r="T70" s="599">
        <v>51111276</v>
      </c>
      <c r="U70" s="1096">
        <f t="shared" si="5"/>
        <v>20</v>
      </c>
      <c r="V70" s="599">
        <v>51</v>
      </c>
      <c r="W70" s="620"/>
      <c r="X70" s="621"/>
      <c r="Y70" s="1096">
        <f t="shared" si="6"/>
        <v>19722279</v>
      </c>
      <c r="Z70" s="882">
        <f t="shared" si="7"/>
        <v>20</v>
      </c>
    </row>
    <row r="71" spans="1:26" ht="27" customHeight="1">
      <c r="A71" s="583"/>
      <c r="B71" s="583">
        <v>1009</v>
      </c>
      <c r="C71" s="581">
        <v>10</v>
      </c>
      <c r="D71" s="1137" t="s">
        <v>5</v>
      </c>
      <c r="E71" s="1138" t="s">
        <v>828</v>
      </c>
      <c r="F71" s="599"/>
      <c r="G71" s="599"/>
      <c r="H71" s="599"/>
      <c r="I71" s="599"/>
      <c r="J71" s="599"/>
      <c r="K71" s="599"/>
      <c r="L71" s="599"/>
      <c r="M71" s="599"/>
      <c r="N71" s="599"/>
      <c r="O71" s="599"/>
      <c r="P71" s="599"/>
      <c r="Q71" s="599"/>
      <c r="R71" s="599"/>
      <c r="S71" s="1096">
        <f t="shared" si="4"/>
        <v>0</v>
      </c>
      <c r="T71" s="599">
        <v>0</v>
      </c>
      <c r="U71" s="1096">
        <f t="shared" si="5"/>
        <v>0</v>
      </c>
      <c r="V71" s="599">
        <v>0</v>
      </c>
      <c r="W71" s="620"/>
      <c r="X71" s="621"/>
      <c r="Y71" s="1096">
        <f t="shared" si="6"/>
        <v>0</v>
      </c>
      <c r="Z71" s="882">
        <f t="shared" si="7"/>
        <v>0</v>
      </c>
    </row>
    <row r="72" spans="1:26" ht="27" customHeight="1">
      <c r="A72" s="583"/>
      <c r="B72" s="583">
        <v>406</v>
      </c>
      <c r="C72" s="581">
        <v>4</v>
      </c>
      <c r="D72" s="1137" t="s">
        <v>1334</v>
      </c>
      <c r="E72" s="1138" t="s">
        <v>1611</v>
      </c>
      <c r="F72" s="599">
        <v>367726274500</v>
      </c>
      <c r="G72" s="599"/>
      <c r="H72" s="599"/>
      <c r="I72" s="599"/>
      <c r="J72" s="599"/>
      <c r="K72" s="599"/>
      <c r="L72" s="599"/>
      <c r="M72" s="599"/>
      <c r="N72" s="599"/>
      <c r="O72" s="599"/>
      <c r="P72" s="599"/>
      <c r="Q72" s="599"/>
      <c r="R72" s="599"/>
      <c r="S72" s="1096">
        <f t="shared" si="4"/>
        <v>367726274500</v>
      </c>
      <c r="T72" s="599">
        <v>205992538675</v>
      </c>
      <c r="U72" s="1096">
        <f t="shared" si="5"/>
        <v>367726</v>
      </c>
      <c r="V72" s="599">
        <v>205993</v>
      </c>
      <c r="W72" s="620"/>
      <c r="X72" s="621"/>
      <c r="Y72" s="1096">
        <f t="shared" si="6"/>
        <v>367726274500</v>
      </c>
      <c r="Z72" s="882">
        <f t="shared" si="7"/>
        <v>367726</v>
      </c>
    </row>
    <row r="73" spans="1:26" ht="27" customHeight="1">
      <c r="A73" s="583"/>
      <c r="B73" s="583">
        <v>1009</v>
      </c>
      <c r="C73" s="581">
        <v>10</v>
      </c>
      <c r="D73" s="1137" t="s">
        <v>878</v>
      </c>
      <c r="E73" s="1138" t="s">
        <v>879</v>
      </c>
      <c r="F73" s="599">
        <v>-66967724</v>
      </c>
      <c r="G73" s="599"/>
      <c r="H73" s="599"/>
      <c r="I73" s="599"/>
      <c r="J73" s="599">
        <v>66967724</v>
      </c>
      <c r="K73" s="599"/>
      <c r="L73" s="599"/>
      <c r="M73" s="599"/>
      <c r="N73" s="599"/>
      <c r="O73" s="599"/>
      <c r="P73" s="599"/>
      <c r="Q73" s="599"/>
      <c r="R73" s="599"/>
      <c r="S73" s="1096">
        <f t="shared" si="4"/>
        <v>0</v>
      </c>
      <c r="T73" s="599">
        <v>-65601910</v>
      </c>
      <c r="U73" s="1096">
        <f t="shared" si="5"/>
        <v>0</v>
      </c>
      <c r="V73" s="599">
        <v>-66</v>
      </c>
      <c r="W73" s="620"/>
      <c r="X73" s="621"/>
      <c r="Y73" s="1096">
        <f t="shared" si="6"/>
        <v>0</v>
      </c>
      <c r="Z73" s="882">
        <f t="shared" si="7"/>
        <v>0</v>
      </c>
    </row>
    <row r="74" spans="1:26" s="1410" customFormat="1" ht="27" customHeight="1">
      <c r="A74" s="1405"/>
      <c r="B74" s="1405">
        <v>1009</v>
      </c>
      <c r="C74" s="1231">
        <v>10</v>
      </c>
      <c r="D74" s="1230" t="s">
        <v>1236</v>
      </c>
      <c r="E74" s="1406" t="s">
        <v>1237</v>
      </c>
      <c r="F74" s="599">
        <v>-13330000</v>
      </c>
      <c r="G74" s="599">
        <v>-31980000</v>
      </c>
      <c r="H74" s="599"/>
      <c r="I74" s="599"/>
      <c r="J74" s="599"/>
      <c r="K74" s="599"/>
      <c r="L74" s="599">
        <v>-4320000</v>
      </c>
      <c r="M74" s="1407"/>
      <c r="N74" s="599"/>
      <c r="O74" s="599"/>
      <c r="P74" s="599"/>
      <c r="Q74" s="599"/>
      <c r="R74" s="599"/>
      <c r="S74" s="1096">
        <f t="shared" si="4"/>
        <v>-49630000</v>
      </c>
      <c r="T74" s="1407">
        <v>7040000</v>
      </c>
      <c r="U74" s="1096">
        <f t="shared" si="5"/>
        <v>-50</v>
      </c>
      <c r="V74" s="1407">
        <v>7</v>
      </c>
      <c r="W74" s="1408"/>
      <c r="X74" s="1409"/>
      <c r="Y74" s="1096">
        <f t="shared" si="6"/>
        <v>-49630000</v>
      </c>
      <c r="Z74" s="882">
        <f t="shared" si="7"/>
        <v>-50</v>
      </c>
    </row>
    <row r="75" spans="1:26" ht="27" customHeight="1">
      <c r="A75" s="583"/>
      <c r="B75" s="583">
        <v>401</v>
      </c>
      <c r="C75" s="581">
        <v>4</v>
      </c>
      <c r="D75" s="1137" t="s">
        <v>1175</v>
      </c>
      <c r="E75" s="1138" t="s">
        <v>1168</v>
      </c>
      <c r="F75" s="599">
        <v>-71968369</v>
      </c>
      <c r="G75" s="599"/>
      <c r="H75" s="599"/>
      <c r="I75" s="599"/>
      <c r="J75" s="599"/>
      <c r="K75" s="599"/>
      <c r="L75" s="599"/>
      <c r="M75" s="599"/>
      <c r="N75" s="599"/>
      <c r="O75" s="599"/>
      <c r="P75" s="599"/>
      <c r="Q75" s="599"/>
      <c r="R75" s="599"/>
      <c r="S75" s="1096">
        <f t="shared" si="4"/>
        <v>-71968369</v>
      </c>
      <c r="T75" s="599">
        <v>-84717985</v>
      </c>
      <c r="U75" s="1096">
        <f t="shared" si="5"/>
        <v>-72</v>
      </c>
      <c r="V75" s="599">
        <v>-85</v>
      </c>
      <c r="W75" s="620"/>
      <c r="X75" s="621"/>
      <c r="Y75" s="1096">
        <f t="shared" si="6"/>
        <v>-71968369</v>
      </c>
      <c r="Z75" s="882">
        <f t="shared" si="7"/>
        <v>-72</v>
      </c>
    </row>
    <row r="76" spans="1:26" ht="27" customHeight="1">
      <c r="A76" s="583"/>
      <c r="B76" s="583">
        <v>1009</v>
      </c>
      <c r="C76" s="581">
        <v>10</v>
      </c>
      <c r="D76" s="1137" t="s">
        <v>833</v>
      </c>
      <c r="E76" s="1138" t="s">
        <v>834</v>
      </c>
      <c r="F76" s="599"/>
      <c r="G76" s="599"/>
      <c r="H76" s="599"/>
      <c r="I76" s="599"/>
      <c r="J76" s="599"/>
      <c r="K76" s="599"/>
      <c r="L76" s="599"/>
      <c r="M76" s="599"/>
      <c r="N76" s="599"/>
      <c r="O76" s="599"/>
      <c r="P76" s="599"/>
      <c r="Q76" s="599"/>
      <c r="R76" s="599"/>
      <c r="S76" s="1096">
        <f t="shared" si="4"/>
        <v>0</v>
      </c>
      <c r="T76" s="599">
        <v>0</v>
      </c>
      <c r="U76" s="1096">
        <f t="shared" si="5"/>
        <v>0</v>
      </c>
      <c r="V76" s="599">
        <v>0</v>
      </c>
      <c r="W76" s="620"/>
      <c r="X76" s="621"/>
      <c r="Y76" s="1096">
        <f t="shared" si="6"/>
        <v>0</v>
      </c>
      <c r="Z76" s="882">
        <f t="shared" si="7"/>
        <v>0</v>
      </c>
    </row>
    <row r="77" spans="1:26" ht="27" customHeight="1">
      <c r="A77" s="583"/>
      <c r="B77" s="583">
        <v>401</v>
      </c>
      <c r="C77" s="581">
        <v>4</v>
      </c>
      <c r="D77" s="1137" t="s">
        <v>835</v>
      </c>
      <c r="E77" s="1138" t="s">
        <v>836</v>
      </c>
      <c r="F77" s="599">
        <v>31546202629</v>
      </c>
      <c r="G77" s="599">
        <v>-2000</v>
      </c>
      <c r="H77" s="599"/>
      <c r="I77" s="599"/>
      <c r="J77" s="599"/>
      <c r="K77" s="599"/>
      <c r="L77" s="599"/>
      <c r="M77" s="599"/>
      <c r="N77" s="599"/>
      <c r="O77" s="599"/>
      <c r="P77" s="599"/>
      <c r="Q77" s="599"/>
      <c r="R77" s="599"/>
      <c r="S77" s="1096">
        <f t="shared" si="4"/>
        <v>31546200629</v>
      </c>
      <c r="T77" s="599">
        <v>38375447629</v>
      </c>
      <c r="U77" s="1096">
        <f t="shared" si="5"/>
        <v>31546</v>
      </c>
      <c r="V77" s="599">
        <v>38375</v>
      </c>
      <c r="W77" s="620"/>
      <c r="X77" s="621"/>
      <c r="Y77" s="1096">
        <f t="shared" si="6"/>
        <v>31546200629</v>
      </c>
      <c r="Z77" s="882">
        <f t="shared" si="7"/>
        <v>31546</v>
      </c>
    </row>
    <row r="78" spans="1:26" ht="27" customHeight="1">
      <c r="A78" s="583"/>
      <c r="B78" s="583">
        <v>401</v>
      </c>
      <c r="C78" s="581">
        <v>4</v>
      </c>
      <c r="D78" s="1137" t="s">
        <v>6</v>
      </c>
      <c r="E78" s="1138" t="s">
        <v>204</v>
      </c>
      <c r="F78" s="599">
        <v>12094248762</v>
      </c>
      <c r="G78" s="599">
        <v>-779398573</v>
      </c>
      <c r="H78" s="599">
        <v>649618587</v>
      </c>
      <c r="I78" s="599"/>
      <c r="J78" s="599"/>
      <c r="K78" s="599"/>
      <c r="L78" s="599"/>
      <c r="M78" s="599"/>
      <c r="N78" s="599"/>
      <c r="O78" s="599"/>
      <c r="P78" s="599"/>
      <c r="Q78" s="599"/>
      <c r="R78" s="599"/>
      <c r="S78" s="1096">
        <f t="shared" si="4"/>
        <v>11964468776</v>
      </c>
      <c r="T78" s="599">
        <v>7844390633</v>
      </c>
      <c r="U78" s="738">
        <f>ROUND((S78/1000000),0)+1</f>
        <v>11965</v>
      </c>
      <c r="V78" s="599">
        <v>7844</v>
      </c>
      <c r="W78" s="620"/>
      <c r="X78" s="621"/>
      <c r="Y78" s="1096">
        <f t="shared" si="6"/>
        <v>11964468776</v>
      </c>
      <c r="Z78" s="882">
        <f t="shared" si="7"/>
        <v>11964</v>
      </c>
    </row>
    <row r="79" spans="1:26" ht="27" customHeight="1">
      <c r="A79" s="583"/>
      <c r="B79" s="583"/>
      <c r="C79" s="581"/>
      <c r="D79" s="1137">
        <v>6605610</v>
      </c>
      <c r="E79" s="1138"/>
      <c r="F79" s="599"/>
      <c r="G79" s="599"/>
      <c r="H79" s="599"/>
      <c r="I79" s="599"/>
      <c r="J79" s="599"/>
      <c r="K79" s="599"/>
      <c r="L79" s="599"/>
      <c r="M79" s="599"/>
      <c r="N79" s="599"/>
      <c r="O79" s="599"/>
      <c r="P79" s="599"/>
      <c r="Q79" s="599"/>
      <c r="R79" s="599"/>
      <c r="S79" s="1096"/>
      <c r="T79" s="599"/>
      <c r="U79" s="738"/>
      <c r="V79" s="599"/>
      <c r="W79" s="620"/>
      <c r="X79" s="621"/>
      <c r="Y79" s="1096"/>
      <c r="Z79" s="882"/>
    </row>
    <row r="80" spans="1:26" ht="27" customHeight="1">
      <c r="A80" s="583"/>
      <c r="B80" s="583">
        <v>1002</v>
      </c>
      <c r="C80" s="581">
        <v>10</v>
      </c>
      <c r="D80" s="1137" t="s">
        <v>939</v>
      </c>
      <c r="E80" s="1138" t="s">
        <v>940</v>
      </c>
      <c r="F80" s="599">
        <v>26647796346</v>
      </c>
      <c r="G80" s="599">
        <v>-13009729411</v>
      </c>
      <c r="H80" s="599">
        <v>-9710212675</v>
      </c>
      <c r="I80" s="599">
        <v>-1555011481</v>
      </c>
      <c r="J80" s="599">
        <v>-2372842779</v>
      </c>
      <c r="K80" s="599"/>
      <c r="L80" s="599"/>
      <c r="M80" s="599"/>
      <c r="N80" s="599"/>
      <c r="O80" s="599"/>
      <c r="P80" s="599"/>
      <c r="Q80" s="599"/>
      <c r="R80" s="599"/>
      <c r="S80" s="1096">
        <f t="shared" si="4"/>
        <v>0</v>
      </c>
      <c r="T80" s="599">
        <v>0</v>
      </c>
      <c r="U80" s="1096">
        <f t="shared" si="5"/>
        <v>0</v>
      </c>
      <c r="V80" s="599">
        <v>0</v>
      </c>
      <c r="W80" s="620"/>
      <c r="X80" s="621"/>
      <c r="Y80" s="1096">
        <f t="shared" si="6"/>
        <v>0</v>
      </c>
      <c r="Z80" s="882">
        <f t="shared" si="7"/>
        <v>0</v>
      </c>
    </row>
    <row r="81" spans="1:26" ht="27" customHeight="1">
      <c r="A81" s="583"/>
      <c r="B81" s="583">
        <v>1002</v>
      </c>
      <c r="C81" s="581">
        <v>10</v>
      </c>
      <c r="D81" s="582" t="s">
        <v>7</v>
      </c>
      <c r="E81" s="1138" t="s">
        <v>1822</v>
      </c>
      <c r="F81" s="599">
        <v>5335636310</v>
      </c>
      <c r="G81" s="599"/>
      <c r="H81" s="599"/>
      <c r="I81" s="599">
        <v>-119869934</v>
      </c>
      <c r="J81" s="599">
        <v>-5215766376</v>
      </c>
      <c r="K81" s="599"/>
      <c r="L81" s="599"/>
      <c r="M81" s="599"/>
      <c r="N81" s="599"/>
      <c r="O81" s="599"/>
      <c r="P81" s="599"/>
      <c r="Q81" s="599"/>
      <c r="R81" s="599"/>
      <c r="S81" s="1096">
        <f t="shared" si="4"/>
        <v>0</v>
      </c>
      <c r="T81" s="599"/>
      <c r="U81" s="1096">
        <f t="shared" si="5"/>
        <v>0</v>
      </c>
      <c r="V81" s="599"/>
      <c r="W81" s="620"/>
      <c r="X81" s="621"/>
      <c r="Y81" s="1096">
        <f t="shared" si="6"/>
        <v>0</v>
      </c>
      <c r="Z81" s="882">
        <f t="shared" si="7"/>
        <v>0</v>
      </c>
    </row>
    <row r="82" spans="1:26" ht="27" customHeight="1">
      <c r="A82" s="583"/>
      <c r="B82" s="1424">
        <v>1009</v>
      </c>
      <c r="C82" s="581">
        <v>10</v>
      </c>
      <c r="D82" s="1137" t="s">
        <v>8</v>
      </c>
      <c r="E82" s="1138" t="s">
        <v>203</v>
      </c>
      <c r="F82" s="599">
        <v>-10540658664</v>
      </c>
      <c r="G82" s="599">
        <v>647067632</v>
      </c>
      <c r="H82" s="599">
        <v>-652496541</v>
      </c>
      <c r="I82" s="599"/>
      <c r="J82" s="599"/>
      <c r="K82" s="599"/>
      <c r="L82" s="599"/>
      <c r="M82" s="599"/>
      <c r="N82" s="599"/>
      <c r="O82" s="599"/>
      <c r="P82" s="599"/>
      <c r="Q82" s="599"/>
      <c r="R82" s="599"/>
      <c r="S82" s="1096">
        <f t="shared" si="4"/>
        <v>-10546087573</v>
      </c>
      <c r="T82" s="599">
        <v>-5914673404</v>
      </c>
      <c r="U82" s="1096">
        <f t="shared" si="5"/>
        <v>-10546</v>
      </c>
      <c r="V82" s="599">
        <v>-5915</v>
      </c>
      <c r="W82" s="620"/>
      <c r="X82" s="621"/>
      <c r="Y82" s="1096">
        <f t="shared" si="6"/>
        <v>-10546087573</v>
      </c>
      <c r="Z82" s="882">
        <f t="shared" si="7"/>
        <v>-10546</v>
      </c>
    </row>
    <row r="83" spans="1:26" ht="27" customHeight="1">
      <c r="A83" s="583"/>
      <c r="B83" s="583">
        <v>401</v>
      </c>
      <c r="C83" s="581">
        <v>4</v>
      </c>
      <c r="D83" s="1137" t="s">
        <v>1238</v>
      </c>
      <c r="E83" s="1138" t="s">
        <v>1239</v>
      </c>
      <c r="F83" s="599">
        <v>83806650</v>
      </c>
      <c r="G83" s="599"/>
      <c r="H83" s="599"/>
      <c r="I83" s="599"/>
      <c r="J83" s="599"/>
      <c r="K83" s="599"/>
      <c r="L83" s="599"/>
      <c r="M83" s="599"/>
      <c r="N83" s="599"/>
      <c r="O83" s="599"/>
      <c r="P83" s="599"/>
      <c r="Q83" s="599"/>
      <c r="R83" s="599"/>
      <c r="S83" s="1096">
        <f t="shared" si="4"/>
        <v>83806650</v>
      </c>
      <c r="T83" s="599">
        <v>81848200</v>
      </c>
      <c r="U83" s="1096">
        <f t="shared" si="5"/>
        <v>84</v>
      </c>
      <c r="V83" s="599">
        <v>82</v>
      </c>
      <c r="W83" s="620"/>
      <c r="X83" s="621"/>
      <c r="Y83" s="1096">
        <f t="shared" si="6"/>
        <v>83806650</v>
      </c>
      <c r="Z83" s="882">
        <f t="shared" si="7"/>
        <v>84</v>
      </c>
    </row>
    <row r="84" spans="1:26" ht="27" customHeight="1">
      <c r="A84" s="583"/>
      <c r="B84" s="583">
        <v>1009</v>
      </c>
      <c r="C84" s="581">
        <v>10</v>
      </c>
      <c r="D84" s="1137" t="s">
        <v>549</v>
      </c>
      <c r="E84" s="1138" t="s">
        <v>550</v>
      </c>
      <c r="F84" s="599">
        <v>-85379084</v>
      </c>
      <c r="G84" s="599">
        <v>160680100</v>
      </c>
      <c r="H84" s="599">
        <v>184</v>
      </c>
      <c r="I84" s="599"/>
      <c r="J84" s="599">
        <v>-7083300</v>
      </c>
      <c r="K84" s="599">
        <v>-36240300</v>
      </c>
      <c r="L84" s="599"/>
      <c r="M84" s="599"/>
      <c r="N84" s="599"/>
      <c r="O84" s="599"/>
      <c r="P84" s="599"/>
      <c r="Q84" s="599"/>
      <c r="R84" s="599"/>
      <c r="S84" s="1096">
        <f t="shared" si="4"/>
        <v>31977600</v>
      </c>
      <c r="T84" s="599">
        <v>28123100</v>
      </c>
      <c r="U84" s="1096">
        <f t="shared" si="5"/>
        <v>32</v>
      </c>
      <c r="V84" s="599">
        <v>28</v>
      </c>
      <c r="W84" s="620"/>
      <c r="X84" s="621"/>
      <c r="Y84" s="1096">
        <f t="shared" si="6"/>
        <v>31977600</v>
      </c>
      <c r="Z84" s="882">
        <f t="shared" si="7"/>
        <v>32</v>
      </c>
    </row>
    <row r="85" spans="1:26" ht="27" customHeight="1">
      <c r="A85" s="583"/>
      <c r="B85" s="583">
        <v>1301</v>
      </c>
      <c r="C85" s="581">
        <v>11</v>
      </c>
      <c r="D85" s="1137" t="s">
        <v>9</v>
      </c>
      <c r="E85" s="1138" t="s">
        <v>590</v>
      </c>
      <c r="F85" s="599">
        <v>-3971354309924</v>
      </c>
      <c r="G85" s="599">
        <v>-65610477843</v>
      </c>
      <c r="H85" s="599">
        <v>-3081133766</v>
      </c>
      <c r="I85" s="599">
        <v>11149807806</v>
      </c>
      <c r="J85" s="599">
        <v>-41303403</v>
      </c>
      <c r="K85" s="599">
        <v>41303403</v>
      </c>
      <c r="L85" s="599"/>
      <c r="M85" s="599"/>
      <c r="N85" s="599"/>
      <c r="O85" s="599"/>
      <c r="P85" s="599"/>
      <c r="Q85" s="599"/>
      <c r="R85" s="599"/>
      <c r="S85" s="1096">
        <f t="shared" si="4"/>
        <v>-4028896113727</v>
      </c>
      <c r="T85" s="599">
        <v>-3907582918266</v>
      </c>
      <c r="U85" s="1096">
        <f t="shared" si="5"/>
        <v>-4028896</v>
      </c>
      <c r="V85" s="599">
        <v>-3907583</v>
      </c>
      <c r="W85" s="620"/>
      <c r="X85" s="621"/>
      <c r="Y85" s="1096">
        <f t="shared" si="6"/>
        <v>-4028896113727</v>
      </c>
      <c r="Z85" s="882">
        <f t="shared" si="7"/>
        <v>-4028896</v>
      </c>
    </row>
    <row r="86" spans="1:26" ht="27" customHeight="1">
      <c r="A86" s="583"/>
      <c r="B86" s="583">
        <v>1009</v>
      </c>
      <c r="C86" s="581">
        <v>10</v>
      </c>
      <c r="D86" s="1137" t="s">
        <v>11</v>
      </c>
      <c r="E86" s="1138" t="s">
        <v>551</v>
      </c>
      <c r="F86" s="599">
        <v>-116110949</v>
      </c>
      <c r="G86" s="599"/>
      <c r="H86" s="599"/>
      <c r="I86" s="599"/>
      <c r="J86" s="599"/>
      <c r="K86" s="599"/>
      <c r="L86" s="599"/>
      <c r="M86" s="599"/>
      <c r="N86" s="599"/>
      <c r="O86" s="599"/>
      <c r="P86" s="599"/>
      <c r="Q86" s="599"/>
      <c r="R86" s="599"/>
      <c r="S86" s="1096">
        <f t="shared" si="4"/>
        <v>-116110949</v>
      </c>
      <c r="T86" s="599">
        <v>-99334436</v>
      </c>
      <c r="U86" s="1096">
        <f t="shared" si="5"/>
        <v>-116</v>
      </c>
      <c r="V86" s="599">
        <v>-99</v>
      </c>
      <c r="W86" s="620"/>
      <c r="X86" s="621"/>
      <c r="Y86" s="1096">
        <f t="shared" si="6"/>
        <v>-116110949</v>
      </c>
      <c r="Z86" s="882">
        <f t="shared" si="7"/>
        <v>-116</v>
      </c>
    </row>
    <row r="87" spans="1:26" ht="26.25" customHeight="1">
      <c r="A87" s="583"/>
      <c r="B87" s="583">
        <v>1009</v>
      </c>
      <c r="C87" s="581">
        <v>10</v>
      </c>
      <c r="D87" s="1137" t="s">
        <v>12</v>
      </c>
      <c r="E87" s="1138" t="s">
        <v>13</v>
      </c>
      <c r="F87" s="599">
        <v>-84361587</v>
      </c>
      <c r="G87" s="599">
        <v>-20551356</v>
      </c>
      <c r="H87" s="599"/>
      <c r="I87" s="599"/>
      <c r="J87" s="599"/>
      <c r="K87" s="599"/>
      <c r="L87" s="599"/>
      <c r="M87" s="599"/>
      <c r="N87" s="599"/>
      <c r="O87" s="599"/>
      <c r="P87" s="599"/>
      <c r="Q87" s="599"/>
      <c r="R87" s="599"/>
      <c r="S87" s="1096">
        <f t="shared" si="4"/>
        <v>-104912943</v>
      </c>
      <c r="T87" s="599">
        <v>-347647981</v>
      </c>
      <c r="U87" s="1096">
        <f t="shared" si="5"/>
        <v>-105</v>
      </c>
      <c r="V87" s="599">
        <v>-348</v>
      </c>
      <c r="W87" s="620"/>
      <c r="X87" s="621"/>
      <c r="Y87" s="1096">
        <f t="shared" si="6"/>
        <v>-104912943</v>
      </c>
      <c r="Z87" s="882">
        <f t="shared" si="7"/>
        <v>-105</v>
      </c>
    </row>
    <row r="88" spans="1:26" ht="27" customHeight="1">
      <c r="A88" s="583"/>
      <c r="B88" s="583">
        <v>1009</v>
      </c>
      <c r="C88" s="581">
        <v>10</v>
      </c>
      <c r="D88" s="1137" t="s">
        <v>1091</v>
      </c>
      <c r="E88" s="1138" t="s">
        <v>1092</v>
      </c>
      <c r="F88" s="599"/>
      <c r="G88" s="599"/>
      <c r="H88" s="599"/>
      <c r="I88" s="599"/>
      <c r="J88" s="599"/>
      <c r="K88" s="599"/>
      <c r="L88" s="599"/>
      <c r="M88" s="599"/>
      <c r="N88" s="599"/>
      <c r="O88" s="599"/>
      <c r="P88" s="599"/>
      <c r="Q88" s="599"/>
      <c r="R88" s="599"/>
      <c r="S88" s="1096">
        <f t="shared" si="4"/>
        <v>0</v>
      </c>
      <c r="T88" s="599">
        <v>0</v>
      </c>
      <c r="U88" s="1096">
        <f t="shared" si="5"/>
        <v>0</v>
      </c>
      <c r="V88" s="599">
        <v>0</v>
      </c>
      <c r="W88" s="620"/>
      <c r="X88" s="621"/>
      <c r="Y88" s="1096">
        <f t="shared" si="6"/>
        <v>0</v>
      </c>
      <c r="Z88" s="882">
        <f t="shared" si="7"/>
        <v>0</v>
      </c>
    </row>
    <row r="89" spans="1:26" ht="27" customHeight="1">
      <c r="A89" s="583"/>
      <c r="B89" s="583">
        <v>1009</v>
      </c>
      <c r="C89" s="581">
        <v>10</v>
      </c>
      <c r="D89" s="1137" t="s">
        <v>14</v>
      </c>
      <c r="E89" s="1138" t="s">
        <v>363</v>
      </c>
      <c r="F89" s="599">
        <v>-6692893843</v>
      </c>
      <c r="G89" s="599">
        <v>16962600</v>
      </c>
      <c r="H89" s="599">
        <v>-16962600</v>
      </c>
      <c r="I89" s="599"/>
      <c r="J89" s="599"/>
      <c r="K89" s="599"/>
      <c r="L89" s="599"/>
      <c r="M89" s="599"/>
      <c r="N89" s="599"/>
      <c r="O89" s="599"/>
      <c r="P89" s="599"/>
      <c r="Q89" s="599"/>
      <c r="R89" s="599"/>
      <c r="S89" s="1096">
        <f t="shared" si="4"/>
        <v>-6692893843</v>
      </c>
      <c r="T89" s="599">
        <v>-6504311843</v>
      </c>
      <c r="U89" s="1096">
        <f t="shared" si="5"/>
        <v>-6693</v>
      </c>
      <c r="V89" s="599">
        <v>-6504</v>
      </c>
      <c r="W89" s="620"/>
      <c r="X89" s="621"/>
      <c r="Y89" s="1096">
        <f t="shared" si="6"/>
        <v>-6692893843</v>
      </c>
      <c r="Z89" s="882">
        <f t="shared" si="7"/>
        <v>-6693</v>
      </c>
    </row>
    <row r="90" spans="1:26" ht="27" customHeight="1">
      <c r="A90" s="583"/>
      <c r="B90" s="583">
        <v>1009</v>
      </c>
      <c r="C90" s="581">
        <v>10</v>
      </c>
      <c r="D90" s="1137" t="s">
        <v>15</v>
      </c>
      <c r="E90" s="1138" t="s">
        <v>552</v>
      </c>
      <c r="F90" s="599"/>
      <c r="G90" s="599"/>
      <c r="H90" s="599"/>
      <c r="I90" s="599"/>
      <c r="J90" s="599"/>
      <c r="K90" s="599"/>
      <c r="L90" s="599"/>
      <c r="M90" s="599"/>
      <c r="N90" s="599"/>
      <c r="O90" s="599"/>
      <c r="P90" s="599"/>
      <c r="Q90" s="599"/>
      <c r="R90" s="599"/>
      <c r="S90" s="1096">
        <f t="shared" si="4"/>
        <v>0</v>
      </c>
      <c r="T90" s="599">
        <v>0</v>
      </c>
      <c r="U90" s="1096">
        <f t="shared" si="5"/>
        <v>0</v>
      </c>
      <c r="V90" s="599">
        <v>0</v>
      </c>
      <c r="W90" s="620"/>
      <c r="X90" s="621"/>
      <c r="Y90" s="1096">
        <f t="shared" si="6"/>
        <v>0</v>
      </c>
      <c r="Z90" s="882">
        <f t="shared" si="7"/>
        <v>0</v>
      </c>
    </row>
    <row r="91" spans="1:26" ht="27" customHeight="1">
      <c r="A91" s="583"/>
      <c r="B91" s="583">
        <v>1009</v>
      </c>
      <c r="C91" s="581">
        <v>10</v>
      </c>
      <c r="D91" s="1137" t="s">
        <v>744</v>
      </c>
      <c r="E91" s="1138" t="s">
        <v>1093</v>
      </c>
      <c r="F91" s="599">
        <v>-800466503</v>
      </c>
      <c r="G91" s="599">
        <v>796528827</v>
      </c>
      <c r="H91" s="599">
        <v>3894326</v>
      </c>
      <c r="I91" s="599">
        <v>43250</v>
      </c>
      <c r="J91" s="599">
        <v>100</v>
      </c>
      <c r="K91" s="599"/>
      <c r="L91" s="599"/>
      <c r="M91" s="599"/>
      <c r="N91" s="599"/>
      <c r="O91" s="599"/>
      <c r="P91" s="599"/>
      <c r="Q91" s="599"/>
      <c r="R91" s="599"/>
      <c r="S91" s="1096">
        <f t="shared" si="4"/>
        <v>0</v>
      </c>
      <c r="T91" s="599">
        <v>-1406350</v>
      </c>
      <c r="U91" s="1096">
        <f t="shared" si="5"/>
        <v>0</v>
      </c>
      <c r="V91" s="599">
        <v>-1</v>
      </c>
      <c r="W91" s="620"/>
      <c r="X91" s="621"/>
      <c r="Y91" s="1096">
        <f t="shared" si="6"/>
        <v>0</v>
      </c>
      <c r="Z91" s="882">
        <f t="shared" si="7"/>
        <v>0</v>
      </c>
    </row>
    <row r="92" spans="1:26" ht="27" customHeight="1">
      <c r="A92" s="583"/>
      <c r="B92" s="583">
        <v>1002</v>
      </c>
      <c r="C92" s="581">
        <v>10</v>
      </c>
      <c r="D92" s="1137" t="s">
        <v>39</v>
      </c>
      <c r="E92" s="1138" t="s">
        <v>181</v>
      </c>
      <c r="F92" s="599">
        <v>-109906011920</v>
      </c>
      <c r="G92" s="599">
        <v>12863797800</v>
      </c>
      <c r="H92" s="599">
        <v>9646531330</v>
      </c>
      <c r="I92" s="599">
        <v>1674881415</v>
      </c>
      <c r="J92" s="599">
        <v>7588032405</v>
      </c>
      <c r="K92" s="599"/>
      <c r="L92" s="599"/>
      <c r="M92" s="599"/>
      <c r="N92" s="599"/>
      <c r="O92" s="599"/>
      <c r="P92" s="599"/>
      <c r="Q92" s="599"/>
      <c r="R92" s="599"/>
      <c r="S92" s="1096">
        <f t="shared" si="4"/>
        <v>-78132768970</v>
      </c>
      <c r="T92" s="599">
        <v>-109071054875</v>
      </c>
      <c r="U92" s="1096">
        <f t="shared" si="5"/>
        <v>-78133</v>
      </c>
      <c r="V92" s="599">
        <v>-109071</v>
      </c>
      <c r="W92" s="620"/>
      <c r="X92" s="621"/>
      <c r="Y92" s="1096">
        <f t="shared" si="6"/>
        <v>-78132768970</v>
      </c>
      <c r="Z92" s="882">
        <f t="shared" si="7"/>
        <v>-78133</v>
      </c>
    </row>
    <row r="93" spans="1:26" ht="27" customHeight="1">
      <c r="A93" s="583"/>
      <c r="B93" s="583">
        <v>1009</v>
      </c>
      <c r="C93" s="581">
        <v>10</v>
      </c>
      <c r="D93" s="1137" t="s">
        <v>941</v>
      </c>
      <c r="E93" s="1138" t="s">
        <v>942</v>
      </c>
      <c r="F93" s="599"/>
      <c r="G93" s="599"/>
      <c r="H93" s="599"/>
      <c r="I93" s="599"/>
      <c r="J93" s="599"/>
      <c r="K93" s="599"/>
      <c r="L93" s="599"/>
      <c r="M93" s="599"/>
      <c r="N93" s="599"/>
      <c r="O93" s="599"/>
      <c r="P93" s="599"/>
      <c r="Q93" s="599"/>
      <c r="R93" s="599"/>
      <c r="S93" s="1096">
        <f t="shared" si="4"/>
        <v>0</v>
      </c>
      <c r="T93" s="599">
        <v>0</v>
      </c>
      <c r="U93" s="1096">
        <f t="shared" si="5"/>
        <v>0</v>
      </c>
      <c r="V93" s="599">
        <v>0</v>
      </c>
      <c r="W93" s="620"/>
      <c r="X93" s="621"/>
      <c r="Y93" s="1096">
        <f t="shared" si="6"/>
        <v>0</v>
      </c>
      <c r="Z93" s="882">
        <f t="shared" si="7"/>
        <v>0</v>
      </c>
    </row>
    <row r="94" spans="1:26" ht="27" customHeight="1">
      <c r="A94" s="583"/>
      <c r="B94" s="583">
        <v>1009</v>
      </c>
      <c r="C94" s="581">
        <v>10</v>
      </c>
      <c r="D94" s="1137" t="s">
        <v>40</v>
      </c>
      <c r="E94" s="1138" t="s">
        <v>41</v>
      </c>
      <c r="F94" s="599"/>
      <c r="G94" s="599"/>
      <c r="H94" s="599"/>
      <c r="I94" s="599"/>
      <c r="J94" s="599"/>
      <c r="K94" s="599"/>
      <c r="L94" s="599"/>
      <c r="M94" s="599"/>
      <c r="N94" s="599"/>
      <c r="O94" s="599"/>
      <c r="P94" s="599"/>
      <c r="Q94" s="599"/>
      <c r="R94" s="599"/>
      <c r="S94" s="1096">
        <f t="shared" si="4"/>
        <v>0</v>
      </c>
      <c r="T94" s="599">
        <v>0</v>
      </c>
      <c r="U94" s="1096">
        <f t="shared" si="5"/>
        <v>0</v>
      </c>
      <c r="V94" s="599">
        <v>0</v>
      </c>
      <c r="W94" s="620"/>
      <c r="X94" s="621"/>
      <c r="Y94" s="1096">
        <f t="shared" si="6"/>
        <v>0</v>
      </c>
      <c r="Z94" s="882">
        <f t="shared" si="7"/>
        <v>0</v>
      </c>
    </row>
    <row r="95" spans="1:26" ht="27" customHeight="1">
      <c r="A95" s="583"/>
      <c r="B95" s="583">
        <v>1009</v>
      </c>
      <c r="C95" s="581">
        <v>10</v>
      </c>
      <c r="D95" s="1137" t="s">
        <v>1094</v>
      </c>
      <c r="E95" s="1138" t="s">
        <v>1095</v>
      </c>
      <c r="F95" s="599">
        <v>-328151435</v>
      </c>
      <c r="G95" s="599">
        <v>321924556</v>
      </c>
      <c r="H95" s="599">
        <v>7385067</v>
      </c>
      <c r="I95" s="599">
        <v>-1158188</v>
      </c>
      <c r="J95" s="599"/>
      <c r="K95" s="599"/>
      <c r="L95" s="599"/>
      <c r="M95" s="599"/>
      <c r="N95" s="599"/>
      <c r="O95" s="599"/>
      <c r="P95" s="599"/>
      <c r="Q95" s="599"/>
      <c r="R95" s="599"/>
      <c r="S95" s="1096">
        <f t="shared" si="4"/>
        <v>0</v>
      </c>
      <c r="T95" s="599">
        <v>1000000</v>
      </c>
      <c r="U95" s="1096">
        <f t="shared" si="5"/>
        <v>0</v>
      </c>
      <c r="V95" s="599">
        <v>1</v>
      </c>
      <c r="W95" s="620"/>
      <c r="X95" s="621"/>
      <c r="Y95" s="1096">
        <f t="shared" si="6"/>
        <v>0</v>
      </c>
      <c r="Z95" s="882">
        <f t="shared" si="7"/>
        <v>0</v>
      </c>
    </row>
    <row r="96" spans="1:26" ht="27" customHeight="1">
      <c r="A96" s="583"/>
      <c r="B96" s="583">
        <v>1009</v>
      </c>
      <c r="C96" s="581">
        <v>10</v>
      </c>
      <c r="D96" s="1137" t="s">
        <v>1096</v>
      </c>
      <c r="E96" s="1138" t="s">
        <v>1097</v>
      </c>
      <c r="F96" s="599">
        <v>-240000</v>
      </c>
      <c r="G96" s="599"/>
      <c r="H96" s="599">
        <v>240000</v>
      </c>
      <c r="I96" s="599"/>
      <c r="J96" s="599"/>
      <c r="K96" s="599"/>
      <c r="L96" s="599"/>
      <c r="M96" s="599"/>
      <c r="N96" s="599"/>
      <c r="O96" s="599"/>
      <c r="P96" s="599"/>
      <c r="Q96" s="599"/>
      <c r="R96" s="599"/>
      <c r="S96" s="1096">
        <f t="shared" si="4"/>
        <v>0</v>
      </c>
      <c r="T96" s="599">
        <v>0</v>
      </c>
      <c r="U96" s="1096">
        <f t="shared" si="5"/>
        <v>0</v>
      </c>
      <c r="V96" s="599">
        <v>0</v>
      </c>
      <c r="W96" s="620"/>
      <c r="X96" s="621"/>
      <c r="Y96" s="1096">
        <f t="shared" si="6"/>
        <v>0</v>
      </c>
      <c r="Z96" s="882">
        <f t="shared" si="7"/>
        <v>0</v>
      </c>
    </row>
    <row r="97" spans="1:26" ht="27" customHeight="1">
      <c r="A97" s="583"/>
      <c r="B97" s="583">
        <v>1009</v>
      </c>
      <c r="C97" s="581">
        <v>10</v>
      </c>
      <c r="D97" s="1137" t="s">
        <v>854</v>
      </c>
      <c r="E97" s="1138" t="s">
        <v>1098</v>
      </c>
      <c r="F97" s="599">
        <v>-31469946</v>
      </c>
      <c r="G97" s="599">
        <v>30909575</v>
      </c>
      <c r="H97" s="599">
        <v>262647</v>
      </c>
      <c r="I97" s="599">
        <v>297724</v>
      </c>
      <c r="J97" s="599"/>
      <c r="K97" s="599"/>
      <c r="L97" s="599"/>
      <c r="M97" s="599"/>
      <c r="N97" s="599"/>
      <c r="O97" s="599"/>
      <c r="P97" s="599"/>
      <c r="Q97" s="599"/>
      <c r="R97" s="599"/>
      <c r="S97" s="1096">
        <f t="shared" si="4"/>
        <v>0</v>
      </c>
      <c r="T97" s="599">
        <v>0</v>
      </c>
      <c r="U97" s="1096">
        <f t="shared" si="5"/>
        <v>0</v>
      </c>
      <c r="V97" s="599">
        <v>0</v>
      </c>
      <c r="W97" s="620"/>
      <c r="X97" s="621"/>
      <c r="Y97" s="1096">
        <f t="shared" si="6"/>
        <v>0</v>
      </c>
      <c r="Z97" s="882">
        <f t="shared" si="7"/>
        <v>0</v>
      </c>
    </row>
    <row r="98" spans="1:26" ht="27" customHeight="1">
      <c r="A98" s="583"/>
      <c r="B98" s="583">
        <v>401</v>
      </c>
      <c r="C98" s="581">
        <v>4</v>
      </c>
      <c r="D98" s="1137" t="s">
        <v>42</v>
      </c>
      <c r="E98" s="1138" t="s">
        <v>943</v>
      </c>
      <c r="F98" s="599">
        <v>-56511000</v>
      </c>
      <c r="G98" s="599">
        <v>56511000</v>
      </c>
      <c r="H98" s="599"/>
      <c r="I98" s="599"/>
      <c r="J98" s="599"/>
      <c r="K98" s="599"/>
      <c r="L98" s="599"/>
      <c r="M98" s="599"/>
      <c r="N98" s="599"/>
      <c r="O98" s="599"/>
      <c r="P98" s="599"/>
      <c r="Q98" s="599"/>
      <c r="R98" s="599"/>
      <c r="S98" s="1096">
        <f t="shared" si="4"/>
        <v>0</v>
      </c>
      <c r="T98" s="599">
        <v>0</v>
      </c>
      <c r="U98" s="1096">
        <f t="shared" si="5"/>
        <v>0</v>
      </c>
      <c r="V98" s="599">
        <v>0</v>
      </c>
      <c r="W98" s="620"/>
      <c r="X98" s="621"/>
      <c r="Y98" s="1096">
        <f t="shared" si="6"/>
        <v>0</v>
      </c>
      <c r="Z98" s="882">
        <f t="shared" si="7"/>
        <v>0</v>
      </c>
    </row>
    <row r="99" spans="1:26" ht="27" customHeight="1">
      <c r="A99" s="583"/>
      <c r="B99" s="583">
        <v>1009</v>
      </c>
      <c r="C99" s="581">
        <v>10</v>
      </c>
      <c r="D99" s="1137" t="s">
        <v>1099</v>
      </c>
      <c r="E99" s="1138" t="s">
        <v>1084</v>
      </c>
      <c r="F99" s="599">
        <v>-85494888</v>
      </c>
      <c r="G99" s="599"/>
      <c r="H99" s="599"/>
      <c r="I99" s="599"/>
      <c r="J99" s="599"/>
      <c r="K99" s="599"/>
      <c r="L99" s="599"/>
      <c r="M99" s="599"/>
      <c r="N99" s="599"/>
      <c r="O99" s="599"/>
      <c r="P99" s="599"/>
      <c r="Q99" s="599"/>
      <c r="R99" s="599"/>
      <c r="S99" s="1096">
        <f t="shared" si="4"/>
        <v>-85494888</v>
      </c>
      <c r="T99" s="599">
        <v>-85494888</v>
      </c>
      <c r="U99" s="1096">
        <f t="shared" si="5"/>
        <v>-85</v>
      </c>
      <c r="V99" s="599">
        <v>-85</v>
      </c>
      <c r="W99" s="620"/>
      <c r="X99" s="621"/>
      <c r="Y99" s="1096">
        <f t="shared" si="6"/>
        <v>-85494888</v>
      </c>
      <c r="Z99" s="882">
        <f t="shared" si="7"/>
        <v>-85</v>
      </c>
    </row>
    <row r="100" spans="1:26" ht="27" customHeight="1">
      <c r="A100" s="583"/>
      <c r="B100" s="583">
        <v>401</v>
      </c>
      <c r="C100" s="581">
        <v>4</v>
      </c>
      <c r="D100" s="1137" t="s">
        <v>1100</v>
      </c>
      <c r="E100" s="1138" t="s">
        <v>1102</v>
      </c>
      <c r="F100" s="599"/>
      <c r="G100" s="599"/>
      <c r="H100" s="599"/>
      <c r="I100" s="599"/>
      <c r="J100" s="599"/>
      <c r="K100" s="599"/>
      <c r="L100" s="599"/>
      <c r="M100" s="599"/>
      <c r="N100" s="599"/>
      <c r="O100" s="599"/>
      <c r="P100" s="599"/>
      <c r="Q100" s="599"/>
      <c r="R100" s="599"/>
      <c r="S100" s="1096">
        <f t="shared" si="4"/>
        <v>0</v>
      </c>
      <c r="T100" s="599">
        <v>0</v>
      </c>
      <c r="U100" s="1096">
        <f t="shared" si="5"/>
        <v>0</v>
      </c>
      <c r="V100" s="599">
        <v>0</v>
      </c>
      <c r="W100" s="620"/>
      <c r="X100" s="621"/>
      <c r="Y100" s="1096">
        <f t="shared" si="6"/>
        <v>0</v>
      </c>
      <c r="Z100" s="882">
        <f t="shared" si="7"/>
        <v>0</v>
      </c>
    </row>
    <row r="101" spans="1:26" ht="27" customHeight="1">
      <c r="A101" s="583"/>
      <c r="B101" s="583">
        <v>1009</v>
      </c>
      <c r="C101" s="581">
        <v>10</v>
      </c>
      <c r="D101" s="1137" t="s">
        <v>1101</v>
      </c>
      <c r="E101" s="1138" t="s">
        <v>1103</v>
      </c>
      <c r="F101" s="599">
        <v>-111547200</v>
      </c>
      <c r="G101" s="599">
        <v>111547200</v>
      </c>
      <c r="H101" s="599"/>
      <c r="I101" s="599"/>
      <c r="J101" s="599"/>
      <c r="K101" s="599"/>
      <c r="L101" s="599"/>
      <c r="M101" s="599"/>
      <c r="N101" s="599"/>
      <c r="O101" s="599"/>
      <c r="P101" s="599"/>
      <c r="Q101" s="599"/>
      <c r="R101" s="599"/>
      <c r="S101" s="1096">
        <f t="shared" si="4"/>
        <v>0</v>
      </c>
      <c r="T101" s="599">
        <v>0</v>
      </c>
      <c r="U101" s="1096">
        <f t="shared" si="5"/>
        <v>0</v>
      </c>
      <c r="V101" s="599">
        <v>0</v>
      </c>
      <c r="W101" s="620"/>
      <c r="X101" s="621"/>
      <c r="Y101" s="1096">
        <f t="shared" si="6"/>
        <v>0</v>
      </c>
      <c r="Z101" s="882">
        <f t="shared" si="7"/>
        <v>0</v>
      </c>
    </row>
    <row r="102" spans="1:26" ht="27" customHeight="1">
      <c r="A102" s="583"/>
      <c r="B102" s="583">
        <v>406</v>
      </c>
      <c r="C102" s="581">
        <v>4</v>
      </c>
      <c r="D102" s="1137" t="s">
        <v>43</v>
      </c>
      <c r="E102" s="1138" t="s">
        <v>1002</v>
      </c>
      <c r="F102" s="599">
        <v>-216527043</v>
      </c>
      <c r="G102" s="599"/>
      <c r="H102" s="599"/>
      <c r="I102" s="599"/>
      <c r="J102" s="599"/>
      <c r="K102" s="599"/>
      <c r="L102" s="599"/>
      <c r="M102" s="599"/>
      <c r="N102" s="599"/>
      <c r="O102" s="599"/>
      <c r="P102" s="599"/>
      <c r="Q102" s="599"/>
      <c r="R102" s="599"/>
      <c r="S102" s="1096">
        <f t="shared" si="4"/>
        <v>-216527043</v>
      </c>
      <c r="T102" s="599">
        <v>5791000</v>
      </c>
      <c r="U102" s="1096">
        <f t="shared" si="5"/>
        <v>-217</v>
      </c>
      <c r="V102" s="599">
        <v>6</v>
      </c>
      <c r="W102" s="620"/>
      <c r="X102" s="621"/>
      <c r="Y102" s="1096">
        <f t="shared" si="6"/>
        <v>-216527043</v>
      </c>
      <c r="Z102" s="882">
        <f t="shared" si="7"/>
        <v>-217</v>
      </c>
    </row>
    <row r="103" spans="1:26" ht="27" customHeight="1">
      <c r="A103" s="583"/>
      <c r="B103" s="583">
        <v>406</v>
      </c>
      <c r="C103" s="581">
        <v>4</v>
      </c>
      <c r="D103" s="582" t="s">
        <v>1832</v>
      </c>
      <c r="E103" s="1138" t="s">
        <v>1823</v>
      </c>
      <c r="F103" s="599">
        <v>10875650</v>
      </c>
      <c r="G103" s="599">
        <v>0</v>
      </c>
      <c r="H103" s="599">
        <v>-10875650</v>
      </c>
      <c r="I103" s="599"/>
      <c r="J103" s="599"/>
      <c r="K103" s="599"/>
      <c r="L103" s="599"/>
      <c r="M103" s="599"/>
      <c r="N103" s="599"/>
      <c r="O103" s="599"/>
      <c r="P103" s="599"/>
      <c r="Q103" s="599"/>
      <c r="R103" s="599"/>
      <c r="S103" s="1096">
        <f t="shared" si="4"/>
        <v>0</v>
      </c>
      <c r="T103" s="599"/>
      <c r="U103" s="1096">
        <f t="shared" si="5"/>
        <v>0</v>
      </c>
      <c r="V103" s="599"/>
      <c r="W103" s="620"/>
      <c r="X103" s="621"/>
      <c r="Y103" s="1096">
        <f t="shared" si="6"/>
        <v>0</v>
      </c>
      <c r="Z103" s="882">
        <f t="shared" si="7"/>
        <v>0</v>
      </c>
    </row>
    <row r="104" spans="1:26" ht="27" customHeight="1">
      <c r="A104" s="583"/>
      <c r="B104" s="583">
        <v>401</v>
      </c>
      <c r="C104" s="581">
        <v>4</v>
      </c>
      <c r="D104" s="1137" t="s">
        <v>1176</v>
      </c>
      <c r="E104" s="1138" t="s">
        <v>1171</v>
      </c>
      <c r="F104" s="599">
        <v>379627640</v>
      </c>
      <c r="G104" s="599">
        <v>-16962600</v>
      </c>
      <c r="H104" s="599">
        <v>16962600</v>
      </c>
      <c r="I104" s="599"/>
      <c r="J104" s="599">
        <v>-40000000</v>
      </c>
      <c r="K104" s="599"/>
      <c r="L104" s="599"/>
      <c r="M104" s="599"/>
      <c r="N104" s="599"/>
      <c r="O104" s="599"/>
      <c r="P104" s="599"/>
      <c r="Q104" s="599"/>
      <c r="R104" s="599"/>
      <c r="S104" s="1096">
        <f t="shared" si="4"/>
        <v>339627640</v>
      </c>
      <c r="T104" s="599">
        <v>64671995</v>
      </c>
      <c r="U104" s="1096">
        <f t="shared" si="5"/>
        <v>340</v>
      </c>
      <c r="V104" s="599">
        <v>65</v>
      </c>
      <c r="W104" s="620"/>
      <c r="X104" s="621"/>
      <c r="Y104" s="1096">
        <f t="shared" si="6"/>
        <v>339627640</v>
      </c>
      <c r="Z104" s="882">
        <f t="shared" si="7"/>
        <v>340</v>
      </c>
    </row>
    <row r="105" spans="1:26" ht="27" customHeight="1">
      <c r="A105" s="583"/>
      <c r="B105" s="583">
        <v>1009</v>
      </c>
      <c r="C105" s="581">
        <v>10</v>
      </c>
      <c r="D105" s="1137" t="s">
        <v>44</v>
      </c>
      <c r="E105" s="1138" t="s">
        <v>898</v>
      </c>
      <c r="F105" s="599"/>
      <c r="G105" s="599"/>
      <c r="H105" s="599"/>
      <c r="I105" s="599"/>
      <c r="J105" s="599"/>
      <c r="K105" s="599"/>
      <c r="L105" s="599"/>
      <c r="M105" s="599"/>
      <c r="N105" s="599"/>
      <c r="O105" s="599"/>
      <c r="P105" s="599"/>
      <c r="Q105" s="599"/>
      <c r="R105" s="599"/>
      <c r="S105" s="1096">
        <f t="shared" si="4"/>
        <v>0</v>
      </c>
      <c r="T105" s="599">
        <v>0</v>
      </c>
      <c r="U105" s="1096">
        <f t="shared" si="5"/>
        <v>0</v>
      </c>
      <c r="V105" s="599">
        <v>0</v>
      </c>
      <c r="W105" s="620"/>
      <c r="X105" s="621"/>
      <c r="Y105" s="1096">
        <f t="shared" si="6"/>
        <v>0</v>
      </c>
      <c r="Z105" s="882">
        <f t="shared" si="7"/>
        <v>0</v>
      </c>
    </row>
    <row r="106" spans="1:26" ht="27" customHeight="1">
      <c r="A106" s="583"/>
      <c r="B106" s="583">
        <v>401</v>
      </c>
      <c r="C106" s="581">
        <v>4</v>
      </c>
      <c r="D106" s="1137" t="s">
        <v>944</v>
      </c>
      <c r="E106" s="1138" t="s">
        <v>945</v>
      </c>
      <c r="F106" s="599">
        <v>5180939190924</v>
      </c>
      <c r="G106" s="599">
        <v>-3667338871642</v>
      </c>
      <c r="H106" s="599">
        <v>-1199777891235</v>
      </c>
      <c r="I106" s="599"/>
      <c r="J106" s="599">
        <v>-313822428047</v>
      </c>
      <c r="K106" s="599"/>
      <c r="L106" s="599"/>
      <c r="M106" s="599"/>
      <c r="N106" s="599"/>
      <c r="O106" s="599"/>
      <c r="P106" s="599"/>
      <c r="Q106" s="599"/>
      <c r="R106" s="599"/>
      <c r="S106" s="1096">
        <f t="shared" si="4"/>
        <v>0</v>
      </c>
      <c r="T106" s="599">
        <v>0</v>
      </c>
      <c r="U106" s="1096">
        <f t="shared" si="5"/>
        <v>0</v>
      </c>
      <c r="V106" s="599">
        <v>0</v>
      </c>
      <c r="W106" s="620"/>
      <c r="X106" s="621"/>
      <c r="Y106" s="1096">
        <f t="shared" si="6"/>
        <v>0</v>
      </c>
      <c r="Z106" s="882">
        <f t="shared" si="7"/>
        <v>0</v>
      </c>
    </row>
    <row r="107" spans="1:26" ht="27" customHeight="1">
      <c r="A107" s="583"/>
      <c r="B107" s="583">
        <v>401</v>
      </c>
      <c r="C107" s="581">
        <v>4</v>
      </c>
      <c r="D107" s="1137" t="s">
        <v>946</v>
      </c>
      <c r="E107" s="1138" t="s">
        <v>947</v>
      </c>
      <c r="F107" s="599">
        <v>25156730728</v>
      </c>
      <c r="G107" s="599">
        <v>-15317659683</v>
      </c>
      <c r="H107" s="599">
        <v>-8342847289</v>
      </c>
      <c r="I107" s="599"/>
      <c r="J107" s="599">
        <v>-1496223756</v>
      </c>
      <c r="K107" s="599"/>
      <c r="L107" s="599"/>
      <c r="M107" s="599"/>
      <c r="N107" s="599"/>
      <c r="O107" s="599"/>
      <c r="P107" s="599"/>
      <c r="Q107" s="599"/>
      <c r="R107" s="599"/>
      <c r="S107" s="1096">
        <f t="shared" si="4"/>
        <v>0</v>
      </c>
      <c r="T107" s="599">
        <v>0</v>
      </c>
      <c r="U107" s="1096">
        <f t="shared" si="5"/>
        <v>0</v>
      </c>
      <c r="V107" s="599">
        <v>0</v>
      </c>
      <c r="W107" s="620"/>
      <c r="X107" s="621"/>
      <c r="Y107" s="1096">
        <f t="shared" si="6"/>
        <v>0</v>
      </c>
      <c r="Z107" s="882">
        <f t="shared" si="7"/>
        <v>0</v>
      </c>
    </row>
    <row r="108" spans="1:26" ht="27" customHeight="1">
      <c r="A108" s="583"/>
      <c r="B108" s="583">
        <v>401</v>
      </c>
      <c r="C108" s="581">
        <v>4</v>
      </c>
      <c r="D108" s="1137" t="s">
        <v>948</v>
      </c>
      <c r="E108" s="1138" t="s">
        <v>949</v>
      </c>
      <c r="F108" s="599">
        <v>270281429</v>
      </c>
      <c r="G108" s="599">
        <v>-229747542</v>
      </c>
      <c r="H108" s="599">
        <v>-40533887</v>
      </c>
      <c r="I108" s="599"/>
      <c r="J108" s="599"/>
      <c r="K108" s="599"/>
      <c r="L108" s="599"/>
      <c r="M108" s="599"/>
      <c r="N108" s="599"/>
      <c r="O108" s="599"/>
      <c r="P108" s="599"/>
      <c r="Q108" s="599"/>
      <c r="R108" s="599"/>
      <c r="S108" s="1096">
        <f t="shared" si="4"/>
        <v>0</v>
      </c>
      <c r="T108" s="599">
        <v>0</v>
      </c>
      <c r="U108" s="1096">
        <f t="shared" si="5"/>
        <v>0</v>
      </c>
      <c r="V108" s="599">
        <v>0</v>
      </c>
      <c r="W108" s="620"/>
      <c r="X108" s="621"/>
      <c r="Y108" s="1096">
        <f t="shared" si="6"/>
        <v>0</v>
      </c>
      <c r="Z108" s="882">
        <f t="shared" si="7"/>
        <v>0</v>
      </c>
    </row>
    <row r="109" spans="1:26" ht="27" customHeight="1">
      <c r="A109" s="583"/>
      <c r="B109" s="583">
        <v>1009</v>
      </c>
      <c r="C109" s="581">
        <v>10</v>
      </c>
      <c r="D109" s="1137" t="s">
        <v>950</v>
      </c>
      <c r="E109" s="1138" t="s">
        <v>951</v>
      </c>
      <c r="F109" s="599">
        <v>-5206366203081</v>
      </c>
      <c r="G109" s="599">
        <v>3682886278867</v>
      </c>
      <c r="H109" s="599">
        <v>1208161272411</v>
      </c>
      <c r="I109" s="599"/>
      <c r="J109" s="599">
        <v>315318651803</v>
      </c>
      <c r="K109" s="599"/>
      <c r="L109" s="599"/>
      <c r="M109" s="599"/>
      <c r="N109" s="599"/>
      <c r="O109" s="599"/>
      <c r="P109" s="599"/>
      <c r="Q109" s="599"/>
      <c r="R109" s="599"/>
      <c r="S109" s="1096">
        <f t="shared" si="4"/>
        <v>0</v>
      </c>
      <c r="T109" s="599">
        <v>0</v>
      </c>
      <c r="U109" s="1096">
        <f t="shared" si="5"/>
        <v>0</v>
      </c>
      <c r="V109" s="599">
        <v>0</v>
      </c>
      <c r="W109" s="620"/>
      <c r="X109" s="621"/>
      <c r="Y109" s="1096">
        <f t="shared" si="6"/>
        <v>0</v>
      </c>
      <c r="Z109" s="882">
        <f t="shared" si="7"/>
        <v>0</v>
      </c>
    </row>
    <row r="110" spans="1:26" ht="27" customHeight="1">
      <c r="A110" s="583"/>
      <c r="B110" s="583">
        <v>401</v>
      </c>
      <c r="C110" s="581">
        <v>4</v>
      </c>
      <c r="D110" s="1137" t="s">
        <v>45</v>
      </c>
      <c r="E110" s="1138" t="s">
        <v>46</v>
      </c>
      <c r="F110" s="599">
        <v>1935395661</v>
      </c>
      <c r="G110" s="599">
        <v>-1018746575</v>
      </c>
      <c r="H110" s="599">
        <v>-43149634</v>
      </c>
      <c r="I110" s="599">
        <v>-9941141</v>
      </c>
      <c r="J110" s="599">
        <v>7128500</v>
      </c>
      <c r="K110" s="599"/>
      <c r="L110" s="599"/>
      <c r="M110" s="599">
        <v>-282813117</v>
      </c>
      <c r="N110" s="599"/>
      <c r="O110" s="599"/>
      <c r="P110" s="599"/>
      <c r="Q110" s="599"/>
      <c r="R110" s="599"/>
      <c r="S110" s="1096">
        <f t="shared" si="4"/>
        <v>587873694</v>
      </c>
      <c r="T110" s="599">
        <v>1404737330</v>
      </c>
      <c r="U110" s="1096">
        <f t="shared" si="5"/>
        <v>588</v>
      </c>
      <c r="V110" s="599">
        <v>1405</v>
      </c>
      <c r="W110" s="620"/>
      <c r="X110" s="621"/>
      <c r="Y110" s="1096">
        <f t="shared" si="6"/>
        <v>587873694</v>
      </c>
      <c r="Z110" s="882">
        <f t="shared" si="7"/>
        <v>588</v>
      </c>
    </row>
    <row r="111" spans="1:26" ht="27" customHeight="1">
      <c r="A111" s="1232" t="s">
        <v>1767</v>
      </c>
      <c r="B111" s="583">
        <v>401</v>
      </c>
      <c r="C111" s="581">
        <v>4</v>
      </c>
      <c r="D111" s="1137" t="s">
        <v>47</v>
      </c>
      <c r="E111" s="1138" t="s">
        <v>1493</v>
      </c>
      <c r="F111" s="599">
        <v>-6173065609</v>
      </c>
      <c r="G111" s="599">
        <v>200906089</v>
      </c>
      <c r="H111" s="599"/>
      <c r="I111" s="599"/>
      <c r="J111" s="599"/>
      <c r="K111" s="599"/>
      <c r="L111" s="599"/>
      <c r="M111" s="599"/>
      <c r="N111" s="599"/>
      <c r="O111" s="599"/>
      <c r="P111" s="599"/>
      <c r="Q111" s="599"/>
      <c r="R111" s="599"/>
      <c r="S111" s="1096">
        <f t="shared" si="4"/>
        <v>-5972159520</v>
      </c>
      <c r="T111" s="599">
        <v>-4898897522</v>
      </c>
      <c r="U111" s="1096">
        <f t="shared" si="5"/>
        <v>-5972</v>
      </c>
      <c r="V111" s="599">
        <v>-4899</v>
      </c>
      <c r="W111" s="620"/>
      <c r="X111" s="621"/>
      <c r="Y111" s="1096">
        <f t="shared" si="6"/>
        <v>-5972159520</v>
      </c>
      <c r="Z111" s="882">
        <f t="shared" si="7"/>
        <v>-5972</v>
      </c>
    </row>
    <row r="112" spans="1:26" ht="27" customHeight="1">
      <c r="A112" s="1232"/>
      <c r="B112" s="583">
        <v>1009</v>
      </c>
      <c r="C112" s="581">
        <v>10</v>
      </c>
      <c r="D112" s="1137" t="s">
        <v>47</v>
      </c>
      <c r="E112" s="1138" t="s">
        <v>555</v>
      </c>
      <c r="F112" s="599"/>
      <c r="G112" s="599"/>
      <c r="H112" s="599"/>
      <c r="I112" s="599"/>
      <c r="J112" s="599"/>
      <c r="K112" s="599"/>
      <c r="L112" s="599"/>
      <c r="M112" s="599"/>
      <c r="N112" s="599"/>
      <c r="O112" s="599"/>
      <c r="P112" s="599"/>
      <c r="Q112" s="599"/>
      <c r="R112" s="599"/>
      <c r="S112" s="1096">
        <f t="shared" si="4"/>
        <v>0</v>
      </c>
      <c r="T112" s="599">
        <v>-39159000</v>
      </c>
      <c r="U112" s="1096">
        <f t="shared" si="5"/>
        <v>0</v>
      </c>
      <c r="V112" s="599">
        <v>-39</v>
      </c>
      <c r="W112" s="620"/>
      <c r="X112" s="621"/>
      <c r="Y112" s="1096">
        <f t="shared" si="6"/>
        <v>0</v>
      </c>
      <c r="Z112" s="882">
        <f t="shared" si="7"/>
        <v>0</v>
      </c>
    </row>
    <row r="113" spans="1:26" ht="27" customHeight="1">
      <c r="A113" s="583"/>
      <c r="B113" s="583">
        <v>401</v>
      </c>
      <c r="C113" s="581">
        <v>4</v>
      </c>
      <c r="D113" s="1137" t="s">
        <v>952</v>
      </c>
      <c r="E113" s="1138" t="s">
        <v>953</v>
      </c>
      <c r="F113" s="599"/>
      <c r="G113" s="599"/>
      <c r="H113" s="599"/>
      <c r="I113" s="599"/>
      <c r="J113" s="599"/>
      <c r="K113" s="599"/>
      <c r="L113" s="599"/>
      <c r="M113" s="599"/>
      <c r="N113" s="599"/>
      <c r="O113" s="599"/>
      <c r="P113" s="599"/>
      <c r="Q113" s="599"/>
      <c r="R113" s="599"/>
      <c r="S113" s="1096">
        <f t="shared" si="4"/>
        <v>0</v>
      </c>
      <c r="T113" s="599">
        <v>0</v>
      </c>
      <c r="U113" s="1096">
        <f t="shared" si="5"/>
        <v>0</v>
      </c>
      <c r="V113" s="599">
        <v>0</v>
      </c>
      <c r="W113" s="620"/>
      <c r="X113" s="621"/>
      <c r="Y113" s="1096">
        <f t="shared" si="6"/>
        <v>0</v>
      </c>
      <c r="Z113" s="882">
        <f t="shared" si="7"/>
        <v>0</v>
      </c>
    </row>
    <row r="114" spans="1:26" ht="27" customHeight="1">
      <c r="A114" s="583"/>
      <c r="B114" s="583">
        <v>401</v>
      </c>
      <c r="C114" s="581">
        <v>4</v>
      </c>
      <c r="D114" s="1137" t="s">
        <v>837</v>
      </c>
      <c r="E114" s="1138" t="s">
        <v>954</v>
      </c>
      <c r="F114" s="599">
        <v>511295203</v>
      </c>
      <c r="G114" s="599">
        <v>-204292700</v>
      </c>
      <c r="H114" s="599">
        <v>-298594289</v>
      </c>
      <c r="I114" s="599"/>
      <c r="J114" s="599">
        <v>-8408214</v>
      </c>
      <c r="K114" s="599"/>
      <c r="L114" s="599"/>
      <c r="M114" s="599"/>
      <c r="N114" s="599"/>
      <c r="O114" s="599"/>
      <c r="P114" s="599"/>
      <c r="Q114" s="599"/>
      <c r="R114" s="599"/>
      <c r="S114" s="1096">
        <f t="shared" si="4"/>
        <v>0</v>
      </c>
      <c r="T114" s="599">
        <v>0</v>
      </c>
      <c r="U114" s="1096">
        <f t="shared" si="5"/>
        <v>0</v>
      </c>
      <c r="V114" s="599">
        <v>0</v>
      </c>
      <c r="W114" s="620"/>
      <c r="X114" s="621"/>
      <c r="Y114" s="1096">
        <f t="shared" si="6"/>
        <v>0</v>
      </c>
      <c r="Z114" s="882">
        <f t="shared" si="7"/>
        <v>0</v>
      </c>
    </row>
    <row r="115" spans="1:26" ht="27" customHeight="1">
      <c r="A115" s="583"/>
      <c r="B115" s="583">
        <v>1009</v>
      </c>
      <c r="C115" s="581">
        <v>10</v>
      </c>
      <c r="D115" s="1137" t="s">
        <v>955</v>
      </c>
      <c r="E115" s="1138" t="s">
        <v>956</v>
      </c>
      <c r="F115" s="599">
        <v>-7318887155</v>
      </c>
      <c r="G115" s="599">
        <v>6658477405</v>
      </c>
      <c r="H115" s="599">
        <v>226700250</v>
      </c>
      <c r="I115" s="599">
        <v>433709500</v>
      </c>
      <c r="J115" s="599"/>
      <c r="K115" s="599"/>
      <c r="L115" s="599"/>
      <c r="M115" s="599"/>
      <c r="N115" s="599"/>
      <c r="O115" s="599"/>
      <c r="P115" s="599"/>
      <c r="Q115" s="599"/>
      <c r="R115" s="599"/>
      <c r="S115" s="1096">
        <f t="shared" si="4"/>
        <v>0</v>
      </c>
      <c r="T115" s="599">
        <v>0</v>
      </c>
      <c r="U115" s="1096">
        <f t="shared" si="5"/>
        <v>0</v>
      </c>
      <c r="V115" s="599">
        <v>0</v>
      </c>
      <c r="W115" s="620"/>
      <c r="X115" s="621"/>
      <c r="Y115" s="1096">
        <f t="shared" si="6"/>
        <v>0</v>
      </c>
      <c r="Z115" s="882">
        <f t="shared" si="7"/>
        <v>0</v>
      </c>
    </row>
    <row r="116" spans="1:26" ht="27" customHeight="1">
      <c r="A116" s="583"/>
      <c r="B116" s="583">
        <v>1009</v>
      </c>
      <c r="C116" s="581">
        <v>10</v>
      </c>
      <c r="D116" s="1137" t="s">
        <v>1104</v>
      </c>
      <c r="E116" s="1138" t="s">
        <v>1105</v>
      </c>
      <c r="F116" s="599">
        <v>-1235652</v>
      </c>
      <c r="G116" s="599">
        <v>1235652</v>
      </c>
      <c r="H116" s="599"/>
      <c r="I116" s="599"/>
      <c r="J116" s="599"/>
      <c r="K116" s="599"/>
      <c r="L116" s="599"/>
      <c r="M116" s="599"/>
      <c r="N116" s="599"/>
      <c r="O116" s="599"/>
      <c r="P116" s="599"/>
      <c r="Q116" s="599"/>
      <c r="R116" s="599"/>
      <c r="S116" s="1096">
        <f t="shared" si="4"/>
        <v>0</v>
      </c>
      <c r="T116" s="599">
        <v>0</v>
      </c>
      <c r="U116" s="1096">
        <f t="shared" si="5"/>
        <v>0</v>
      </c>
      <c r="V116" s="599">
        <v>0</v>
      </c>
      <c r="W116" s="620"/>
      <c r="X116" s="621"/>
      <c r="Y116" s="1096">
        <f t="shared" si="6"/>
        <v>0</v>
      </c>
      <c r="Z116" s="882">
        <f t="shared" si="7"/>
        <v>0</v>
      </c>
    </row>
    <row r="117" spans="1:26" ht="27" customHeight="1">
      <c r="A117" s="583"/>
      <c r="B117" s="583">
        <v>401</v>
      </c>
      <c r="C117" s="581">
        <v>4</v>
      </c>
      <c r="D117" s="1137" t="s">
        <v>881</v>
      </c>
      <c r="E117" s="1138" t="s">
        <v>880</v>
      </c>
      <c r="F117" s="599">
        <v>10020610908</v>
      </c>
      <c r="G117" s="599">
        <v>-3905854604</v>
      </c>
      <c r="H117" s="599">
        <v>-115559228</v>
      </c>
      <c r="I117" s="599">
        <v>-186235789</v>
      </c>
      <c r="J117" s="599">
        <v>-79752500</v>
      </c>
      <c r="K117" s="599"/>
      <c r="L117" s="599"/>
      <c r="M117" s="599"/>
      <c r="N117" s="599"/>
      <c r="O117" s="599"/>
      <c r="P117" s="599"/>
      <c r="Q117" s="599"/>
      <c r="R117" s="599"/>
      <c r="S117" s="1096">
        <f t="shared" si="4"/>
        <v>5733208787</v>
      </c>
      <c r="T117" s="599">
        <v>1160322414</v>
      </c>
      <c r="U117" s="1096">
        <f t="shared" si="5"/>
        <v>5733</v>
      </c>
      <c r="V117" s="599">
        <v>1160</v>
      </c>
      <c r="W117" s="620"/>
      <c r="X117" s="621"/>
      <c r="Y117" s="1096">
        <f t="shared" si="6"/>
        <v>5733208787</v>
      </c>
      <c r="Z117" s="882">
        <f t="shared" si="7"/>
        <v>5733</v>
      </c>
    </row>
    <row r="118" spans="1:26" ht="27" customHeight="1">
      <c r="A118" s="583"/>
      <c r="B118" s="583">
        <v>401</v>
      </c>
      <c r="C118" s="581">
        <v>4</v>
      </c>
      <c r="D118" s="1137" t="s">
        <v>556</v>
      </c>
      <c r="E118" s="1138" t="s">
        <v>957</v>
      </c>
      <c r="F118" s="599">
        <v>-5124520</v>
      </c>
      <c r="G118" s="599">
        <v>6804520</v>
      </c>
      <c r="H118" s="599">
        <v>1510600</v>
      </c>
      <c r="I118" s="599"/>
      <c r="J118" s="599"/>
      <c r="K118" s="599"/>
      <c r="L118" s="599">
        <v>4320000</v>
      </c>
      <c r="M118" s="599"/>
      <c r="N118" s="599"/>
      <c r="O118" s="599"/>
      <c r="P118" s="599"/>
      <c r="Q118" s="599"/>
      <c r="R118" s="599"/>
      <c r="S118" s="1096">
        <f t="shared" si="4"/>
        <v>7510600</v>
      </c>
      <c r="T118" s="599">
        <v>8831400</v>
      </c>
      <c r="U118" s="1096">
        <f t="shared" si="5"/>
        <v>8</v>
      </c>
      <c r="V118" s="599">
        <v>9</v>
      </c>
      <c r="W118" s="620"/>
      <c r="X118" s="621"/>
      <c r="Y118" s="1096">
        <f t="shared" si="6"/>
        <v>7510600</v>
      </c>
      <c r="Z118" s="882">
        <f t="shared" si="7"/>
        <v>8</v>
      </c>
    </row>
    <row r="119" spans="1:26" ht="27" customHeight="1">
      <c r="A119" s="583"/>
      <c r="B119" s="583">
        <v>402</v>
      </c>
      <c r="C119" s="581">
        <v>4</v>
      </c>
      <c r="D119" s="1137" t="s">
        <v>48</v>
      </c>
      <c r="E119" s="1138" t="s">
        <v>49</v>
      </c>
      <c r="F119" s="599">
        <v>10608448586</v>
      </c>
      <c r="G119" s="599"/>
      <c r="H119" s="599"/>
      <c r="I119" s="599"/>
      <c r="J119" s="599"/>
      <c r="K119" s="599"/>
      <c r="L119" s="599"/>
      <c r="M119" s="599"/>
      <c r="N119" s="599"/>
      <c r="O119" s="599"/>
      <c r="P119" s="599"/>
      <c r="Q119" s="599"/>
      <c r="R119" s="599"/>
      <c r="S119" s="1096">
        <f t="shared" si="4"/>
        <v>10608448586</v>
      </c>
      <c r="T119" s="599">
        <v>10608448586</v>
      </c>
      <c r="U119" s="738">
        <f>ROUND((S119/1000000),0)</f>
        <v>10608</v>
      </c>
      <c r="V119" s="599">
        <v>10608</v>
      </c>
      <c r="W119" s="620"/>
      <c r="X119" s="621"/>
      <c r="Y119" s="1096">
        <f t="shared" si="6"/>
        <v>10608448586</v>
      </c>
      <c r="Z119" s="882">
        <f t="shared" si="7"/>
        <v>10608</v>
      </c>
    </row>
    <row r="120" spans="1:26" ht="27" customHeight="1">
      <c r="A120" s="583"/>
      <c r="B120" s="583">
        <v>1024</v>
      </c>
      <c r="C120" s="581">
        <v>10</v>
      </c>
      <c r="D120" s="1137" t="s">
        <v>50</v>
      </c>
      <c r="E120" s="1138" t="s">
        <v>205</v>
      </c>
      <c r="F120" s="599">
        <v>-14899891110</v>
      </c>
      <c r="G120" s="599">
        <v>24797844166</v>
      </c>
      <c r="H120" s="599">
        <v>-22786926</v>
      </c>
      <c r="I120" s="599">
        <v>-19551429159</v>
      </c>
      <c r="J120" s="599">
        <v>9652006240</v>
      </c>
      <c r="K120" s="599">
        <v>-1471471660</v>
      </c>
      <c r="L120" s="599"/>
      <c r="M120" s="599">
        <v>-11073544234</v>
      </c>
      <c r="N120" s="599"/>
      <c r="O120" s="599"/>
      <c r="P120" s="599"/>
      <c r="Q120" s="599"/>
      <c r="R120" s="599"/>
      <c r="S120" s="1096">
        <f t="shared" si="4"/>
        <v>-12569272683</v>
      </c>
      <c r="T120" s="599">
        <v>-17713410897</v>
      </c>
      <c r="U120" s="1096">
        <f t="shared" si="5"/>
        <v>-12569</v>
      </c>
      <c r="V120" s="599">
        <v>-17713</v>
      </c>
      <c r="W120" s="620"/>
      <c r="X120" s="621"/>
      <c r="Y120" s="1096">
        <f t="shared" si="6"/>
        <v>-12569272683</v>
      </c>
      <c r="Z120" s="882">
        <f t="shared" si="7"/>
        <v>-12569</v>
      </c>
    </row>
    <row r="121" spans="1:26" ht="27" customHeight="1">
      <c r="A121" s="583"/>
      <c r="B121" s="583">
        <v>404</v>
      </c>
      <c r="C121" s="581">
        <v>4</v>
      </c>
      <c r="D121" s="1137" t="s">
        <v>51</v>
      </c>
      <c r="E121" s="1138" t="s">
        <v>155</v>
      </c>
      <c r="F121" s="599">
        <v>41073203084</v>
      </c>
      <c r="G121" s="599">
        <v>6514821048</v>
      </c>
      <c r="H121" s="599">
        <v>-268470624</v>
      </c>
      <c r="I121" s="599">
        <v>-4422019954</v>
      </c>
      <c r="J121" s="599">
        <v>12784776</v>
      </c>
      <c r="K121" s="599">
        <v>-192971457</v>
      </c>
      <c r="L121" s="599"/>
      <c r="M121" s="599"/>
      <c r="N121" s="599"/>
      <c r="O121" s="599"/>
      <c r="P121" s="599"/>
      <c r="Q121" s="599"/>
      <c r="R121" s="599"/>
      <c r="S121" s="1096">
        <f t="shared" si="4"/>
        <v>42717346873</v>
      </c>
      <c r="T121" s="599">
        <v>22259306990</v>
      </c>
      <c r="U121" s="1096">
        <f t="shared" si="5"/>
        <v>42717</v>
      </c>
      <c r="V121" s="599">
        <v>22259</v>
      </c>
      <c r="W121" s="620"/>
      <c r="X121" s="621"/>
      <c r="Y121" s="1096">
        <f t="shared" si="6"/>
        <v>42717346873</v>
      </c>
      <c r="Z121" s="882">
        <f t="shared" si="7"/>
        <v>42717</v>
      </c>
    </row>
    <row r="122" spans="1:26" ht="27" customHeight="1">
      <c r="A122" s="583"/>
      <c r="B122" s="583">
        <v>406</v>
      </c>
      <c r="C122" s="581">
        <v>4</v>
      </c>
      <c r="D122" s="1137" t="s">
        <v>52</v>
      </c>
      <c r="E122" s="1138" t="s">
        <v>206</v>
      </c>
      <c r="F122" s="599">
        <v>6132889934</v>
      </c>
      <c r="G122" s="599">
        <v>113957569</v>
      </c>
      <c r="H122" s="599"/>
      <c r="I122" s="599"/>
      <c r="J122" s="599"/>
      <c r="K122" s="599"/>
      <c r="L122" s="599"/>
      <c r="M122" s="599"/>
      <c r="N122" s="599"/>
      <c r="O122" s="599"/>
      <c r="P122" s="599"/>
      <c r="Q122" s="599"/>
      <c r="R122" s="599"/>
      <c r="S122" s="1096">
        <f t="shared" si="4"/>
        <v>6246847503</v>
      </c>
      <c r="T122" s="599">
        <v>5773901122</v>
      </c>
      <c r="U122" s="1096">
        <f t="shared" si="5"/>
        <v>6247</v>
      </c>
      <c r="V122" s="599">
        <v>5774</v>
      </c>
      <c r="W122" s="620"/>
      <c r="X122" s="621"/>
      <c r="Y122" s="1096">
        <f t="shared" si="6"/>
        <v>6246847503</v>
      </c>
      <c r="Z122" s="882">
        <f t="shared" si="7"/>
        <v>6247</v>
      </c>
    </row>
    <row r="123" spans="1:26" ht="27" customHeight="1">
      <c r="A123" s="583"/>
      <c r="B123" s="583">
        <v>403</v>
      </c>
      <c r="C123" s="581">
        <v>4</v>
      </c>
      <c r="D123" s="1137" t="s">
        <v>53</v>
      </c>
      <c r="E123" s="1138" t="s">
        <v>757</v>
      </c>
      <c r="F123" s="599">
        <v>6</v>
      </c>
      <c r="G123" s="599"/>
      <c r="H123" s="599"/>
      <c r="I123" s="599"/>
      <c r="J123" s="599"/>
      <c r="K123" s="599"/>
      <c r="L123" s="599"/>
      <c r="M123" s="599"/>
      <c r="N123" s="599"/>
      <c r="O123" s="599"/>
      <c r="P123" s="599"/>
      <c r="Q123" s="599"/>
      <c r="R123" s="599"/>
      <c r="S123" s="1096">
        <f t="shared" si="4"/>
        <v>6</v>
      </c>
      <c r="T123" s="599">
        <v>6</v>
      </c>
      <c r="U123" s="1096">
        <f t="shared" si="5"/>
        <v>0</v>
      </c>
      <c r="V123" s="599">
        <v>0</v>
      </c>
      <c r="W123" s="620"/>
      <c r="X123" s="621"/>
      <c r="Y123" s="1096">
        <f t="shared" si="6"/>
        <v>6</v>
      </c>
      <c r="Z123" s="882">
        <f t="shared" si="7"/>
        <v>0</v>
      </c>
    </row>
    <row r="124" spans="1:26" ht="27" customHeight="1">
      <c r="A124" s="583"/>
      <c r="B124" s="583">
        <v>1001</v>
      </c>
      <c r="C124" s="581">
        <v>10</v>
      </c>
      <c r="D124" s="1137" t="s">
        <v>55</v>
      </c>
      <c r="E124" s="1138" t="s">
        <v>547</v>
      </c>
      <c r="F124" s="599">
        <v>-329620260</v>
      </c>
      <c r="G124" s="599"/>
      <c r="H124" s="599"/>
      <c r="I124" s="599"/>
      <c r="J124" s="599"/>
      <c r="K124" s="599"/>
      <c r="L124" s="599"/>
      <c r="M124" s="599"/>
      <c r="N124" s="599"/>
      <c r="O124" s="599"/>
      <c r="P124" s="599"/>
      <c r="Q124" s="599"/>
      <c r="R124" s="599"/>
      <c r="S124" s="1096">
        <f t="shared" si="4"/>
        <v>-329620260</v>
      </c>
      <c r="T124" s="599">
        <v>-1115243563</v>
      </c>
      <c r="U124" s="1096">
        <f t="shared" si="5"/>
        <v>-330</v>
      </c>
      <c r="V124" s="599">
        <v>-1115</v>
      </c>
      <c r="W124" s="620"/>
      <c r="X124" s="621"/>
      <c r="Y124" s="1096">
        <f t="shared" si="6"/>
        <v>-329620260</v>
      </c>
      <c r="Z124" s="882">
        <f t="shared" si="7"/>
        <v>-330</v>
      </c>
    </row>
    <row r="125" spans="1:26" ht="27" customHeight="1">
      <c r="A125" s="583"/>
      <c r="B125" s="583">
        <v>1009</v>
      </c>
      <c r="C125" s="581">
        <v>10</v>
      </c>
      <c r="D125" s="1137" t="s">
        <v>56</v>
      </c>
      <c r="E125" s="1138" t="s">
        <v>597</v>
      </c>
      <c r="F125" s="599"/>
      <c r="G125" s="599"/>
      <c r="H125" s="599"/>
      <c r="I125" s="599"/>
      <c r="J125" s="599"/>
      <c r="K125" s="599"/>
      <c r="L125" s="599"/>
      <c r="M125" s="599"/>
      <c r="N125" s="599"/>
      <c r="O125" s="599"/>
      <c r="P125" s="599"/>
      <c r="Q125" s="599"/>
      <c r="R125" s="599"/>
      <c r="S125" s="1096">
        <f t="shared" si="4"/>
        <v>0</v>
      </c>
      <c r="T125" s="599">
        <v>0</v>
      </c>
      <c r="U125" s="1096">
        <f t="shared" si="5"/>
        <v>0</v>
      </c>
      <c r="V125" s="599">
        <v>0</v>
      </c>
      <c r="W125" s="620"/>
      <c r="X125" s="621"/>
      <c r="Y125" s="1096">
        <f t="shared" si="6"/>
        <v>0</v>
      </c>
      <c r="Z125" s="882">
        <f t="shared" si="7"/>
        <v>0</v>
      </c>
    </row>
    <row r="126" spans="1:26" ht="27" customHeight="1">
      <c r="A126" s="583"/>
      <c r="B126" s="1424">
        <v>406</v>
      </c>
      <c r="C126" s="1131">
        <v>4</v>
      </c>
      <c r="D126" s="1137" t="s">
        <v>715</v>
      </c>
      <c r="E126" s="1138" t="s">
        <v>716</v>
      </c>
      <c r="F126" s="599">
        <v>837236079</v>
      </c>
      <c r="G126" s="599">
        <v>-224833337</v>
      </c>
      <c r="H126" s="599">
        <v>-24588182</v>
      </c>
      <c r="I126" s="599"/>
      <c r="J126" s="599"/>
      <c r="K126" s="599"/>
      <c r="L126" s="599"/>
      <c r="M126" s="599"/>
      <c r="N126" s="599"/>
      <c r="O126" s="599"/>
      <c r="P126" s="599"/>
      <c r="Q126" s="599"/>
      <c r="R126" s="599"/>
      <c r="S126" s="1096">
        <f t="shared" si="4"/>
        <v>587814560</v>
      </c>
      <c r="T126" s="599">
        <v>72536992</v>
      </c>
      <c r="U126" s="1096">
        <f t="shared" si="5"/>
        <v>588</v>
      </c>
      <c r="V126" s="599">
        <v>73</v>
      </c>
      <c r="W126" s="620"/>
      <c r="X126" s="621"/>
      <c r="Y126" s="1096">
        <f t="shared" si="6"/>
        <v>587814560</v>
      </c>
      <c r="Z126" s="882">
        <f t="shared" si="7"/>
        <v>588</v>
      </c>
    </row>
    <row r="127" spans="1:26" ht="27" customHeight="1">
      <c r="A127" s="583"/>
      <c r="B127" s="583">
        <v>406</v>
      </c>
      <c r="C127" s="581">
        <v>4</v>
      </c>
      <c r="D127" s="1137" t="s">
        <v>412</v>
      </c>
      <c r="E127" s="1138" t="s">
        <v>17</v>
      </c>
      <c r="F127" s="599">
        <v>17004000</v>
      </c>
      <c r="G127" s="599"/>
      <c r="H127" s="599"/>
      <c r="I127" s="599"/>
      <c r="J127" s="599"/>
      <c r="K127" s="599"/>
      <c r="L127" s="599"/>
      <c r="M127" s="599"/>
      <c r="N127" s="599"/>
      <c r="O127" s="599"/>
      <c r="P127" s="599"/>
      <c r="Q127" s="599"/>
      <c r="R127" s="599"/>
      <c r="S127" s="1096">
        <f t="shared" si="4"/>
        <v>17004000</v>
      </c>
      <c r="T127" s="599">
        <v>327756312</v>
      </c>
      <c r="U127" s="1096">
        <f t="shared" si="5"/>
        <v>17</v>
      </c>
      <c r="V127" s="599">
        <v>328</v>
      </c>
      <c r="W127" s="620"/>
      <c r="X127" s="621"/>
      <c r="Y127" s="1096">
        <f t="shared" si="6"/>
        <v>17004000</v>
      </c>
      <c r="Z127" s="882">
        <f t="shared" si="7"/>
        <v>17</v>
      </c>
    </row>
    <row r="128" spans="1:26" ht="27" customHeight="1">
      <c r="A128" s="583"/>
      <c r="B128" s="583">
        <v>1025</v>
      </c>
      <c r="C128" s="581">
        <v>10</v>
      </c>
      <c r="D128" s="1137" t="s">
        <v>57</v>
      </c>
      <c r="E128" s="1138" t="s">
        <v>137</v>
      </c>
      <c r="F128" s="599">
        <v>-18004070167</v>
      </c>
      <c r="G128" s="599">
        <v>-391218440</v>
      </c>
      <c r="H128" s="599">
        <v>-29757000</v>
      </c>
      <c r="I128" s="599"/>
      <c r="J128" s="599"/>
      <c r="K128" s="599"/>
      <c r="L128" s="599"/>
      <c r="M128" s="599"/>
      <c r="N128" s="599"/>
      <c r="O128" s="599"/>
      <c r="P128" s="599"/>
      <c r="Q128" s="599"/>
      <c r="R128" s="599"/>
      <c r="S128" s="1096">
        <f t="shared" si="4"/>
        <v>-18425045607</v>
      </c>
      <c r="T128" s="599">
        <v>-14235424509</v>
      </c>
      <c r="U128" s="1096">
        <f t="shared" si="5"/>
        <v>-18425</v>
      </c>
      <c r="V128" s="599">
        <v>-14235</v>
      </c>
      <c r="W128" s="620"/>
      <c r="X128" s="621"/>
      <c r="Y128" s="1096">
        <f t="shared" si="6"/>
        <v>-18425045607</v>
      </c>
      <c r="Z128" s="882">
        <f t="shared" si="7"/>
        <v>-18425</v>
      </c>
    </row>
    <row r="129" spans="1:26" ht="27" customHeight="1">
      <c r="A129" s="583"/>
      <c r="B129" s="583">
        <v>407</v>
      </c>
      <c r="C129" s="581">
        <v>4</v>
      </c>
      <c r="D129" s="1137" t="s">
        <v>58</v>
      </c>
      <c r="E129" s="1138" t="s">
        <v>139</v>
      </c>
      <c r="F129" s="599">
        <v>-688761555176</v>
      </c>
      <c r="G129" s="599"/>
      <c r="H129" s="599">
        <v>688761555176</v>
      </c>
      <c r="I129" s="599"/>
      <c r="J129" s="599"/>
      <c r="K129" s="599"/>
      <c r="L129" s="599"/>
      <c r="M129" s="599"/>
      <c r="N129" s="599"/>
      <c r="O129" s="599"/>
      <c r="P129" s="599"/>
      <c r="Q129" s="599"/>
      <c r="R129" s="599"/>
      <c r="S129" s="1096">
        <f t="shared" si="4"/>
        <v>0</v>
      </c>
      <c r="T129" s="599">
        <v>0</v>
      </c>
      <c r="U129" s="1096">
        <f t="shared" si="5"/>
        <v>0</v>
      </c>
      <c r="V129" s="599">
        <v>0</v>
      </c>
      <c r="W129" s="620"/>
      <c r="X129" s="621"/>
      <c r="Y129" s="1096">
        <f t="shared" si="6"/>
        <v>0</v>
      </c>
      <c r="Z129" s="882">
        <f t="shared" si="7"/>
        <v>0</v>
      </c>
    </row>
    <row r="130" spans="1:26" ht="27" customHeight="1">
      <c r="A130" s="583"/>
      <c r="B130" s="583">
        <v>407</v>
      </c>
      <c r="C130" s="581">
        <v>4</v>
      </c>
      <c r="D130" s="1137" t="s">
        <v>1373</v>
      </c>
      <c r="E130" s="1138" t="s">
        <v>1374</v>
      </c>
      <c r="F130" s="599">
        <v>681824125268</v>
      </c>
      <c r="G130" s="599">
        <v>-1891248</v>
      </c>
      <c r="H130" s="599">
        <v>-647473499066</v>
      </c>
      <c r="I130" s="599">
        <v>5427200000</v>
      </c>
      <c r="J130" s="599">
        <v>1446883573</v>
      </c>
      <c r="K130" s="599">
        <v>1232739731</v>
      </c>
      <c r="L130" s="599"/>
      <c r="M130" s="599">
        <v>282813117</v>
      </c>
      <c r="N130" s="599"/>
      <c r="O130" s="599"/>
      <c r="P130" s="599"/>
      <c r="Q130" s="599"/>
      <c r="R130" s="599"/>
      <c r="S130" s="1096">
        <f t="shared" si="4"/>
        <v>42738371375</v>
      </c>
      <c r="T130" s="599">
        <v>159651586261</v>
      </c>
      <c r="U130" s="1096">
        <f t="shared" si="5"/>
        <v>42738</v>
      </c>
      <c r="V130" s="599">
        <v>159652</v>
      </c>
      <c r="W130" s="620"/>
      <c r="X130" s="621"/>
      <c r="Y130" s="1096">
        <f t="shared" si="6"/>
        <v>42738371375</v>
      </c>
      <c r="Z130" s="882">
        <f t="shared" si="7"/>
        <v>42738</v>
      </c>
    </row>
    <row r="131" spans="1:26" ht="27" customHeight="1">
      <c r="A131" s="583">
        <v>1</v>
      </c>
      <c r="B131" s="583">
        <v>10040</v>
      </c>
      <c r="C131" s="581">
        <v>4</v>
      </c>
      <c r="D131" s="1137" t="s">
        <v>59</v>
      </c>
      <c r="E131" s="1138" t="s">
        <v>342</v>
      </c>
      <c r="F131" s="599">
        <v>1888441379936</v>
      </c>
      <c r="G131" s="599">
        <v>4210961017</v>
      </c>
      <c r="H131" s="599">
        <v>-639192974</v>
      </c>
      <c r="I131" s="599">
        <v>-282627324</v>
      </c>
      <c r="J131" s="599"/>
      <c r="K131" s="599">
        <f>-34498895-477153841</f>
        <v>-511652736</v>
      </c>
      <c r="L131" s="599">
        <v>-18792155663</v>
      </c>
      <c r="M131" s="599">
        <f>-18772834339+15363405-15780975</f>
        <v>-18773251909</v>
      </c>
      <c r="N131" s="599"/>
      <c r="O131" s="599"/>
      <c r="P131" s="599"/>
      <c r="Q131" s="599"/>
      <c r="R131" s="599"/>
      <c r="S131" s="1096">
        <f t="shared" si="4"/>
        <v>1853653460347</v>
      </c>
      <c r="T131" s="599">
        <v>2131509028957</v>
      </c>
      <c r="U131" s="1096">
        <f t="shared" si="5"/>
        <v>1853653</v>
      </c>
      <c r="V131" s="599">
        <v>2131509</v>
      </c>
      <c r="W131" s="620"/>
      <c r="X131" s="621"/>
      <c r="Y131" s="1096">
        <f t="shared" si="6"/>
        <v>1853653460347</v>
      </c>
      <c r="Z131" s="882">
        <f t="shared" si="7"/>
        <v>1853653</v>
      </c>
    </row>
    <row r="132" spans="1:26" ht="27" customHeight="1">
      <c r="A132" s="583">
        <v>3214</v>
      </c>
      <c r="B132" s="583">
        <v>10040</v>
      </c>
      <c r="C132" s="581">
        <v>4</v>
      </c>
      <c r="D132" s="1137" t="s">
        <v>59</v>
      </c>
      <c r="E132" s="1138" t="s">
        <v>342</v>
      </c>
      <c r="F132" s="599"/>
      <c r="G132" s="599"/>
      <c r="H132" s="599"/>
      <c r="I132" s="599"/>
      <c r="J132" s="599"/>
      <c r="K132" s="599">
        <v>29086466567</v>
      </c>
      <c r="L132" s="599"/>
      <c r="M132" s="599"/>
      <c r="N132" s="599">
        <v>9803958986</v>
      </c>
      <c r="O132" s="599"/>
      <c r="P132" s="599">
        <f>149410904048+21648207134</f>
        <v>171059111182</v>
      </c>
      <c r="Q132" s="599"/>
      <c r="R132" s="599"/>
      <c r="S132" s="1096">
        <f t="shared" si="4"/>
        <v>209949536735</v>
      </c>
      <c r="T132" s="599">
        <v>113049270765</v>
      </c>
      <c r="U132" s="1096">
        <f t="shared" si="5"/>
        <v>209950</v>
      </c>
      <c r="V132" s="599">
        <v>113049</v>
      </c>
      <c r="W132" s="620"/>
      <c r="X132" s="621"/>
      <c r="Y132" s="1096">
        <f t="shared" si="6"/>
        <v>209949536735</v>
      </c>
      <c r="Z132" s="882">
        <f t="shared" si="7"/>
        <v>209950</v>
      </c>
    </row>
    <row r="133" spans="1:26" ht="27" customHeight="1">
      <c r="A133" s="583"/>
      <c r="B133" s="583">
        <v>10040</v>
      </c>
      <c r="C133" s="581">
        <v>4</v>
      </c>
      <c r="D133" s="1137" t="s">
        <v>59</v>
      </c>
      <c r="E133" s="1138" t="s">
        <v>923</v>
      </c>
      <c r="F133" s="599"/>
      <c r="G133" s="599"/>
      <c r="H133" s="599"/>
      <c r="I133" s="599"/>
      <c r="J133" s="599"/>
      <c r="K133" s="599"/>
      <c r="L133" s="599"/>
      <c r="M133" s="599"/>
      <c r="N133" s="599"/>
      <c r="O133" s="599"/>
      <c r="P133" s="599"/>
      <c r="Q133" s="599"/>
      <c r="R133" s="599"/>
      <c r="S133" s="1096">
        <f t="shared" si="4"/>
        <v>0</v>
      </c>
      <c r="T133" s="599">
        <v>0</v>
      </c>
      <c r="U133" s="1096">
        <f t="shared" si="5"/>
        <v>0</v>
      </c>
      <c r="V133" s="599">
        <v>0</v>
      </c>
      <c r="W133" s="620"/>
      <c r="X133" s="621"/>
      <c r="Y133" s="1096">
        <f t="shared" si="6"/>
        <v>0</v>
      </c>
      <c r="Z133" s="882">
        <f t="shared" si="7"/>
        <v>0</v>
      </c>
    </row>
    <row r="134" spans="1:26" ht="27" customHeight="1">
      <c r="A134" s="583"/>
      <c r="B134" s="583">
        <v>406</v>
      </c>
      <c r="C134" s="581">
        <v>4</v>
      </c>
      <c r="D134" s="1137" t="s">
        <v>378</v>
      </c>
      <c r="E134" s="1138" t="s">
        <v>958</v>
      </c>
      <c r="F134" s="599">
        <v>483607034</v>
      </c>
      <c r="G134" s="599"/>
      <c r="H134" s="599">
        <v>-27166652</v>
      </c>
      <c r="I134" s="599"/>
      <c r="J134" s="599"/>
      <c r="K134" s="599"/>
      <c r="L134" s="599"/>
      <c r="M134" s="599"/>
      <c r="N134" s="599"/>
      <c r="O134" s="599"/>
      <c r="P134" s="599"/>
      <c r="Q134" s="599"/>
      <c r="R134" s="599"/>
      <c r="S134" s="1096">
        <f t="shared" ref="S134:S197" si="8">SUM(F134:R134)</f>
        <v>456440382</v>
      </c>
      <c r="T134" s="599">
        <v>-8168446</v>
      </c>
      <c r="U134" s="738">
        <f>ROUND((S134/1000000),0)+1</f>
        <v>457</v>
      </c>
      <c r="V134" s="599">
        <v>-8</v>
      </c>
      <c r="W134" s="620"/>
      <c r="X134" s="621"/>
      <c r="Y134" s="1096">
        <f t="shared" ref="Y134:Y197" si="9">S134+X134-W134</f>
        <v>456440382</v>
      </c>
      <c r="Z134" s="882">
        <f t="shared" ref="Z134:Z197" si="10">ROUND((Y134/1000000),0)</f>
        <v>456</v>
      </c>
    </row>
    <row r="135" spans="1:26" ht="27" customHeight="1">
      <c r="A135" s="583">
        <v>1</v>
      </c>
      <c r="B135" s="583">
        <v>1022</v>
      </c>
      <c r="C135" s="1234">
        <v>4</v>
      </c>
      <c r="D135" s="1137" t="s">
        <v>60</v>
      </c>
      <c r="E135" s="1138" t="s">
        <v>1375</v>
      </c>
      <c r="F135" s="599">
        <v>198924835348</v>
      </c>
      <c r="G135" s="599">
        <v>-15738217364</v>
      </c>
      <c r="H135" s="599">
        <v>-5792075409</v>
      </c>
      <c r="I135" s="599">
        <v>-6937890543</v>
      </c>
      <c r="J135" s="599">
        <v>-172798716686</v>
      </c>
      <c r="K135" s="599">
        <v>-269394708</v>
      </c>
      <c r="L135" s="599"/>
      <c r="M135" s="599"/>
      <c r="N135" s="599"/>
      <c r="O135" s="599"/>
      <c r="P135" s="599"/>
      <c r="Q135" s="599"/>
      <c r="R135" s="599"/>
      <c r="S135" s="1096">
        <f t="shared" si="8"/>
        <v>-2611459362</v>
      </c>
      <c r="T135" s="599">
        <v>258130148292</v>
      </c>
      <c r="U135" s="738">
        <f>ROUND((S135/1000000),0)-1</f>
        <v>-2612</v>
      </c>
      <c r="V135" s="599">
        <v>258130</v>
      </c>
      <c r="W135" s="620"/>
      <c r="X135" s="621"/>
      <c r="Y135" s="1096">
        <f t="shared" si="9"/>
        <v>-2611459362</v>
      </c>
      <c r="Z135" s="882">
        <f t="shared" si="10"/>
        <v>-2611</v>
      </c>
    </row>
    <row r="136" spans="1:26" ht="27" customHeight="1">
      <c r="A136" s="583">
        <v>7</v>
      </c>
      <c r="B136" s="583">
        <v>1022</v>
      </c>
      <c r="C136" s="1234">
        <v>4</v>
      </c>
      <c r="D136" s="1137" t="s">
        <v>1327</v>
      </c>
      <c r="E136" s="1138" t="s">
        <v>778</v>
      </c>
      <c r="F136" s="599">
        <v>4179556245694</v>
      </c>
      <c r="G136" s="599">
        <v>491936956307</v>
      </c>
      <c r="H136" s="599"/>
      <c r="I136" s="599">
        <v>63698058863</v>
      </c>
      <c r="J136" s="599">
        <v>170456652032</v>
      </c>
      <c r="K136" s="599">
        <v>-4912849369415</v>
      </c>
      <c r="L136" s="599">
        <v>383286405093</v>
      </c>
      <c r="M136" s="599">
        <f>-300719924+87028659</f>
        <v>-213691265</v>
      </c>
      <c r="N136" s="599"/>
      <c r="O136" s="599"/>
      <c r="P136" s="599"/>
      <c r="Q136" s="599"/>
      <c r="R136" s="599"/>
      <c r="S136" s="1096">
        <f t="shared" si="8"/>
        <v>375871257309</v>
      </c>
      <c r="T136" s="599">
        <v>-1156970646014</v>
      </c>
      <c r="U136" s="1096">
        <f t="shared" ref="U136:U198" si="11">ROUND((S136/1000000),0)</f>
        <v>375871</v>
      </c>
      <c r="V136" s="599">
        <v>-1156971</v>
      </c>
      <c r="W136" s="620"/>
      <c r="X136" s="621"/>
      <c r="Y136" s="1096">
        <f t="shared" si="9"/>
        <v>375871257309</v>
      </c>
      <c r="Z136" s="882">
        <f t="shared" si="10"/>
        <v>375871</v>
      </c>
    </row>
    <row r="137" spans="1:26" ht="27" customHeight="1">
      <c r="A137" s="583"/>
      <c r="B137" s="583">
        <v>406</v>
      </c>
      <c r="C137" s="581">
        <v>4</v>
      </c>
      <c r="D137" s="1137" t="s">
        <v>565</v>
      </c>
      <c r="E137" s="1138" t="s">
        <v>566</v>
      </c>
      <c r="F137" s="599">
        <v>1889867140</v>
      </c>
      <c r="G137" s="599"/>
      <c r="H137" s="599"/>
      <c r="I137" s="599"/>
      <c r="J137" s="599"/>
      <c r="K137" s="599"/>
      <c r="L137" s="599"/>
      <c r="M137" s="599"/>
      <c r="N137" s="599"/>
      <c r="O137" s="599"/>
      <c r="P137" s="599"/>
      <c r="Q137" s="599"/>
      <c r="R137" s="599"/>
      <c r="S137" s="1096">
        <f t="shared" si="8"/>
        <v>1889867140</v>
      </c>
      <c r="T137" s="599">
        <v>1889867140</v>
      </c>
      <c r="U137" s="1096">
        <f t="shared" si="11"/>
        <v>1890</v>
      </c>
      <c r="V137" s="599">
        <v>1890</v>
      </c>
      <c r="W137" s="620"/>
      <c r="X137" s="621"/>
      <c r="Y137" s="1096">
        <f t="shared" si="9"/>
        <v>1889867140</v>
      </c>
      <c r="Z137" s="882">
        <f t="shared" si="10"/>
        <v>1890</v>
      </c>
    </row>
    <row r="138" spans="1:26" ht="27" customHeight="1">
      <c r="A138" s="583"/>
      <c r="B138" s="1424">
        <v>406</v>
      </c>
      <c r="C138" s="1131">
        <v>4</v>
      </c>
      <c r="D138" s="1137" t="s">
        <v>567</v>
      </c>
      <c r="E138" s="1138" t="s">
        <v>777</v>
      </c>
      <c r="F138" s="599">
        <v>6269551078</v>
      </c>
      <c r="G138" s="599">
        <v>148417281</v>
      </c>
      <c r="H138" s="599">
        <v>-55574880</v>
      </c>
      <c r="I138" s="599"/>
      <c r="J138" s="599"/>
      <c r="K138" s="599"/>
      <c r="L138" s="599"/>
      <c r="M138" s="599"/>
      <c r="N138" s="599"/>
      <c r="O138" s="599"/>
      <c r="P138" s="599"/>
      <c r="Q138" s="599"/>
      <c r="R138" s="599"/>
      <c r="S138" s="1096">
        <f t="shared" si="8"/>
        <v>6362393479</v>
      </c>
      <c r="T138" s="599">
        <v>5585049767</v>
      </c>
      <c r="U138" s="1096">
        <f t="shared" si="11"/>
        <v>6362</v>
      </c>
      <c r="V138" s="599">
        <v>5585</v>
      </c>
      <c r="W138" s="620"/>
      <c r="X138" s="621"/>
      <c r="Y138" s="1096">
        <f t="shared" si="9"/>
        <v>6362393479</v>
      </c>
      <c r="Z138" s="882">
        <f t="shared" si="10"/>
        <v>6362</v>
      </c>
    </row>
    <row r="139" spans="1:26" ht="27" customHeight="1">
      <c r="A139" s="583"/>
      <c r="B139" s="583">
        <v>406</v>
      </c>
      <c r="C139" s="581">
        <v>4</v>
      </c>
      <c r="D139" s="1137" t="s">
        <v>361</v>
      </c>
      <c r="E139" s="1138" t="s">
        <v>253</v>
      </c>
      <c r="F139" s="599">
        <v>6746905</v>
      </c>
      <c r="G139" s="599"/>
      <c r="H139" s="599"/>
      <c r="I139" s="599"/>
      <c r="J139" s="599"/>
      <c r="K139" s="599"/>
      <c r="L139" s="599"/>
      <c r="M139" s="599"/>
      <c r="N139" s="599"/>
      <c r="O139" s="599"/>
      <c r="P139" s="599"/>
      <c r="Q139" s="599"/>
      <c r="R139" s="599"/>
      <c r="S139" s="1096">
        <f t="shared" si="8"/>
        <v>6746905</v>
      </c>
      <c r="T139" s="599">
        <v>6746905</v>
      </c>
      <c r="U139" s="1096">
        <f t="shared" si="11"/>
        <v>7</v>
      </c>
      <c r="V139" s="599">
        <v>7</v>
      </c>
      <c r="W139" s="620"/>
      <c r="X139" s="621"/>
      <c r="Y139" s="1096">
        <f t="shared" si="9"/>
        <v>6746905</v>
      </c>
      <c r="Z139" s="882">
        <f t="shared" si="10"/>
        <v>7</v>
      </c>
    </row>
    <row r="140" spans="1:26" ht="27" customHeight="1">
      <c r="A140" s="583">
        <v>3215</v>
      </c>
      <c r="B140" s="583">
        <v>1028</v>
      </c>
      <c r="C140" s="581">
        <v>10</v>
      </c>
      <c r="D140" s="1137" t="s">
        <v>568</v>
      </c>
      <c r="E140" s="1138" t="s">
        <v>153</v>
      </c>
      <c r="F140" s="599">
        <v>-77608958549</v>
      </c>
      <c r="G140" s="599">
        <v>166411957</v>
      </c>
      <c r="H140" s="599">
        <v>33287585344</v>
      </c>
      <c r="I140" s="599"/>
      <c r="J140" s="599"/>
      <c r="K140" s="599"/>
      <c r="L140" s="599"/>
      <c r="M140" s="599">
        <f>320509320-31036323838+5000000000</f>
        <v>-25715814518</v>
      </c>
      <c r="N140" s="599"/>
      <c r="O140" s="599"/>
      <c r="P140" s="599"/>
      <c r="Q140" s="599"/>
      <c r="R140" s="599"/>
      <c r="S140" s="1096">
        <f t="shared" si="8"/>
        <v>-69870775766</v>
      </c>
      <c r="T140" s="599">
        <v>-75724691482</v>
      </c>
      <c r="U140" s="1096">
        <f t="shared" si="11"/>
        <v>-69871</v>
      </c>
      <c r="V140" s="599">
        <v>-75725</v>
      </c>
      <c r="W140" s="620"/>
      <c r="X140" s="621"/>
      <c r="Y140" s="1096">
        <f t="shared" si="9"/>
        <v>-69870775766</v>
      </c>
      <c r="Z140" s="882">
        <f t="shared" si="10"/>
        <v>-69871</v>
      </c>
    </row>
    <row r="141" spans="1:26" ht="27" customHeight="1">
      <c r="A141" s="583"/>
      <c r="B141" s="583">
        <v>406</v>
      </c>
      <c r="C141" s="581">
        <v>4</v>
      </c>
      <c r="D141" s="1137" t="s">
        <v>254</v>
      </c>
      <c r="E141" s="1138" t="s">
        <v>959</v>
      </c>
      <c r="F141" s="599">
        <v>17982062865</v>
      </c>
      <c r="G141" s="599"/>
      <c r="H141" s="599"/>
      <c r="I141" s="599">
        <v>1059888799</v>
      </c>
      <c r="J141" s="599"/>
      <c r="K141" s="599"/>
      <c r="L141" s="599"/>
      <c r="M141" s="599"/>
      <c r="N141" s="599"/>
      <c r="O141" s="599"/>
      <c r="P141" s="599"/>
      <c r="Q141" s="599"/>
      <c r="R141" s="599"/>
      <c r="S141" s="1096">
        <f t="shared" si="8"/>
        <v>19041951664</v>
      </c>
      <c r="T141" s="599">
        <v>25460706860</v>
      </c>
      <c r="U141" s="1096">
        <f t="shared" si="11"/>
        <v>19042</v>
      </c>
      <c r="V141" s="599">
        <v>25461</v>
      </c>
      <c r="W141" s="620"/>
      <c r="X141" s="621"/>
      <c r="Y141" s="1096">
        <f t="shared" si="9"/>
        <v>19041951664</v>
      </c>
      <c r="Z141" s="882">
        <f t="shared" si="10"/>
        <v>19042</v>
      </c>
    </row>
    <row r="142" spans="1:26" ht="27" customHeight="1">
      <c r="A142" s="583"/>
      <c r="B142" s="583">
        <v>1001</v>
      </c>
      <c r="C142" s="581">
        <v>10</v>
      </c>
      <c r="D142" s="1137" t="s">
        <v>569</v>
      </c>
      <c r="E142" s="1138" t="s">
        <v>961</v>
      </c>
      <c r="F142" s="599">
        <v>-3912259473</v>
      </c>
      <c r="G142" s="599"/>
      <c r="H142" s="599"/>
      <c r="I142" s="599"/>
      <c r="J142" s="599"/>
      <c r="K142" s="599"/>
      <c r="L142" s="599"/>
      <c r="M142" s="599"/>
      <c r="N142" s="599"/>
      <c r="O142" s="599"/>
      <c r="P142" s="599"/>
      <c r="Q142" s="599"/>
      <c r="R142" s="599"/>
      <c r="S142" s="1096">
        <f t="shared" si="8"/>
        <v>-3912259473</v>
      </c>
      <c r="T142" s="599">
        <v>-3120331424</v>
      </c>
      <c r="U142" s="1096">
        <f t="shared" si="11"/>
        <v>-3912</v>
      </c>
      <c r="V142" s="599">
        <v>-3120</v>
      </c>
      <c r="W142" s="620"/>
      <c r="X142" s="621"/>
      <c r="Y142" s="1096">
        <f t="shared" si="9"/>
        <v>-3912259473</v>
      </c>
      <c r="Z142" s="882">
        <f t="shared" si="10"/>
        <v>-3912</v>
      </c>
    </row>
    <row r="143" spans="1:26" ht="27" customHeight="1">
      <c r="A143" s="583"/>
      <c r="B143" s="583">
        <v>406</v>
      </c>
      <c r="C143" s="581">
        <v>4</v>
      </c>
      <c r="D143" s="1137" t="s">
        <v>960</v>
      </c>
      <c r="E143" s="1138" t="s">
        <v>962</v>
      </c>
      <c r="F143" s="599">
        <v>983332600</v>
      </c>
      <c r="G143" s="599"/>
      <c r="H143" s="599"/>
      <c r="I143" s="599"/>
      <c r="J143" s="599"/>
      <c r="K143" s="599"/>
      <c r="L143" s="599"/>
      <c r="M143" s="599"/>
      <c r="N143" s="599"/>
      <c r="O143" s="599"/>
      <c r="P143" s="599"/>
      <c r="Q143" s="599"/>
      <c r="R143" s="599"/>
      <c r="S143" s="1096">
        <f t="shared" si="8"/>
        <v>983332600</v>
      </c>
      <c r="T143" s="599">
        <v>1319356788</v>
      </c>
      <c r="U143" s="1096">
        <f t="shared" si="11"/>
        <v>983</v>
      </c>
      <c r="V143" s="599">
        <v>1319</v>
      </c>
      <c r="W143" s="620"/>
      <c r="X143" s="621"/>
      <c r="Y143" s="1096">
        <f t="shared" si="9"/>
        <v>983332600</v>
      </c>
      <c r="Z143" s="882">
        <f t="shared" si="10"/>
        <v>983</v>
      </c>
    </row>
    <row r="144" spans="1:26" ht="27" customHeight="1">
      <c r="A144" s="583"/>
      <c r="B144" s="583">
        <v>406</v>
      </c>
      <c r="C144" s="581">
        <v>4</v>
      </c>
      <c r="D144" s="1137" t="s">
        <v>733</v>
      </c>
      <c r="E144" s="1138" t="s">
        <v>963</v>
      </c>
      <c r="F144" s="599"/>
      <c r="G144" s="599"/>
      <c r="H144" s="599"/>
      <c r="I144" s="599"/>
      <c r="J144" s="599"/>
      <c r="K144" s="599"/>
      <c r="L144" s="599"/>
      <c r="M144" s="599"/>
      <c r="N144" s="599"/>
      <c r="O144" s="599"/>
      <c r="P144" s="599"/>
      <c r="Q144" s="599"/>
      <c r="R144" s="599"/>
      <c r="S144" s="1096">
        <f t="shared" si="8"/>
        <v>0</v>
      </c>
      <c r="T144" s="599">
        <v>0</v>
      </c>
      <c r="U144" s="1096">
        <f t="shared" si="11"/>
        <v>0</v>
      </c>
      <c r="V144" s="599">
        <v>0</v>
      </c>
      <c r="W144" s="620"/>
      <c r="X144" s="621"/>
      <c r="Y144" s="1096">
        <f t="shared" si="9"/>
        <v>0</v>
      </c>
      <c r="Z144" s="882">
        <f t="shared" si="10"/>
        <v>0</v>
      </c>
    </row>
    <row r="145" spans="1:26" ht="27" customHeight="1">
      <c r="A145" s="583"/>
      <c r="B145" s="583">
        <v>406</v>
      </c>
      <c r="C145" s="581">
        <v>4</v>
      </c>
      <c r="D145" s="1137" t="s">
        <v>570</v>
      </c>
      <c r="E145" s="1138" t="s">
        <v>257</v>
      </c>
      <c r="F145" s="599">
        <v>313769896</v>
      </c>
      <c r="G145" s="599"/>
      <c r="H145" s="599"/>
      <c r="I145" s="599"/>
      <c r="J145" s="599"/>
      <c r="K145" s="599"/>
      <c r="L145" s="599"/>
      <c r="M145" s="599"/>
      <c r="N145" s="599"/>
      <c r="O145" s="599"/>
      <c r="P145" s="599"/>
      <c r="Q145" s="599"/>
      <c r="R145" s="599"/>
      <c r="S145" s="1096">
        <f t="shared" si="8"/>
        <v>313769896</v>
      </c>
      <c r="T145" s="599">
        <v>598377228</v>
      </c>
      <c r="U145" s="1096">
        <f t="shared" si="11"/>
        <v>314</v>
      </c>
      <c r="V145" s="599">
        <v>598</v>
      </c>
      <c r="W145" s="620"/>
      <c r="X145" s="621"/>
      <c r="Y145" s="1096">
        <f t="shared" si="9"/>
        <v>313769896</v>
      </c>
      <c r="Z145" s="882">
        <f t="shared" si="10"/>
        <v>314</v>
      </c>
    </row>
    <row r="146" spans="1:26" ht="27" customHeight="1">
      <c r="A146" s="583"/>
      <c r="B146" s="583">
        <v>406</v>
      </c>
      <c r="C146" s="581">
        <v>4</v>
      </c>
      <c r="D146" s="1137" t="s">
        <v>256</v>
      </c>
      <c r="E146" s="1138" t="s">
        <v>258</v>
      </c>
      <c r="F146" s="599"/>
      <c r="G146" s="599"/>
      <c r="H146" s="599"/>
      <c r="I146" s="599"/>
      <c r="J146" s="599"/>
      <c r="K146" s="599"/>
      <c r="L146" s="599"/>
      <c r="M146" s="599"/>
      <c r="N146" s="599"/>
      <c r="O146" s="599"/>
      <c r="P146" s="599"/>
      <c r="Q146" s="599"/>
      <c r="R146" s="599"/>
      <c r="S146" s="1096">
        <f t="shared" si="8"/>
        <v>0</v>
      </c>
      <c r="T146" s="599">
        <v>0</v>
      </c>
      <c r="U146" s="1096">
        <f t="shared" si="11"/>
        <v>0</v>
      </c>
      <c r="V146" s="599">
        <v>0</v>
      </c>
      <c r="W146" s="620"/>
      <c r="X146" s="621"/>
      <c r="Y146" s="1096">
        <f t="shared" si="9"/>
        <v>0</v>
      </c>
      <c r="Z146" s="882">
        <f t="shared" si="10"/>
        <v>0</v>
      </c>
    </row>
    <row r="147" spans="1:26" ht="27" customHeight="1">
      <c r="A147" s="583"/>
      <c r="B147" s="583">
        <v>406</v>
      </c>
      <c r="C147" s="581">
        <v>4</v>
      </c>
      <c r="D147" s="1137" t="s">
        <v>571</v>
      </c>
      <c r="E147" s="1138" t="s">
        <v>259</v>
      </c>
      <c r="F147" s="599">
        <v>178760000</v>
      </c>
      <c r="G147" s="599"/>
      <c r="H147" s="599"/>
      <c r="I147" s="599"/>
      <c r="J147" s="599"/>
      <c r="K147" s="599"/>
      <c r="L147" s="599"/>
      <c r="M147" s="599"/>
      <c r="N147" s="599"/>
      <c r="O147" s="599"/>
      <c r="P147" s="599"/>
      <c r="Q147" s="599"/>
      <c r="R147" s="599"/>
      <c r="S147" s="1096">
        <f t="shared" si="8"/>
        <v>178760000</v>
      </c>
      <c r="T147" s="599">
        <v>139520000</v>
      </c>
      <c r="U147" s="1096">
        <f t="shared" si="11"/>
        <v>179</v>
      </c>
      <c r="V147" s="599">
        <v>140</v>
      </c>
      <c r="W147" s="620"/>
      <c r="X147" s="621"/>
      <c r="Y147" s="1096">
        <f t="shared" si="9"/>
        <v>178760000</v>
      </c>
      <c r="Z147" s="882">
        <f t="shared" si="10"/>
        <v>179</v>
      </c>
    </row>
    <row r="148" spans="1:26" ht="27" customHeight="1">
      <c r="A148" s="583"/>
      <c r="B148" s="583">
        <v>406</v>
      </c>
      <c r="C148" s="581">
        <v>4</v>
      </c>
      <c r="D148" s="1137" t="s">
        <v>964</v>
      </c>
      <c r="E148" s="1138" t="s">
        <v>965</v>
      </c>
      <c r="F148" s="599">
        <v>234234000</v>
      </c>
      <c r="G148" s="599"/>
      <c r="H148" s="599"/>
      <c r="I148" s="599"/>
      <c r="J148" s="599"/>
      <c r="K148" s="599"/>
      <c r="L148" s="599"/>
      <c r="M148" s="599"/>
      <c r="N148" s="599"/>
      <c r="O148" s="599"/>
      <c r="P148" s="599"/>
      <c r="Q148" s="599"/>
      <c r="R148" s="599"/>
      <c r="S148" s="1096">
        <f t="shared" si="8"/>
        <v>234234000</v>
      </c>
      <c r="T148" s="599">
        <v>173804400</v>
      </c>
      <c r="U148" s="1096">
        <f t="shared" si="11"/>
        <v>234</v>
      </c>
      <c r="V148" s="599">
        <v>174</v>
      </c>
      <c r="W148" s="620"/>
      <c r="X148" s="621"/>
      <c r="Y148" s="1096">
        <f t="shared" si="9"/>
        <v>234234000</v>
      </c>
      <c r="Z148" s="882">
        <f t="shared" si="10"/>
        <v>234</v>
      </c>
    </row>
    <row r="149" spans="1:26" ht="27" customHeight="1">
      <c r="A149" s="583"/>
      <c r="B149" s="583">
        <v>406</v>
      </c>
      <c r="C149" s="581">
        <v>4</v>
      </c>
      <c r="D149" s="1137" t="s">
        <v>643</v>
      </c>
      <c r="E149" s="1138" t="s">
        <v>642</v>
      </c>
      <c r="F149" s="599">
        <v>35536702142</v>
      </c>
      <c r="G149" s="599">
        <v>-35326709382</v>
      </c>
      <c r="H149" s="599"/>
      <c r="I149" s="599"/>
      <c r="J149" s="599"/>
      <c r="K149" s="599"/>
      <c r="L149" s="599"/>
      <c r="M149" s="599"/>
      <c r="N149" s="599"/>
      <c r="O149" s="599"/>
      <c r="P149" s="599"/>
      <c r="Q149" s="599"/>
      <c r="R149" s="599"/>
      <c r="S149" s="1096">
        <f t="shared" si="8"/>
        <v>209992760</v>
      </c>
      <c r="T149" s="599">
        <v>209992860</v>
      </c>
      <c r="U149" s="1096">
        <f t="shared" si="11"/>
        <v>210</v>
      </c>
      <c r="V149" s="599">
        <v>210</v>
      </c>
      <c r="W149" s="620"/>
      <c r="X149" s="621"/>
      <c r="Y149" s="1096">
        <f t="shared" si="9"/>
        <v>209992760</v>
      </c>
      <c r="Z149" s="882">
        <f t="shared" si="10"/>
        <v>210</v>
      </c>
    </row>
    <row r="150" spans="1:26" ht="27" customHeight="1">
      <c r="A150" s="583"/>
      <c r="B150" s="583">
        <v>406</v>
      </c>
      <c r="C150" s="581">
        <v>4</v>
      </c>
      <c r="D150" s="1137" t="s">
        <v>572</v>
      </c>
      <c r="E150" s="1138" t="s">
        <v>168</v>
      </c>
      <c r="F150" s="599">
        <v>589142696</v>
      </c>
      <c r="G150" s="599">
        <v>22252589</v>
      </c>
      <c r="H150" s="599"/>
      <c r="I150" s="599"/>
      <c r="J150" s="599"/>
      <c r="K150" s="599"/>
      <c r="L150" s="599"/>
      <c r="M150" s="599"/>
      <c r="N150" s="599"/>
      <c r="O150" s="599"/>
      <c r="P150" s="599"/>
      <c r="Q150" s="599"/>
      <c r="R150" s="599"/>
      <c r="S150" s="1096">
        <f t="shared" si="8"/>
        <v>611395285</v>
      </c>
      <c r="T150" s="599">
        <v>1214411898</v>
      </c>
      <c r="U150" s="1096">
        <f t="shared" si="11"/>
        <v>611</v>
      </c>
      <c r="V150" s="599">
        <v>1214</v>
      </c>
      <c r="W150" s="620"/>
      <c r="X150" s="621"/>
      <c r="Y150" s="1096">
        <f t="shared" si="9"/>
        <v>611395285</v>
      </c>
      <c r="Z150" s="882">
        <f t="shared" si="10"/>
        <v>611</v>
      </c>
    </row>
    <row r="151" spans="1:26" ht="27" customHeight="1">
      <c r="A151" s="583"/>
      <c r="B151" s="583">
        <v>406</v>
      </c>
      <c r="C151" s="1235">
        <v>4</v>
      </c>
      <c r="D151" s="1137" t="s">
        <v>573</v>
      </c>
      <c r="E151" s="1138" t="s">
        <v>966</v>
      </c>
      <c r="F151" s="599">
        <v>-634143315</v>
      </c>
      <c r="G151" s="599">
        <v>679591442</v>
      </c>
      <c r="H151" s="599"/>
      <c r="I151" s="599"/>
      <c r="J151" s="599"/>
      <c r="K151" s="599"/>
      <c r="L151" s="599"/>
      <c r="M151" s="599"/>
      <c r="N151" s="599"/>
      <c r="O151" s="599"/>
      <c r="P151" s="599"/>
      <c r="Q151" s="599"/>
      <c r="R151" s="599"/>
      <c r="S151" s="1096">
        <f t="shared" si="8"/>
        <v>45448127</v>
      </c>
      <c r="T151" s="599">
        <v>-330801146</v>
      </c>
      <c r="U151" s="738">
        <f>ROUND((S151/1000000),0)+1</f>
        <v>46</v>
      </c>
      <c r="V151" s="599">
        <v>-331</v>
      </c>
      <c r="W151" s="620"/>
      <c r="X151" s="621"/>
      <c r="Y151" s="1096">
        <f t="shared" si="9"/>
        <v>45448127</v>
      </c>
      <c r="Z151" s="882">
        <f t="shared" si="10"/>
        <v>45</v>
      </c>
    </row>
    <row r="152" spans="1:26" ht="27" customHeight="1">
      <c r="A152" s="583"/>
      <c r="B152" s="583">
        <v>1001</v>
      </c>
      <c r="C152" s="581">
        <v>10</v>
      </c>
      <c r="D152" s="1137" t="s">
        <v>575</v>
      </c>
      <c r="E152" s="1138" t="s">
        <v>1608</v>
      </c>
      <c r="F152" s="599">
        <v>-3641360</v>
      </c>
      <c r="G152" s="599"/>
      <c r="H152" s="599"/>
      <c r="I152" s="599"/>
      <c r="J152" s="599"/>
      <c r="K152" s="599"/>
      <c r="L152" s="599"/>
      <c r="M152" s="599"/>
      <c r="N152" s="599"/>
      <c r="O152" s="599"/>
      <c r="P152" s="599"/>
      <c r="Q152" s="599"/>
      <c r="R152" s="599"/>
      <c r="S152" s="1096">
        <f t="shared" si="8"/>
        <v>-3641360</v>
      </c>
      <c r="T152" s="599">
        <v>-2413080</v>
      </c>
      <c r="U152" s="1096">
        <f t="shared" si="11"/>
        <v>-4</v>
      </c>
      <c r="V152" s="599">
        <v>-2</v>
      </c>
      <c r="W152" s="620"/>
      <c r="X152" s="621"/>
      <c r="Y152" s="1096">
        <f t="shared" si="9"/>
        <v>-3641360</v>
      </c>
      <c r="Z152" s="882">
        <f t="shared" si="10"/>
        <v>-4</v>
      </c>
    </row>
    <row r="153" spans="1:26" ht="27" customHeight="1">
      <c r="A153" s="583"/>
      <c r="B153" s="583">
        <v>1018</v>
      </c>
      <c r="C153" s="581">
        <v>10</v>
      </c>
      <c r="D153" s="1137" t="s">
        <v>577</v>
      </c>
      <c r="E153" s="1138" t="s">
        <v>578</v>
      </c>
      <c r="F153" s="599">
        <v>-7058431531</v>
      </c>
      <c r="G153" s="599">
        <v>417600765</v>
      </c>
      <c r="H153" s="599">
        <v>-270679700</v>
      </c>
      <c r="I153" s="599">
        <v>-61380856</v>
      </c>
      <c r="J153" s="599"/>
      <c r="K153" s="599"/>
      <c r="L153" s="599"/>
      <c r="M153" s="599"/>
      <c r="N153" s="599"/>
      <c r="O153" s="599"/>
      <c r="P153" s="599"/>
      <c r="Q153" s="599"/>
      <c r="R153" s="599"/>
      <c r="S153" s="1096">
        <f t="shared" si="8"/>
        <v>-6972891322</v>
      </c>
      <c r="T153" s="599">
        <v>-6044997104</v>
      </c>
      <c r="U153" s="1096">
        <f t="shared" si="11"/>
        <v>-6973</v>
      </c>
      <c r="V153" s="599">
        <v>-6045</v>
      </c>
      <c r="W153" s="620"/>
      <c r="X153" s="621"/>
      <c r="Y153" s="1096">
        <f t="shared" si="9"/>
        <v>-6972891322</v>
      </c>
      <c r="Z153" s="882">
        <f t="shared" si="10"/>
        <v>-6973</v>
      </c>
    </row>
    <row r="154" spans="1:26" ht="27" customHeight="1">
      <c r="A154" s="583"/>
      <c r="B154" s="583">
        <v>1001</v>
      </c>
      <c r="C154" s="581">
        <v>10</v>
      </c>
      <c r="D154" s="1137" t="s">
        <v>1177</v>
      </c>
      <c r="E154" s="1138" t="s">
        <v>1178</v>
      </c>
      <c r="F154" s="599">
        <v>-1842908588</v>
      </c>
      <c r="G154" s="599"/>
      <c r="H154" s="599"/>
      <c r="I154" s="599"/>
      <c r="J154" s="599"/>
      <c r="K154" s="599"/>
      <c r="L154" s="599"/>
      <c r="M154" s="599"/>
      <c r="N154" s="599"/>
      <c r="O154" s="599"/>
      <c r="P154" s="599"/>
      <c r="Q154" s="599"/>
      <c r="R154" s="599"/>
      <c r="S154" s="1096">
        <f t="shared" si="8"/>
        <v>-1842908588</v>
      </c>
      <c r="T154" s="599">
        <v>-1876262588</v>
      </c>
      <c r="U154" s="1096">
        <f t="shared" si="11"/>
        <v>-1843</v>
      </c>
      <c r="V154" s="599">
        <v>-1876</v>
      </c>
      <c r="W154" s="620"/>
      <c r="X154" s="621"/>
      <c r="Y154" s="1096">
        <f t="shared" si="9"/>
        <v>-1842908588</v>
      </c>
      <c r="Z154" s="882">
        <f t="shared" si="10"/>
        <v>-1843</v>
      </c>
    </row>
    <row r="155" spans="1:26" ht="27" customHeight="1">
      <c r="A155" s="583"/>
      <c r="B155" s="583">
        <v>406</v>
      </c>
      <c r="C155" s="581">
        <v>4</v>
      </c>
      <c r="D155" s="582" t="s">
        <v>1833</v>
      </c>
      <c r="E155" s="1138" t="s">
        <v>1827</v>
      </c>
      <c r="F155" s="599">
        <v>69760000</v>
      </c>
      <c r="G155" s="599"/>
      <c r="H155" s="599"/>
      <c r="I155" s="599"/>
      <c r="J155" s="599"/>
      <c r="K155" s="599"/>
      <c r="L155" s="599"/>
      <c r="M155" s="599"/>
      <c r="N155" s="599"/>
      <c r="O155" s="599"/>
      <c r="P155" s="599"/>
      <c r="Q155" s="599"/>
      <c r="R155" s="599"/>
      <c r="S155" s="1096">
        <f t="shared" si="8"/>
        <v>69760000</v>
      </c>
      <c r="T155" s="599"/>
      <c r="U155" s="1096">
        <f t="shared" si="11"/>
        <v>70</v>
      </c>
      <c r="V155" s="599"/>
      <c r="W155" s="620"/>
      <c r="X155" s="621"/>
      <c r="Y155" s="1096">
        <f t="shared" si="9"/>
        <v>69760000</v>
      </c>
      <c r="Z155" s="882">
        <f t="shared" si="10"/>
        <v>70</v>
      </c>
    </row>
    <row r="156" spans="1:26" ht="27" customHeight="1">
      <c r="A156" s="583"/>
      <c r="B156" s="583">
        <v>406</v>
      </c>
      <c r="C156" s="581">
        <v>4</v>
      </c>
      <c r="D156" s="1137" t="s">
        <v>579</v>
      </c>
      <c r="E156" s="1138" t="s">
        <v>580</v>
      </c>
      <c r="F156" s="599">
        <v>2531362670</v>
      </c>
      <c r="G156" s="599"/>
      <c r="H156" s="599"/>
      <c r="I156" s="599"/>
      <c r="J156" s="599"/>
      <c r="K156" s="599"/>
      <c r="L156" s="599"/>
      <c r="M156" s="599"/>
      <c r="N156" s="599"/>
      <c r="O156" s="599"/>
      <c r="P156" s="599"/>
      <c r="Q156" s="599"/>
      <c r="R156" s="599"/>
      <c r="S156" s="1096">
        <f t="shared" si="8"/>
        <v>2531362670</v>
      </c>
      <c r="T156" s="599">
        <v>2531362670</v>
      </c>
      <c r="U156" s="738">
        <f>ROUND((S156/1000000),0)+1</f>
        <v>2532</v>
      </c>
      <c r="V156" s="599">
        <v>2531</v>
      </c>
      <c r="W156" s="620"/>
      <c r="X156" s="621"/>
      <c r="Y156" s="1096">
        <f t="shared" si="9"/>
        <v>2531362670</v>
      </c>
      <c r="Z156" s="882">
        <f t="shared" si="10"/>
        <v>2531</v>
      </c>
    </row>
    <row r="157" spans="1:26" ht="27" customHeight="1">
      <c r="A157" s="583"/>
      <c r="B157" s="583">
        <v>406</v>
      </c>
      <c r="C157" s="581">
        <v>4</v>
      </c>
      <c r="D157" s="1137" t="s">
        <v>581</v>
      </c>
      <c r="E157" s="1138" t="s">
        <v>756</v>
      </c>
      <c r="F157" s="599">
        <v>25897418975</v>
      </c>
      <c r="G157" s="599">
        <v>20901548135</v>
      </c>
      <c r="H157" s="599"/>
      <c r="I157" s="599"/>
      <c r="J157" s="599">
        <v>-389864028</v>
      </c>
      <c r="K157" s="599"/>
      <c r="L157" s="599"/>
      <c r="M157" s="599"/>
      <c r="N157" s="599">
        <f>-8837626912+3778571110</f>
        <v>-5059055802</v>
      </c>
      <c r="O157" s="599"/>
      <c r="P157" s="599"/>
      <c r="Q157" s="599"/>
      <c r="R157" s="599"/>
      <c r="S157" s="1096">
        <f t="shared" si="8"/>
        <v>41350047280</v>
      </c>
      <c r="T157" s="599">
        <v>10667494341</v>
      </c>
      <c r="U157" s="1096">
        <f t="shared" si="11"/>
        <v>41350</v>
      </c>
      <c r="V157" s="599">
        <v>10667</v>
      </c>
      <c r="W157" s="620"/>
      <c r="X157" s="621"/>
      <c r="Y157" s="1096">
        <f t="shared" si="9"/>
        <v>41350047280</v>
      </c>
      <c r="Z157" s="882">
        <f t="shared" si="10"/>
        <v>41350</v>
      </c>
    </row>
    <row r="158" spans="1:26" ht="27" customHeight="1">
      <c r="A158" s="583"/>
      <c r="B158" s="583">
        <v>406</v>
      </c>
      <c r="C158" s="581">
        <v>4</v>
      </c>
      <c r="D158" s="1137" t="s">
        <v>882</v>
      </c>
      <c r="E158" s="1138" t="s">
        <v>883</v>
      </c>
      <c r="F158" s="599"/>
      <c r="G158" s="599"/>
      <c r="H158" s="599"/>
      <c r="I158" s="599"/>
      <c r="J158" s="599"/>
      <c r="K158" s="599"/>
      <c r="L158" s="599"/>
      <c r="M158" s="599"/>
      <c r="N158" s="599"/>
      <c r="O158" s="599"/>
      <c r="P158" s="599"/>
      <c r="Q158" s="599"/>
      <c r="R158" s="599"/>
      <c r="S158" s="1096">
        <f t="shared" si="8"/>
        <v>0</v>
      </c>
      <c r="T158" s="599">
        <v>0</v>
      </c>
      <c r="U158" s="1096">
        <f t="shared" si="11"/>
        <v>0</v>
      </c>
      <c r="V158" s="599">
        <v>0</v>
      </c>
      <c r="W158" s="620"/>
      <c r="X158" s="621"/>
      <c r="Y158" s="1096">
        <f t="shared" si="9"/>
        <v>0</v>
      </c>
      <c r="Z158" s="882">
        <f t="shared" si="10"/>
        <v>0</v>
      </c>
    </row>
    <row r="159" spans="1:26" ht="27" customHeight="1">
      <c r="A159" s="583"/>
      <c r="B159" s="583">
        <v>1001</v>
      </c>
      <c r="C159" s="581">
        <v>10</v>
      </c>
      <c r="D159" s="1137" t="s">
        <v>582</v>
      </c>
      <c r="E159" s="1138" t="s">
        <v>583</v>
      </c>
      <c r="F159" s="599">
        <v>-3880545445</v>
      </c>
      <c r="G159" s="599">
        <v>192996831</v>
      </c>
      <c r="H159" s="599"/>
      <c r="I159" s="599"/>
      <c r="J159" s="599"/>
      <c r="K159" s="599"/>
      <c r="L159" s="599"/>
      <c r="M159" s="599"/>
      <c r="N159" s="599"/>
      <c r="O159" s="599"/>
      <c r="P159" s="599"/>
      <c r="Q159" s="599"/>
      <c r="R159" s="599"/>
      <c r="S159" s="1096">
        <f t="shared" si="8"/>
        <v>-3687548614</v>
      </c>
      <c r="T159" s="599">
        <v>-2054714948</v>
      </c>
      <c r="U159" s="1096">
        <f t="shared" si="11"/>
        <v>-3688</v>
      </c>
      <c r="V159" s="599">
        <v>-2055</v>
      </c>
      <c r="W159" s="620"/>
      <c r="X159" s="621"/>
      <c r="Y159" s="1096">
        <f t="shared" si="9"/>
        <v>-3687548614</v>
      </c>
      <c r="Z159" s="882">
        <f t="shared" si="10"/>
        <v>-3688</v>
      </c>
    </row>
    <row r="160" spans="1:26" ht="27" customHeight="1">
      <c r="A160" s="583"/>
      <c r="B160" s="583">
        <v>406</v>
      </c>
      <c r="C160" s="581">
        <v>4</v>
      </c>
      <c r="D160" s="1137" t="s">
        <v>260</v>
      </c>
      <c r="E160" s="1138" t="s">
        <v>261</v>
      </c>
      <c r="F160" s="599">
        <v>125077500</v>
      </c>
      <c r="G160" s="599"/>
      <c r="H160" s="599"/>
      <c r="I160" s="599"/>
      <c r="J160" s="599"/>
      <c r="K160" s="599"/>
      <c r="L160" s="599"/>
      <c r="M160" s="599"/>
      <c r="N160" s="599"/>
      <c r="O160" s="599"/>
      <c r="P160" s="599"/>
      <c r="Q160" s="599"/>
      <c r="R160" s="599"/>
      <c r="S160" s="1096">
        <f t="shared" si="8"/>
        <v>125077500</v>
      </c>
      <c r="T160" s="599">
        <v>91723500</v>
      </c>
      <c r="U160" s="1096">
        <f t="shared" si="11"/>
        <v>125</v>
      </c>
      <c r="V160" s="599">
        <v>92</v>
      </c>
      <c r="W160" s="620"/>
      <c r="X160" s="621"/>
      <c r="Y160" s="1096">
        <f t="shared" si="9"/>
        <v>125077500</v>
      </c>
      <c r="Z160" s="882">
        <f t="shared" si="10"/>
        <v>125</v>
      </c>
    </row>
    <row r="161" spans="1:26" ht="27" customHeight="1">
      <c r="A161" s="583"/>
      <c r="B161" s="583">
        <v>1001</v>
      </c>
      <c r="C161" s="581">
        <v>10</v>
      </c>
      <c r="D161" s="1137" t="s">
        <v>262</v>
      </c>
      <c r="E161" s="1138" t="s">
        <v>263</v>
      </c>
      <c r="F161" s="599">
        <v>-707676534</v>
      </c>
      <c r="G161" s="599">
        <v>-110233826</v>
      </c>
      <c r="H161" s="599">
        <v>-180278752</v>
      </c>
      <c r="I161" s="599"/>
      <c r="J161" s="599">
        <v>-2207250</v>
      </c>
      <c r="K161" s="599"/>
      <c r="L161" s="599"/>
      <c r="M161" s="599"/>
      <c r="N161" s="599"/>
      <c r="O161" s="599"/>
      <c r="P161" s="599"/>
      <c r="Q161" s="599"/>
      <c r="R161" s="599"/>
      <c r="S161" s="1096">
        <f t="shared" si="8"/>
        <v>-1000396362</v>
      </c>
      <c r="T161" s="599">
        <v>-2555392604</v>
      </c>
      <c r="U161" s="1096">
        <f t="shared" si="11"/>
        <v>-1000</v>
      </c>
      <c r="V161" s="599">
        <v>-2555</v>
      </c>
      <c r="W161" s="620"/>
      <c r="X161" s="621"/>
      <c r="Y161" s="1096">
        <f t="shared" si="9"/>
        <v>-1000396362</v>
      </c>
      <c r="Z161" s="882">
        <f t="shared" si="10"/>
        <v>-1000</v>
      </c>
    </row>
    <row r="162" spans="1:26" ht="27" customHeight="1">
      <c r="A162" s="583"/>
      <c r="B162" s="1424">
        <v>1001</v>
      </c>
      <c r="C162" s="1235">
        <v>10</v>
      </c>
      <c r="D162" s="1137" t="s">
        <v>584</v>
      </c>
      <c r="E162" s="1138" t="s">
        <v>645</v>
      </c>
      <c r="F162" s="599">
        <v>-234253660</v>
      </c>
      <c r="G162" s="599"/>
      <c r="H162" s="599"/>
      <c r="I162" s="599"/>
      <c r="J162" s="599"/>
      <c r="K162" s="599"/>
      <c r="L162" s="599"/>
      <c r="M162" s="599"/>
      <c r="N162" s="599"/>
      <c r="O162" s="599"/>
      <c r="P162" s="599"/>
      <c r="Q162" s="599"/>
      <c r="R162" s="599"/>
      <c r="S162" s="1096">
        <f t="shared" si="8"/>
        <v>-234253660</v>
      </c>
      <c r="T162" s="599">
        <v>218106340</v>
      </c>
      <c r="U162" s="1096">
        <f t="shared" si="11"/>
        <v>-234</v>
      </c>
      <c r="V162" s="599">
        <v>218</v>
      </c>
      <c r="W162" s="620"/>
      <c r="X162" s="621"/>
      <c r="Y162" s="1096">
        <f t="shared" si="9"/>
        <v>-234253660</v>
      </c>
      <c r="Z162" s="882">
        <f t="shared" si="10"/>
        <v>-234</v>
      </c>
    </row>
    <row r="163" spans="1:26" ht="27" customHeight="1">
      <c r="A163" s="583"/>
      <c r="B163" s="583">
        <v>1001</v>
      </c>
      <c r="C163" s="581">
        <v>10</v>
      </c>
      <c r="D163" s="1137" t="s">
        <v>546</v>
      </c>
      <c r="E163" s="1138" t="s">
        <v>170</v>
      </c>
      <c r="F163" s="599">
        <v>-12801241075</v>
      </c>
      <c r="G163" s="599">
        <v>-1329057683</v>
      </c>
      <c r="H163" s="599"/>
      <c r="I163" s="599">
        <v>503181336</v>
      </c>
      <c r="J163" s="599"/>
      <c r="K163" s="599"/>
      <c r="L163" s="599"/>
      <c r="M163" s="599"/>
      <c r="N163" s="599"/>
      <c r="O163" s="599"/>
      <c r="P163" s="599"/>
      <c r="Q163" s="599"/>
      <c r="R163" s="599"/>
      <c r="S163" s="1096">
        <f t="shared" si="8"/>
        <v>-13627117422</v>
      </c>
      <c r="T163" s="599">
        <v>-11841350408</v>
      </c>
      <c r="U163" s="1096">
        <f t="shared" si="11"/>
        <v>-13627</v>
      </c>
      <c r="V163" s="599">
        <v>-11841</v>
      </c>
      <c r="W163" s="620"/>
      <c r="X163" s="621"/>
      <c r="Y163" s="1096">
        <f t="shared" si="9"/>
        <v>-13627117422</v>
      </c>
      <c r="Z163" s="882">
        <f t="shared" si="10"/>
        <v>-13627</v>
      </c>
    </row>
    <row r="164" spans="1:26" ht="27" customHeight="1">
      <c r="A164" s="583"/>
      <c r="B164" s="583">
        <v>406</v>
      </c>
      <c r="C164" s="581">
        <v>4</v>
      </c>
      <c r="D164" s="582" t="s">
        <v>1834</v>
      </c>
      <c r="E164" s="1138" t="s">
        <v>1828</v>
      </c>
      <c r="F164" s="599"/>
      <c r="G164" s="599">
        <v>13080000</v>
      </c>
      <c r="H164" s="599"/>
      <c r="I164" s="599"/>
      <c r="J164" s="599"/>
      <c r="K164" s="599"/>
      <c r="L164" s="599"/>
      <c r="M164" s="599"/>
      <c r="N164" s="599"/>
      <c r="O164" s="599"/>
      <c r="P164" s="599"/>
      <c r="Q164" s="599"/>
      <c r="R164" s="599"/>
      <c r="S164" s="1096">
        <f t="shared" si="8"/>
        <v>13080000</v>
      </c>
      <c r="T164" s="599"/>
      <c r="U164" s="1096">
        <f t="shared" si="11"/>
        <v>13</v>
      </c>
      <c r="V164" s="599"/>
      <c r="W164" s="620"/>
      <c r="X164" s="621"/>
      <c r="Y164" s="1096">
        <f t="shared" si="9"/>
        <v>13080000</v>
      </c>
      <c r="Z164" s="882">
        <f t="shared" si="10"/>
        <v>13</v>
      </c>
    </row>
    <row r="165" spans="1:26" ht="27" customHeight="1">
      <c r="A165" s="583"/>
      <c r="B165" s="583">
        <v>406</v>
      </c>
      <c r="C165" s="581">
        <v>4</v>
      </c>
      <c r="D165" s="1137" t="s">
        <v>162</v>
      </c>
      <c r="E165" s="1138" t="s">
        <v>171</v>
      </c>
      <c r="F165" s="599">
        <v>403600856</v>
      </c>
      <c r="G165" s="599">
        <v>-81786600</v>
      </c>
      <c r="H165" s="599">
        <v>7128500</v>
      </c>
      <c r="I165" s="599">
        <v>-11451127</v>
      </c>
      <c r="J165" s="599">
        <v>-7128500</v>
      </c>
      <c r="K165" s="599"/>
      <c r="L165" s="599"/>
      <c r="M165" s="599"/>
      <c r="N165" s="599"/>
      <c r="O165" s="599"/>
      <c r="P165" s="599"/>
      <c r="Q165" s="599"/>
      <c r="R165" s="599"/>
      <c r="S165" s="1096">
        <f t="shared" si="8"/>
        <v>310363129</v>
      </c>
      <c r="T165" s="599">
        <v>-349548150</v>
      </c>
      <c r="U165" s="1096">
        <f t="shared" si="11"/>
        <v>310</v>
      </c>
      <c r="V165" s="599">
        <v>-350</v>
      </c>
      <c r="W165" s="620"/>
      <c r="X165" s="621"/>
      <c r="Y165" s="1096">
        <f t="shared" si="9"/>
        <v>310363129</v>
      </c>
      <c r="Z165" s="882">
        <f t="shared" si="10"/>
        <v>310</v>
      </c>
    </row>
    <row r="166" spans="1:26" ht="27" customHeight="1">
      <c r="A166" s="583"/>
      <c r="B166" s="583">
        <v>406</v>
      </c>
      <c r="C166" s="581">
        <v>4</v>
      </c>
      <c r="D166" s="1137" t="s">
        <v>299</v>
      </c>
      <c r="E166" s="1138" t="s">
        <v>644</v>
      </c>
      <c r="F166" s="599"/>
      <c r="G166" s="599"/>
      <c r="H166" s="599"/>
      <c r="I166" s="599"/>
      <c r="J166" s="599"/>
      <c r="K166" s="599"/>
      <c r="L166" s="599"/>
      <c r="M166" s="599"/>
      <c r="N166" s="599"/>
      <c r="O166" s="599"/>
      <c r="P166" s="599"/>
      <c r="Q166" s="599"/>
      <c r="R166" s="599"/>
      <c r="S166" s="1096">
        <f t="shared" si="8"/>
        <v>0</v>
      </c>
      <c r="T166" s="599">
        <v>0</v>
      </c>
      <c r="U166" s="1096">
        <f t="shared" si="11"/>
        <v>0</v>
      </c>
      <c r="V166" s="599">
        <v>0</v>
      </c>
      <c r="W166" s="620"/>
      <c r="X166" s="621"/>
      <c r="Y166" s="1096">
        <f t="shared" si="9"/>
        <v>0</v>
      </c>
      <c r="Z166" s="882">
        <f t="shared" si="10"/>
        <v>0</v>
      </c>
    </row>
    <row r="167" spans="1:26" ht="27" customHeight="1">
      <c r="A167" s="583"/>
      <c r="B167" s="583">
        <v>406</v>
      </c>
      <c r="C167" s="581">
        <v>4</v>
      </c>
      <c r="D167" s="1137" t="s">
        <v>839</v>
      </c>
      <c r="E167" s="1138" t="s">
        <v>838</v>
      </c>
      <c r="F167" s="599">
        <v>77820342</v>
      </c>
      <c r="G167" s="599"/>
      <c r="H167" s="599"/>
      <c r="I167" s="599"/>
      <c r="J167" s="599"/>
      <c r="K167" s="599"/>
      <c r="L167" s="599"/>
      <c r="M167" s="599"/>
      <c r="N167" s="599"/>
      <c r="O167" s="599"/>
      <c r="P167" s="599"/>
      <c r="Q167" s="599"/>
      <c r="R167" s="599"/>
      <c r="S167" s="1096">
        <f t="shared" si="8"/>
        <v>77820342</v>
      </c>
      <c r="T167" s="599">
        <v>77820342</v>
      </c>
      <c r="U167" s="1096">
        <f t="shared" si="11"/>
        <v>78</v>
      </c>
      <c r="V167" s="599">
        <v>78</v>
      </c>
      <c r="W167" s="620"/>
      <c r="X167" s="621"/>
      <c r="Y167" s="1096">
        <f t="shared" si="9"/>
        <v>77820342</v>
      </c>
      <c r="Z167" s="882">
        <f t="shared" si="10"/>
        <v>78</v>
      </c>
    </row>
    <row r="168" spans="1:26" ht="27" customHeight="1">
      <c r="A168" s="583"/>
      <c r="B168" s="583">
        <v>406</v>
      </c>
      <c r="C168" s="581">
        <v>4</v>
      </c>
      <c r="D168" s="1137" t="s">
        <v>884</v>
      </c>
      <c r="E168" s="1138" t="s">
        <v>885</v>
      </c>
      <c r="F168" s="599">
        <v>78118066</v>
      </c>
      <c r="G168" s="599"/>
      <c r="H168" s="599"/>
      <c r="I168" s="599"/>
      <c r="J168" s="599"/>
      <c r="K168" s="599"/>
      <c r="L168" s="599"/>
      <c r="M168" s="599"/>
      <c r="N168" s="599"/>
      <c r="O168" s="599"/>
      <c r="P168" s="599"/>
      <c r="Q168" s="599"/>
      <c r="R168" s="599"/>
      <c r="S168" s="1096">
        <f t="shared" si="8"/>
        <v>78118066</v>
      </c>
      <c r="T168" s="599">
        <v>44764066</v>
      </c>
      <c r="U168" s="1096">
        <f t="shared" si="11"/>
        <v>78</v>
      </c>
      <c r="V168" s="599">
        <v>45</v>
      </c>
      <c r="W168" s="620"/>
      <c r="X168" s="621"/>
      <c r="Y168" s="1096">
        <f t="shared" si="9"/>
        <v>78118066</v>
      </c>
      <c r="Z168" s="882">
        <f t="shared" si="10"/>
        <v>78</v>
      </c>
    </row>
    <row r="169" spans="1:26" ht="27" customHeight="1">
      <c r="A169" s="583"/>
      <c r="B169" s="583">
        <v>1001</v>
      </c>
      <c r="C169" s="581">
        <v>10</v>
      </c>
      <c r="D169" s="1137" t="s">
        <v>301</v>
      </c>
      <c r="E169" s="1138" t="s">
        <v>886</v>
      </c>
      <c r="F169" s="599"/>
      <c r="G169" s="599"/>
      <c r="H169" s="599"/>
      <c r="I169" s="599"/>
      <c r="J169" s="599"/>
      <c r="K169" s="599"/>
      <c r="L169" s="599"/>
      <c r="M169" s="599"/>
      <c r="N169" s="599"/>
      <c r="O169" s="599"/>
      <c r="P169" s="599"/>
      <c r="Q169" s="599"/>
      <c r="R169" s="599"/>
      <c r="S169" s="1096">
        <f t="shared" si="8"/>
        <v>0</v>
      </c>
      <c r="T169" s="599">
        <v>0</v>
      </c>
      <c r="U169" s="1096">
        <f t="shared" si="11"/>
        <v>0</v>
      </c>
      <c r="V169" s="599">
        <v>0</v>
      </c>
      <c r="W169" s="620"/>
      <c r="X169" s="621"/>
      <c r="Y169" s="1096">
        <f t="shared" si="9"/>
        <v>0</v>
      </c>
      <c r="Z169" s="882">
        <f t="shared" si="10"/>
        <v>0</v>
      </c>
    </row>
    <row r="170" spans="1:26" ht="27" customHeight="1">
      <c r="A170" s="583"/>
      <c r="B170" s="583">
        <v>406</v>
      </c>
      <c r="C170" s="581">
        <v>4</v>
      </c>
      <c r="D170" s="1137" t="s">
        <v>264</v>
      </c>
      <c r="E170" s="1138" t="s">
        <v>265</v>
      </c>
      <c r="F170" s="599"/>
      <c r="G170" s="599"/>
      <c r="H170" s="599"/>
      <c r="I170" s="599"/>
      <c r="J170" s="599"/>
      <c r="K170" s="599"/>
      <c r="L170" s="599"/>
      <c r="M170" s="599"/>
      <c r="N170" s="599"/>
      <c r="O170" s="599"/>
      <c r="P170" s="599"/>
      <c r="Q170" s="599"/>
      <c r="R170" s="599"/>
      <c r="S170" s="1096">
        <f t="shared" si="8"/>
        <v>0</v>
      </c>
      <c r="T170" s="599">
        <v>0</v>
      </c>
      <c r="U170" s="1096">
        <f t="shared" si="11"/>
        <v>0</v>
      </c>
      <c r="V170" s="599">
        <v>0</v>
      </c>
      <c r="W170" s="620"/>
      <c r="X170" s="621"/>
      <c r="Y170" s="1096">
        <f t="shared" si="9"/>
        <v>0</v>
      </c>
      <c r="Z170" s="882">
        <f t="shared" si="10"/>
        <v>0</v>
      </c>
    </row>
    <row r="171" spans="1:26" ht="27" customHeight="1">
      <c r="A171" s="583"/>
      <c r="B171" s="583">
        <v>406</v>
      </c>
      <c r="C171" s="581">
        <v>4</v>
      </c>
      <c r="D171" s="1137" t="s">
        <v>647</v>
      </c>
      <c r="E171" s="1138" t="s">
        <v>646</v>
      </c>
      <c r="F171" s="599"/>
      <c r="G171" s="599"/>
      <c r="H171" s="599"/>
      <c r="I171" s="599"/>
      <c r="J171" s="599"/>
      <c r="K171" s="599"/>
      <c r="L171" s="599"/>
      <c r="M171" s="599"/>
      <c r="N171" s="599"/>
      <c r="O171" s="599"/>
      <c r="P171" s="599"/>
      <c r="Q171" s="599"/>
      <c r="R171" s="599"/>
      <c r="S171" s="1096">
        <f t="shared" si="8"/>
        <v>0</v>
      </c>
      <c r="T171" s="599">
        <v>0</v>
      </c>
      <c r="U171" s="1096">
        <f t="shared" si="11"/>
        <v>0</v>
      </c>
      <c r="V171" s="599">
        <v>0</v>
      </c>
      <c r="W171" s="620"/>
      <c r="X171" s="621"/>
      <c r="Y171" s="1096">
        <f t="shared" si="9"/>
        <v>0</v>
      </c>
      <c r="Z171" s="882">
        <f t="shared" si="10"/>
        <v>0</v>
      </c>
    </row>
    <row r="172" spans="1:26" ht="27" customHeight="1">
      <c r="A172" s="583"/>
      <c r="B172" s="583">
        <v>1026</v>
      </c>
      <c r="C172" s="581">
        <v>10</v>
      </c>
      <c r="D172" s="1137" t="s">
        <v>305</v>
      </c>
      <c r="E172" s="1138" t="s">
        <v>172</v>
      </c>
      <c r="F172" s="599">
        <v>-8677647782</v>
      </c>
      <c r="G172" s="599">
        <v>-476421856</v>
      </c>
      <c r="H172" s="599">
        <v>-25758076</v>
      </c>
      <c r="I172" s="599"/>
      <c r="J172" s="599"/>
      <c r="K172" s="599"/>
      <c r="L172" s="599"/>
      <c r="M172" s="599"/>
      <c r="N172" s="599"/>
      <c r="O172" s="599"/>
      <c r="P172" s="599"/>
      <c r="Q172" s="599"/>
      <c r="R172" s="599"/>
      <c r="S172" s="1096">
        <f t="shared" si="8"/>
        <v>-9179827714</v>
      </c>
      <c r="T172" s="599">
        <v>-7176517455</v>
      </c>
      <c r="U172" s="1096">
        <f t="shared" si="11"/>
        <v>-9180</v>
      </c>
      <c r="V172" s="599">
        <v>-7177</v>
      </c>
      <c r="W172" s="620"/>
      <c r="X172" s="621"/>
      <c r="Y172" s="1096">
        <f t="shared" si="9"/>
        <v>-9179827714</v>
      </c>
      <c r="Z172" s="882">
        <f t="shared" si="10"/>
        <v>-9180</v>
      </c>
    </row>
    <row r="173" spans="1:26" ht="27" customHeight="1">
      <c r="A173" s="583"/>
      <c r="B173" s="583">
        <v>406</v>
      </c>
      <c r="C173" s="581">
        <v>4</v>
      </c>
      <c r="D173" s="1137" t="s">
        <v>306</v>
      </c>
      <c r="E173" s="1138" t="s">
        <v>307</v>
      </c>
      <c r="F173" s="599">
        <v>74298246</v>
      </c>
      <c r="G173" s="599">
        <v>-876142</v>
      </c>
      <c r="H173" s="599">
        <v>-39595558</v>
      </c>
      <c r="I173" s="599"/>
      <c r="J173" s="599">
        <v>-15014248</v>
      </c>
      <c r="K173" s="599"/>
      <c r="L173" s="599"/>
      <c r="M173" s="599"/>
      <c r="N173" s="599"/>
      <c r="O173" s="599"/>
      <c r="P173" s="599"/>
      <c r="Q173" s="599"/>
      <c r="R173" s="599"/>
      <c r="S173" s="1096">
        <f t="shared" si="8"/>
        <v>18812298</v>
      </c>
      <c r="T173" s="599">
        <v>355834710</v>
      </c>
      <c r="U173" s="1096">
        <f t="shared" si="11"/>
        <v>19</v>
      </c>
      <c r="V173" s="599">
        <v>356</v>
      </c>
      <c r="W173" s="620"/>
      <c r="X173" s="621"/>
      <c r="Y173" s="1096">
        <f t="shared" si="9"/>
        <v>18812298</v>
      </c>
      <c r="Z173" s="882">
        <f t="shared" si="10"/>
        <v>19</v>
      </c>
    </row>
    <row r="174" spans="1:26" ht="27" customHeight="1">
      <c r="A174" s="583"/>
      <c r="B174" s="583">
        <v>1018</v>
      </c>
      <c r="C174" s="581">
        <v>10</v>
      </c>
      <c r="D174" s="1137" t="s">
        <v>308</v>
      </c>
      <c r="E174" s="1138" t="s">
        <v>309</v>
      </c>
      <c r="F174" s="599">
        <v>-286145227550</v>
      </c>
      <c r="G174" s="599"/>
      <c r="H174" s="599">
        <v>-151472976854</v>
      </c>
      <c r="I174" s="599"/>
      <c r="J174" s="599">
        <v>-578571772</v>
      </c>
      <c r="K174" s="599">
        <v>-4725532205</v>
      </c>
      <c r="L174" s="599"/>
      <c r="M174" s="599">
        <v>637958950</v>
      </c>
      <c r="N174" s="599"/>
      <c r="O174" s="599"/>
      <c r="P174" s="599"/>
      <c r="Q174" s="599"/>
      <c r="R174" s="599"/>
      <c r="S174" s="1096">
        <f t="shared" si="8"/>
        <v>-442284349431</v>
      </c>
      <c r="T174" s="599">
        <v>-1038209866</v>
      </c>
      <c r="U174" s="1096">
        <f t="shared" si="11"/>
        <v>-442284</v>
      </c>
      <c r="V174" s="599">
        <v>-1038</v>
      </c>
      <c r="W174" s="620"/>
      <c r="X174" s="621"/>
      <c r="Y174" s="1096">
        <f t="shared" si="9"/>
        <v>-442284349431</v>
      </c>
      <c r="Z174" s="882">
        <f t="shared" si="10"/>
        <v>-442284</v>
      </c>
    </row>
    <row r="175" spans="1:26" ht="27" customHeight="1">
      <c r="A175" s="583"/>
      <c r="B175" s="1424">
        <v>1018</v>
      </c>
      <c r="C175" s="1235">
        <v>10</v>
      </c>
      <c r="D175" s="1137" t="s">
        <v>310</v>
      </c>
      <c r="E175" s="1138" t="s">
        <v>967</v>
      </c>
      <c r="F175" s="599">
        <v>-457239565</v>
      </c>
      <c r="G175" s="599">
        <v>440223626</v>
      </c>
      <c r="H175" s="599"/>
      <c r="I175" s="599">
        <v>-4246575</v>
      </c>
      <c r="J175" s="599"/>
      <c r="K175" s="599"/>
      <c r="L175" s="599"/>
      <c r="M175" s="599"/>
      <c r="N175" s="599"/>
      <c r="O175" s="599"/>
      <c r="P175" s="599"/>
      <c r="Q175" s="599"/>
      <c r="R175" s="599"/>
      <c r="S175" s="1096">
        <f t="shared" si="8"/>
        <v>-21262514</v>
      </c>
      <c r="T175" s="599">
        <v>119948641</v>
      </c>
      <c r="U175" s="1096">
        <f t="shared" si="11"/>
        <v>-21</v>
      </c>
      <c r="V175" s="599">
        <v>120</v>
      </c>
      <c r="W175" s="620"/>
      <c r="X175" s="621"/>
      <c r="Y175" s="1096">
        <f t="shared" si="9"/>
        <v>-21262514</v>
      </c>
      <c r="Z175" s="882">
        <f t="shared" si="10"/>
        <v>-21</v>
      </c>
    </row>
    <row r="176" spans="1:26" ht="27" customHeight="1">
      <c r="A176" s="583"/>
      <c r="B176" s="583">
        <v>406</v>
      </c>
      <c r="C176" s="581">
        <v>4</v>
      </c>
      <c r="D176" s="1137" t="s">
        <v>1059</v>
      </c>
      <c r="E176" s="1138" t="s">
        <v>1058</v>
      </c>
      <c r="F176" s="599"/>
      <c r="G176" s="599"/>
      <c r="H176" s="599"/>
      <c r="I176" s="599"/>
      <c r="J176" s="599"/>
      <c r="K176" s="599"/>
      <c r="L176" s="599"/>
      <c r="M176" s="599"/>
      <c r="N176" s="599"/>
      <c r="O176" s="599"/>
      <c r="P176" s="599"/>
      <c r="Q176" s="599"/>
      <c r="R176" s="599"/>
      <c r="S176" s="1096">
        <f t="shared" si="8"/>
        <v>0</v>
      </c>
      <c r="T176" s="599">
        <v>754655645</v>
      </c>
      <c r="U176" s="1096">
        <f t="shared" si="11"/>
        <v>0</v>
      </c>
      <c r="V176" s="599">
        <v>755</v>
      </c>
      <c r="W176" s="620"/>
      <c r="X176" s="621"/>
      <c r="Y176" s="1096">
        <f t="shared" si="9"/>
        <v>0</v>
      </c>
      <c r="Z176" s="882">
        <f t="shared" si="10"/>
        <v>0</v>
      </c>
    </row>
    <row r="177" spans="1:26" ht="27" customHeight="1">
      <c r="A177" s="583"/>
      <c r="B177" s="583">
        <v>406</v>
      </c>
      <c r="C177" s="581">
        <v>4</v>
      </c>
      <c r="D177" s="1137" t="s">
        <v>109</v>
      </c>
      <c r="E177" s="1138" t="s">
        <v>840</v>
      </c>
      <c r="F177" s="599">
        <v>1150122088</v>
      </c>
      <c r="G177" s="599">
        <v>10901056</v>
      </c>
      <c r="H177" s="599">
        <v>-70264606</v>
      </c>
      <c r="I177" s="599"/>
      <c r="J177" s="599"/>
      <c r="K177" s="599"/>
      <c r="L177" s="599"/>
      <c r="M177" s="599"/>
      <c r="N177" s="599"/>
      <c r="O177" s="599"/>
      <c r="P177" s="599"/>
      <c r="Q177" s="599"/>
      <c r="R177" s="599"/>
      <c r="S177" s="1096">
        <f t="shared" si="8"/>
        <v>1090758538</v>
      </c>
      <c r="T177" s="599">
        <v>775026640</v>
      </c>
      <c r="U177" s="1096">
        <f t="shared" si="11"/>
        <v>1091</v>
      </c>
      <c r="V177" s="599">
        <v>775</v>
      </c>
      <c r="W177" s="620"/>
      <c r="X177" s="621"/>
      <c r="Y177" s="1096">
        <f t="shared" si="9"/>
        <v>1090758538</v>
      </c>
      <c r="Z177" s="882">
        <f t="shared" si="10"/>
        <v>1091</v>
      </c>
    </row>
    <row r="178" spans="1:26" ht="27" customHeight="1">
      <c r="A178" s="583"/>
      <c r="B178" s="583">
        <v>406</v>
      </c>
      <c r="C178" s="581">
        <v>4</v>
      </c>
      <c r="D178" s="1137" t="s">
        <v>110</v>
      </c>
      <c r="E178" s="1138" t="s">
        <v>174</v>
      </c>
      <c r="F178" s="599">
        <v>1665750720</v>
      </c>
      <c r="G178" s="599"/>
      <c r="H178" s="599"/>
      <c r="I178" s="599"/>
      <c r="J178" s="599"/>
      <c r="K178" s="599"/>
      <c r="L178" s="599"/>
      <c r="M178" s="599"/>
      <c r="N178" s="599"/>
      <c r="O178" s="599"/>
      <c r="P178" s="599"/>
      <c r="Q178" s="599"/>
      <c r="R178" s="599"/>
      <c r="S178" s="1096">
        <f t="shared" si="8"/>
        <v>1665750720</v>
      </c>
      <c r="T178" s="599">
        <v>530759403</v>
      </c>
      <c r="U178" s="1096">
        <f t="shared" si="11"/>
        <v>1666</v>
      </c>
      <c r="V178" s="599">
        <v>531</v>
      </c>
      <c r="W178" s="620"/>
      <c r="X178" s="621"/>
      <c r="Y178" s="1096">
        <f t="shared" si="9"/>
        <v>1665750720</v>
      </c>
      <c r="Z178" s="882">
        <f t="shared" si="10"/>
        <v>1666</v>
      </c>
    </row>
    <row r="179" spans="1:26" ht="27" customHeight="1">
      <c r="A179" s="583"/>
      <c r="B179" s="583">
        <v>1001</v>
      </c>
      <c r="C179" s="581">
        <v>10</v>
      </c>
      <c r="D179" s="1137" t="s">
        <v>335</v>
      </c>
      <c r="E179" s="1138" t="s">
        <v>763</v>
      </c>
      <c r="F179" s="599"/>
      <c r="G179" s="599"/>
      <c r="H179" s="599"/>
      <c r="I179" s="599"/>
      <c r="J179" s="599"/>
      <c r="K179" s="599"/>
      <c r="L179" s="599"/>
      <c r="M179" s="599"/>
      <c r="N179" s="599"/>
      <c r="O179" s="599"/>
      <c r="P179" s="599"/>
      <c r="Q179" s="599"/>
      <c r="R179" s="599"/>
      <c r="S179" s="1096">
        <f t="shared" si="8"/>
        <v>0</v>
      </c>
      <c r="T179" s="599">
        <v>0</v>
      </c>
      <c r="U179" s="1096">
        <f t="shared" si="11"/>
        <v>0</v>
      </c>
      <c r="V179" s="599">
        <v>0</v>
      </c>
      <c r="W179" s="620"/>
      <c r="X179" s="621"/>
      <c r="Y179" s="1096">
        <f t="shared" si="9"/>
        <v>0</v>
      </c>
      <c r="Z179" s="882">
        <f t="shared" si="10"/>
        <v>0</v>
      </c>
    </row>
    <row r="180" spans="1:26" ht="27" customHeight="1">
      <c r="A180" s="583"/>
      <c r="B180" s="583">
        <v>406</v>
      </c>
      <c r="C180" s="581">
        <v>4</v>
      </c>
      <c r="D180" s="1137" t="s">
        <v>336</v>
      </c>
      <c r="E180" s="1138" t="s">
        <v>656</v>
      </c>
      <c r="F180" s="599">
        <v>7929595040</v>
      </c>
      <c r="G180" s="599">
        <v>-28200480</v>
      </c>
      <c r="H180" s="599"/>
      <c r="I180" s="599"/>
      <c r="J180" s="599"/>
      <c r="K180" s="599"/>
      <c r="L180" s="599"/>
      <c r="M180" s="599"/>
      <c r="N180" s="599"/>
      <c r="O180" s="599"/>
      <c r="P180" s="599"/>
      <c r="Q180" s="599"/>
      <c r="R180" s="599"/>
      <c r="S180" s="1096">
        <f t="shared" si="8"/>
        <v>7901394560</v>
      </c>
      <c r="T180" s="599">
        <v>3766148070</v>
      </c>
      <c r="U180" s="1096">
        <f t="shared" si="11"/>
        <v>7901</v>
      </c>
      <c r="V180" s="599">
        <v>3766</v>
      </c>
      <c r="W180" s="620"/>
      <c r="X180" s="621"/>
      <c r="Y180" s="1096">
        <f t="shared" si="9"/>
        <v>7901394560</v>
      </c>
      <c r="Z180" s="882">
        <f t="shared" si="10"/>
        <v>7901</v>
      </c>
    </row>
    <row r="181" spans="1:26" ht="27" customHeight="1">
      <c r="A181" s="583"/>
      <c r="B181" s="583">
        <v>409</v>
      </c>
      <c r="C181" s="581">
        <v>4</v>
      </c>
      <c r="D181" s="1137" t="s">
        <v>336</v>
      </c>
      <c r="E181" s="1138" t="s">
        <v>655</v>
      </c>
      <c r="F181" s="599"/>
      <c r="G181" s="599"/>
      <c r="H181" s="599"/>
      <c r="I181" s="599"/>
      <c r="J181" s="599"/>
      <c r="K181" s="599"/>
      <c r="L181" s="599"/>
      <c r="M181" s="599"/>
      <c r="N181" s="599"/>
      <c r="O181" s="599"/>
      <c r="P181" s="599"/>
      <c r="Q181" s="599"/>
      <c r="R181" s="599"/>
      <c r="S181" s="1096">
        <f t="shared" si="8"/>
        <v>0</v>
      </c>
      <c r="T181" s="599">
        <v>0</v>
      </c>
      <c r="U181" s="1096">
        <f t="shared" si="11"/>
        <v>0</v>
      </c>
      <c r="V181" s="599">
        <v>0</v>
      </c>
      <c r="W181" s="620"/>
      <c r="X181" s="621"/>
      <c r="Y181" s="1096">
        <f t="shared" si="9"/>
        <v>0</v>
      </c>
      <c r="Z181" s="882">
        <f t="shared" si="10"/>
        <v>0</v>
      </c>
    </row>
    <row r="182" spans="1:26" ht="27" customHeight="1">
      <c r="A182" s="583">
        <v>1</v>
      </c>
      <c r="B182" s="583">
        <v>414</v>
      </c>
      <c r="C182" s="581">
        <v>4</v>
      </c>
      <c r="D182" s="1137" t="s">
        <v>338</v>
      </c>
      <c r="E182" s="1138" t="s">
        <v>152</v>
      </c>
      <c r="F182" s="599">
        <v>-3024397781</v>
      </c>
      <c r="G182" s="599">
        <v>3121903695</v>
      </c>
      <c r="H182" s="599">
        <v>-615867109</v>
      </c>
      <c r="I182" s="599"/>
      <c r="J182" s="599">
        <v>518361195</v>
      </c>
      <c r="K182" s="599">
        <v>-1379604708</v>
      </c>
      <c r="L182" s="599"/>
      <c r="M182" s="599">
        <f>-8831554247-9835661227-635295913</f>
        <v>-19302511387</v>
      </c>
      <c r="N182" s="599"/>
      <c r="O182" s="599"/>
      <c r="P182" s="599"/>
      <c r="Q182" s="599"/>
      <c r="R182" s="599"/>
      <c r="S182" s="1096">
        <f t="shared" si="8"/>
        <v>-20682116095</v>
      </c>
      <c r="T182" s="599">
        <v>304112338</v>
      </c>
      <c r="U182" s="1096">
        <f t="shared" si="11"/>
        <v>-20682</v>
      </c>
      <c r="V182" s="599">
        <v>304</v>
      </c>
      <c r="W182" s="620"/>
      <c r="X182" s="621"/>
      <c r="Y182" s="1096">
        <f t="shared" si="9"/>
        <v>-20682116095</v>
      </c>
      <c r="Z182" s="882">
        <f t="shared" si="10"/>
        <v>-20682</v>
      </c>
    </row>
    <row r="183" spans="1:26" ht="27" customHeight="1">
      <c r="A183" s="583">
        <v>7</v>
      </c>
      <c r="B183" s="583">
        <v>414</v>
      </c>
      <c r="C183" s="581">
        <v>4</v>
      </c>
      <c r="D183" s="1137" t="s">
        <v>1376</v>
      </c>
      <c r="E183" s="1138" t="s">
        <v>1377</v>
      </c>
      <c r="F183" s="599">
        <v>1385315629387</v>
      </c>
      <c r="G183" s="599">
        <v>121283505756</v>
      </c>
      <c r="H183" s="599"/>
      <c r="I183" s="599"/>
      <c r="J183" s="599">
        <v>-518361195</v>
      </c>
      <c r="K183" s="599">
        <v>-850000000000</v>
      </c>
      <c r="L183" s="599">
        <v>-119683108867</v>
      </c>
      <c r="M183" s="599">
        <v>300719924</v>
      </c>
      <c r="N183" s="599">
        <v>661796186</v>
      </c>
      <c r="O183" s="599"/>
      <c r="P183" s="599"/>
      <c r="Q183" s="599"/>
      <c r="R183" s="599"/>
      <c r="S183" s="1096">
        <f t="shared" si="8"/>
        <v>537360181191</v>
      </c>
      <c r="T183" s="599">
        <v>0</v>
      </c>
      <c r="U183" s="1096">
        <f t="shared" si="11"/>
        <v>537360</v>
      </c>
      <c r="V183" s="599">
        <v>0</v>
      </c>
      <c r="W183" s="620"/>
      <c r="X183" s="621"/>
      <c r="Y183" s="1096">
        <f t="shared" si="9"/>
        <v>537360181191</v>
      </c>
      <c r="Z183" s="882">
        <f t="shared" si="10"/>
        <v>537360</v>
      </c>
    </row>
    <row r="184" spans="1:26" ht="27" customHeight="1">
      <c r="A184" s="583">
        <v>1</v>
      </c>
      <c r="B184" s="583">
        <v>1005</v>
      </c>
      <c r="C184" s="581">
        <v>10</v>
      </c>
      <c r="D184" s="1137" t="s">
        <v>527</v>
      </c>
      <c r="E184" s="1138" t="s">
        <v>528</v>
      </c>
      <c r="F184" s="599">
        <v>-1303169185</v>
      </c>
      <c r="G184" s="599">
        <v>-820601433</v>
      </c>
      <c r="H184" s="599"/>
      <c r="I184" s="599">
        <v>-351961000</v>
      </c>
      <c r="J184" s="599">
        <v>2475731618</v>
      </c>
      <c r="K184" s="599"/>
      <c r="L184" s="599"/>
      <c r="M184" s="599"/>
      <c r="N184" s="599"/>
      <c r="O184" s="599"/>
      <c r="P184" s="599"/>
      <c r="Q184" s="599"/>
      <c r="R184" s="599"/>
      <c r="S184" s="1096">
        <f t="shared" si="8"/>
        <v>0</v>
      </c>
      <c r="T184" s="599">
        <v>-122800099</v>
      </c>
      <c r="U184" s="1096">
        <f t="shared" si="11"/>
        <v>0</v>
      </c>
      <c r="V184" s="599">
        <v>-123</v>
      </c>
      <c r="W184" s="620"/>
      <c r="X184" s="621"/>
      <c r="Y184" s="1096">
        <f t="shared" si="9"/>
        <v>0</v>
      </c>
      <c r="Z184" s="882">
        <f t="shared" si="10"/>
        <v>0</v>
      </c>
    </row>
    <row r="185" spans="1:26" ht="27" customHeight="1">
      <c r="A185" s="583">
        <v>7</v>
      </c>
      <c r="B185" s="583">
        <v>1005</v>
      </c>
      <c r="C185" s="581">
        <v>10</v>
      </c>
      <c r="D185" s="1137" t="s">
        <v>1378</v>
      </c>
      <c r="E185" s="1138" t="s">
        <v>1379</v>
      </c>
      <c r="F185" s="599">
        <v>287504714543</v>
      </c>
      <c r="G185" s="599">
        <v>28173385904</v>
      </c>
      <c r="H185" s="599"/>
      <c r="I185" s="599"/>
      <c r="J185" s="599">
        <v>-2475731618</v>
      </c>
      <c r="K185" s="599">
        <v>-313202368829</v>
      </c>
      <c r="L185" s="599">
        <v>-25077232278</v>
      </c>
      <c r="M185" s="599"/>
      <c r="N185" s="599"/>
      <c r="O185" s="599"/>
      <c r="P185" s="599"/>
      <c r="Q185" s="599"/>
      <c r="R185" s="599"/>
      <c r="S185" s="1096">
        <f t="shared" si="8"/>
        <v>-25077232278</v>
      </c>
      <c r="T185" s="599">
        <v>0</v>
      </c>
      <c r="U185" s="1096">
        <f t="shared" si="11"/>
        <v>-25077</v>
      </c>
      <c r="V185" s="599">
        <v>0</v>
      </c>
      <c r="W185" s="620"/>
      <c r="X185" s="621"/>
      <c r="Y185" s="1096">
        <f t="shared" si="9"/>
        <v>-25077232278</v>
      </c>
      <c r="Z185" s="882">
        <f t="shared" si="10"/>
        <v>-25077</v>
      </c>
    </row>
    <row r="186" spans="1:26" ht="27" customHeight="1">
      <c r="A186" s="583">
        <v>1</v>
      </c>
      <c r="B186" s="583">
        <v>1006</v>
      </c>
      <c r="C186" s="581">
        <v>4</v>
      </c>
      <c r="D186" s="1137" t="s">
        <v>529</v>
      </c>
      <c r="E186" s="1138" t="s">
        <v>156</v>
      </c>
      <c r="F186" s="599">
        <v>-29367630227</v>
      </c>
      <c r="G186" s="599">
        <v>-4955763453</v>
      </c>
      <c r="H186" s="599">
        <v>-863401627</v>
      </c>
      <c r="I186" s="599">
        <v>-4384041770</v>
      </c>
      <c r="J186" s="599">
        <v>39458037077</v>
      </c>
      <c r="K186" s="599"/>
      <c r="L186" s="599"/>
      <c r="M186" s="599"/>
      <c r="N186" s="599"/>
      <c r="O186" s="599"/>
      <c r="P186" s="599"/>
      <c r="Q186" s="599"/>
      <c r="R186" s="599"/>
      <c r="S186" s="1096">
        <f t="shared" si="8"/>
        <v>-112800000</v>
      </c>
      <c r="T186" s="599">
        <v>-997423361</v>
      </c>
      <c r="U186" s="1096">
        <f t="shared" si="11"/>
        <v>-113</v>
      </c>
      <c r="V186" s="599">
        <v>-997</v>
      </c>
      <c r="W186" s="620"/>
      <c r="X186" s="621"/>
      <c r="Y186" s="1096">
        <f t="shared" si="9"/>
        <v>-112800000</v>
      </c>
      <c r="Z186" s="882">
        <f t="shared" si="10"/>
        <v>-113</v>
      </c>
    </row>
    <row r="187" spans="1:26" ht="27" customHeight="1">
      <c r="A187" s="583">
        <v>7</v>
      </c>
      <c r="B187" s="583">
        <v>1006</v>
      </c>
      <c r="C187" s="581">
        <v>4</v>
      </c>
      <c r="D187" s="1137" t="s">
        <v>1381</v>
      </c>
      <c r="E187" s="1138" t="s">
        <v>1380</v>
      </c>
      <c r="F187" s="599">
        <v>1810570418064</v>
      </c>
      <c r="G187" s="599">
        <v>157852306400</v>
      </c>
      <c r="H187" s="599"/>
      <c r="I187" s="599"/>
      <c r="J187" s="599">
        <v>-39570837077</v>
      </c>
      <c r="K187" s="599">
        <v>-1233242645535</v>
      </c>
      <c r="L187" s="599">
        <v>-155145217250</v>
      </c>
      <c r="M187" s="599"/>
      <c r="N187" s="599"/>
      <c r="O187" s="599"/>
      <c r="P187" s="599"/>
      <c r="Q187" s="599"/>
      <c r="R187" s="599"/>
      <c r="S187" s="1096">
        <f t="shared" si="8"/>
        <v>540464024602</v>
      </c>
      <c r="T187" s="599">
        <v>0</v>
      </c>
      <c r="U187" s="1096">
        <f t="shared" si="11"/>
        <v>540464</v>
      </c>
      <c r="V187" s="599">
        <v>0</v>
      </c>
      <c r="W187" s="620"/>
      <c r="X187" s="621"/>
      <c r="Y187" s="1096">
        <f t="shared" si="9"/>
        <v>540464024602</v>
      </c>
      <c r="Z187" s="882">
        <f t="shared" si="10"/>
        <v>540464</v>
      </c>
    </row>
    <row r="188" spans="1:26" ht="27" customHeight="1">
      <c r="A188" s="583">
        <v>1</v>
      </c>
      <c r="B188" s="583">
        <v>415</v>
      </c>
      <c r="C188" s="581">
        <v>10</v>
      </c>
      <c r="D188" s="1137" t="s">
        <v>157</v>
      </c>
      <c r="E188" s="1138" t="s">
        <v>558</v>
      </c>
      <c r="F188" s="599">
        <v>-1971287108</v>
      </c>
      <c r="G188" s="599">
        <v>-2705893921</v>
      </c>
      <c r="H188" s="599">
        <v>-169535892</v>
      </c>
      <c r="I188" s="599"/>
      <c r="J188" s="599">
        <v>3276011618</v>
      </c>
      <c r="K188" s="599"/>
      <c r="L188" s="599"/>
      <c r="M188" s="599"/>
      <c r="N188" s="599"/>
      <c r="O188" s="599"/>
      <c r="P188" s="599"/>
      <c r="Q188" s="599"/>
      <c r="R188" s="599"/>
      <c r="S188" s="1096">
        <f t="shared" si="8"/>
        <v>-1570705303</v>
      </c>
      <c r="T188" s="599">
        <v>5118691563</v>
      </c>
      <c r="U188" s="1096">
        <f t="shared" si="11"/>
        <v>-1571</v>
      </c>
      <c r="V188" s="599">
        <v>5119</v>
      </c>
      <c r="W188" s="620"/>
      <c r="X188" s="621"/>
      <c r="Y188" s="1096">
        <f t="shared" si="9"/>
        <v>-1570705303</v>
      </c>
      <c r="Z188" s="882">
        <f t="shared" si="10"/>
        <v>-1571</v>
      </c>
    </row>
    <row r="189" spans="1:26" ht="27" customHeight="1">
      <c r="A189" s="583">
        <v>7</v>
      </c>
      <c r="B189" s="583">
        <v>415</v>
      </c>
      <c r="C189" s="581">
        <v>10</v>
      </c>
      <c r="D189" s="1137" t="s">
        <v>1328</v>
      </c>
      <c r="E189" s="1138" t="s">
        <v>558</v>
      </c>
      <c r="F189" s="599">
        <v>631553130285</v>
      </c>
      <c r="G189" s="599">
        <v>53847033100</v>
      </c>
      <c r="H189" s="599"/>
      <c r="I189" s="599"/>
      <c r="J189" s="599">
        <v>-4846716921</v>
      </c>
      <c r="K189" s="599">
        <v>-680553446464</v>
      </c>
      <c r="L189" s="599">
        <v>-54446730229</v>
      </c>
      <c r="N189" s="599">
        <v>1303845</v>
      </c>
      <c r="O189" s="599"/>
      <c r="P189" s="599"/>
      <c r="Q189" s="599"/>
      <c r="R189" s="599"/>
      <c r="S189" s="1096">
        <f t="shared" si="8"/>
        <v>-54445426384</v>
      </c>
      <c r="T189" s="599">
        <v>0</v>
      </c>
      <c r="U189" s="1096">
        <f t="shared" si="11"/>
        <v>-54445</v>
      </c>
      <c r="V189" s="599">
        <v>0</v>
      </c>
      <c r="W189" s="620"/>
      <c r="X189" s="621"/>
      <c r="Y189" s="1096">
        <f t="shared" si="9"/>
        <v>-54445426384</v>
      </c>
      <c r="Z189" s="882">
        <f t="shared" si="10"/>
        <v>-54445</v>
      </c>
    </row>
    <row r="190" spans="1:26" ht="27" customHeight="1">
      <c r="A190" s="583">
        <v>1</v>
      </c>
      <c r="B190" s="583">
        <v>1019</v>
      </c>
      <c r="C190" s="581">
        <v>10</v>
      </c>
      <c r="D190" s="1137" t="s">
        <v>158</v>
      </c>
      <c r="E190" s="1138" t="s">
        <v>159</v>
      </c>
      <c r="F190" s="599">
        <v>1410914163</v>
      </c>
      <c r="G190" s="599">
        <v>0</v>
      </c>
      <c r="H190" s="599">
        <v>-1675355071</v>
      </c>
      <c r="I190" s="599">
        <v>-4369179740</v>
      </c>
      <c r="J190" s="599">
        <v>4633620648</v>
      </c>
      <c r="K190" s="599"/>
      <c r="L190" s="599"/>
      <c r="M190" s="599"/>
      <c r="N190" s="599"/>
      <c r="O190" s="599"/>
      <c r="P190" s="599"/>
      <c r="Q190" s="599"/>
      <c r="R190" s="599"/>
      <c r="S190" s="1096">
        <f t="shared" si="8"/>
        <v>0</v>
      </c>
      <c r="T190" s="599">
        <v>0</v>
      </c>
      <c r="U190" s="1096">
        <f t="shared" si="11"/>
        <v>0</v>
      </c>
      <c r="V190" s="599">
        <v>0</v>
      </c>
      <c r="W190" s="620"/>
      <c r="X190" s="621"/>
      <c r="Y190" s="1096">
        <f t="shared" si="9"/>
        <v>0</v>
      </c>
      <c r="Z190" s="882">
        <f t="shared" si="10"/>
        <v>0</v>
      </c>
    </row>
    <row r="191" spans="1:26" ht="27" customHeight="1">
      <c r="A191" s="583">
        <v>7</v>
      </c>
      <c r="B191" s="583">
        <v>1019</v>
      </c>
      <c r="C191" s="581">
        <v>10</v>
      </c>
      <c r="D191" s="1137" t="s">
        <v>1570</v>
      </c>
      <c r="E191" s="1138" t="s">
        <v>159</v>
      </c>
      <c r="F191" s="599">
        <v>191668328324</v>
      </c>
      <c r="G191" s="599">
        <v>11215963523</v>
      </c>
      <c r="H191" s="599"/>
      <c r="I191" s="599">
        <v>-63196435660</v>
      </c>
      <c r="J191" s="599">
        <v>-4633620648</v>
      </c>
      <c r="K191" s="599">
        <v>-127852779020</v>
      </c>
      <c r="L191" s="599">
        <v>-10858066404</v>
      </c>
      <c r="M191" s="599">
        <v>-87028659</v>
      </c>
      <c r="N191" s="599"/>
      <c r="O191" s="599"/>
      <c r="P191" s="599"/>
      <c r="Q191" s="599"/>
      <c r="R191" s="599"/>
      <c r="S191" s="1096">
        <f t="shared" si="8"/>
        <v>-3743638544</v>
      </c>
      <c r="T191" s="599">
        <v>0</v>
      </c>
      <c r="U191" s="1096">
        <f t="shared" si="11"/>
        <v>-3744</v>
      </c>
      <c r="V191" s="599">
        <v>0</v>
      </c>
      <c r="W191" s="620"/>
      <c r="X191" s="621"/>
      <c r="Y191" s="1096">
        <f t="shared" si="9"/>
        <v>-3743638544</v>
      </c>
      <c r="Z191" s="882">
        <f t="shared" si="10"/>
        <v>-3744</v>
      </c>
    </row>
    <row r="192" spans="1:26" ht="27" customHeight="1">
      <c r="A192" s="583">
        <v>1</v>
      </c>
      <c r="B192" s="583">
        <v>1023</v>
      </c>
      <c r="C192" s="581">
        <v>4</v>
      </c>
      <c r="D192" s="1137" t="s">
        <v>521</v>
      </c>
      <c r="E192" s="1138" t="s">
        <v>207</v>
      </c>
      <c r="F192" s="599">
        <v>-33899736474</v>
      </c>
      <c r="G192" s="599">
        <v>-1880808638</v>
      </c>
      <c r="H192" s="599">
        <v>-3400987704</v>
      </c>
      <c r="I192" s="599">
        <v>-4878977749</v>
      </c>
      <c r="J192" s="599">
        <v>43016617709</v>
      </c>
      <c r="K192" s="599"/>
      <c r="L192" s="599"/>
      <c r="M192" s="599"/>
      <c r="N192" s="599">
        <f>-23660000-141960000</f>
        <v>-165620000</v>
      </c>
      <c r="O192" s="599"/>
      <c r="P192" s="599"/>
      <c r="Q192" s="599"/>
      <c r="R192" s="599"/>
      <c r="S192" s="1096">
        <f t="shared" si="8"/>
        <v>-1209512856</v>
      </c>
      <c r="T192" s="599">
        <v>-25968891306</v>
      </c>
      <c r="U192" s="1096">
        <f t="shared" si="11"/>
        <v>-1210</v>
      </c>
      <c r="V192" s="599">
        <v>-25969</v>
      </c>
      <c r="W192" s="620"/>
      <c r="X192" s="621"/>
      <c r="Y192" s="1096">
        <f t="shared" si="9"/>
        <v>-1209512856</v>
      </c>
      <c r="Z192" s="882">
        <f t="shared" si="10"/>
        <v>-1210</v>
      </c>
    </row>
    <row r="193" spans="1:26" ht="27" customHeight="1">
      <c r="A193" s="583">
        <v>7</v>
      </c>
      <c r="B193" s="583">
        <v>1023</v>
      </c>
      <c r="C193" s="581">
        <v>4</v>
      </c>
      <c r="D193" s="1137" t="s">
        <v>1329</v>
      </c>
      <c r="E193" s="1138" t="s">
        <v>207</v>
      </c>
      <c r="F193" s="599">
        <v>2966779482761</v>
      </c>
      <c r="G193" s="599">
        <v>167283577071</v>
      </c>
      <c r="H193" s="599"/>
      <c r="I193" s="599"/>
      <c r="J193" s="599">
        <v>-44060510565</v>
      </c>
      <c r="K193" s="599">
        <v>-3090002549267</v>
      </c>
      <c r="L193" s="599">
        <v>16445123122</v>
      </c>
      <c r="M193" s="599"/>
      <c r="N193" s="599"/>
      <c r="O193" s="599"/>
      <c r="P193" s="599"/>
      <c r="Q193" s="599"/>
      <c r="R193" s="599"/>
      <c r="S193" s="1096">
        <f t="shared" si="8"/>
        <v>16445123122</v>
      </c>
      <c r="T193" s="599">
        <v>1111011977312</v>
      </c>
      <c r="U193" s="1096">
        <f t="shared" si="11"/>
        <v>16445</v>
      </c>
      <c r="V193" s="599">
        <v>1111012</v>
      </c>
      <c r="W193" s="620"/>
      <c r="X193" s="621"/>
      <c r="Y193" s="1096">
        <f t="shared" si="9"/>
        <v>16445123122</v>
      </c>
      <c r="Z193" s="882">
        <f t="shared" si="10"/>
        <v>16445</v>
      </c>
    </row>
    <row r="194" spans="1:26" ht="27" customHeight="1">
      <c r="A194" s="583">
        <v>1</v>
      </c>
      <c r="B194" s="583">
        <v>1003</v>
      </c>
      <c r="C194" s="581">
        <v>10</v>
      </c>
      <c r="D194" s="1137" t="s">
        <v>208</v>
      </c>
      <c r="E194" s="1138" t="s">
        <v>209</v>
      </c>
      <c r="F194" s="599">
        <v>5361585474</v>
      </c>
      <c r="G194" s="599">
        <v>-184736443</v>
      </c>
      <c r="H194" s="599">
        <v>-67619539</v>
      </c>
      <c r="I194" s="599">
        <v>-2018255333</v>
      </c>
      <c r="J194" s="599">
        <v>-3111804035</v>
      </c>
      <c r="K194" s="599"/>
      <c r="L194" s="599"/>
      <c r="M194" s="599"/>
      <c r="N194" s="599"/>
      <c r="O194" s="599"/>
      <c r="P194" s="599"/>
      <c r="Q194" s="599"/>
      <c r="R194" s="599"/>
      <c r="S194" s="1096">
        <f t="shared" si="8"/>
        <v>-20829876</v>
      </c>
      <c r="T194" s="599">
        <v>112956600706</v>
      </c>
      <c r="U194" s="1096">
        <f t="shared" si="11"/>
        <v>-21</v>
      </c>
      <c r="V194" s="599">
        <v>112957</v>
      </c>
      <c r="W194" s="620"/>
      <c r="X194" s="621"/>
      <c r="Y194" s="1096">
        <f t="shared" si="9"/>
        <v>-20829876</v>
      </c>
      <c r="Z194" s="882">
        <f t="shared" si="10"/>
        <v>-21</v>
      </c>
    </row>
    <row r="195" spans="1:26" ht="27" customHeight="1">
      <c r="A195" s="583">
        <v>7</v>
      </c>
      <c r="B195" s="583">
        <v>1003</v>
      </c>
      <c r="C195" s="581">
        <v>10</v>
      </c>
      <c r="D195" s="1137" t="s">
        <v>1330</v>
      </c>
      <c r="E195" s="1138" t="s">
        <v>209</v>
      </c>
      <c r="F195" s="599">
        <v>1335396491387</v>
      </c>
      <c r="G195" s="599">
        <v>122526551934</v>
      </c>
      <c r="H195" s="599"/>
      <c r="I195" s="599"/>
      <c r="J195" s="599">
        <v>3090974159</v>
      </c>
      <c r="K195" s="599">
        <v>-1461014017480</v>
      </c>
      <c r="L195" s="599">
        <v>-115816316526</v>
      </c>
      <c r="M195" s="599"/>
      <c r="N195" s="599"/>
      <c r="O195" s="599"/>
      <c r="P195" s="599"/>
      <c r="Q195" s="599"/>
      <c r="R195" s="599"/>
      <c r="S195" s="1096">
        <f t="shared" si="8"/>
        <v>-115816316526</v>
      </c>
      <c r="T195" s="599">
        <v>0</v>
      </c>
      <c r="U195" s="1096">
        <f t="shared" si="11"/>
        <v>-115816</v>
      </c>
      <c r="V195" s="599">
        <v>0</v>
      </c>
      <c r="W195" s="620"/>
      <c r="X195" s="621"/>
      <c r="Y195" s="1096">
        <f t="shared" si="9"/>
        <v>-115816316526</v>
      </c>
      <c r="Z195" s="882">
        <f t="shared" si="10"/>
        <v>-115816</v>
      </c>
    </row>
    <row r="196" spans="1:26" ht="27" customHeight="1">
      <c r="A196" s="583">
        <v>1</v>
      </c>
      <c r="B196" s="583">
        <v>1021</v>
      </c>
      <c r="C196" s="581">
        <v>10</v>
      </c>
      <c r="D196" s="1137" t="s">
        <v>343</v>
      </c>
      <c r="E196" s="1138" t="s">
        <v>344</v>
      </c>
      <c r="F196" s="599">
        <v>-7635303057</v>
      </c>
      <c r="G196" s="599">
        <v>-1970675315</v>
      </c>
      <c r="H196" s="599"/>
      <c r="I196" s="599">
        <v>-23657606727</v>
      </c>
      <c r="J196" s="599"/>
      <c r="K196" s="599"/>
      <c r="L196" s="599"/>
      <c r="M196" s="599"/>
      <c r="N196" s="599"/>
      <c r="O196" s="599"/>
      <c r="P196" s="599"/>
      <c r="Q196" s="599"/>
      <c r="R196" s="599"/>
      <c r="S196" s="1096">
        <f t="shared" si="8"/>
        <v>-33263585099</v>
      </c>
      <c r="T196" s="599">
        <v>-163396185914</v>
      </c>
      <c r="U196" s="1096">
        <f t="shared" si="11"/>
        <v>-33264</v>
      </c>
      <c r="V196" s="599">
        <v>-163396</v>
      </c>
      <c r="W196" s="620"/>
      <c r="X196" s="621"/>
      <c r="Y196" s="1096">
        <f t="shared" si="9"/>
        <v>-33263585099</v>
      </c>
      <c r="Z196" s="882">
        <f t="shared" si="10"/>
        <v>-33264</v>
      </c>
    </row>
    <row r="197" spans="1:26" ht="27" customHeight="1">
      <c r="A197" s="583"/>
      <c r="B197" s="583">
        <v>1018</v>
      </c>
      <c r="C197" s="581">
        <v>10</v>
      </c>
      <c r="D197" s="1137" t="s">
        <v>266</v>
      </c>
      <c r="E197" s="1138" t="s">
        <v>267</v>
      </c>
      <c r="F197" s="599">
        <v>-1607928631</v>
      </c>
      <c r="G197" s="599">
        <v>220000000</v>
      </c>
      <c r="H197" s="599"/>
      <c r="I197" s="599"/>
      <c r="J197" s="599"/>
      <c r="K197" s="599"/>
      <c r="L197" s="599"/>
      <c r="M197" s="599"/>
      <c r="N197" s="599"/>
      <c r="O197" s="599"/>
      <c r="P197" s="599"/>
      <c r="Q197" s="599"/>
      <c r="R197" s="599"/>
      <c r="S197" s="1096">
        <f t="shared" si="8"/>
        <v>-1387928631</v>
      </c>
      <c r="T197" s="599">
        <v>-2126495719</v>
      </c>
      <c r="U197" s="1096">
        <f t="shared" si="11"/>
        <v>-1388</v>
      </c>
      <c r="V197" s="599">
        <v>-2126</v>
      </c>
      <c r="W197" s="620"/>
      <c r="X197" s="621"/>
      <c r="Y197" s="1096">
        <f t="shared" si="9"/>
        <v>-1387928631</v>
      </c>
      <c r="Z197" s="882">
        <f t="shared" si="10"/>
        <v>-1388</v>
      </c>
    </row>
    <row r="198" spans="1:26" ht="27" customHeight="1">
      <c r="A198" s="583"/>
      <c r="B198" s="583">
        <v>1001</v>
      </c>
      <c r="C198" s="581">
        <v>10</v>
      </c>
      <c r="D198" s="1137" t="s">
        <v>393</v>
      </c>
      <c r="E198" s="1138" t="s">
        <v>394</v>
      </c>
      <c r="F198" s="599"/>
      <c r="G198" s="599"/>
      <c r="H198" s="599"/>
      <c r="I198" s="599"/>
      <c r="J198" s="599"/>
      <c r="K198" s="599"/>
      <c r="L198" s="599"/>
      <c r="M198" s="599"/>
      <c r="N198" s="599"/>
      <c r="O198" s="599"/>
      <c r="P198" s="599"/>
      <c r="Q198" s="599"/>
      <c r="R198" s="599"/>
      <c r="S198" s="1096">
        <f t="shared" ref="S198:S261" si="12">SUM(F198:R198)</f>
        <v>0</v>
      </c>
      <c r="T198" s="599">
        <v>0</v>
      </c>
      <c r="U198" s="1096">
        <f t="shared" si="11"/>
        <v>0</v>
      </c>
      <c r="V198" s="599">
        <v>0</v>
      </c>
      <c r="W198" s="620"/>
      <c r="X198" s="621"/>
      <c r="Y198" s="1096">
        <f t="shared" ref="Y198:Y261" si="13">S198+X198-W198</f>
        <v>0</v>
      </c>
      <c r="Z198" s="882">
        <f t="shared" ref="Z198:Z261" si="14">ROUND((Y198/1000000),0)</f>
        <v>0</v>
      </c>
    </row>
    <row r="199" spans="1:26" ht="27" customHeight="1">
      <c r="A199" s="583"/>
      <c r="B199" s="583">
        <v>406</v>
      </c>
      <c r="C199" s="581">
        <v>4</v>
      </c>
      <c r="D199" s="1137" t="s">
        <v>345</v>
      </c>
      <c r="E199" s="1138" t="s">
        <v>1336</v>
      </c>
      <c r="F199" s="599">
        <v>133416000</v>
      </c>
      <c r="G199" s="599"/>
      <c r="H199" s="599"/>
      <c r="I199" s="599"/>
      <c r="J199" s="599"/>
      <c r="K199" s="599"/>
      <c r="L199" s="599"/>
      <c r="M199" s="599"/>
      <c r="N199" s="599"/>
      <c r="O199" s="599"/>
      <c r="P199" s="599"/>
      <c r="Q199" s="599"/>
      <c r="R199" s="599"/>
      <c r="S199" s="1096">
        <f t="shared" si="12"/>
        <v>133416000</v>
      </c>
      <c r="T199" s="599">
        <v>100062000</v>
      </c>
      <c r="U199" s="738">
        <f>ROUND((S199/1000000),0)+1</f>
        <v>134</v>
      </c>
      <c r="V199" s="599">
        <v>100</v>
      </c>
      <c r="W199" s="620"/>
      <c r="X199" s="621"/>
      <c r="Y199" s="1096">
        <f t="shared" si="13"/>
        <v>133416000</v>
      </c>
      <c r="Z199" s="882">
        <f t="shared" si="14"/>
        <v>133</v>
      </c>
    </row>
    <row r="200" spans="1:26" ht="27" customHeight="1">
      <c r="A200" s="583"/>
      <c r="B200" s="1424">
        <v>1001</v>
      </c>
      <c r="C200" s="1131">
        <v>10</v>
      </c>
      <c r="D200" s="1137" t="s">
        <v>269</v>
      </c>
      <c r="E200" s="1138" t="s">
        <v>268</v>
      </c>
      <c r="F200" s="599">
        <v>-202844971</v>
      </c>
      <c r="G200" s="599"/>
      <c r="H200" s="599"/>
      <c r="I200" s="599"/>
      <c r="J200" s="599"/>
      <c r="K200" s="599"/>
      <c r="L200" s="599"/>
      <c r="M200" s="599"/>
      <c r="N200" s="599"/>
      <c r="O200" s="599"/>
      <c r="P200" s="599"/>
      <c r="Q200" s="599"/>
      <c r="R200" s="599"/>
      <c r="S200" s="1096">
        <f t="shared" si="12"/>
        <v>-202844971</v>
      </c>
      <c r="T200" s="599">
        <v>171833516</v>
      </c>
      <c r="U200" s="1096">
        <f t="shared" ref="U200:U263" si="15">ROUND((S200/1000000),0)</f>
        <v>-203</v>
      </c>
      <c r="V200" s="599">
        <v>172</v>
      </c>
      <c r="W200" s="620"/>
      <c r="X200" s="621"/>
      <c r="Y200" s="1096">
        <f t="shared" si="13"/>
        <v>-202844971</v>
      </c>
      <c r="Z200" s="882">
        <f t="shared" si="14"/>
        <v>-203</v>
      </c>
    </row>
    <row r="201" spans="1:26" ht="27" customHeight="1">
      <c r="A201" s="583"/>
      <c r="B201" s="1424">
        <v>406</v>
      </c>
      <c r="C201" s="1131">
        <v>4</v>
      </c>
      <c r="D201" s="1137" t="s">
        <v>535</v>
      </c>
      <c r="E201" s="1138" t="s">
        <v>64</v>
      </c>
      <c r="F201" s="599">
        <v>116739000</v>
      </c>
      <c r="G201" s="599"/>
      <c r="H201" s="599"/>
      <c r="I201" s="599"/>
      <c r="J201" s="599"/>
      <c r="K201" s="599"/>
      <c r="L201" s="599"/>
      <c r="M201" s="599"/>
      <c r="N201" s="599"/>
      <c r="O201" s="599"/>
      <c r="P201" s="599"/>
      <c r="Q201" s="599"/>
      <c r="R201" s="599"/>
      <c r="S201" s="1096">
        <f t="shared" si="12"/>
        <v>116739000</v>
      </c>
      <c r="T201" s="599">
        <v>50031000</v>
      </c>
      <c r="U201" s="1096">
        <f t="shared" si="15"/>
        <v>117</v>
      </c>
      <c r="V201" s="599">
        <v>50</v>
      </c>
      <c r="W201" s="620"/>
      <c r="X201" s="621"/>
      <c r="Y201" s="1096">
        <f t="shared" si="13"/>
        <v>116739000</v>
      </c>
      <c r="Z201" s="882">
        <f t="shared" si="14"/>
        <v>117</v>
      </c>
    </row>
    <row r="202" spans="1:26" ht="27" customHeight="1">
      <c r="A202" s="583"/>
      <c r="B202" s="583">
        <v>406</v>
      </c>
      <c r="C202" s="581">
        <v>4</v>
      </c>
      <c r="D202" s="1137" t="s">
        <v>347</v>
      </c>
      <c r="E202" s="1138" t="s">
        <v>1060</v>
      </c>
      <c r="F202" s="599"/>
      <c r="G202" s="599"/>
      <c r="H202" s="599"/>
      <c r="I202" s="599"/>
      <c r="J202" s="599"/>
      <c r="K202" s="599"/>
      <c r="L202" s="599"/>
      <c r="M202" s="599"/>
      <c r="N202" s="599"/>
      <c r="O202" s="599"/>
      <c r="P202" s="599"/>
      <c r="Q202" s="599"/>
      <c r="R202" s="599"/>
      <c r="S202" s="1096">
        <f t="shared" si="12"/>
        <v>0</v>
      </c>
      <c r="T202" s="599">
        <v>0</v>
      </c>
      <c r="U202" s="1096">
        <f t="shared" si="15"/>
        <v>0</v>
      </c>
      <c r="V202" s="599">
        <v>0</v>
      </c>
      <c r="W202" s="620"/>
      <c r="X202" s="621"/>
      <c r="Y202" s="1096">
        <f t="shared" si="13"/>
        <v>0</v>
      </c>
      <c r="Z202" s="882">
        <f t="shared" si="14"/>
        <v>0</v>
      </c>
    </row>
    <row r="203" spans="1:26" ht="27" customHeight="1">
      <c r="A203" s="583"/>
      <c r="B203" s="583">
        <v>406</v>
      </c>
      <c r="C203" s="581">
        <v>4</v>
      </c>
      <c r="D203" s="1137" t="s">
        <v>270</v>
      </c>
      <c r="E203" s="1138" t="s">
        <v>271</v>
      </c>
      <c r="F203" s="599"/>
      <c r="G203" s="599"/>
      <c r="H203" s="599"/>
      <c r="I203" s="599"/>
      <c r="J203" s="599"/>
      <c r="K203" s="599"/>
      <c r="L203" s="599"/>
      <c r="M203" s="599"/>
      <c r="N203" s="599"/>
      <c r="O203" s="599"/>
      <c r="P203" s="599"/>
      <c r="Q203" s="599"/>
      <c r="R203" s="599"/>
      <c r="S203" s="1096">
        <f t="shared" si="12"/>
        <v>0</v>
      </c>
      <c r="T203" s="599">
        <v>0</v>
      </c>
      <c r="U203" s="1096">
        <f t="shared" si="15"/>
        <v>0</v>
      </c>
      <c r="V203" s="599">
        <v>0</v>
      </c>
      <c r="W203" s="620"/>
      <c r="X203" s="621"/>
      <c r="Y203" s="1096">
        <f t="shared" si="13"/>
        <v>0</v>
      </c>
      <c r="Z203" s="882">
        <f t="shared" si="14"/>
        <v>0</v>
      </c>
    </row>
    <row r="204" spans="1:26" ht="27" customHeight="1">
      <c r="A204" s="583"/>
      <c r="B204" s="583">
        <v>1001</v>
      </c>
      <c r="C204" s="581">
        <v>10</v>
      </c>
      <c r="D204" s="1137" t="s">
        <v>968</v>
      </c>
      <c r="E204" s="1138" t="s">
        <v>969</v>
      </c>
      <c r="F204" s="599"/>
      <c r="G204" s="599"/>
      <c r="H204" s="599"/>
      <c r="I204" s="599"/>
      <c r="J204" s="599"/>
      <c r="K204" s="599"/>
      <c r="L204" s="599"/>
      <c r="M204" s="599"/>
      <c r="N204" s="599"/>
      <c r="O204" s="599"/>
      <c r="P204" s="599"/>
      <c r="Q204" s="599"/>
      <c r="R204" s="599"/>
      <c r="S204" s="1096">
        <f t="shared" si="12"/>
        <v>0</v>
      </c>
      <c r="T204" s="599">
        <v>0</v>
      </c>
      <c r="U204" s="1096">
        <f t="shared" si="15"/>
        <v>0</v>
      </c>
      <c r="V204" s="599">
        <v>0</v>
      </c>
      <c r="W204" s="620"/>
      <c r="X204" s="621"/>
      <c r="Y204" s="1096">
        <f t="shared" si="13"/>
        <v>0</v>
      </c>
      <c r="Z204" s="882">
        <f t="shared" si="14"/>
        <v>0</v>
      </c>
    </row>
    <row r="205" spans="1:26" ht="27" customHeight="1">
      <c r="A205" s="583"/>
      <c r="B205" s="583">
        <v>1001</v>
      </c>
      <c r="C205" s="581">
        <v>10</v>
      </c>
      <c r="D205" s="1137" t="s">
        <v>349</v>
      </c>
      <c r="E205" s="1138" t="s">
        <v>285</v>
      </c>
      <c r="F205" s="599"/>
      <c r="G205" s="599"/>
      <c r="H205" s="599"/>
      <c r="I205" s="599"/>
      <c r="J205" s="599"/>
      <c r="K205" s="599"/>
      <c r="L205" s="599"/>
      <c r="M205" s="599"/>
      <c r="N205" s="599"/>
      <c r="O205" s="599"/>
      <c r="P205" s="599"/>
      <c r="Q205" s="599"/>
      <c r="R205" s="599"/>
      <c r="S205" s="1096">
        <f t="shared" si="12"/>
        <v>0</v>
      </c>
      <c r="T205" s="599">
        <v>0</v>
      </c>
      <c r="U205" s="1096">
        <f t="shared" si="15"/>
        <v>0</v>
      </c>
      <c r="V205" s="599">
        <v>0</v>
      </c>
      <c r="W205" s="620"/>
      <c r="X205" s="621"/>
      <c r="Y205" s="1096">
        <f t="shared" si="13"/>
        <v>0</v>
      </c>
      <c r="Z205" s="882">
        <f t="shared" si="14"/>
        <v>0</v>
      </c>
    </row>
    <row r="206" spans="1:26" ht="27" customHeight="1">
      <c r="A206" s="583"/>
      <c r="B206" s="583">
        <v>1001</v>
      </c>
      <c r="C206" s="581">
        <v>10</v>
      </c>
      <c r="D206" s="1137" t="s">
        <v>1064</v>
      </c>
      <c r="E206" s="1138" t="s">
        <v>1240</v>
      </c>
      <c r="F206" s="599"/>
      <c r="G206" s="599"/>
      <c r="H206" s="599"/>
      <c r="I206" s="599"/>
      <c r="J206" s="599"/>
      <c r="K206" s="599"/>
      <c r="L206" s="599"/>
      <c r="M206" s="599"/>
      <c r="N206" s="599"/>
      <c r="O206" s="599"/>
      <c r="P206" s="599"/>
      <c r="Q206" s="599"/>
      <c r="R206" s="599"/>
      <c r="S206" s="1096">
        <f t="shared" si="12"/>
        <v>0</v>
      </c>
      <c r="T206" s="599">
        <v>0</v>
      </c>
      <c r="U206" s="1096">
        <f t="shared" si="15"/>
        <v>0</v>
      </c>
      <c r="V206" s="599">
        <v>0</v>
      </c>
      <c r="W206" s="620"/>
      <c r="X206" s="621"/>
      <c r="Y206" s="1096">
        <f t="shared" si="13"/>
        <v>0</v>
      </c>
      <c r="Z206" s="882">
        <f t="shared" si="14"/>
        <v>0</v>
      </c>
    </row>
    <row r="207" spans="1:26" ht="27" customHeight="1">
      <c r="A207" s="583"/>
      <c r="B207" s="583">
        <v>406</v>
      </c>
      <c r="C207" s="581">
        <v>4</v>
      </c>
      <c r="D207" s="1137" t="s">
        <v>1061</v>
      </c>
      <c r="E207" s="1138" t="s">
        <v>1062</v>
      </c>
      <c r="F207" s="599"/>
      <c r="G207" s="599"/>
      <c r="H207" s="599"/>
      <c r="I207" s="599"/>
      <c r="J207" s="599"/>
      <c r="K207" s="599"/>
      <c r="L207" s="599"/>
      <c r="M207" s="599"/>
      <c r="N207" s="599"/>
      <c r="O207" s="599"/>
      <c r="P207" s="599"/>
      <c r="Q207" s="599"/>
      <c r="R207" s="599"/>
      <c r="S207" s="1096">
        <f t="shared" si="12"/>
        <v>0</v>
      </c>
      <c r="T207" s="599">
        <v>537808263</v>
      </c>
      <c r="U207" s="1096">
        <f t="shared" si="15"/>
        <v>0</v>
      </c>
      <c r="V207" s="599">
        <v>538</v>
      </c>
      <c r="W207" s="620"/>
      <c r="X207" s="621"/>
      <c r="Y207" s="1096">
        <f t="shared" si="13"/>
        <v>0</v>
      </c>
      <c r="Z207" s="882">
        <f t="shared" si="14"/>
        <v>0</v>
      </c>
    </row>
    <row r="208" spans="1:26" ht="27" customHeight="1">
      <c r="A208" s="583"/>
      <c r="B208" s="583">
        <v>1001</v>
      </c>
      <c r="C208" s="581">
        <v>10</v>
      </c>
      <c r="D208" s="1137" t="s">
        <v>657</v>
      </c>
      <c r="E208" s="1138" t="s">
        <v>658</v>
      </c>
      <c r="F208" s="599"/>
      <c r="G208" s="599"/>
      <c r="H208" s="599"/>
      <c r="I208" s="599"/>
      <c r="J208" s="599"/>
      <c r="K208" s="599"/>
      <c r="L208" s="599"/>
      <c r="M208" s="599"/>
      <c r="N208" s="599"/>
      <c r="O208" s="599"/>
      <c r="P208" s="599"/>
      <c r="Q208" s="599"/>
      <c r="R208" s="599"/>
      <c r="S208" s="1096">
        <f t="shared" si="12"/>
        <v>0</v>
      </c>
      <c r="T208" s="599">
        <v>0</v>
      </c>
      <c r="U208" s="1096">
        <f t="shared" si="15"/>
        <v>0</v>
      </c>
      <c r="V208" s="599">
        <v>0</v>
      </c>
      <c r="W208" s="620"/>
      <c r="X208" s="621"/>
      <c r="Y208" s="1096">
        <f t="shared" si="13"/>
        <v>0</v>
      </c>
      <c r="Z208" s="882">
        <f t="shared" si="14"/>
        <v>0</v>
      </c>
    </row>
    <row r="209" spans="1:26" ht="27" customHeight="1">
      <c r="A209" s="583"/>
      <c r="B209" s="583">
        <v>406</v>
      </c>
      <c r="C209" s="581">
        <v>4</v>
      </c>
      <c r="D209" s="1137" t="s">
        <v>272</v>
      </c>
      <c r="E209" s="1138" t="s">
        <v>970</v>
      </c>
      <c r="F209" s="599"/>
      <c r="G209" s="599"/>
      <c r="H209" s="599"/>
      <c r="I209" s="599"/>
      <c r="J209" s="599"/>
      <c r="K209" s="599"/>
      <c r="L209" s="599"/>
      <c r="M209" s="599"/>
      <c r="N209" s="599"/>
      <c r="O209" s="599"/>
      <c r="P209" s="599"/>
      <c r="Q209" s="599"/>
      <c r="R209" s="599"/>
      <c r="S209" s="1096">
        <f t="shared" si="12"/>
        <v>0</v>
      </c>
      <c r="T209" s="599">
        <v>0</v>
      </c>
      <c r="U209" s="1096">
        <f t="shared" si="15"/>
        <v>0</v>
      </c>
      <c r="V209" s="599">
        <v>0</v>
      </c>
      <c r="W209" s="620"/>
      <c r="X209" s="621"/>
      <c r="Y209" s="1096">
        <f t="shared" si="13"/>
        <v>0</v>
      </c>
      <c r="Z209" s="882">
        <f t="shared" si="14"/>
        <v>0</v>
      </c>
    </row>
    <row r="210" spans="1:26" ht="27" customHeight="1">
      <c r="A210" s="583"/>
      <c r="B210" s="583">
        <v>406</v>
      </c>
      <c r="C210" s="581">
        <v>4</v>
      </c>
      <c r="D210" s="1137" t="s">
        <v>235</v>
      </c>
      <c r="E210" s="1138" t="s">
        <v>1063</v>
      </c>
      <c r="F210" s="599"/>
      <c r="G210" s="599"/>
      <c r="H210" s="599"/>
      <c r="I210" s="599"/>
      <c r="J210" s="599"/>
      <c r="K210" s="599"/>
      <c r="L210" s="599"/>
      <c r="M210" s="599"/>
      <c r="N210" s="599"/>
      <c r="O210" s="599"/>
      <c r="P210" s="599"/>
      <c r="Q210" s="599"/>
      <c r="R210" s="599"/>
      <c r="S210" s="1096">
        <f t="shared" si="12"/>
        <v>0</v>
      </c>
      <c r="T210" s="599">
        <v>0</v>
      </c>
      <c r="U210" s="1096">
        <f t="shared" si="15"/>
        <v>0</v>
      </c>
      <c r="V210" s="599">
        <v>0</v>
      </c>
      <c r="W210" s="620"/>
      <c r="X210" s="621"/>
      <c r="Y210" s="1096">
        <f t="shared" si="13"/>
        <v>0</v>
      </c>
      <c r="Z210" s="882">
        <f t="shared" si="14"/>
        <v>0</v>
      </c>
    </row>
    <row r="211" spans="1:26" ht="27" customHeight="1">
      <c r="A211" s="583"/>
      <c r="B211" s="583">
        <v>1001</v>
      </c>
      <c r="C211" s="581">
        <v>10</v>
      </c>
      <c r="D211" s="1137" t="s">
        <v>237</v>
      </c>
      <c r="E211" s="1138" t="s">
        <v>1003</v>
      </c>
      <c r="F211" s="599"/>
      <c r="G211" s="599"/>
      <c r="H211" s="599"/>
      <c r="I211" s="599"/>
      <c r="J211" s="599"/>
      <c r="K211" s="599"/>
      <c r="L211" s="599"/>
      <c r="M211" s="599"/>
      <c r="N211" s="599"/>
      <c r="O211" s="599"/>
      <c r="P211" s="599"/>
      <c r="Q211" s="599"/>
      <c r="R211" s="599"/>
      <c r="S211" s="1096">
        <f t="shared" si="12"/>
        <v>0</v>
      </c>
      <c r="T211" s="599">
        <v>0</v>
      </c>
      <c r="U211" s="1096">
        <f t="shared" si="15"/>
        <v>0</v>
      </c>
      <c r="V211" s="599">
        <v>0</v>
      </c>
      <c r="W211" s="620"/>
      <c r="X211" s="621"/>
      <c r="Y211" s="1096">
        <f t="shared" si="13"/>
        <v>0</v>
      </c>
      <c r="Z211" s="882">
        <f t="shared" si="14"/>
        <v>0</v>
      </c>
    </row>
    <row r="212" spans="1:26" ht="27" customHeight="1">
      <c r="A212" s="583"/>
      <c r="B212" s="583">
        <v>406</v>
      </c>
      <c r="C212" s="581">
        <v>4</v>
      </c>
      <c r="D212" s="1137" t="s">
        <v>971</v>
      </c>
      <c r="E212" s="1138" t="s">
        <v>972</v>
      </c>
      <c r="F212" s="599">
        <v>1005452193</v>
      </c>
      <c r="G212" s="599"/>
      <c r="H212" s="599"/>
      <c r="I212" s="599"/>
      <c r="J212" s="599"/>
      <c r="K212" s="599"/>
      <c r="L212" s="599"/>
      <c r="M212" s="599"/>
      <c r="N212" s="599"/>
      <c r="O212" s="599"/>
      <c r="P212" s="599"/>
      <c r="Q212" s="599"/>
      <c r="R212" s="599"/>
      <c r="S212" s="1096">
        <f t="shared" si="12"/>
        <v>1005452193</v>
      </c>
      <c r="T212" s="599">
        <v>815399793</v>
      </c>
      <c r="U212" s="1096">
        <f t="shared" si="15"/>
        <v>1005</v>
      </c>
      <c r="V212" s="599">
        <v>815</v>
      </c>
      <c r="W212" s="620"/>
      <c r="X212" s="621"/>
      <c r="Y212" s="1096">
        <f t="shared" si="13"/>
        <v>1005452193</v>
      </c>
      <c r="Z212" s="882">
        <f t="shared" si="14"/>
        <v>1005</v>
      </c>
    </row>
    <row r="213" spans="1:26" ht="27" customHeight="1">
      <c r="A213" s="583"/>
      <c r="B213" s="583">
        <v>406</v>
      </c>
      <c r="C213" s="581">
        <v>4</v>
      </c>
      <c r="D213" s="1137" t="s">
        <v>1267</v>
      </c>
      <c r="E213" s="1138" t="s">
        <v>1065</v>
      </c>
      <c r="G213" s="599"/>
      <c r="H213" s="599"/>
      <c r="I213" s="599"/>
      <c r="J213" s="599"/>
      <c r="K213" s="599"/>
      <c r="L213" s="599"/>
      <c r="M213" s="599"/>
      <c r="N213" s="599"/>
      <c r="O213" s="599"/>
      <c r="P213" s="599"/>
      <c r="Q213" s="599"/>
      <c r="R213" s="599"/>
      <c r="S213" s="1096">
        <f t="shared" si="12"/>
        <v>0</v>
      </c>
      <c r="T213" s="599">
        <v>0</v>
      </c>
      <c r="U213" s="1096">
        <f t="shared" si="15"/>
        <v>0</v>
      </c>
      <c r="V213" s="599">
        <v>0</v>
      </c>
      <c r="W213" s="620"/>
      <c r="X213" s="621"/>
      <c r="Y213" s="1096">
        <f t="shared" si="13"/>
        <v>0</v>
      </c>
      <c r="Z213" s="882">
        <f t="shared" si="14"/>
        <v>0</v>
      </c>
    </row>
    <row r="214" spans="1:26" ht="27" customHeight="1">
      <c r="A214" s="583"/>
      <c r="B214" s="583">
        <v>406</v>
      </c>
      <c r="C214" s="581">
        <v>4</v>
      </c>
      <c r="D214" s="1137" t="s">
        <v>210</v>
      </c>
      <c r="E214" s="1138" t="s">
        <v>211</v>
      </c>
      <c r="F214" s="599">
        <v>105893486</v>
      </c>
      <c r="G214" s="599"/>
      <c r="H214" s="599"/>
      <c r="I214" s="599"/>
      <c r="J214" s="599"/>
      <c r="K214" s="599"/>
      <c r="L214" s="599"/>
      <c r="M214" s="599"/>
      <c r="N214" s="599"/>
      <c r="O214" s="599"/>
      <c r="P214" s="599"/>
      <c r="Q214" s="599"/>
      <c r="R214" s="599"/>
      <c r="S214" s="1096">
        <f t="shared" si="12"/>
        <v>105893486</v>
      </c>
      <c r="T214" s="599">
        <v>554829926</v>
      </c>
      <c r="U214" s="1096">
        <f t="shared" si="15"/>
        <v>106</v>
      </c>
      <c r="V214" s="599">
        <v>555</v>
      </c>
      <c r="W214" s="620"/>
      <c r="X214" s="621"/>
      <c r="Y214" s="1096">
        <f t="shared" si="13"/>
        <v>105893486</v>
      </c>
      <c r="Z214" s="882">
        <f t="shared" si="14"/>
        <v>106</v>
      </c>
    </row>
    <row r="215" spans="1:26" ht="27" customHeight="1">
      <c r="A215" s="583"/>
      <c r="B215" s="583">
        <v>406</v>
      </c>
      <c r="C215" s="581">
        <v>4</v>
      </c>
      <c r="D215" s="1137" t="s">
        <v>274</v>
      </c>
      <c r="E215" s="1138" t="s">
        <v>276</v>
      </c>
      <c r="F215" s="599"/>
      <c r="G215" s="599"/>
      <c r="H215" s="599"/>
      <c r="I215" s="599"/>
      <c r="J215" s="599"/>
      <c r="K215" s="599"/>
      <c r="L215" s="599"/>
      <c r="M215" s="599"/>
      <c r="N215" s="599"/>
      <c r="O215" s="599"/>
      <c r="P215" s="599"/>
      <c r="Q215" s="599"/>
      <c r="R215" s="599"/>
      <c r="S215" s="1096">
        <f t="shared" si="12"/>
        <v>0</v>
      </c>
      <c r="T215" s="599">
        <v>0</v>
      </c>
      <c r="U215" s="1096">
        <f t="shared" si="15"/>
        <v>0</v>
      </c>
      <c r="V215" s="599">
        <v>0</v>
      </c>
      <c r="W215" s="620"/>
      <c r="X215" s="621"/>
      <c r="Y215" s="1096">
        <f t="shared" si="13"/>
        <v>0</v>
      </c>
      <c r="Z215" s="882">
        <f t="shared" si="14"/>
        <v>0</v>
      </c>
    </row>
    <row r="216" spans="1:26" ht="27" customHeight="1">
      <c r="A216" s="583"/>
      <c r="B216" s="583">
        <v>406</v>
      </c>
      <c r="C216" s="581">
        <v>4</v>
      </c>
      <c r="D216" s="1137" t="s">
        <v>1031</v>
      </c>
      <c r="E216" s="1138" t="s">
        <v>1032</v>
      </c>
      <c r="F216" s="599"/>
      <c r="G216" s="599"/>
      <c r="H216" s="599"/>
      <c r="I216" s="599"/>
      <c r="J216" s="599"/>
      <c r="K216" s="599"/>
      <c r="L216" s="599"/>
      <c r="M216" s="599"/>
      <c r="N216" s="599"/>
      <c r="O216" s="599"/>
      <c r="P216" s="599"/>
      <c r="Q216" s="599"/>
      <c r="R216" s="599"/>
      <c r="S216" s="1096">
        <f t="shared" si="12"/>
        <v>0</v>
      </c>
      <c r="T216" s="599">
        <v>0</v>
      </c>
      <c r="U216" s="1096">
        <f t="shared" si="15"/>
        <v>0</v>
      </c>
      <c r="V216" s="599">
        <v>0</v>
      </c>
      <c r="W216" s="620"/>
      <c r="X216" s="621"/>
      <c r="Y216" s="1096">
        <f t="shared" si="13"/>
        <v>0</v>
      </c>
      <c r="Z216" s="882">
        <f t="shared" si="14"/>
        <v>0</v>
      </c>
    </row>
    <row r="217" spans="1:26" ht="27" customHeight="1">
      <c r="A217" s="583"/>
      <c r="B217" s="583">
        <v>406</v>
      </c>
      <c r="C217" s="581">
        <v>4</v>
      </c>
      <c r="D217" s="1137" t="s">
        <v>1005</v>
      </c>
      <c r="E217" s="1138" t="s">
        <v>841</v>
      </c>
      <c r="F217" s="599"/>
      <c r="G217" s="599"/>
      <c r="H217" s="599"/>
      <c r="I217" s="599"/>
      <c r="J217" s="599"/>
      <c r="K217" s="599"/>
      <c r="L217" s="599"/>
      <c r="M217" s="599"/>
      <c r="N217" s="599"/>
      <c r="O217" s="599"/>
      <c r="P217" s="599"/>
      <c r="Q217" s="599"/>
      <c r="R217" s="599"/>
      <c r="S217" s="1096">
        <f t="shared" si="12"/>
        <v>0</v>
      </c>
      <c r="T217" s="599">
        <v>0</v>
      </c>
      <c r="U217" s="1096">
        <f t="shared" si="15"/>
        <v>0</v>
      </c>
      <c r="V217" s="599">
        <v>0</v>
      </c>
      <c r="W217" s="620"/>
      <c r="X217" s="621"/>
      <c r="Y217" s="1096">
        <f t="shared" si="13"/>
        <v>0</v>
      </c>
      <c r="Z217" s="882">
        <f t="shared" si="14"/>
        <v>0</v>
      </c>
    </row>
    <row r="218" spans="1:26" ht="27" customHeight="1">
      <c r="A218" s="583"/>
      <c r="B218" s="583">
        <v>1001</v>
      </c>
      <c r="C218" s="581">
        <v>10</v>
      </c>
      <c r="D218" s="1137" t="s">
        <v>65</v>
      </c>
      <c r="E218" s="1138" t="s">
        <v>1337</v>
      </c>
      <c r="F218" s="599"/>
      <c r="G218" s="599"/>
      <c r="H218" s="599"/>
      <c r="I218" s="599"/>
      <c r="J218" s="599"/>
      <c r="K218" s="599"/>
      <c r="L218" s="599"/>
      <c r="M218" s="599"/>
      <c r="N218" s="599"/>
      <c r="O218" s="599"/>
      <c r="P218" s="599"/>
      <c r="Q218" s="599"/>
      <c r="R218" s="599"/>
      <c r="S218" s="1096">
        <f t="shared" si="12"/>
        <v>0</v>
      </c>
      <c r="T218" s="599">
        <v>0</v>
      </c>
      <c r="U218" s="1096">
        <f t="shared" si="15"/>
        <v>0</v>
      </c>
      <c r="V218" s="599">
        <v>0</v>
      </c>
      <c r="W218" s="620"/>
      <c r="X218" s="621"/>
      <c r="Y218" s="1096">
        <f t="shared" si="13"/>
        <v>0</v>
      </c>
      <c r="Z218" s="882">
        <f t="shared" si="14"/>
        <v>0</v>
      </c>
    </row>
    <row r="219" spans="1:26" ht="27" customHeight="1">
      <c r="A219" s="583"/>
      <c r="B219" s="583">
        <v>1001</v>
      </c>
      <c r="C219" s="581">
        <v>10</v>
      </c>
      <c r="D219" s="1137" t="s">
        <v>1066</v>
      </c>
      <c r="E219" s="1138" t="s">
        <v>1067</v>
      </c>
      <c r="F219" s="599"/>
      <c r="G219" s="599"/>
      <c r="H219" s="599"/>
      <c r="I219" s="599"/>
      <c r="J219" s="599"/>
      <c r="K219" s="599"/>
      <c r="L219" s="599"/>
      <c r="M219" s="599"/>
      <c r="N219" s="599"/>
      <c r="O219" s="599"/>
      <c r="P219" s="599"/>
      <c r="Q219" s="599"/>
      <c r="R219" s="599"/>
      <c r="S219" s="1096">
        <f t="shared" si="12"/>
        <v>0</v>
      </c>
      <c r="T219" s="599">
        <v>0</v>
      </c>
      <c r="U219" s="1096">
        <f t="shared" si="15"/>
        <v>0</v>
      </c>
      <c r="V219" s="599">
        <v>0</v>
      </c>
      <c r="W219" s="620"/>
      <c r="X219" s="621"/>
      <c r="Y219" s="1096">
        <f t="shared" si="13"/>
        <v>0</v>
      </c>
      <c r="Z219" s="882">
        <f t="shared" si="14"/>
        <v>0</v>
      </c>
    </row>
    <row r="220" spans="1:26" ht="27" customHeight="1">
      <c r="A220" s="583"/>
      <c r="B220" s="583">
        <v>406</v>
      </c>
      <c r="C220" s="581">
        <v>4</v>
      </c>
      <c r="D220" s="1137" t="s">
        <v>1068</v>
      </c>
      <c r="E220" s="1138" t="s">
        <v>1069</v>
      </c>
      <c r="F220" s="599"/>
      <c r="G220" s="599"/>
      <c r="H220" s="599"/>
      <c r="I220" s="599"/>
      <c r="J220" s="599"/>
      <c r="K220" s="599"/>
      <c r="L220" s="599"/>
      <c r="M220" s="599"/>
      <c r="N220" s="599"/>
      <c r="O220" s="599"/>
      <c r="P220" s="599"/>
      <c r="Q220" s="599"/>
      <c r="R220" s="599"/>
      <c r="S220" s="1096">
        <f t="shared" si="12"/>
        <v>0</v>
      </c>
      <c r="T220" s="599">
        <v>0</v>
      </c>
      <c r="U220" s="1096">
        <f t="shared" si="15"/>
        <v>0</v>
      </c>
      <c r="V220" s="599">
        <v>0</v>
      </c>
      <c r="W220" s="620"/>
      <c r="X220" s="621"/>
      <c r="Y220" s="1096">
        <f t="shared" si="13"/>
        <v>0</v>
      </c>
      <c r="Z220" s="882">
        <f t="shared" si="14"/>
        <v>0</v>
      </c>
    </row>
    <row r="221" spans="1:26" ht="27" customHeight="1">
      <c r="A221" s="583"/>
      <c r="B221" s="583">
        <v>406</v>
      </c>
      <c r="C221" s="581">
        <v>4</v>
      </c>
      <c r="D221" s="1137" t="s">
        <v>1070</v>
      </c>
      <c r="E221" s="1138" t="s">
        <v>1071</v>
      </c>
      <c r="F221" s="599">
        <v>336857340</v>
      </c>
      <c r="G221" s="599"/>
      <c r="H221" s="599"/>
      <c r="I221" s="599"/>
      <c r="J221" s="599"/>
      <c r="K221" s="599"/>
      <c r="L221" s="599"/>
      <c r="M221" s="599"/>
      <c r="N221" s="599"/>
      <c r="O221" s="599"/>
      <c r="P221" s="599"/>
      <c r="Q221" s="599"/>
      <c r="R221" s="599"/>
      <c r="S221" s="1096">
        <f t="shared" si="12"/>
        <v>336857340</v>
      </c>
      <c r="T221" s="599">
        <v>257357100</v>
      </c>
      <c r="U221" s="1096">
        <f t="shared" si="15"/>
        <v>337</v>
      </c>
      <c r="V221" s="599">
        <v>257</v>
      </c>
      <c r="W221" s="620"/>
      <c r="X221" s="621"/>
      <c r="Y221" s="1096">
        <f t="shared" si="13"/>
        <v>336857340</v>
      </c>
      <c r="Z221" s="882">
        <f t="shared" si="14"/>
        <v>337</v>
      </c>
    </row>
    <row r="222" spans="1:26" ht="27" customHeight="1">
      <c r="A222" s="583"/>
      <c r="B222" s="583">
        <v>1001</v>
      </c>
      <c r="C222" s="581">
        <v>10</v>
      </c>
      <c r="D222" s="1137" t="s">
        <v>1073</v>
      </c>
      <c r="E222" s="1138" t="s">
        <v>1072</v>
      </c>
      <c r="F222" s="599">
        <v>-550934059</v>
      </c>
      <c r="G222" s="599"/>
      <c r="H222" s="599"/>
      <c r="I222" s="599"/>
      <c r="J222" s="599"/>
      <c r="K222" s="599"/>
      <c r="L222" s="599"/>
      <c r="M222" s="599"/>
      <c r="N222" s="599"/>
      <c r="O222" s="599"/>
      <c r="P222" s="599"/>
      <c r="Q222" s="599"/>
      <c r="R222" s="599"/>
      <c r="S222" s="1096">
        <f t="shared" si="12"/>
        <v>-550934059</v>
      </c>
      <c r="T222" s="599">
        <v>0</v>
      </c>
      <c r="U222" s="1096">
        <f t="shared" si="15"/>
        <v>-551</v>
      </c>
      <c r="V222" s="599">
        <v>0</v>
      </c>
      <c r="W222" s="620"/>
      <c r="X222" s="621"/>
      <c r="Y222" s="1096">
        <f t="shared" si="13"/>
        <v>-550934059</v>
      </c>
      <c r="Z222" s="882">
        <f t="shared" si="14"/>
        <v>-551</v>
      </c>
    </row>
    <row r="223" spans="1:26" ht="27" customHeight="1">
      <c r="A223" s="583"/>
      <c r="B223" s="583">
        <v>1001</v>
      </c>
      <c r="C223" s="581">
        <v>10</v>
      </c>
      <c r="D223" s="1137" t="s">
        <v>1733</v>
      </c>
      <c r="E223" s="1138" t="s">
        <v>1734</v>
      </c>
      <c r="F223" s="599"/>
      <c r="G223" s="599"/>
      <c r="H223" s="599"/>
      <c r="I223" s="599"/>
      <c r="J223" s="599"/>
      <c r="K223" s="599"/>
      <c r="L223" s="599"/>
      <c r="M223" s="599"/>
      <c r="N223" s="599"/>
      <c r="O223" s="599"/>
      <c r="P223" s="599"/>
      <c r="Q223" s="599"/>
      <c r="R223" s="599"/>
      <c r="S223" s="1096">
        <f t="shared" si="12"/>
        <v>0</v>
      </c>
      <c r="T223" s="599">
        <v>-45065933</v>
      </c>
      <c r="U223" s="1096">
        <f t="shared" si="15"/>
        <v>0</v>
      </c>
      <c r="V223" s="599">
        <v>-45</v>
      </c>
      <c r="W223" s="620"/>
      <c r="X223" s="621"/>
      <c r="Y223" s="1096">
        <f t="shared" si="13"/>
        <v>0</v>
      </c>
      <c r="Z223" s="882">
        <f t="shared" si="14"/>
        <v>0</v>
      </c>
    </row>
    <row r="224" spans="1:26" ht="27" customHeight="1">
      <c r="A224" s="583"/>
      <c r="B224" s="583">
        <v>406</v>
      </c>
      <c r="C224" s="581">
        <v>4</v>
      </c>
      <c r="D224" s="1137" t="s">
        <v>975</v>
      </c>
      <c r="E224" s="1138" t="s">
        <v>976</v>
      </c>
      <c r="F224" s="599">
        <v>389918367</v>
      </c>
      <c r="G224" s="599"/>
      <c r="H224" s="599"/>
      <c r="I224" s="599"/>
      <c r="J224" s="599"/>
      <c r="K224" s="599"/>
      <c r="L224" s="599"/>
      <c r="M224" s="599"/>
      <c r="N224" s="599"/>
      <c r="O224" s="599"/>
      <c r="P224" s="599"/>
      <c r="Q224" s="599"/>
      <c r="R224" s="599"/>
      <c r="S224" s="1096">
        <f t="shared" si="12"/>
        <v>389918367</v>
      </c>
      <c r="T224" s="599">
        <v>381285567</v>
      </c>
      <c r="U224" s="1096">
        <f t="shared" si="15"/>
        <v>390</v>
      </c>
      <c r="V224" s="599">
        <v>381</v>
      </c>
      <c r="W224" s="620"/>
      <c r="X224" s="621"/>
      <c r="Y224" s="1096">
        <f t="shared" si="13"/>
        <v>389918367</v>
      </c>
      <c r="Z224" s="882">
        <f t="shared" si="14"/>
        <v>390</v>
      </c>
    </row>
    <row r="225" spans="1:26" ht="27" customHeight="1">
      <c r="A225" s="583"/>
      <c r="B225" s="583">
        <v>406</v>
      </c>
      <c r="C225" s="581">
        <v>4</v>
      </c>
      <c r="D225" s="1137" t="s">
        <v>977</v>
      </c>
      <c r="E225" s="1138" t="s">
        <v>978</v>
      </c>
      <c r="F225" s="599">
        <v>294469793</v>
      </c>
      <c r="G225" s="599"/>
      <c r="H225" s="599"/>
      <c r="I225" s="599"/>
      <c r="J225" s="599"/>
      <c r="K225" s="599"/>
      <c r="L225" s="599"/>
      <c r="M225" s="599"/>
      <c r="N225" s="599"/>
      <c r="O225" s="599"/>
      <c r="P225" s="599"/>
      <c r="Q225" s="599"/>
      <c r="R225" s="599"/>
      <c r="S225" s="1096">
        <f t="shared" si="12"/>
        <v>294469793</v>
      </c>
      <c r="T225" s="599">
        <v>0</v>
      </c>
      <c r="U225" s="738">
        <f>ROUND((S225/1000000),0)+1</f>
        <v>295</v>
      </c>
      <c r="V225" s="599">
        <v>0</v>
      </c>
      <c r="W225" s="620"/>
      <c r="X225" s="621"/>
      <c r="Y225" s="1096">
        <f t="shared" si="13"/>
        <v>294469793</v>
      </c>
      <c r="Z225" s="882">
        <f t="shared" si="14"/>
        <v>294</v>
      </c>
    </row>
    <row r="226" spans="1:26" ht="27" customHeight="1">
      <c r="A226" s="583"/>
      <c r="B226" s="583">
        <v>1001</v>
      </c>
      <c r="C226" s="581">
        <v>10</v>
      </c>
      <c r="D226" s="1137" t="s">
        <v>746</v>
      </c>
      <c r="E226" s="1138" t="s">
        <v>745</v>
      </c>
      <c r="F226" s="599"/>
      <c r="G226" s="599"/>
      <c r="H226" s="599"/>
      <c r="I226" s="599"/>
      <c r="J226" s="599"/>
      <c r="K226" s="599"/>
      <c r="L226" s="599"/>
      <c r="M226" s="599"/>
      <c r="N226" s="599"/>
      <c r="O226" s="599"/>
      <c r="P226" s="599"/>
      <c r="Q226" s="599"/>
      <c r="R226" s="599"/>
      <c r="S226" s="1096">
        <f t="shared" si="12"/>
        <v>0</v>
      </c>
      <c r="T226" s="599">
        <v>-103000000</v>
      </c>
      <c r="U226" s="1096">
        <f t="shared" si="15"/>
        <v>0</v>
      </c>
      <c r="V226" s="599">
        <v>-103</v>
      </c>
      <c r="W226" s="620"/>
      <c r="X226" s="621"/>
      <c r="Y226" s="1096">
        <f t="shared" si="13"/>
        <v>0</v>
      </c>
      <c r="Z226" s="882">
        <f t="shared" si="14"/>
        <v>0</v>
      </c>
    </row>
    <row r="227" spans="1:26" ht="27" customHeight="1">
      <c r="A227" s="583"/>
      <c r="B227" s="583">
        <v>1001</v>
      </c>
      <c r="C227" s="581">
        <v>10</v>
      </c>
      <c r="D227" s="1137" t="s">
        <v>1735</v>
      </c>
      <c r="E227" s="1138" t="s">
        <v>1736</v>
      </c>
      <c r="F227" s="599">
        <v>-115601478</v>
      </c>
      <c r="G227" s="599"/>
      <c r="H227" s="599"/>
      <c r="I227" s="599"/>
      <c r="J227" s="599"/>
      <c r="K227" s="599"/>
      <c r="L227" s="599"/>
      <c r="M227" s="599"/>
      <c r="N227" s="599"/>
      <c r="O227" s="599"/>
      <c r="P227" s="599"/>
      <c r="Q227" s="599"/>
      <c r="R227" s="599"/>
      <c r="S227" s="1096">
        <f t="shared" si="12"/>
        <v>-115601478</v>
      </c>
      <c r="T227" s="599">
        <v>-115601478</v>
      </c>
      <c r="U227" s="1096">
        <f t="shared" si="15"/>
        <v>-116</v>
      </c>
      <c r="V227" s="599">
        <v>-116</v>
      </c>
      <c r="W227" s="620"/>
      <c r="X227" s="621"/>
      <c r="Y227" s="1096">
        <f t="shared" si="13"/>
        <v>-115601478</v>
      </c>
      <c r="Z227" s="882">
        <f t="shared" si="14"/>
        <v>-116</v>
      </c>
    </row>
    <row r="228" spans="1:26" ht="27" customHeight="1">
      <c r="A228" s="583"/>
      <c r="B228" s="583">
        <v>1001</v>
      </c>
      <c r="C228" s="581">
        <v>10</v>
      </c>
      <c r="D228" s="1137" t="s">
        <v>979</v>
      </c>
      <c r="E228" s="1138" t="s">
        <v>980</v>
      </c>
      <c r="F228" s="599"/>
      <c r="G228" s="599"/>
      <c r="H228" s="599"/>
      <c r="I228" s="599"/>
      <c r="J228" s="599"/>
      <c r="K228" s="599"/>
      <c r="L228" s="599"/>
      <c r="M228" s="599"/>
      <c r="N228" s="599"/>
      <c r="O228" s="599"/>
      <c r="P228" s="599"/>
      <c r="Q228" s="599"/>
      <c r="R228" s="599"/>
      <c r="S228" s="1096">
        <f t="shared" si="12"/>
        <v>0</v>
      </c>
      <c r="T228" s="599">
        <v>-9364000</v>
      </c>
      <c r="U228" s="1096">
        <f t="shared" si="15"/>
        <v>0</v>
      </c>
      <c r="V228" s="599">
        <v>-9</v>
      </c>
      <c r="W228" s="620"/>
      <c r="X228" s="621"/>
      <c r="Y228" s="1096">
        <f t="shared" si="13"/>
        <v>0</v>
      </c>
      <c r="Z228" s="882">
        <f t="shared" si="14"/>
        <v>0</v>
      </c>
    </row>
    <row r="229" spans="1:26" ht="27" customHeight="1">
      <c r="A229" s="583"/>
      <c r="B229" s="583">
        <v>1001</v>
      </c>
      <c r="C229" s="581">
        <v>10</v>
      </c>
      <c r="D229" s="1137" t="s">
        <v>275</v>
      </c>
      <c r="E229" s="1138" t="s">
        <v>844</v>
      </c>
      <c r="F229" s="599">
        <v>-1016814710</v>
      </c>
      <c r="G229" s="599"/>
      <c r="H229" s="599"/>
      <c r="I229" s="599"/>
      <c r="J229" s="599"/>
      <c r="K229" s="599"/>
      <c r="L229" s="599"/>
      <c r="M229" s="599"/>
      <c r="N229" s="599"/>
      <c r="O229" s="599"/>
      <c r="P229" s="599"/>
      <c r="Q229" s="599"/>
      <c r="R229" s="599"/>
      <c r="S229" s="1096">
        <f t="shared" si="12"/>
        <v>-1016814710</v>
      </c>
      <c r="T229" s="599">
        <v>-1018254299</v>
      </c>
      <c r="U229" s="1096">
        <f t="shared" si="15"/>
        <v>-1017</v>
      </c>
      <c r="V229" s="599">
        <v>-1018</v>
      </c>
      <c r="W229" s="620"/>
      <c r="X229" s="621"/>
      <c r="Y229" s="1096">
        <f t="shared" si="13"/>
        <v>-1016814710</v>
      </c>
      <c r="Z229" s="882">
        <f t="shared" si="14"/>
        <v>-1017</v>
      </c>
    </row>
    <row r="230" spans="1:26" ht="27" customHeight="1">
      <c r="A230" s="583"/>
      <c r="B230" s="583">
        <v>406</v>
      </c>
      <c r="C230" s="581">
        <v>4</v>
      </c>
      <c r="D230" s="1137" t="s">
        <v>981</v>
      </c>
      <c r="E230" s="1138" t="s">
        <v>982</v>
      </c>
      <c r="F230" s="599"/>
      <c r="G230" s="599"/>
      <c r="H230" s="599"/>
      <c r="I230" s="599"/>
      <c r="J230" s="599"/>
      <c r="K230" s="599"/>
      <c r="L230" s="599"/>
      <c r="M230" s="599"/>
      <c r="N230" s="599"/>
      <c r="O230" s="599"/>
      <c r="P230" s="599"/>
      <c r="Q230" s="599"/>
      <c r="R230" s="599"/>
      <c r="S230" s="1096">
        <f t="shared" si="12"/>
        <v>0</v>
      </c>
      <c r="T230" s="599">
        <v>0</v>
      </c>
      <c r="U230" s="1096">
        <f t="shared" si="15"/>
        <v>0</v>
      </c>
      <c r="V230" s="599">
        <v>0</v>
      </c>
      <c r="W230" s="620"/>
      <c r="X230" s="621"/>
      <c r="Y230" s="1096">
        <f t="shared" si="13"/>
        <v>0</v>
      </c>
      <c r="Z230" s="882">
        <f t="shared" si="14"/>
        <v>0</v>
      </c>
    </row>
    <row r="231" spans="1:26" ht="27" customHeight="1">
      <c r="A231" s="583"/>
      <c r="B231" s="583">
        <v>406</v>
      </c>
      <c r="C231" s="581">
        <v>4</v>
      </c>
      <c r="D231" s="1137" t="s">
        <v>983</v>
      </c>
      <c r="E231" s="1138" t="s">
        <v>984</v>
      </c>
      <c r="F231" s="599"/>
      <c r="G231" s="599"/>
      <c r="H231" s="599"/>
      <c r="I231" s="599"/>
      <c r="J231" s="599"/>
      <c r="K231" s="599"/>
      <c r="L231" s="599"/>
      <c r="M231" s="599"/>
      <c r="N231" s="599"/>
      <c r="O231" s="599"/>
      <c r="P231" s="599"/>
      <c r="Q231" s="599"/>
      <c r="R231" s="599"/>
      <c r="S231" s="1096">
        <f t="shared" si="12"/>
        <v>0</v>
      </c>
      <c r="T231" s="599">
        <v>0</v>
      </c>
      <c r="U231" s="1096">
        <f t="shared" si="15"/>
        <v>0</v>
      </c>
      <c r="V231" s="599">
        <v>0</v>
      </c>
      <c r="W231" s="620"/>
      <c r="X231" s="621"/>
      <c r="Y231" s="1096">
        <f t="shared" si="13"/>
        <v>0</v>
      </c>
      <c r="Z231" s="882">
        <f t="shared" si="14"/>
        <v>0</v>
      </c>
    </row>
    <row r="232" spans="1:26" ht="27" customHeight="1">
      <c r="A232" s="583"/>
      <c r="B232" s="583">
        <v>406</v>
      </c>
      <c r="C232" s="581">
        <v>4</v>
      </c>
      <c r="D232" s="1137" t="s">
        <v>1338</v>
      </c>
      <c r="E232" s="1138" t="s">
        <v>1339</v>
      </c>
      <c r="F232" s="599">
        <v>3994000</v>
      </c>
      <c r="G232" s="599"/>
      <c r="H232" s="599"/>
      <c r="I232" s="599"/>
      <c r="J232" s="599"/>
      <c r="K232" s="599"/>
      <c r="L232" s="599"/>
      <c r="M232" s="599"/>
      <c r="N232" s="599"/>
      <c r="O232" s="599"/>
      <c r="P232" s="599"/>
      <c r="Q232" s="599"/>
      <c r="R232" s="599"/>
      <c r="S232" s="1096">
        <f t="shared" si="12"/>
        <v>3994000</v>
      </c>
      <c r="T232" s="599">
        <v>3994000</v>
      </c>
      <c r="U232" s="1096">
        <f t="shared" si="15"/>
        <v>4</v>
      </c>
      <c r="V232" s="599">
        <v>4</v>
      </c>
      <c r="W232" s="620"/>
      <c r="X232" s="621"/>
      <c r="Y232" s="1096">
        <f t="shared" si="13"/>
        <v>3994000</v>
      </c>
      <c r="Z232" s="882">
        <f t="shared" si="14"/>
        <v>4</v>
      </c>
    </row>
    <row r="233" spans="1:26" ht="27" customHeight="1">
      <c r="A233" s="583"/>
      <c r="B233" s="583">
        <v>1001</v>
      </c>
      <c r="C233" s="581">
        <v>10</v>
      </c>
      <c r="D233" s="1137" t="s">
        <v>1737</v>
      </c>
      <c r="E233" s="1138" t="s">
        <v>1738</v>
      </c>
      <c r="F233" s="599"/>
      <c r="G233" s="599"/>
      <c r="H233" s="599"/>
      <c r="I233" s="599"/>
      <c r="J233" s="599"/>
      <c r="K233" s="599"/>
      <c r="L233" s="599"/>
      <c r="M233" s="599"/>
      <c r="N233" s="599"/>
      <c r="O233" s="599"/>
      <c r="P233" s="599"/>
      <c r="Q233" s="599"/>
      <c r="R233" s="599"/>
      <c r="S233" s="1096">
        <f t="shared" si="12"/>
        <v>0</v>
      </c>
      <c r="T233" s="599">
        <v>-127809476</v>
      </c>
      <c r="U233" s="1096">
        <f t="shared" si="15"/>
        <v>0</v>
      </c>
      <c r="V233" s="599">
        <v>-128</v>
      </c>
      <c r="W233" s="620"/>
      <c r="X233" s="621"/>
      <c r="Y233" s="1096">
        <f t="shared" si="13"/>
        <v>0</v>
      </c>
      <c r="Z233" s="882">
        <f t="shared" si="14"/>
        <v>0</v>
      </c>
    </row>
    <row r="234" spans="1:26" ht="27" customHeight="1">
      <c r="A234" s="583"/>
      <c r="B234" s="583">
        <v>406</v>
      </c>
      <c r="C234" s="581">
        <v>4</v>
      </c>
      <c r="D234" s="1137" t="s">
        <v>985</v>
      </c>
      <c r="E234" s="1138" t="s">
        <v>986</v>
      </c>
      <c r="F234" s="599">
        <v>65907182</v>
      </c>
      <c r="G234" s="599"/>
      <c r="H234" s="599"/>
      <c r="I234" s="599"/>
      <c r="J234" s="599"/>
      <c r="K234" s="599"/>
      <c r="L234" s="599"/>
      <c r="M234" s="599"/>
      <c r="N234" s="599"/>
      <c r="O234" s="599"/>
      <c r="P234" s="599"/>
      <c r="Q234" s="599"/>
      <c r="R234" s="599"/>
      <c r="S234" s="1096">
        <f t="shared" si="12"/>
        <v>65907182</v>
      </c>
      <c r="T234" s="599">
        <v>889270531</v>
      </c>
      <c r="U234" s="1096">
        <f t="shared" si="15"/>
        <v>66</v>
      </c>
      <c r="V234" s="599">
        <v>889</v>
      </c>
      <c r="W234" s="620"/>
      <c r="X234" s="621"/>
      <c r="Y234" s="1096">
        <f t="shared" si="13"/>
        <v>65907182</v>
      </c>
      <c r="Z234" s="882">
        <f t="shared" si="14"/>
        <v>66</v>
      </c>
    </row>
    <row r="235" spans="1:26" ht="27" customHeight="1">
      <c r="A235" s="583"/>
      <c r="B235" s="583">
        <v>1001</v>
      </c>
      <c r="C235" s="581">
        <v>10</v>
      </c>
      <c r="D235" s="1137" t="s">
        <v>1074</v>
      </c>
      <c r="E235" s="1138" t="s">
        <v>1075</v>
      </c>
      <c r="F235" s="599"/>
      <c r="G235" s="599"/>
      <c r="H235" s="599"/>
      <c r="I235" s="599"/>
      <c r="J235" s="599"/>
      <c r="K235" s="599"/>
      <c r="L235" s="599"/>
      <c r="M235" s="599"/>
      <c r="N235" s="599"/>
      <c r="O235" s="599"/>
      <c r="P235" s="599"/>
      <c r="Q235" s="599"/>
      <c r="R235" s="599"/>
      <c r="S235" s="1096">
        <f t="shared" si="12"/>
        <v>0</v>
      </c>
      <c r="T235" s="599">
        <v>0</v>
      </c>
      <c r="U235" s="1096">
        <f t="shared" si="15"/>
        <v>0</v>
      </c>
      <c r="V235" s="599">
        <v>0</v>
      </c>
      <c r="W235" s="620"/>
      <c r="X235" s="621"/>
      <c r="Y235" s="1096">
        <f t="shared" si="13"/>
        <v>0</v>
      </c>
      <c r="Z235" s="882">
        <f t="shared" si="14"/>
        <v>0</v>
      </c>
    </row>
    <row r="236" spans="1:26" ht="27" customHeight="1">
      <c r="A236" s="583"/>
      <c r="B236" s="583">
        <v>1001</v>
      </c>
      <c r="C236" s="581">
        <v>10</v>
      </c>
      <c r="D236" s="1137" t="s">
        <v>1241</v>
      </c>
      <c r="E236" s="1138" t="s">
        <v>1242</v>
      </c>
      <c r="F236" s="599"/>
      <c r="G236" s="599"/>
      <c r="H236" s="599"/>
      <c r="I236" s="599"/>
      <c r="J236" s="599"/>
      <c r="K236" s="599"/>
      <c r="L236" s="599"/>
      <c r="M236" s="599"/>
      <c r="N236" s="599"/>
      <c r="O236" s="599"/>
      <c r="P236" s="599"/>
      <c r="Q236" s="599"/>
      <c r="R236" s="599"/>
      <c r="S236" s="1096">
        <f t="shared" si="12"/>
        <v>0</v>
      </c>
      <c r="T236" s="599">
        <v>-2255564</v>
      </c>
      <c r="U236" s="1096">
        <f t="shared" si="15"/>
        <v>0</v>
      </c>
      <c r="V236" s="599">
        <v>-2</v>
      </c>
      <c r="W236" s="620"/>
      <c r="X236" s="621"/>
      <c r="Y236" s="1096">
        <f t="shared" si="13"/>
        <v>0</v>
      </c>
      <c r="Z236" s="882">
        <f t="shared" si="14"/>
        <v>0</v>
      </c>
    </row>
    <row r="237" spans="1:26" ht="27" customHeight="1">
      <c r="A237" s="583"/>
      <c r="B237" s="583">
        <v>406</v>
      </c>
      <c r="C237" s="581">
        <v>4</v>
      </c>
      <c r="D237" s="1137" t="s">
        <v>987</v>
      </c>
      <c r="E237" s="1138" t="s">
        <v>988</v>
      </c>
      <c r="F237" s="599"/>
      <c r="G237" s="599"/>
      <c r="H237" s="599"/>
      <c r="I237" s="599"/>
      <c r="J237" s="599"/>
      <c r="K237" s="599"/>
      <c r="L237" s="599"/>
      <c r="M237" s="599"/>
      <c r="N237" s="599"/>
      <c r="O237" s="599"/>
      <c r="P237" s="599"/>
      <c r="Q237" s="599"/>
      <c r="R237" s="599"/>
      <c r="S237" s="1096">
        <f t="shared" si="12"/>
        <v>0</v>
      </c>
      <c r="T237" s="599">
        <v>712800</v>
      </c>
      <c r="U237" s="1096">
        <f t="shared" si="15"/>
        <v>0</v>
      </c>
      <c r="V237" s="599">
        <v>1</v>
      </c>
      <c r="W237" s="620"/>
      <c r="X237" s="621"/>
      <c r="Y237" s="1096">
        <f t="shared" si="13"/>
        <v>0</v>
      </c>
      <c r="Z237" s="882">
        <f t="shared" si="14"/>
        <v>0</v>
      </c>
    </row>
    <row r="238" spans="1:26" ht="27" customHeight="1">
      <c r="A238" s="583"/>
      <c r="B238" s="583">
        <v>1001</v>
      </c>
      <c r="C238" s="581">
        <v>10</v>
      </c>
      <c r="D238" s="1137" t="s">
        <v>1076</v>
      </c>
      <c r="E238" s="1138" t="s">
        <v>1077</v>
      </c>
      <c r="F238" s="599">
        <v>-2128838886</v>
      </c>
      <c r="G238" s="599"/>
      <c r="H238" s="599"/>
      <c r="I238" s="599"/>
      <c r="J238" s="599"/>
      <c r="K238" s="599"/>
      <c r="L238" s="599"/>
      <c r="M238" s="599"/>
      <c r="N238" s="599"/>
      <c r="O238" s="599"/>
      <c r="P238" s="599"/>
      <c r="Q238" s="599"/>
      <c r="R238" s="599"/>
      <c r="S238" s="1096">
        <f t="shared" si="12"/>
        <v>-2128838886</v>
      </c>
      <c r="T238" s="599">
        <v>-3128838886</v>
      </c>
      <c r="U238" s="1096">
        <f t="shared" si="15"/>
        <v>-2129</v>
      </c>
      <c r="V238" s="599">
        <v>-3129</v>
      </c>
      <c r="W238" s="620"/>
      <c r="X238" s="621"/>
      <c r="Y238" s="1096">
        <f t="shared" si="13"/>
        <v>-2128838886</v>
      </c>
      <c r="Z238" s="882">
        <f t="shared" si="14"/>
        <v>-2129</v>
      </c>
    </row>
    <row r="239" spans="1:26" ht="27" customHeight="1">
      <c r="A239" s="583"/>
      <c r="B239" s="583">
        <v>1001</v>
      </c>
      <c r="C239" s="581">
        <v>10</v>
      </c>
      <c r="D239" s="1137" t="s">
        <v>239</v>
      </c>
      <c r="E239" s="1138" t="s">
        <v>1642</v>
      </c>
      <c r="F239" s="599">
        <v>-1268247</v>
      </c>
      <c r="G239" s="599"/>
      <c r="H239" s="599"/>
      <c r="I239" s="599"/>
      <c r="J239" s="599"/>
      <c r="K239" s="599"/>
      <c r="L239" s="599"/>
      <c r="M239" s="599"/>
      <c r="N239" s="599"/>
      <c r="O239" s="599"/>
      <c r="P239" s="599"/>
      <c r="Q239" s="599"/>
      <c r="R239" s="599"/>
      <c r="S239" s="1096">
        <f t="shared" si="12"/>
        <v>-1268247</v>
      </c>
      <c r="T239" s="599">
        <v>-391592728</v>
      </c>
      <c r="U239" s="1096">
        <f t="shared" si="15"/>
        <v>-1</v>
      </c>
      <c r="V239" s="599">
        <v>-392</v>
      </c>
      <c r="W239" s="620"/>
      <c r="X239" s="621"/>
      <c r="Y239" s="1096">
        <f t="shared" si="13"/>
        <v>-1268247</v>
      </c>
      <c r="Z239" s="882">
        <f t="shared" si="14"/>
        <v>-1</v>
      </c>
    </row>
    <row r="240" spans="1:26" ht="27" customHeight="1">
      <c r="A240" s="583"/>
      <c r="B240" s="583">
        <v>1001</v>
      </c>
      <c r="C240" s="581">
        <v>10</v>
      </c>
      <c r="D240" s="1137" t="s">
        <v>1609</v>
      </c>
      <c r="E240" s="1138" t="s">
        <v>1610</v>
      </c>
      <c r="F240" s="599">
        <v>-67705290</v>
      </c>
      <c r="G240" s="599"/>
      <c r="H240" s="599"/>
      <c r="I240" s="599"/>
      <c r="J240" s="599"/>
      <c r="K240" s="599"/>
      <c r="L240" s="599"/>
      <c r="M240" s="599"/>
      <c r="N240" s="599"/>
      <c r="O240" s="599"/>
      <c r="P240" s="599"/>
      <c r="Q240" s="599"/>
      <c r="R240" s="599"/>
      <c r="S240" s="1096">
        <f t="shared" si="12"/>
        <v>-67705290</v>
      </c>
      <c r="T240" s="599">
        <v>-67705290</v>
      </c>
      <c r="U240" s="1096">
        <f t="shared" si="15"/>
        <v>-68</v>
      </c>
      <c r="V240" s="599">
        <v>-68</v>
      </c>
      <c r="W240" s="620"/>
      <c r="X240" s="621"/>
      <c r="Y240" s="1096">
        <f t="shared" si="13"/>
        <v>-67705290</v>
      </c>
      <c r="Z240" s="882">
        <f t="shared" si="14"/>
        <v>-68</v>
      </c>
    </row>
    <row r="241" spans="1:26" ht="27" customHeight="1">
      <c r="A241" s="583"/>
      <c r="B241" s="583">
        <v>1001</v>
      </c>
      <c r="C241" s="581">
        <v>10</v>
      </c>
      <c r="D241" s="1137" t="s">
        <v>1243</v>
      </c>
      <c r="E241" s="1138" t="s">
        <v>1244</v>
      </c>
      <c r="F241" s="599"/>
      <c r="G241" s="599"/>
      <c r="H241" s="599"/>
      <c r="I241" s="599"/>
      <c r="J241" s="599"/>
      <c r="K241" s="599"/>
      <c r="L241" s="599"/>
      <c r="M241" s="599"/>
      <c r="N241" s="599"/>
      <c r="O241" s="599"/>
      <c r="P241" s="599"/>
      <c r="Q241" s="599"/>
      <c r="R241" s="599"/>
      <c r="S241" s="1096">
        <f t="shared" si="12"/>
        <v>0</v>
      </c>
      <c r="T241" s="599">
        <v>-3942158</v>
      </c>
      <c r="U241" s="1096">
        <f t="shared" si="15"/>
        <v>0</v>
      </c>
      <c r="V241" s="599">
        <v>-4</v>
      </c>
      <c r="W241" s="620"/>
      <c r="X241" s="621"/>
      <c r="Y241" s="1096">
        <f t="shared" si="13"/>
        <v>0</v>
      </c>
      <c r="Z241" s="882">
        <f t="shared" si="14"/>
        <v>0</v>
      </c>
    </row>
    <row r="242" spans="1:26" ht="27" customHeight="1">
      <c r="A242" s="583"/>
      <c r="B242" s="1424">
        <v>406</v>
      </c>
      <c r="C242" s="1131">
        <v>4</v>
      </c>
      <c r="D242" s="1137" t="s">
        <v>241</v>
      </c>
      <c r="E242" s="1138" t="s">
        <v>755</v>
      </c>
      <c r="F242" s="599"/>
      <c r="G242" s="599"/>
      <c r="H242" s="599"/>
      <c r="I242" s="599"/>
      <c r="J242" s="599"/>
      <c r="K242" s="599"/>
      <c r="L242" s="599"/>
      <c r="M242" s="599"/>
      <c r="N242" s="599"/>
      <c r="O242" s="599"/>
      <c r="P242" s="599"/>
      <c r="Q242" s="599"/>
      <c r="R242" s="599"/>
      <c r="S242" s="1096">
        <f t="shared" si="12"/>
        <v>0</v>
      </c>
      <c r="T242" s="599">
        <v>22792553</v>
      </c>
      <c r="U242" s="1096">
        <f t="shared" si="15"/>
        <v>0</v>
      </c>
      <c r="V242" s="599">
        <v>23</v>
      </c>
      <c r="W242" s="620"/>
      <c r="X242" s="621"/>
      <c r="Y242" s="1096">
        <f t="shared" si="13"/>
        <v>0</v>
      </c>
      <c r="Z242" s="882">
        <f t="shared" si="14"/>
        <v>0</v>
      </c>
    </row>
    <row r="243" spans="1:26" ht="27" customHeight="1">
      <c r="A243" s="583"/>
      <c r="B243" s="583">
        <v>1001</v>
      </c>
      <c r="C243" s="1235">
        <v>10</v>
      </c>
      <c r="D243" s="1137" t="s">
        <v>1246</v>
      </c>
      <c r="E243" s="1138" t="s">
        <v>1245</v>
      </c>
      <c r="F243" s="599">
        <v>-2623775</v>
      </c>
      <c r="G243" s="599"/>
      <c r="H243" s="599"/>
      <c r="I243" s="599"/>
      <c r="J243" s="599"/>
      <c r="K243" s="599"/>
      <c r="L243" s="599"/>
      <c r="M243" s="599"/>
      <c r="N243" s="599"/>
      <c r="O243" s="599"/>
      <c r="P243" s="599"/>
      <c r="Q243" s="599"/>
      <c r="R243" s="599"/>
      <c r="S243" s="1096">
        <f t="shared" si="12"/>
        <v>-2623775</v>
      </c>
      <c r="T243" s="599">
        <v>42771997</v>
      </c>
      <c r="U243" s="1096">
        <f t="shared" si="15"/>
        <v>-3</v>
      </c>
      <c r="V243" s="599">
        <v>43</v>
      </c>
      <c r="W243" s="620"/>
      <c r="X243" s="621"/>
      <c r="Y243" s="1096">
        <f t="shared" si="13"/>
        <v>-2623775</v>
      </c>
      <c r="Z243" s="882">
        <f t="shared" si="14"/>
        <v>-3</v>
      </c>
    </row>
    <row r="244" spans="1:26" ht="27" customHeight="1">
      <c r="A244" s="583"/>
      <c r="B244" s="583">
        <v>406</v>
      </c>
      <c r="C244" s="581">
        <v>4</v>
      </c>
      <c r="D244" s="1137" t="s">
        <v>491</v>
      </c>
      <c r="E244" s="1138" t="s">
        <v>659</v>
      </c>
      <c r="F244" s="599">
        <v>0</v>
      </c>
      <c r="G244" s="599"/>
      <c r="H244" s="599"/>
      <c r="I244" s="599"/>
      <c r="J244" s="599"/>
      <c r="K244" s="599">
        <v>1029795952</v>
      </c>
      <c r="L244" s="599"/>
      <c r="M244" s="599"/>
      <c r="N244" s="599"/>
      <c r="O244" s="599"/>
      <c r="P244" s="599"/>
      <c r="Q244" s="599"/>
      <c r="R244" s="599"/>
      <c r="S244" s="1096">
        <f t="shared" si="12"/>
        <v>1029795952</v>
      </c>
      <c r="T244" s="599">
        <v>0</v>
      </c>
      <c r="U244" s="1096">
        <f t="shared" si="15"/>
        <v>1030</v>
      </c>
      <c r="V244" s="599">
        <v>0</v>
      </c>
      <c r="W244" s="620"/>
      <c r="X244" s="621"/>
      <c r="Y244" s="1096">
        <f t="shared" si="13"/>
        <v>1029795952</v>
      </c>
      <c r="Z244" s="882">
        <f t="shared" si="14"/>
        <v>1030</v>
      </c>
    </row>
    <row r="245" spans="1:26" ht="27" customHeight="1">
      <c r="A245" s="583"/>
      <c r="B245" s="1424">
        <v>406</v>
      </c>
      <c r="C245" s="1131">
        <v>4</v>
      </c>
      <c r="D245" s="1137" t="s">
        <v>1033</v>
      </c>
      <c r="E245" s="1138" t="s">
        <v>1034</v>
      </c>
      <c r="F245" s="599">
        <v>468438323</v>
      </c>
      <c r="G245" s="599"/>
      <c r="H245" s="599"/>
      <c r="I245" s="599"/>
      <c r="J245" s="599"/>
      <c r="K245" s="599"/>
      <c r="L245" s="599"/>
      <c r="M245" s="599"/>
      <c r="N245" s="599"/>
      <c r="O245" s="599"/>
      <c r="P245" s="599"/>
      <c r="Q245" s="599"/>
      <c r="R245" s="599"/>
      <c r="S245" s="1096">
        <f t="shared" si="12"/>
        <v>468438323</v>
      </c>
      <c r="T245" s="599">
        <v>102015203</v>
      </c>
      <c r="U245" s="738">
        <f>ROUND((S245/1000000),0)+1</f>
        <v>469</v>
      </c>
      <c r="V245" s="599">
        <v>102</v>
      </c>
      <c r="W245" s="620"/>
      <c r="X245" s="621"/>
      <c r="Y245" s="1096">
        <f t="shared" si="13"/>
        <v>468438323</v>
      </c>
      <c r="Z245" s="882">
        <f t="shared" si="14"/>
        <v>468</v>
      </c>
    </row>
    <row r="246" spans="1:26" ht="27" customHeight="1">
      <c r="A246" s="583"/>
      <c r="B246" s="583">
        <v>406</v>
      </c>
      <c r="C246" s="581">
        <v>4</v>
      </c>
      <c r="D246" s="1137" t="s">
        <v>660</v>
      </c>
      <c r="E246" s="1138" t="s">
        <v>661</v>
      </c>
      <c r="F246" s="599">
        <v>250707796</v>
      </c>
      <c r="G246" s="599"/>
      <c r="H246" s="599">
        <v>387158039</v>
      </c>
      <c r="I246" s="599"/>
      <c r="J246" s="599"/>
      <c r="K246" s="599"/>
      <c r="L246" s="599"/>
      <c r="M246" s="599"/>
      <c r="N246" s="599"/>
      <c r="O246" s="599"/>
      <c r="P246" s="599"/>
      <c r="Q246" s="599"/>
      <c r="R246" s="599"/>
      <c r="S246" s="1096">
        <f t="shared" si="12"/>
        <v>637865835</v>
      </c>
      <c r="T246" s="599">
        <v>33790448</v>
      </c>
      <c r="U246" s="1096">
        <f t="shared" si="15"/>
        <v>638</v>
      </c>
      <c r="V246" s="599">
        <v>34</v>
      </c>
      <c r="W246" s="620"/>
      <c r="X246" s="621"/>
      <c r="Y246" s="1096">
        <f t="shared" si="13"/>
        <v>637865835</v>
      </c>
      <c r="Z246" s="882">
        <f t="shared" si="14"/>
        <v>638</v>
      </c>
    </row>
    <row r="247" spans="1:26" ht="27" customHeight="1">
      <c r="A247" s="583"/>
      <c r="B247" s="583">
        <v>1001</v>
      </c>
      <c r="C247" s="581">
        <v>10</v>
      </c>
      <c r="D247" s="1137" t="s">
        <v>1740</v>
      </c>
      <c r="E247" s="1138" t="s">
        <v>1739</v>
      </c>
      <c r="F247" s="599"/>
      <c r="G247" s="599"/>
      <c r="H247" s="599"/>
      <c r="I247" s="599"/>
      <c r="J247" s="599"/>
      <c r="K247" s="599"/>
      <c r="L247" s="599"/>
      <c r="M247" s="599"/>
      <c r="N247" s="599"/>
      <c r="O247" s="599"/>
      <c r="P247" s="599"/>
      <c r="Q247" s="599"/>
      <c r="R247" s="599"/>
      <c r="S247" s="1096">
        <f t="shared" si="12"/>
        <v>0</v>
      </c>
      <c r="T247" s="599">
        <v>-804586663</v>
      </c>
      <c r="U247" s="1096">
        <f t="shared" si="15"/>
        <v>0</v>
      </c>
      <c r="V247" s="599">
        <v>-805</v>
      </c>
      <c r="W247" s="620"/>
      <c r="X247" s="621"/>
      <c r="Y247" s="1096">
        <f t="shared" si="13"/>
        <v>0</v>
      </c>
      <c r="Z247" s="882">
        <f t="shared" si="14"/>
        <v>0</v>
      </c>
    </row>
    <row r="248" spans="1:26" ht="27" customHeight="1">
      <c r="A248" s="583"/>
      <c r="B248" s="583">
        <v>1001</v>
      </c>
      <c r="C248" s="581">
        <v>10</v>
      </c>
      <c r="D248" s="1137" t="s">
        <v>888</v>
      </c>
      <c r="E248" s="1138" t="s">
        <v>887</v>
      </c>
      <c r="F248" s="599"/>
      <c r="G248" s="599"/>
      <c r="H248" s="599"/>
      <c r="I248" s="599"/>
      <c r="J248" s="599"/>
      <c r="K248" s="599"/>
      <c r="L248" s="599"/>
      <c r="M248" s="599"/>
      <c r="N248" s="599"/>
      <c r="O248" s="599"/>
      <c r="P248" s="599"/>
      <c r="Q248" s="599"/>
      <c r="R248" s="599"/>
      <c r="S248" s="1096">
        <f t="shared" si="12"/>
        <v>0</v>
      </c>
      <c r="T248" s="599">
        <v>0</v>
      </c>
      <c r="U248" s="1096">
        <f t="shared" si="15"/>
        <v>0</v>
      </c>
      <c r="V248" s="599">
        <v>0</v>
      </c>
      <c r="W248" s="620"/>
      <c r="X248" s="621"/>
      <c r="Y248" s="1096">
        <f t="shared" si="13"/>
        <v>0</v>
      </c>
      <c r="Z248" s="882">
        <f t="shared" si="14"/>
        <v>0</v>
      </c>
    </row>
    <row r="249" spans="1:26" ht="27" customHeight="1">
      <c r="A249" s="583"/>
      <c r="B249" s="583">
        <v>406</v>
      </c>
      <c r="C249" s="581">
        <v>4</v>
      </c>
      <c r="D249" s="1137" t="s">
        <v>493</v>
      </c>
      <c r="E249" s="1138" t="s">
        <v>891</v>
      </c>
      <c r="F249" s="599"/>
      <c r="G249" s="599"/>
      <c r="H249" s="599"/>
      <c r="I249" s="599"/>
      <c r="J249" s="599"/>
      <c r="K249" s="599"/>
      <c r="L249" s="599"/>
      <c r="M249" s="599"/>
      <c r="N249" s="599"/>
      <c r="O249" s="599"/>
      <c r="P249" s="599"/>
      <c r="Q249" s="599"/>
      <c r="R249" s="599"/>
      <c r="S249" s="1096">
        <f t="shared" si="12"/>
        <v>0</v>
      </c>
      <c r="T249" s="599">
        <v>0</v>
      </c>
      <c r="U249" s="1096">
        <f t="shared" si="15"/>
        <v>0</v>
      </c>
      <c r="V249" s="599">
        <v>0</v>
      </c>
      <c r="W249" s="620"/>
      <c r="X249" s="621"/>
      <c r="Y249" s="1096">
        <f t="shared" si="13"/>
        <v>0</v>
      </c>
      <c r="Z249" s="882">
        <f t="shared" si="14"/>
        <v>0</v>
      </c>
    </row>
    <row r="250" spans="1:26" ht="27" customHeight="1">
      <c r="A250" s="583"/>
      <c r="B250" s="583"/>
      <c r="C250" s="581">
        <v>4</v>
      </c>
      <c r="D250" s="1137" t="s">
        <v>842</v>
      </c>
      <c r="E250" s="1138" t="s">
        <v>1247</v>
      </c>
      <c r="F250" s="599"/>
      <c r="G250" s="599"/>
      <c r="H250" s="599"/>
      <c r="I250" s="599"/>
      <c r="J250" s="599"/>
      <c r="K250" s="599"/>
      <c r="L250" s="599"/>
      <c r="M250" s="599"/>
      <c r="N250" s="599"/>
      <c r="O250" s="599"/>
      <c r="P250" s="599"/>
      <c r="Q250" s="599"/>
      <c r="R250" s="599"/>
      <c r="S250" s="1096">
        <f t="shared" si="12"/>
        <v>0</v>
      </c>
      <c r="T250" s="599">
        <v>0</v>
      </c>
      <c r="U250" s="1096">
        <f t="shared" si="15"/>
        <v>0</v>
      </c>
      <c r="V250" s="599">
        <v>0</v>
      </c>
      <c r="W250" s="620"/>
      <c r="X250" s="621"/>
      <c r="Y250" s="1096">
        <f t="shared" si="13"/>
        <v>0</v>
      </c>
      <c r="Z250" s="882">
        <f t="shared" si="14"/>
        <v>0</v>
      </c>
    </row>
    <row r="251" spans="1:26" ht="27" customHeight="1">
      <c r="A251" s="583"/>
      <c r="B251" s="583">
        <v>406</v>
      </c>
      <c r="C251" s="581">
        <v>4</v>
      </c>
      <c r="D251" s="1137" t="s">
        <v>843</v>
      </c>
      <c r="E251" s="1138" t="s">
        <v>889</v>
      </c>
      <c r="F251" s="599"/>
      <c r="G251" s="599"/>
      <c r="H251" s="599"/>
      <c r="I251" s="599"/>
      <c r="J251" s="599"/>
      <c r="K251" s="599"/>
      <c r="L251" s="599"/>
      <c r="M251" s="599"/>
      <c r="N251" s="599"/>
      <c r="O251" s="599"/>
      <c r="P251" s="599"/>
      <c r="Q251" s="599"/>
      <c r="R251" s="599"/>
      <c r="S251" s="1096">
        <f t="shared" si="12"/>
        <v>0</v>
      </c>
      <c r="T251" s="599">
        <v>0</v>
      </c>
      <c r="U251" s="1096">
        <f t="shared" si="15"/>
        <v>0</v>
      </c>
      <c r="V251" s="599">
        <v>0</v>
      </c>
      <c r="W251" s="620"/>
      <c r="X251" s="621"/>
      <c r="Y251" s="1096">
        <f t="shared" si="13"/>
        <v>0</v>
      </c>
      <c r="Z251" s="882">
        <f t="shared" si="14"/>
        <v>0</v>
      </c>
    </row>
    <row r="252" spans="1:26" ht="27" customHeight="1">
      <c r="A252" s="583"/>
      <c r="B252" s="583">
        <v>406</v>
      </c>
      <c r="C252" s="581">
        <v>4</v>
      </c>
      <c r="D252" s="1137" t="s">
        <v>1078</v>
      </c>
      <c r="E252" s="1138" t="s">
        <v>1079</v>
      </c>
      <c r="F252" s="599"/>
      <c r="G252" s="599"/>
      <c r="H252" s="599"/>
      <c r="I252" s="599"/>
      <c r="J252" s="599"/>
      <c r="K252" s="599"/>
      <c r="L252" s="599"/>
      <c r="M252" s="599"/>
      <c r="N252" s="599"/>
      <c r="O252" s="599"/>
      <c r="P252" s="599"/>
      <c r="Q252" s="599"/>
      <c r="R252" s="599"/>
      <c r="S252" s="1096">
        <f t="shared" si="12"/>
        <v>0</v>
      </c>
      <c r="T252" s="599">
        <v>0</v>
      </c>
      <c r="U252" s="1096">
        <f t="shared" si="15"/>
        <v>0</v>
      </c>
      <c r="V252" s="599">
        <v>0</v>
      </c>
      <c r="W252" s="620"/>
      <c r="X252" s="621"/>
      <c r="Y252" s="1096">
        <f t="shared" si="13"/>
        <v>0</v>
      </c>
      <c r="Z252" s="882">
        <f t="shared" si="14"/>
        <v>0</v>
      </c>
    </row>
    <row r="253" spans="1:26" ht="27" customHeight="1">
      <c r="A253" s="583"/>
      <c r="B253" s="583">
        <v>1001</v>
      </c>
      <c r="C253" s="581">
        <v>10</v>
      </c>
      <c r="D253" s="1137" t="s">
        <v>1671</v>
      </c>
      <c r="E253" s="1138" t="s">
        <v>1672</v>
      </c>
      <c r="F253" s="599"/>
      <c r="G253" s="599"/>
      <c r="H253" s="599"/>
      <c r="I253" s="599"/>
      <c r="J253" s="599"/>
      <c r="K253" s="599"/>
      <c r="L253" s="599"/>
      <c r="M253" s="599"/>
      <c r="N253" s="599"/>
      <c r="O253" s="599"/>
      <c r="P253" s="599"/>
      <c r="Q253" s="599"/>
      <c r="R253" s="599"/>
      <c r="S253" s="1096">
        <f t="shared" si="12"/>
        <v>0</v>
      </c>
      <c r="T253" s="599">
        <v>-113265040</v>
      </c>
      <c r="U253" s="1096">
        <f t="shared" si="15"/>
        <v>0</v>
      </c>
      <c r="V253" s="599">
        <v>-113</v>
      </c>
      <c r="W253" s="620"/>
      <c r="X253" s="621"/>
      <c r="Y253" s="1096">
        <f t="shared" si="13"/>
        <v>0</v>
      </c>
      <c r="Z253" s="882">
        <f t="shared" si="14"/>
        <v>0</v>
      </c>
    </row>
    <row r="254" spans="1:26" ht="27" customHeight="1">
      <c r="A254" s="583"/>
      <c r="B254" s="583">
        <v>406</v>
      </c>
      <c r="C254" s="581">
        <v>4</v>
      </c>
      <c r="D254" s="1137" t="s">
        <v>1080</v>
      </c>
      <c r="E254" s="1138" t="s">
        <v>1081</v>
      </c>
      <c r="F254" s="599"/>
      <c r="G254" s="599"/>
      <c r="H254" s="599"/>
      <c r="I254" s="599"/>
      <c r="J254" s="599"/>
      <c r="K254" s="599"/>
      <c r="L254" s="599"/>
      <c r="M254" s="599"/>
      <c r="N254" s="599"/>
      <c r="O254" s="599"/>
      <c r="P254" s="599"/>
      <c r="Q254" s="599"/>
      <c r="R254" s="599"/>
      <c r="S254" s="1096">
        <f t="shared" si="12"/>
        <v>0</v>
      </c>
      <c r="T254" s="599">
        <v>0</v>
      </c>
      <c r="U254" s="1096">
        <f t="shared" si="15"/>
        <v>0</v>
      </c>
      <c r="V254" s="599">
        <v>0</v>
      </c>
      <c r="W254" s="620"/>
      <c r="X254" s="621"/>
      <c r="Y254" s="1096">
        <f t="shared" si="13"/>
        <v>0</v>
      </c>
      <c r="Z254" s="882">
        <f t="shared" si="14"/>
        <v>0</v>
      </c>
    </row>
    <row r="255" spans="1:26" ht="27" customHeight="1">
      <c r="A255" s="583"/>
      <c r="B255" s="583">
        <v>406</v>
      </c>
      <c r="C255" s="581">
        <v>4</v>
      </c>
      <c r="D255" s="1137" t="s">
        <v>560</v>
      </c>
      <c r="E255" s="1138" t="s">
        <v>1181</v>
      </c>
      <c r="F255" s="599">
        <v>1</v>
      </c>
      <c r="G255" s="599"/>
      <c r="H255" s="599"/>
      <c r="I255" s="599"/>
      <c r="J255" s="599"/>
      <c r="K255" s="599"/>
      <c r="L255" s="599"/>
      <c r="M255" s="599"/>
      <c r="N255" s="599"/>
      <c r="O255" s="599"/>
      <c r="P255" s="599"/>
      <c r="Q255" s="599"/>
      <c r="R255" s="599"/>
      <c r="S255" s="1096">
        <f t="shared" si="12"/>
        <v>1</v>
      </c>
      <c r="T255" s="599">
        <v>1</v>
      </c>
      <c r="U255" s="1096">
        <f t="shared" si="15"/>
        <v>0</v>
      </c>
      <c r="V255" s="599">
        <v>0</v>
      </c>
      <c r="W255" s="620"/>
      <c r="X255" s="621"/>
      <c r="Y255" s="1096">
        <f t="shared" si="13"/>
        <v>1</v>
      </c>
      <c r="Z255" s="882">
        <f t="shared" si="14"/>
        <v>0</v>
      </c>
    </row>
    <row r="256" spans="1:26" ht="27" customHeight="1">
      <c r="A256" s="583"/>
      <c r="B256" s="583">
        <v>406</v>
      </c>
      <c r="C256" s="581">
        <v>4</v>
      </c>
      <c r="D256" s="1137" t="s">
        <v>1248</v>
      </c>
      <c r="E256" s="1138" t="s">
        <v>1249</v>
      </c>
      <c r="F256" s="599"/>
      <c r="G256" s="599"/>
      <c r="H256" s="599"/>
      <c r="I256" s="599"/>
      <c r="J256" s="599"/>
      <c r="K256" s="599"/>
      <c r="L256" s="599"/>
      <c r="M256" s="599"/>
      <c r="N256" s="599"/>
      <c r="O256" s="599"/>
      <c r="P256" s="599"/>
      <c r="Q256" s="599"/>
      <c r="R256" s="599"/>
      <c r="S256" s="1096">
        <f t="shared" si="12"/>
        <v>0</v>
      </c>
      <c r="T256" s="599">
        <v>0</v>
      </c>
      <c r="U256" s="1096">
        <f t="shared" si="15"/>
        <v>0</v>
      </c>
      <c r="V256" s="599">
        <v>0</v>
      </c>
      <c r="W256" s="620"/>
      <c r="X256" s="621"/>
      <c r="Y256" s="1096">
        <f t="shared" si="13"/>
        <v>0</v>
      </c>
      <c r="Z256" s="882">
        <f t="shared" si="14"/>
        <v>0</v>
      </c>
    </row>
    <row r="257" spans="1:26" ht="27" customHeight="1">
      <c r="A257" s="583"/>
      <c r="B257" s="583">
        <v>406</v>
      </c>
      <c r="C257" s="581">
        <v>4</v>
      </c>
      <c r="D257" s="1137" t="s">
        <v>662</v>
      </c>
      <c r="E257" s="1138" t="s">
        <v>989</v>
      </c>
      <c r="F257" s="599">
        <v>3352276940</v>
      </c>
      <c r="G257" s="599"/>
      <c r="H257" s="599">
        <v>-552723130</v>
      </c>
      <c r="I257" s="599"/>
      <c r="J257" s="599">
        <v>-234433365</v>
      </c>
      <c r="K257" s="599"/>
      <c r="L257" s="599"/>
      <c r="M257" s="599"/>
      <c r="N257" s="599"/>
      <c r="O257" s="599"/>
      <c r="P257" s="599"/>
      <c r="Q257" s="599"/>
      <c r="R257" s="599"/>
      <c r="S257" s="1096">
        <f t="shared" si="12"/>
        <v>2565120445</v>
      </c>
      <c r="T257" s="599">
        <v>19750336229</v>
      </c>
      <c r="U257" s="1096">
        <f t="shared" si="15"/>
        <v>2565</v>
      </c>
      <c r="V257" s="599">
        <v>19750</v>
      </c>
      <c r="W257" s="620"/>
      <c r="X257" s="621"/>
      <c r="Y257" s="1096">
        <f t="shared" si="13"/>
        <v>2565120445</v>
      </c>
      <c r="Z257" s="882">
        <f t="shared" si="14"/>
        <v>2565</v>
      </c>
    </row>
    <row r="258" spans="1:26" ht="27" customHeight="1">
      <c r="A258" s="583"/>
      <c r="B258" s="583">
        <v>1018</v>
      </c>
      <c r="C258" s="581">
        <v>10</v>
      </c>
      <c r="D258" s="1137" t="s">
        <v>890</v>
      </c>
      <c r="E258" s="1138" t="s">
        <v>892</v>
      </c>
      <c r="F258" s="599"/>
      <c r="G258" s="599"/>
      <c r="H258" s="599"/>
      <c r="I258" s="599"/>
      <c r="J258" s="599"/>
      <c r="K258" s="599"/>
      <c r="L258" s="599"/>
      <c r="M258" s="599"/>
      <c r="N258" s="599"/>
      <c r="O258" s="599"/>
      <c r="P258" s="599"/>
      <c r="Q258" s="599"/>
      <c r="R258" s="599"/>
      <c r="S258" s="1096">
        <f t="shared" si="12"/>
        <v>0</v>
      </c>
      <c r="T258" s="599">
        <v>0</v>
      </c>
      <c r="U258" s="1096">
        <f t="shared" si="15"/>
        <v>0</v>
      </c>
      <c r="V258" s="599">
        <v>0</v>
      </c>
      <c r="W258" s="620"/>
      <c r="X258" s="621"/>
      <c r="Y258" s="1096">
        <f t="shared" si="13"/>
        <v>0</v>
      </c>
      <c r="Z258" s="882">
        <f t="shared" si="14"/>
        <v>0</v>
      </c>
    </row>
    <row r="259" spans="1:26" ht="27" customHeight="1">
      <c r="A259" s="583"/>
      <c r="B259" s="583">
        <v>1001</v>
      </c>
      <c r="C259" s="581">
        <v>10</v>
      </c>
      <c r="D259" s="1137" t="s">
        <v>116</v>
      </c>
      <c r="E259" s="1138" t="s">
        <v>1268</v>
      </c>
      <c r="F259" s="599">
        <v>-8000000</v>
      </c>
      <c r="G259" s="599"/>
      <c r="H259" s="599"/>
      <c r="I259" s="599"/>
      <c r="J259" s="599"/>
      <c r="K259" s="599"/>
      <c r="L259" s="599"/>
      <c r="M259" s="599"/>
      <c r="N259" s="599"/>
      <c r="O259" s="599"/>
      <c r="P259" s="599"/>
      <c r="Q259" s="599"/>
      <c r="R259" s="599"/>
      <c r="S259" s="1096">
        <f t="shared" si="12"/>
        <v>-8000000</v>
      </c>
      <c r="T259" s="599">
        <v>0</v>
      </c>
      <c r="U259" s="1096">
        <f t="shared" si="15"/>
        <v>-8</v>
      </c>
      <c r="V259" s="599">
        <v>0</v>
      </c>
      <c r="W259" s="620"/>
      <c r="X259" s="621"/>
      <c r="Y259" s="1096">
        <f t="shared" si="13"/>
        <v>-8000000</v>
      </c>
      <c r="Z259" s="882">
        <f t="shared" si="14"/>
        <v>-8</v>
      </c>
    </row>
    <row r="260" spans="1:26" ht="27" customHeight="1">
      <c r="A260" s="583"/>
      <c r="B260" s="583">
        <v>1001</v>
      </c>
      <c r="C260" s="581">
        <v>10</v>
      </c>
      <c r="D260" s="1137" t="s">
        <v>485</v>
      </c>
      <c r="E260" s="1138" t="s">
        <v>899</v>
      </c>
      <c r="F260" s="599">
        <v>-329450327</v>
      </c>
      <c r="G260" s="599">
        <v>330860121</v>
      </c>
      <c r="H260" s="599"/>
      <c r="I260" s="599"/>
      <c r="J260" s="599"/>
      <c r="K260" s="599"/>
      <c r="L260" s="599"/>
      <c r="M260" s="599"/>
      <c r="N260" s="599"/>
      <c r="O260" s="599"/>
      <c r="P260" s="599"/>
      <c r="Q260" s="599"/>
      <c r="R260" s="599"/>
      <c r="S260" s="1096">
        <f t="shared" si="12"/>
        <v>1409794</v>
      </c>
      <c r="T260" s="599">
        <v>1529794</v>
      </c>
      <c r="U260" s="1096">
        <f t="shared" si="15"/>
        <v>1</v>
      </c>
      <c r="V260" s="599">
        <v>2</v>
      </c>
      <c r="W260" s="620"/>
      <c r="X260" s="621"/>
      <c r="Y260" s="1096">
        <f t="shared" si="13"/>
        <v>1409794</v>
      </c>
      <c r="Z260" s="882">
        <f t="shared" si="14"/>
        <v>1</v>
      </c>
    </row>
    <row r="261" spans="1:26" ht="27" customHeight="1">
      <c r="A261" s="583"/>
      <c r="B261" s="583">
        <v>1001</v>
      </c>
      <c r="C261" s="581">
        <v>10</v>
      </c>
      <c r="D261" s="1137" t="s">
        <v>485</v>
      </c>
      <c r="E261" s="1138" t="s">
        <v>899</v>
      </c>
      <c r="F261" s="599"/>
      <c r="G261" s="599"/>
      <c r="H261" s="599"/>
      <c r="I261" s="599"/>
      <c r="J261" s="599"/>
      <c r="K261" s="599"/>
      <c r="L261" s="599"/>
      <c r="M261" s="599"/>
      <c r="N261" s="599"/>
      <c r="O261" s="599"/>
      <c r="P261" s="599"/>
      <c r="Q261" s="599"/>
      <c r="R261" s="599"/>
      <c r="S261" s="1096">
        <f t="shared" si="12"/>
        <v>0</v>
      </c>
      <c r="T261" s="599">
        <v>0</v>
      </c>
      <c r="U261" s="1096">
        <f t="shared" si="15"/>
        <v>0</v>
      </c>
      <c r="V261" s="599">
        <v>0</v>
      </c>
      <c r="W261" s="620"/>
      <c r="X261" s="621"/>
      <c r="Y261" s="1096">
        <f t="shared" si="13"/>
        <v>0</v>
      </c>
      <c r="Z261" s="882">
        <f t="shared" si="14"/>
        <v>0</v>
      </c>
    </row>
    <row r="262" spans="1:26" ht="27" customHeight="1">
      <c r="A262" s="583"/>
      <c r="B262" s="583">
        <v>1018</v>
      </c>
      <c r="C262" s="581">
        <v>10</v>
      </c>
      <c r="D262" s="1137" t="s">
        <v>846</v>
      </c>
      <c r="E262" s="1138" t="s">
        <v>900</v>
      </c>
      <c r="F262" s="599">
        <v>492202</v>
      </c>
      <c r="G262" s="599"/>
      <c r="H262" s="599"/>
      <c r="I262" s="599"/>
      <c r="J262" s="599">
        <v>112800000</v>
      </c>
      <c r="K262" s="599"/>
      <c r="L262" s="599"/>
      <c r="M262" s="599"/>
      <c r="N262" s="599"/>
      <c r="O262" s="599"/>
      <c r="P262" s="599"/>
      <c r="Q262" s="599"/>
      <c r="R262" s="599"/>
      <c r="S262" s="1096">
        <f t="shared" ref="S262:S325" si="16">SUM(F262:R262)</f>
        <v>113292202</v>
      </c>
      <c r="T262" s="599">
        <v>67613634</v>
      </c>
      <c r="U262" s="1096">
        <f t="shared" si="15"/>
        <v>113</v>
      </c>
      <c r="V262" s="599">
        <v>68</v>
      </c>
      <c r="W262" s="620"/>
      <c r="X262" s="621"/>
      <c r="Y262" s="1096">
        <f t="shared" ref="Y262:Y325" si="17">S262+X262-W262</f>
        <v>113292202</v>
      </c>
      <c r="Z262" s="882">
        <f t="shared" ref="Z262:Z325" si="18">ROUND((Y262/1000000),0)</f>
        <v>113</v>
      </c>
    </row>
    <row r="263" spans="1:26" ht="27" customHeight="1">
      <c r="A263" s="583"/>
      <c r="B263" s="583">
        <v>1018</v>
      </c>
      <c r="C263" s="581">
        <v>10</v>
      </c>
      <c r="D263" s="1137" t="s">
        <v>893</v>
      </c>
      <c r="E263" s="1138" t="s">
        <v>1182</v>
      </c>
      <c r="F263" s="599">
        <v>-18195021</v>
      </c>
      <c r="G263" s="599"/>
      <c r="H263" s="599"/>
      <c r="I263" s="599"/>
      <c r="J263" s="599"/>
      <c r="K263" s="599"/>
      <c r="L263" s="599"/>
      <c r="M263" s="599"/>
      <c r="N263" s="599"/>
      <c r="O263" s="599"/>
      <c r="P263" s="599"/>
      <c r="Q263" s="599"/>
      <c r="R263" s="599"/>
      <c r="S263" s="1096">
        <f t="shared" si="16"/>
        <v>-18195021</v>
      </c>
      <c r="T263" s="599">
        <v>-14316199</v>
      </c>
      <c r="U263" s="1096">
        <f t="shared" si="15"/>
        <v>-18</v>
      </c>
      <c r="V263" s="599">
        <v>-14</v>
      </c>
      <c r="W263" s="620"/>
      <c r="X263" s="621"/>
      <c r="Y263" s="1096">
        <f t="shared" si="17"/>
        <v>-18195021</v>
      </c>
      <c r="Z263" s="882">
        <f t="shared" si="18"/>
        <v>-18</v>
      </c>
    </row>
    <row r="264" spans="1:26" ht="27" customHeight="1">
      <c r="A264" s="583"/>
      <c r="B264" s="583">
        <v>1018</v>
      </c>
      <c r="C264" s="581">
        <v>10</v>
      </c>
      <c r="D264" s="1137" t="s">
        <v>1183</v>
      </c>
      <c r="E264" s="1138" t="s">
        <v>1184</v>
      </c>
      <c r="F264" s="599">
        <v>-30000</v>
      </c>
      <c r="G264" s="599"/>
      <c r="H264" s="599"/>
      <c r="I264" s="599"/>
      <c r="J264" s="599"/>
      <c r="K264" s="599"/>
      <c r="L264" s="599"/>
      <c r="M264" s="599"/>
      <c r="N264" s="599"/>
      <c r="O264" s="599"/>
      <c r="P264" s="599"/>
      <c r="Q264" s="599"/>
      <c r="R264" s="599"/>
      <c r="S264" s="1096">
        <f t="shared" si="16"/>
        <v>-30000</v>
      </c>
      <c r="T264" s="599">
        <v>-240000</v>
      </c>
      <c r="U264" s="1096">
        <f t="shared" ref="U264:U327" si="19">ROUND((S264/1000000),0)</f>
        <v>0</v>
      </c>
      <c r="V264" s="599">
        <v>0</v>
      </c>
      <c r="W264" s="620"/>
      <c r="X264" s="621"/>
      <c r="Y264" s="1096">
        <f t="shared" si="17"/>
        <v>-30000</v>
      </c>
      <c r="Z264" s="882">
        <f t="shared" si="18"/>
        <v>0</v>
      </c>
    </row>
    <row r="265" spans="1:26" ht="27" customHeight="1">
      <c r="A265" s="583"/>
      <c r="B265" s="583">
        <v>1018</v>
      </c>
      <c r="C265" s="581">
        <v>10</v>
      </c>
      <c r="D265" s="1137" t="s">
        <v>1185</v>
      </c>
      <c r="E265" s="1138" t="s">
        <v>1186</v>
      </c>
      <c r="F265" s="599">
        <v>-6600000</v>
      </c>
      <c r="G265" s="599">
        <v>6600000</v>
      </c>
      <c r="H265" s="599"/>
      <c r="I265" s="599"/>
      <c r="J265" s="599"/>
      <c r="K265" s="599"/>
      <c r="L265" s="599"/>
      <c r="M265" s="599"/>
      <c r="N265" s="599"/>
      <c r="O265" s="599"/>
      <c r="P265" s="599"/>
      <c r="Q265" s="599"/>
      <c r="R265" s="599"/>
      <c r="S265" s="1096">
        <f t="shared" si="16"/>
        <v>0</v>
      </c>
      <c r="T265" s="599">
        <v>-6460000</v>
      </c>
      <c r="U265" s="1096">
        <f t="shared" si="19"/>
        <v>0</v>
      </c>
      <c r="V265" s="599">
        <v>-6</v>
      </c>
      <c r="W265" s="620"/>
      <c r="X265" s="621"/>
      <c r="Y265" s="1096">
        <f t="shared" si="17"/>
        <v>0</v>
      </c>
      <c r="Z265" s="882">
        <f t="shared" si="18"/>
        <v>0</v>
      </c>
    </row>
    <row r="266" spans="1:26" ht="27" customHeight="1">
      <c r="A266" s="583"/>
      <c r="B266" s="583">
        <v>1018</v>
      </c>
      <c r="C266" s="581">
        <v>10</v>
      </c>
      <c r="D266" s="1137" t="s">
        <v>1187</v>
      </c>
      <c r="E266" s="1138" t="s">
        <v>1188</v>
      </c>
      <c r="F266" s="599">
        <v>180589</v>
      </c>
      <c r="G266" s="599"/>
      <c r="H266" s="599"/>
      <c r="I266" s="599"/>
      <c r="J266" s="599"/>
      <c r="K266" s="599"/>
      <c r="L266" s="599"/>
      <c r="M266" s="599"/>
      <c r="N266" s="599"/>
      <c r="O266" s="599"/>
      <c r="P266" s="599"/>
      <c r="Q266" s="599"/>
      <c r="R266" s="599"/>
      <c r="S266" s="1096">
        <f t="shared" si="16"/>
        <v>180589</v>
      </c>
      <c r="T266" s="599">
        <v>330459</v>
      </c>
      <c r="U266" s="1096">
        <f t="shared" si="19"/>
        <v>0</v>
      </c>
      <c r="V266" s="599">
        <v>0</v>
      </c>
      <c r="W266" s="620"/>
      <c r="X266" s="621"/>
      <c r="Y266" s="1096">
        <f t="shared" si="17"/>
        <v>180589</v>
      </c>
      <c r="Z266" s="882">
        <f t="shared" si="18"/>
        <v>0</v>
      </c>
    </row>
    <row r="267" spans="1:26" ht="27" customHeight="1">
      <c r="A267" s="583"/>
      <c r="B267" s="583">
        <v>1018</v>
      </c>
      <c r="C267" s="581">
        <v>10</v>
      </c>
      <c r="D267" s="1137" t="s">
        <v>845</v>
      </c>
      <c r="E267" s="1138" t="s">
        <v>1189</v>
      </c>
      <c r="F267" s="599">
        <v>-240000</v>
      </c>
      <c r="G267" s="599">
        <v>240000</v>
      </c>
      <c r="H267" s="599"/>
      <c r="I267" s="599"/>
      <c r="J267" s="599"/>
      <c r="K267" s="599"/>
      <c r="L267" s="599"/>
      <c r="M267" s="599"/>
      <c r="N267" s="599"/>
      <c r="O267" s="599"/>
      <c r="P267" s="599"/>
      <c r="Q267" s="599"/>
      <c r="R267" s="599"/>
      <c r="S267" s="1096">
        <f t="shared" si="16"/>
        <v>0</v>
      </c>
      <c r="T267" s="599">
        <v>0</v>
      </c>
      <c r="U267" s="1096">
        <f t="shared" si="19"/>
        <v>0</v>
      </c>
      <c r="V267" s="599">
        <v>0</v>
      </c>
      <c r="W267" s="620"/>
      <c r="X267" s="621"/>
      <c r="Y267" s="1096">
        <f t="shared" si="17"/>
        <v>0</v>
      </c>
      <c r="Z267" s="882">
        <f t="shared" si="18"/>
        <v>0</v>
      </c>
    </row>
    <row r="268" spans="1:26" ht="27" customHeight="1">
      <c r="A268" s="583"/>
      <c r="B268" s="583">
        <v>1018</v>
      </c>
      <c r="C268" s="581">
        <v>10</v>
      </c>
      <c r="D268" s="1137" t="s">
        <v>1250</v>
      </c>
      <c r="E268" s="1138" t="s">
        <v>1106</v>
      </c>
      <c r="F268" s="599">
        <v>-1200000</v>
      </c>
      <c r="G268" s="599"/>
      <c r="H268" s="599"/>
      <c r="I268" s="599"/>
      <c r="J268" s="599"/>
      <c r="K268" s="599"/>
      <c r="L268" s="599"/>
      <c r="M268" s="599"/>
      <c r="N268" s="599"/>
      <c r="O268" s="599"/>
      <c r="P268" s="599"/>
      <c r="Q268" s="599"/>
      <c r="R268" s="599"/>
      <c r="S268" s="1096">
        <f t="shared" si="16"/>
        <v>-1200000</v>
      </c>
      <c r="T268" s="599">
        <v>-600000</v>
      </c>
      <c r="U268" s="1096">
        <f t="shared" si="19"/>
        <v>-1</v>
      </c>
      <c r="V268" s="599">
        <v>-1</v>
      </c>
      <c r="W268" s="620"/>
      <c r="X268" s="621"/>
      <c r="Y268" s="1096">
        <f t="shared" si="17"/>
        <v>-1200000</v>
      </c>
      <c r="Z268" s="882">
        <f t="shared" si="18"/>
        <v>-1</v>
      </c>
    </row>
    <row r="269" spans="1:26" ht="27" customHeight="1">
      <c r="A269" s="583"/>
      <c r="B269" s="583">
        <v>401</v>
      </c>
      <c r="C269" s="581">
        <v>4</v>
      </c>
      <c r="D269" s="1137" t="s">
        <v>487</v>
      </c>
      <c r="E269" s="1138" t="s">
        <v>663</v>
      </c>
      <c r="F269" s="599"/>
      <c r="G269" s="599"/>
      <c r="H269" s="599"/>
      <c r="I269" s="599"/>
      <c r="J269" s="599"/>
      <c r="K269" s="599"/>
      <c r="L269" s="599"/>
      <c r="M269" s="599"/>
      <c r="N269" s="599"/>
      <c r="O269" s="599"/>
      <c r="P269" s="599"/>
      <c r="Q269" s="599"/>
      <c r="R269" s="599"/>
      <c r="S269" s="1096">
        <f t="shared" si="16"/>
        <v>0</v>
      </c>
      <c r="T269" s="599">
        <v>0</v>
      </c>
      <c r="U269" s="1096">
        <f t="shared" si="19"/>
        <v>0</v>
      </c>
      <c r="V269" s="599">
        <v>0</v>
      </c>
      <c r="W269" s="620"/>
      <c r="X269" s="621"/>
      <c r="Y269" s="1096">
        <f t="shared" si="17"/>
        <v>0</v>
      </c>
      <c r="Z269" s="882">
        <f t="shared" si="18"/>
        <v>0</v>
      </c>
    </row>
    <row r="270" spans="1:26" ht="27" customHeight="1">
      <c r="A270" s="583"/>
      <c r="B270" s="583">
        <v>401</v>
      </c>
      <c r="C270" s="581">
        <v>4</v>
      </c>
      <c r="D270" s="1137" t="s">
        <v>847</v>
      </c>
      <c r="E270" s="1138" t="s">
        <v>848</v>
      </c>
      <c r="F270" s="599"/>
      <c r="G270" s="599"/>
      <c r="H270" s="599"/>
      <c r="I270" s="599"/>
      <c r="J270" s="599"/>
      <c r="K270" s="599"/>
      <c r="L270" s="599"/>
      <c r="M270" s="599"/>
      <c r="N270" s="599"/>
      <c r="O270" s="599"/>
      <c r="P270" s="599"/>
      <c r="Q270" s="599"/>
      <c r="R270" s="599"/>
      <c r="S270" s="1096">
        <f t="shared" si="16"/>
        <v>0</v>
      </c>
      <c r="T270" s="599">
        <v>0</v>
      </c>
      <c r="U270" s="1096">
        <f t="shared" si="19"/>
        <v>0</v>
      </c>
      <c r="V270" s="599">
        <v>0</v>
      </c>
      <c r="W270" s="620"/>
      <c r="X270" s="621"/>
      <c r="Y270" s="1096">
        <f t="shared" si="17"/>
        <v>0</v>
      </c>
      <c r="Z270" s="882">
        <f t="shared" si="18"/>
        <v>0</v>
      </c>
    </row>
    <row r="271" spans="1:26" ht="27" customHeight="1">
      <c r="A271" s="583"/>
      <c r="B271" s="583">
        <v>1018</v>
      </c>
      <c r="C271" s="581">
        <v>10</v>
      </c>
      <c r="D271" s="1137" t="s">
        <v>1190</v>
      </c>
      <c r="E271" s="1138" t="s">
        <v>1191</v>
      </c>
      <c r="F271" s="599">
        <v>-470038790</v>
      </c>
      <c r="G271" s="599">
        <v>-1182850</v>
      </c>
      <c r="H271" s="599"/>
      <c r="I271" s="599"/>
      <c r="J271" s="599"/>
      <c r="K271" s="599"/>
      <c r="L271" s="599"/>
      <c r="M271" s="599"/>
      <c r="N271" s="599"/>
      <c r="O271" s="599"/>
      <c r="P271" s="599"/>
      <c r="Q271" s="599"/>
      <c r="R271" s="599"/>
      <c r="S271" s="1096">
        <f t="shared" si="16"/>
        <v>-471221640</v>
      </c>
      <c r="T271" s="599">
        <v>-20000</v>
      </c>
      <c r="U271" s="1096">
        <f t="shared" si="19"/>
        <v>-471</v>
      </c>
      <c r="V271" s="599">
        <v>0</v>
      </c>
      <c r="W271" s="620"/>
      <c r="X271" s="621"/>
      <c r="Y271" s="1096">
        <f t="shared" si="17"/>
        <v>-471221640</v>
      </c>
      <c r="Z271" s="882">
        <f t="shared" si="18"/>
        <v>-471</v>
      </c>
    </row>
    <row r="272" spans="1:26" ht="27" customHeight="1">
      <c r="A272" s="583"/>
      <c r="B272" s="583">
        <v>1001</v>
      </c>
      <c r="C272" s="581">
        <v>10</v>
      </c>
      <c r="D272" s="1137" t="s">
        <v>1340</v>
      </c>
      <c r="E272" s="1138" t="s">
        <v>1341</v>
      </c>
      <c r="F272" s="599">
        <v>11304644</v>
      </c>
      <c r="G272" s="599"/>
      <c r="H272" s="599"/>
      <c r="I272" s="599"/>
      <c r="J272" s="599"/>
      <c r="K272" s="599"/>
      <c r="L272" s="599"/>
      <c r="M272" s="599"/>
      <c r="N272" s="599"/>
      <c r="O272" s="599"/>
      <c r="P272" s="599"/>
      <c r="Q272" s="599"/>
      <c r="R272" s="599"/>
      <c r="S272" s="1096">
        <f t="shared" si="16"/>
        <v>11304644</v>
      </c>
      <c r="T272" s="599">
        <v>1123388</v>
      </c>
      <c r="U272" s="1096">
        <f t="shared" si="19"/>
        <v>11</v>
      </c>
      <c r="V272" s="599">
        <v>1</v>
      </c>
      <c r="W272" s="620"/>
      <c r="X272" s="621"/>
      <c r="Y272" s="1096">
        <f t="shared" si="17"/>
        <v>11304644</v>
      </c>
      <c r="Z272" s="882">
        <f t="shared" si="18"/>
        <v>11</v>
      </c>
    </row>
    <row r="273" spans="1:26" ht="27" customHeight="1">
      <c r="A273" s="583"/>
      <c r="B273" s="583">
        <v>1001</v>
      </c>
      <c r="C273" s="581">
        <v>10</v>
      </c>
      <c r="D273" s="1137" t="s">
        <v>1579</v>
      </c>
      <c r="E273" s="1138" t="s">
        <v>1586</v>
      </c>
      <c r="F273" s="599">
        <v>-158134</v>
      </c>
      <c r="G273" s="599"/>
      <c r="H273" s="599"/>
      <c r="I273" s="599"/>
      <c r="J273" s="599"/>
      <c r="K273" s="599"/>
      <c r="L273" s="599"/>
      <c r="M273" s="599"/>
      <c r="N273" s="599"/>
      <c r="O273" s="599"/>
      <c r="P273" s="599"/>
      <c r="Q273" s="599"/>
      <c r="R273" s="599"/>
      <c r="S273" s="1096">
        <f t="shared" si="16"/>
        <v>-158134</v>
      </c>
      <c r="T273" s="599">
        <v>-160975</v>
      </c>
      <c r="U273" s="1096">
        <f t="shared" si="19"/>
        <v>0</v>
      </c>
      <c r="V273" s="599">
        <v>0</v>
      </c>
      <c r="W273" s="620"/>
      <c r="X273" s="621"/>
      <c r="Y273" s="1096">
        <f t="shared" si="17"/>
        <v>-158134</v>
      </c>
      <c r="Z273" s="882">
        <f t="shared" si="18"/>
        <v>0</v>
      </c>
    </row>
    <row r="274" spans="1:26" ht="27" customHeight="1">
      <c r="A274" s="583"/>
      <c r="B274" s="583">
        <v>1001</v>
      </c>
      <c r="C274" s="581">
        <v>10</v>
      </c>
      <c r="D274" s="1137" t="s">
        <v>1580</v>
      </c>
      <c r="E274" s="1138" t="s">
        <v>1587</v>
      </c>
      <c r="F274" s="599">
        <v>151658</v>
      </c>
      <c r="G274" s="599"/>
      <c r="H274" s="599"/>
      <c r="I274" s="599"/>
      <c r="J274" s="599"/>
      <c r="K274" s="599"/>
      <c r="L274" s="599"/>
      <c r="M274" s="599"/>
      <c r="N274" s="599"/>
      <c r="O274" s="599"/>
      <c r="P274" s="599"/>
      <c r="Q274" s="599"/>
      <c r="R274" s="599"/>
      <c r="S274" s="1096">
        <f t="shared" si="16"/>
        <v>151658</v>
      </c>
      <c r="T274" s="599">
        <v>14738</v>
      </c>
      <c r="U274" s="1096">
        <f t="shared" si="19"/>
        <v>0</v>
      </c>
      <c r="V274" s="599">
        <v>0</v>
      </c>
      <c r="W274" s="620"/>
      <c r="X274" s="621"/>
      <c r="Y274" s="1096">
        <f t="shared" si="17"/>
        <v>151658</v>
      </c>
      <c r="Z274" s="882">
        <f t="shared" si="18"/>
        <v>0</v>
      </c>
    </row>
    <row r="275" spans="1:26" ht="27" customHeight="1">
      <c r="A275" s="583"/>
      <c r="B275" s="583">
        <v>1001</v>
      </c>
      <c r="C275" s="581">
        <v>10</v>
      </c>
      <c r="D275" s="1137" t="s">
        <v>1581</v>
      </c>
      <c r="E275" s="1138" t="s">
        <v>1588</v>
      </c>
      <c r="F275" s="599">
        <v>-198380</v>
      </c>
      <c r="G275" s="599"/>
      <c r="H275" s="599"/>
      <c r="I275" s="599"/>
      <c r="J275" s="599"/>
      <c r="K275" s="599"/>
      <c r="L275" s="599"/>
      <c r="M275" s="599"/>
      <c r="N275" s="599"/>
      <c r="O275" s="599"/>
      <c r="P275" s="599"/>
      <c r="Q275" s="599"/>
      <c r="R275" s="599"/>
      <c r="S275" s="1096">
        <f t="shared" si="16"/>
        <v>-198380</v>
      </c>
      <c r="T275" s="599">
        <v>-253355</v>
      </c>
      <c r="U275" s="1096">
        <f t="shared" si="19"/>
        <v>0</v>
      </c>
      <c r="V275" s="599">
        <v>0</v>
      </c>
      <c r="W275" s="620"/>
      <c r="X275" s="621"/>
      <c r="Y275" s="1096">
        <f t="shared" si="17"/>
        <v>-198380</v>
      </c>
      <c r="Z275" s="882">
        <f t="shared" si="18"/>
        <v>0</v>
      </c>
    </row>
    <row r="276" spans="1:26" ht="27" customHeight="1">
      <c r="A276" s="583"/>
      <c r="B276" s="583">
        <v>1001</v>
      </c>
      <c r="C276" s="581">
        <v>10</v>
      </c>
      <c r="D276" s="1137" t="s">
        <v>1582</v>
      </c>
      <c r="E276" s="1138" t="s">
        <v>1589</v>
      </c>
      <c r="F276" s="599">
        <v>3533240</v>
      </c>
      <c r="G276" s="599"/>
      <c r="H276" s="599"/>
      <c r="I276" s="599"/>
      <c r="J276" s="599"/>
      <c r="K276" s="599"/>
      <c r="L276" s="599"/>
      <c r="M276" s="599"/>
      <c r="N276" s="599"/>
      <c r="O276" s="599"/>
      <c r="P276" s="599"/>
      <c r="Q276" s="599"/>
      <c r="R276" s="599"/>
      <c r="S276" s="1096">
        <f t="shared" si="16"/>
        <v>3533240</v>
      </c>
      <c r="T276" s="599">
        <v>1685087</v>
      </c>
      <c r="U276" s="1096">
        <f t="shared" si="19"/>
        <v>4</v>
      </c>
      <c r="V276" s="599">
        <v>2</v>
      </c>
      <c r="W276" s="620"/>
      <c r="X276" s="621"/>
      <c r="Y276" s="1096">
        <f t="shared" si="17"/>
        <v>3533240</v>
      </c>
      <c r="Z276" s="882">
        <f t="shared" si="18"/>
        <v>4</v>
      </c>
    </row>
    <row r="277" spans="1:26" ht="27" customHeight="1">
      <c r="A277" s="583"/>
      <c r="B277" s="583">
        <v>1001</v>
      </c>
      <c r="C277" s="581">
        <v>10</v>
      </c>
      <c r="D277" s="1137" t="s">
        <v>1583</v>
      </c>
      <c r="E277" s="1138" t="s">
        <v>1590</v>
      </c>
      <c r="F277" s="599">
        <v>-632610</v>
      </c>
      <c r="G277" s="599"/>
      <c r="H277" s="599"/>
      <c r="I277" s="599"/>
      <c r="J277" s="599"/>
      <c r="K277" s="599"/>
      <c r="L277" s="599"/>
      <c r="M277" s="599"/>
      <c r="N277" s="599"/>
      <c r="O277" s="599"/>
      <c r="P277" s="599"/>
      <c r="Q277" s="599"/>
      <c r="R277" s="599"/>
      <c r="S277" s="1096">
        <f t="shared" si="16"/>
        <v>-632610</v>
      </c>
      <c r="T277" s="599">
        <v>-643869</v>
      </c>
      <c r="U277" s="1096">
        <f t="shared" si="19"/>
        <v>-1</v>
      </c>
      <c r="V277" s="599">
        <v>-1</v>
      </c>
      <c r="W277" s="620"/>
      <c r="X277" s="621"/>
      <c r="Y277" s="1096">
        <f t="shared" si="17"/>
        <v>-632610</v>
      </c>
      <c r="Z277" s="882">
        <f t="shared" si="18"/>
        <v>-1</v>
      </c>
    </row>
    <row r="278" spans="1:26" ht="27" customHeight="1">
      <c r="A278" s="583"/>
      <c r="B278" s="583">
        <v>1001</v>
      </c>
      <c r="C278" s="581">
        <v>10</v>
      </c>
      <c r="D278" s="1137" t="s">
        <v>1584</v>
      </c>
      <c r="E278" s="1138" t="s">
        <v>1591</v>
      </c>
      <c r="F278" s="599">
        <v>303284</v>
      </c>
      <c r="G278" s="599"/>
      <c r="H278" s="599"/>
      <c r="I278" s="599"/>
      <c r="J278" s="599"/>
      <c r="K278" s="599"/>
      <c r="L278" s="599"/>
      <c r="M278" s="599"/>
      <c r="N278" s="599"/>
      <c r="O278" s="599"/>
      <c r="P278" s="599"/>
      <c r="Q278" s="599"/>
      <c r="R278" s="599"/>
      <c r="S278" s="1096">
        <f t="shared" si="16"/>
        <v>303284</v>
      </c>
      <c r="T278" s="599">
        <v>29486</v>
      </c>
      <c r="U278" s="1096">
        <f t="shared" si="19"/>
        <v>0</v>
      </c>
      <c r="V278" s="599">
        <v>0</v>
      </c>
      <c r="W278" s="620"/>
      <c r="X278" s="621"/>
      <c r="Y278" s="1096">
        <f t="shared" si="17"/>
        <v>303284</v>
      </c>
      <c r="Z278" s="882">
        <f t="shared" si="18"/>
        <v>0</v>
      </c>
    </row>
    <row r="279" spans="1:26" ht="27" customHeight="1">
      <c r="A279" s="583"/>
      <c r="B279" s="583">
        <v>1001</v>
      </c>
      <c r="C279" s="581">
        <v>10</v>
      </c>
      <c r="D279" s="1137" t="s">
        <v>1585</v>
      </c>
      <c r="E279" s="1138" t="s">
        <v>1592</v>
      </c>
      <c r="F279" s="599">
        <v>1104060</v>
      </c>
      <c r="G279" s="599"/>
      <c r="H279" s="599"/>
      <c r="I279" s="599"/>
      <c r="J279" s="599"/>
      <c r="K279" s="599"/>
      <c r="L279" s="599"/>
      <c r="M279" s="599"/>
      <c r="N279" s="599"/>
      <c r="O279" s="599"/>
      <c r="P279" s="599"/>
      <c r="Q279" s="599"/>
      <c r="R279" s="599"/>
      <c r="S279" s="1096">
        <f t="shared" si="16"/>
        <v>1104060</v>
      </c>
      <c r="T279" s="599">
        <v>-342789</v>
      </c>
      <c r="U279" s="1096">
        <f t="shared" si="19"/>
        <v>1</v>
      </c>
      <c r="V279" s="599">
        <v>0</v>
      </c>
      <c r="W279" s="620"/>
      <c r="X279" s="621"/>
      <c r="Y279" s="1096">
        <f t="shared" si="17"/>
        <v>1104060</v>
      </c>
      <c r="Z279" s="882">
        <f t="shared" si="18"/>
        <v>1</v>
      </c>
    </row>
    <row r="280" spans="1:26" ht="27" customHeight="1">
      <c r="A280" s="583"/>
      <c r="B280" s="583">
        <v>406</v>
      </c>
      <c r="C280" s="581">
        <v>4</v>
      </c>
      <c r="D280" s="1137" t="s">
        <v>1192</v>
      </c>
      <c r="E280" s="1138" t="s">
        <v>1193</v>
      </c>
      <c r="F280" s="599">
        <v>3233832</v>
      </c>
      <c r="G280" s="599"/>
      <c r="H280" s="599"/>
      <c r="I280" s="599"/>
      <c r="J280" s="599"/>
      <c r="K280" s="599"/>
      <c r="L280" s="599"/>
      <c r="M280" s="599"/>
      <c r="N280" s="599"/>
      <c r="O280" s="599"/>
      <c r="P280" s="599"/>
      <c r="Q280" s="599"/>
      <c r="R280" s="599"/>
      <c r="S280" s="1096">
        <f t="shared" si="16"/>
        <v>3233832</v>
      </c>
      <c r="T280" s="599">
        <v>3233832</v>
      </c>
      <c r="U280" s="1096">
        <f t="shared" si="19"/>
        <v>3</v>
      </c>
      <c r="V280" s="599">
        <v>3</v>
      </c>
      <c r="W280" s="620"/>
      <c r="X280" s="621"/>
      <c r="Y280" s="1096">
        <f t="shared" si="17"/>
        <v>3233832</v>
      </c>
      <c r="Z280" s="882">
        <f t="shared" si="18"/>
        <v>3</v>
      </c>
    </row>
    <row r="281" spans="1:26" ht="27" customHeight="1">
      <c r="A281" s="583"/>
      <c r="B281" s="583">
        <v>1018</v>
      </c>
      <c r="C281" s="581">
        <v>10</v>
      </c>
      <c r="D281" s="1137" t="s">
        <v>990</v>
      </c>
      <c r="E281" s="1138" t="s">
        <v>991</v>
      </c>
      <c r="F281" s="599"/>
      <c r="G281" s="599"/>
      <c r="H281" s="599"/>
      <c r="I281" s="599"/>
      <c r="J281" s="599"/>
      <c r="K281" s="599"/>
      <c r="L281" s="599"/>
      <c r="M281" s="599"/>
      <c r="N281" s="599"/>
      <c r="O281" s="599"/>
      <c r="P281" s="599"/>
      <c r="Q281" s="599"/>
      <c r="R281" s="599"/>
      <c r="S281" s="1096">
        <f t="shared" si="16"/>
        <v>0</v>
      </c>
      <c r="T281" s="599">
        <v>0</v>
      </c>
      <c r="U281" s="1096">
        <f t="shared" si="19"/>
        <v>0</v>
      </c>
      <c r="V281" s="599">
        <v>0</v>
      </c>
      <c r="W281" s="620"/>
      <c r="X281" s="621"/>
      <c r="Y281" s="1096">
        <f t="shared" si="17"/>
        <v>0</v>
      </c>
      <c r="Z281" s="882">
        <f t="shared" si="18"/>
        <v>0</v>
      </c>
    </row>
    <row r="282" spans="1:26" ht="27" customHeight="1">
      <c r="A282" s="583"/>
      <c r="B282" s="583">
        <v>1018</v>
      </c>
      <c r="C282" s="581">
        <v>10</v>
      </c>
      <c r="D282" s="1137" t="s">
        <v>992</v>
      </c>
      <c r="E282" s="1138" t="s">
        <v>993</v>
      </c>
      <c r="F282" s="599">
        <v>-3200000</v>
      </c>
      <c r="G282" s="599"/>
      <c r="H282" s="599"/>
      <c r="I282" s="599"/>
      <c r="J282" s="599"/>
      <c r="K282" s="599"/>
      <c r="L282" s="599"/>
      <c r="M282" s="599"/>
      <c r="N282" s="599"/>
      <c r="O282" s="599"/>
      <c r="P282" s="599"/>
      <c r="Q282" s="599"/>
      <c r="R282" s="599"/>
      <c r="S282" s="1096">
        <f t="shared" si="16"/>
        <v>-3200000</v>
      </c>
      <c r="T282" s="599">
        <v>-800000</v>
      </c>
      <c r="U282" s="1096">
        <f t="shared" si="19"/>
        <v>-3</v>
      </c>
      <c r="V282" s="599">
        <v>-1</v>
      </c>
      <c r="W282" s="620"/>
      <c r="X282" s="621"/>
      <c r="Y282" s="1096">
        <f t="shared" si="17"/>
        <v>-3200000</v>
      </c>
      <c r="Z282" s="882">
        <f t="shared" si="18"/>
        <v>-3</v>
      </c>
    </row>
    <row r="283" spans="1:26" ht="27" customHeight="1">
      <c r="A283" s="583"/>
      <c r="B283" s="583">
        <v>1018</v>
      </c>
      <c r="C283" s="581">
        <v>10</v>
      </c>
      <c r="D283" s="1137" t="s">
        <v>277</v>
      </c>
      <c r="E283" s="1138" t="s">
        <v>278</v>
      </c>
      <c r="F283" s="599">
        <v>381800</v>
      </c>
      <c r="G283" s="599"/>
      <c r="H283" s="599"/>
      <c r="I283" s="599"/>
      <c r="J283" s="599"/>
      <c r="K283" s="599"/>
      <c r="L283" s="599"/>
      <c r="M283" s="599"/>
      <c r="N283" s="599"/>
      <c r="O283" s="599"/>
      <c r="P283" s="599"/>
      <c r="Q283" s="599"/>
      <c r="R283" s="599"/>
      <c r="S283" s="1096">
        <f t="shared" si="16"/>
        <v>381800</v>
      </c>
      <c r="T283" s="599">
        <v>0</v>
      </c>
      <c r="U283" s="1096">
        <f t="shared" si="19"/>
        <v>0</v>
      </c>
      <c r="V283" s="599">
        <v>0</v>
      </c>
      <c r="W283" s="620"/>
      <c r="X283" s="621"/>
      <c r="Y283" s="1096">
        <f t="shared" si="17"/>
        <v>381800</v>
      </c>
      <c r="Z283" s="882">
        <f t="shared" si="18"/>
        <v>0</v>
      </c>
    </row>
    <row r="284" spans="1:26" ht="27" customHeight="1">
      <c r="A284" s="583"/>
      <c r="B284" s="583">
        <v>1018</v>
      </c>
      <c r="C284" s="581">
        <v>10</v>
      </c>
      <c r="D284" s="1137" t="s">
        <v>994</v>
      </c>
      <c r="E284" s="1138" t="s">
        <v>995</v>
      </c>
      <c r="F284" s="599">
        <v>-200000</v>
      </c>
      <c r="G284" s="599"/>
      <c r="H284" s="599"/>
      <c r="I284" s="599"/>
      <c r="J284" s="599"/>
      <c r="K284" s="599"/>
      <c r="L284" s="599"/>
      <c r="M284" s="599"/>
      <c r="N284" s="599"/>
      <c r="O284" s="599"/>
      <c r="P284" s="599"/>
      <c r="Q284" s="599"/>
      <c r="R284" s="599"/>
      <c r="S284" s="1096">
        <f t="shared" si="16"/>
        <v>-200000</v>
      </c>
      <c r="T284" s="599">
        <v>-200000</v>
      </c>
      <c r="U284" s="1096">
        <f t="shared" si="19"/>
        <v>0</v>
      </c>
      <c r="V284" s="599">
        <v>0</v>
      </c>
      <c r="W284" s="620"/>
      <c r="X284" s="621"/>
      <c r="Y284" s="1096">
        <f t="shared" si="17"/>
        <v>-200000</v>
      </c>
      <c r="Z284" s="882">
        <f t="shared" si="18"/>
        <v>0</v>
      </c>
    </row>
    <row r="285" spans="1:26" ht="27" customHeight="1">
      <c r="A285" s="583"/>
      <c r="B285" s="583">
        <v>1018</v>
      </c>
      <c r="C285" s="581">
        <v>10</v>
      </c>
      <c r="D285" s="1137" t="s">
        <v>996</v>
      </c>
      <c r="E285" s="1138" t="s">
        <v>997</v>
      </c>
      <c r="F285" s="599">
        <v>100000</v>
      </c>
      <c r="G285" s="599"/>
      <c r="H285" s="599"/>
      <c r="I285" s="599"/>
      <c r="J285" s="599"/>
      <c r="K285" s="599"/>
      <c r="L285" s="599"/>
      <c r="M285" s="599"/>
      <c r="N285" s="599"/>
      <c r="O285" s="599"/>
      <c r="P285" s="599"/>
      <c r="Q285" s="599"/>
      <c r="R285" s="599"/>
      <c r="S285" s="1096">
        <f t="shared" si="16"/>
        <v>100000</v>
      </c>
      <c r="T285" s="599">
        <v>0</v>
      </c>
      <c r="U285" s="1096">
        <f t="shared" si="19"/>
        <v>0</v>
      </c>
      <c r="V285" s="599">
        <v>0</v>
      </c>
      <c r="W285" s="620"/>
      <c r="X285" s="621"/>
      <c r="Y285" s="1096">
        <f t="shared" si="17"/>
        <v>100000</v>
      </c>
      <c r="Z285" s="882">
        <f t="shared" si="18"/>
        <v>0</v>
      </c>
    </row>
    <row r="286" spans="1:26" ht="27" customHeight="1">
      <c r="A286" s="583"/>
      <c r="B286" s="583">
        <v>406</v>
      </c>
      <c r="C286" s="581">
        <v>4</v>
      </c>
      <c r="D286" s="1137" t="s">
        <v>1107</v>
      </c>
      <c r="E286" s="1138" t="s">
        <v>1342</v>
      </c>
      <c r="F286" s="599"/>
      <c r="G286" s="599"/>
      <c r="H286" s="599"/>
      <c r="I286" s="599"/>
      <c r="J286" s="599"/>
      <c r="K286" s="599"/>
      <c r="L286" s="599"/>
      <c r="M286" s="599"/>
      <c r="N286" s="599"/>
      <c r="O286" s="599"/>
      <c r="P286" s="599"/>
      <c r="Q286" s="599"/>
      <c r="R286" s="599"/>
      <c r="S286" s="1096">
        <f t="shared" si="16"/>
        <v>0</v>
      </c>
      <c r="T286" s="599">
        <v>0</v>
      </c>
      <c r="U286" s="1096">
        <f t="shared" si="19"/>
        <v>0</v>
      </c>
      <c r="V286" s="599">
        <v>0</v>
      </c>
      <c r="W286" s="620"/>
      <c r="X286" s="621"/>
      <c r="Y286" s="1096">
        <f t="shared" si="17"/>
        <v>0</v>
      </c>
      <c r="Z286" s="882">
        <f t="shared" si="18"/>
        <v>0</v>
      </c>
    </row>
    <row r="287" spans="1:26" ht="27" customHeight="1">
      <c r="A287" s="583"/>
      <c r="B287" s="583">
        <v>1018</v>
      </c>
      <c r="C287" s="581">
        <v>10</v>
      </c>
      <c r="D287" s="1137" t="s">
        <v>1382</v>
      </c>
      <c r="E287" s="1138" t="s">
        <v>1383</v>
      </c>
      <c r="F287" s="599"/>
      <c r="G287" s="599"/>
      <c r="H287" s="599"/>
      <c r="I287" s="599"/>
      <c r="J287" s="599"/>
      <c r="K287" s="599"/>
      <c r="L287" s="599"/>
      <c r="M287" s="599"/>
      <c r="N287" s="599"/>
      <c r="O287" s="599"/>
      <c r="P287" s="599"/>
      <c r="Q287" s="599"/>
      <c r="R287" s="599"/>
      <c r="S287" s="1096">
        <f t="shared" si="16"/>
        <v>0</v>
      </c>
      <c r="T287" s="599">
        <v>0</v>
      </c>
      <c r="U287" s="1096">
        <f t="shared" si="19"/>
        <v>0</v>
      </c>
      <c r="V287" s="599">
        <v>0</v>
      </c>
      <c r="W287" s="620"/>
      <c r="X287" s="621"/>
      <c r="Y287" s="1096">
        <f t="shared" si="17"/>
        <v>0</v>
      </c>
      <c r="Z287" s="882">
        <f t="shared" si="18"/>
        <v>0</v>
      </c>
    </row>
    <row r="288" spans="1:26" ht="27" customHeight="1">
      <c r="A288" s="583"/>
      <c r="B288" s="583">
        <v>1018</v>
      </c>
      <c r="C288" s="581">
        <v>10</v>
      </c>
      <c r="D288" s="1137" t="s">
        <v>1194</v>
      </c>
      <c r="E288" s="1138" t="s">
        <v>1195</v>
      </c>
      <c r="F288" s="599">
        <v>-430000</v>
      </c>
      <c r="G288" s="599"/>
      <c r="H288" s="599"/>
      <c r="I288" s="599"/>
      <c r="J288" s="599"/>
      <c r="K288" s="599"/>
      <c r="L288" s="599"/>
      <c r="M288" s="599"/>
      <c r="N288" s="599"/>
      <c r="O288" s="599"/>
      <c r="P288" s="599"/>
      <c r="Q288" s="599"/>
      <c r="R288" s="599"/>
      <c r="S288" s="1096">
        <f t="shared" si="16"/>
        <v>-430000</v>
      </c>
      <c r="T288" s="599">
        <v>-2910000</v>
      </c>
      <c r="U288" s="1096">
        <f t="shared" si="19"/>
        <v>0</v>
      </c>
      <c r="V288" s="599">
        <v>-3</v>
      </c>
      <c r="W288" s="620"/>
      <c r="X288" s="621"/>
      <c r="Y288" s="1096">
        <f t="shared" si="17"/>
        <v>-430000</v>
      </c>
      <c r="Z288" s="882">
        <f t="shared" si="18"/>
        <v>0</v>
      </c>
    </row>
    <row r="289" spans="1:26" ht="27" customHeight="1">
      <c r="A289" s="583"/>
      <c r="B289" s="583">
        <v>1001</v>
      </c>
      <c r="C289" s="581">
        <v>10</v>
      </c>
      <c r="D289" s="1137" t="s">
        <v>1343</v>
      </c>
      <c r="E289" s="1138" t="s">
        <v>1344</v>
      </c>
      <c r="F289" s="599"/>
      <c r="G289" s="599"/>
      <c r="H289" s="599"/>
      <c r="I289" s="599"/>
      <c r="J289" s="599"/>
      <c r="K289" s="599"/>
      <c r="L289" s="599"/>
      <c r="M289" s="599"/>
      <c r="N289" s="599"/>
      <c r="O289" s="599"/>
      <c r="P289" s="599"/>
      <c r="Q289" s="599"/>
      <c r="R289" s="599"/>
      <c r="S289" s="1096">
        <f t="shared" si="16"/>
        <v>0</v>
      </c>
      <c r="T289" s="599">
        <v>-50740000</v>
      </c>
      <c r="U289" s="1096">
        <f t="shared" si="19"/>
        <v>0</v>
      </c>
      <c r="V289" s="599">
        <v>-51</v>
      </c>
      <c r="W289" s="620"/>
      <c r="X289" s="621"/>
      <c r="Y289" s="1096">
        <f t="shared" si="17"/>
        <v>0</v>
      </c>
      <c r="Z289" s="882">
        <f t="shared" si="18"/>
        <v>0</v>
      </c>
    </row>
    <row r="290" spans="1:26" ht="27" customHeight="1">
      <c r="A290" s="583"/>
      <c r="B290" s="583">
        <v>1018</v>
      </c>
      <c r="C290" s="581">
        <v>10</v>
      </c>
      <c r="D290" s="1137" t="s">
        <v>753</v>
      </c>
      <c r="E290" s="1138" t="s">
        <v>998</v>
      </c>
      <c r="F290" s="599"/>
      <c r="G290" s="599"/>
      <c r="H290" s="599"/>
      <c r="I290" s="599"/>
      <c r="J290" s="599"/>
      <c r="K290" s="599"/>
      <c r="L290" s="599"/>
      <c r="M290" s="599"/>
      <c r="N290" s="599"/>
      <c r="O290" s="599"/>
      <c r="P290" s="599"/>
      <c r="Q290" s="599"/>
      <c r="R290" s="599"/>
      <c r="S290" s="1096">
        <f t="shared" si="16"/>
        <v>0</v>
      </c>
      <c r="T290" s="599">
        <v>0</v>
      </c>
      <c r="U290" s="1096">
        <f t="shared" si="19"/>
        <v>0</v>
      </c>
      <c r="V290" s="599">
        <v>0</v>
      </c>
      <c r="W290" s="620"/>
      <c r="X290" s="621"/>
      <c r="Y290" s="1096">
        <f t="shared" si="17"/>
        <v>0</v>
      </c>
      <c r="Z290" s="882">
        <f t="shared" si="18"/>
        <v>0</v>
      </c>
    </row>
    <row r="291" spans="1:26" ht="27" customHeight="1">
      <c r="A291" s="583"/>
      <c r="B291" s="583">
        <v>1018</v>
      </c>
      <c r="C291" s="581">
        <v>10</v>
      </c>
      <c r="D291" s="1137" t="s">
        <v>665</v>
      </c>
      <c r="E291" s="1138" t="s">
        <v>664</v>
      </c>
      <c r="F291" s="599"/>
      <c r="G291" s="599"/>
      <c r="H291" s="599"/>
      <c r="I291" s="599"/>
      <c r="J291" s="599"/>
      <c r="K291" s="599"/>
      <c r="L291" s="599"/>
      <c r="M291" s="599"/>
      <c r="N291" s="599"/>
      <c r="O291" s="599"/>
      <c r="P291" s="599"/>
      <c r="Q291" s="599"/>
      <c r="R291" s="599"/>
      <c r="S291" s="1096">
        <f t="shared" si="16"/>
        <v>0</v>
      </c>
      <c r="T291" s="599">
        <v>0</v>
      </c>
      <c r="U291" s="1096">
        <f t="shared" si="19"/>
        <v>0</v>
      </c>
      <c r="V291" s="599">
        <v>0</v>
      </c>
      <c r="W291" s="620"/>
      <c r="X291" s="621"/>
      <c r="Y291" s="1096">
        <f t="shared" si="17"/>
        <v>0</v>
      </c>
      <c r="Z291" s="882">
        <f t="shared" si="18"/>
        <v>0</v>
      </c>
    </row>
    <row r="292" spans="1:26" ht="27" customHeight="1">
      <c r="A292" s="583"/>
      <c r="B292" s="583">
        <v>406</v>
      </c>
      <c r="C292" s="581">
        <v>4</v>
      </c>
      <c r="D292" s="1137" t="s">
        <v>489</v>
      </c>
      <c r="E292" s="1138" t="s">
        <v>855</v>
      </c>
      <c r="F292" s="599">
        <v>71320783</v>
      </c>
      <c r="G292" s="599"/>
      <c r="H292" s="599"/>
      <c r="I292" s="599"/>
      <c r="J292" s="599"/>
      <c r="K292" s="599"/>
      <c r="L292" s="599"/>
      <c r="M292" s="599"/>
      <c r="N292" s="599"/>
      <c r="O292" s="599"/>
      <c r="P292" s="599"/>
      <c r="Q292" s="599"/>
      <c r="R292" s="599"/>
      <c r="S292" s="1096">
        <f t="shared" si="16"/>
        <v>71320783</v>
      </c>
      <c r="T292" s="599">
        <v>71320783</v>
      </c>
      <c r="U292" s="1096">
        <f t="shared" si="19"/>
        <v>71</v>
      </c>
      <c r="V292" s="599">
        <v>71</v>
      </c>
      <c r="W292" s="620"/>
      <c r="X292" s="621"/>
      <c r="Y292" s="1096">
        <f t="shared" si="17"/>
        <v>71320783</v>
      </c>
      <c r="Z292" s="882">
        <f t="shared" si="18"/>
        <v>71</v>
      </c>
    </row>
    <row r="293" spans="1:26" ht="26.25" customHeight="1">
      <c r="A293" s="583"/>
      <c r="B293" s="583">
        <v>406</v>
      </c>
      <c r="C293" s="581">
        <v>4</v>
      </c>
      <c r="D293" s="1137" t="s">
        <v>293</v>
      </c>
      <c r="E293" s="1138" t="s">
        <v>467</v>
      </c>
      <c r="F293" s="599">
        <v>1426342151</v>
      </c>
      <c r="G293" s="599">
        <v>3862151096</v>
      </c>
      <c r="H293" s="599"/>
      <c r="I293" s="599"/>
      <c r="J293" s="599"/>
      <c r="K293" s="599"/>
      <c r="L293" s="599"/>
      <c r="M293" s="599"/>
      <c r="N293" s="599"/>
      <c r="O293" s="599"/>
      <c r="P293" s="599"/>
      <c r="Q293" s="599"/>
      <c r="R293" s="599"/>
      <c r="S293" s="1096">
        <f t="shared" si="16"/>
        <v>5288493247</v>
      </c>
      <c r="T293" s="599">
        <v>2011474151</v>
      </c>
      <c r="U293" s="738">
        <f>ROUND((S293/1000000),0)+1</f>
        <v>5289</v>
      </c>
      <c r="V293" s="599">
        <v>2011</v>
      </c>
      <c r="W293" s="620"/>
      <c r="X293" s="621"/>
      <c r="Y293" s="1096">
        <f t="shared" si="17"/>
        <v>5288493247</v>
      </c>
      <c r="Z293" s="882">
        <f t="shared" si="18"/>
        <v>5288</v>
      </c>
    </row>
    <row r="294" spans="1:26" ht="27" customHeight="1">
      <c r="A294" s="583">
        <v>3214</v>
      </c>
      <c r="B294" s="583">
        <v>408</v>
      </c>
      <c r="C294" s="581">
        <v>4</v>
      </c>
      <c r="D294" s="1137" t="s">
        <v>293</v>
      </c>
      <c r="E294" s="1138" t="s">
        <v>1457</v>
      </c>
      <c r="F294" s="599"/>
      <c r="G294" s="599"/>
      <c r="H294" s="599"/>
      <c r="I294" s="599"/>
      <c r="J294" s="599"/>
      <c r="K294" s="599">
        <v>160000001</v>
      </c>
      <c r="L294" s="599"/>
      <c r="M294" s="599"/>
      <c r="N294" s="599">
        <v>20334215</v>
      </c>
      <c r="O294" s="599"/>
      <c r="P294" s="599"/>
      <c r="Q294" s="599"/>
      <c r="R294" s="599"/>
      <c r="S294" s="1096">
        <f t="shared" si="16"/>
        <v>180334216</v>
      </c>
      <c r="T294" s="599">
        <v>293593756553</v>
      </c>
      <c r="U294" s="1096">
        <f t="shared" si="19"/>
        <v>180</v>
      </c>
      <c r="V294" s="599">
        <v>293594</v>
      </c>
      <c r="W294" s="620"/>
      <c r="X294" s="621"/>
      <c r="Y294" s="1096">
        <f t="shared" si="17"/>
        <v>180334216</v>
      </c>
      <c r="Z294" s="882">
        <f t="shared" si="18"/>
        <v>180</v>
      </c>
    </row>
    <row r="295" spans="1:26" ht="27" customHeight="1">
      <c r="A295" s="583"/>
      <c r="B295" s="583">
        <v>1018</v>
      </c>
      <c r="C295" s="1131">
        <v>10</v>
      </c>
      <c r="D295" s="1137" t="s">
        <v>296</v>
      </c>
      <c r="E295" s="1138" t="s">
        <v>1593</v>
      </c>
      <c r="F295" s="599">
        <v>-2192189843</v>
      </c>
      <c r="G295" s="599">
        <v>-37833875</v>
      </c>
      <c r="H295" s="599"/>
      <c r="I295" s="599"/>
      <c r="J295" s="599"/>
      <c r="K295" s="599"/>
      <c r="L295" s="599"/>
      <c r="M295" s="599"/>
      <c r="N295" s="599"/>
      <c r="O295" s="599"/>
      <c r="P295" s="599"/>
      <c r="Q295" s="599"/>
      <c r="R295" s="599"/>
      <c r="S295" s="1096">
        <f t="shared" si="16"/>
        <v>-2230023718</v>
      </c>
      <c r="T295" s="599">
        <v>-7030824147</v>
      </c>
      <c r="U295" s="1096">
        <f t="shared" si="19"/>
        <v>-2230</v>
      </c>
      <c r="V295" s="599">
        <v>-7031</v>
      </c>
      <c r="W295" s="620"/>
      <c r="X295" s="621"/>
      <c r="Y295" s="1096">
        <f t="shared" si="17"/>
        <v>-2230023718</v>
      </c>
      <c r="Z295" s="882">
        <f t="shared" si="18"/>
        <v>-2230</v>
      </c>
    </row>
    <row r="296" spans="1:26" ht="27" customHeight="1">
      <c r="A296" s="583"/>
      <c r="B296" s="583">
        <v>1018</v>
      </c>
      <c r="C296" s="581">
        <v>10</v>
      </c>
      <c r="D296" s="1137" t="s">
        <v>298</v>
      </c>
      <c r="E296" s="1138" t="s">
        <v>1594</v>
      </c>
      <c r="F296" s="599">
        <v>-26355313092</v>
      </c>
      <c r="G296" s="599">
        <v>-6032579687</v>
      </c>
      <c r="H296" s="599"/>
      <c r="I296" s="599"/>
      <c r="J296" s="599"/>
      <c r="K296" s="599"/>
      <c r="L296" s="599"/>
      <c r="M296" s="599"/>
      <c r="N296" s="599"/>
      <c r="O296" s="599"/>
      <c r="P296" s="599"/>
      <c r="Q296" s="599"/>
      <c r="R296" s="599"/>
      <c r="S296" s="1096">
        <f t="shared" si="16"/>
        <v>-32387892779</v>
      </c>
      <c r="T296" s="599">
        <v>-131562773250</v>
      </c>
      <c r="U296" s="1096">
        <f t="shared" si="19"/>
        <v>-32388</v>
      </c>
      <c r="V296" s="599">
        <v>-131563</v>
      </c>
      <c r="W296" s="620"/>
      <c r="X296" s="621"/>
      <c r="Y296" s="1096">
        <f t="shared" si="17"/>
        <v>-32387892779</v>
      </c>
      <c r="Z296" s="882">
        <f t="shared" si="18"/>
        <v>-32388</v>
      </c>
    </row>
    <row r="297" spans="1:26" ht="27" customHeight="1">
      <c r="A297" s="583"/>
      <c r="B297" s="583">
        <v>506</v>
      </c>
      <c r="C297" s="1235">
        <v>5</v>
      </c>
      <c r="D297" s="1137" t="s">
        <v>79</v>
      </c>
      <c r="E297" s="1138" t="s">
        <v>1595</v>
      </c>
      <c r="F297" s="599">
        <v>7164574378</v>
      </c>
      <c r="G297" s="599">
        <v>-1598929631</v>
      </c>
      <c r="H297" s="599"/>
      <c r="I297" s="599">
        <v>0</v>
      </c>
      <c r="J297" s="599"/>
      <c r="K297" s="599"/>
      <c r="L297" s="599"/>
      <c r="M297" s="599"/>
      <c r="N297" s="599"/>
      <c r="O297" s="599"/>
      <c r="P297" s="599"/>
      <c r="Q297" s="599"/>
      <c r="R297" s="599"/>
      <c r="S297" s="1096">
        <f t="shared" si="16"/>
        <v>5565644747</v>
      </c>
      <c r="T297" s="599">
        <v>-48169502348</v>
      </c>
      <c r="U297" s="1096">
        <f t="shared" si="19"/>
        <v>5566</v>
      </c>
      <c r="V297" s="599">
        <v>-48170</v>
      </c>
      <c r="W297" s="620"/>
      <c r="X297" s="621"/>
      <c r="Y297" s="1096">
        <f t="shared" si="17"/>
        <v>5565644747</v>
      </c>
      <c r="Z297" s="882">
        <f t="shared" si="18"/>
        <v>5566</v>
      </c>
    </row>
    <row r="298" spans="1:26" ht="27" customHeight="1">
      <c r="A298" s="583"/>
      <c r="B298" s="583">
        <v>1018</v>
      </c>
      <c r="C298" s="581">
        <v>10</v>
      </c>
      <c r="D298" s="1137" t="s">
        <v>443</v>
      </c>
      <c r="E298" s="1138" t="s">
        <v>1596</v>
      </c>
      <c r="F298" s="599">
        <v>-79771437107</v>
      </c>
      <c r="G298" s="599">
        <v>-8645000</v>
      </c>
      <c r="H298" s="599"/>
      <c r="I298" s="599"/>
      <c r="J298" s="599"/>
      <c r="K298" s="599"/>
      <c r="L298" s="599"/>
      <c r="M298" s="599"/>
      <c r="N298" s="599"/>
      <c r="O298" s="599"/>
      <c r="P298" s="599"/>
      <c r="Q298" s="599"/>
      <c r="R298" s="599"/>
      <c r="S298" s="1096">
        <f t="shared" si="16"/>
        <v>-79780082107</v>
      </c>
      <c r="T298" s="599">
        <v>-66968013326</v>
      </c>
      <c r="U298" s="1096">
        <f t="shared" si="19"/>
        <v>-79780</v>
      </c>
      <c r="V298" s="599">
        <v>-66968</v>
      </c>
      <c r="W298" s="620"/>
      <c r="X298" s="621"/>
      <c r="Y298" s="1096">
        <f t="shared" si="17"/>
        <v>-79780082107</v>
      </c>
      <c r="Z298" s="882">
        <f t="shared" si="18"/>
        <v>-79780</v>
      </c>
    </row>
    <row r="299" spans="1:26" ht="27" customHeight="1">
      <c r="A299" s="583"/>
      <c r="B299" s="583">
        <v>1018</v>
      </c>
      <c r="C299" s="581">
        <v>10</v>
      </c>
      <c r="D299" s="582" t="s">
        <v>1835</v>
      </c>
      <c r="E299" s="1138" t="s">
        <v>1824</v>
      </c>
      <c r="F299" s="599"/>
      <c r="G299" s="599"/>
      <c r="H299" s="599"/>
      <c r="I299" s="599"/>
      <c r="J299" s="599"/>
      <c r="K299" s="599"/>
      <c r="L299" s="599"/>
      <c r="M299" s="599"/>
      <c r="N299" s="599"/>
      <c r="O299" s="599"/>
      <c r="P299" s="599"/>
      <c r="Q299" s="599"/>
      <c r="R299" s="599"/>
      <c r="S299" s="1096">
        <f t="shared" si="16"/>
        <v>0</v>
      </c>
      <c r="T299" s="599"/>
      <c r="U299" s="1096">
        <f t="shared" si="19"/>
        <v>0</v>
      </c>
      <c r="V299" s="599"/>
      <c r="W299" s="620"/>
      <c r="X299" s="621"/>
      <c r="Y299" s="1096">
        <f t="shared" si="17"/>
        <v>0</v>
      </c>
      <c r="Z299" s="882">
        <f t="shared" si="18"/>
        <v>0</v>
      </c>
    </row>
    <row r="300" spans="1:26" ht="27" customHeight="1">
      <c r="A300" s="583"/>
      <c r="B300" s="583">
        <v>506</v>
      </c>
      <c r="C300" s="1235">
        <v>5</v>
      </c>
      <c r="D300" s="1137" t="s">
        <v>445</v>
      </c>
      <c r="E300" s="1138" t="s">
        <v>1597</v>
      </c>
      <c r="F300" s="599">
        <v>16086719794</v>
      </c>
      <c r="G300" s="599">
        <v>-7870755090</v>
      </c>
      <c r="H300" s="599">
        <v>-400000</v>
      </c>
      <c r="I300" s="599"/>
      <c r="J300" s="599"/>
      <c r="K300" s="599"/>
      <c r="L300" s="599"/>
      <c r="M300" s="599"/>
      <c r="N300" s="599"/>
      <c r="O300" s="599"/>
      <c r="P300" s="599"/>
      <c r="Q300" s="599"/>
      <c r="R300" s="599"/>
      <c r="S300" s="1096">
        <f t="shared" si="16"/>
        <v>8215564704</v>
      </c>
      <c r="T300" s="599">
        <v>-13921761846</v>
      </c>
      <c r="U300" s="1096">
        <f t="shared" si="19"/>
        <v>8216</v>
      </c>
      <c r="V300" s="599">
        <v>-13922</v>
      </c>
      <c r="W300" s="620"/>
      <c r="X300" s="621"/>
      <c r="Y300" s="1096">
        <f t="shared" si="17"/>
        <v>8215564704</v>
      </c>
      <c r="Z300" s="882">
        <f t="shared" si="18"/>
        <v>8216</v>
      </c>
    </row>
    <row r="301" spans="1:26" ht="27" customHeight="1">
      <c r="A301" s="583"/>
      <c r="B301" s="583">
        <v>506</v>
      </c>
      <c r="C301" s="1235">
        <v>5</v>
      </c>
      <c r="D301" s="1137" t="s">
        <v>449</v>
      </c>
      <c r="E301" s="1138" t="s">
        <v>1650</v>
      </c>
      <c r="F301" s="599"/>
      <c r="G301" s="599">
        <v>37833875</v>
      </c>
      <c r="H301" s="599"/>
      <c r="I301" s="599"/>
      <c r="J301" s="599"/>
      <c r="K301" s="599"/>
      <c r="L301" s="599"/>
      <c r="M301" s="599"/>
      <c r="N301" s="599"/>
      <c r="O301" s="599"/>
      <c r="P301" s="599"/>
      <c r="Q301" s="599"/>
      <c r="R301" s="599"/>
      <c r="S301" s="1096">
        <f t="shared" si="16"/>
        <v>37833875</v>
      </c>
      <c r="T301" s="599">
        <v>0</v>
      </c>
      <c r="U301" s="1096">
        <f t="shared" si="19"/>
        <v>38</v>
      </c>
      <c r="V301" s="599">
        <v>0</v>
      </c>
      <c r="W301" s="620"/>
      <c r="X301" s="621"/>
      <c r="Y301" s="1096">
        <f t="shared" si="17"/>
        <v>37833875</v>
      </c>
      <c r="Z301" s="882">
        <f t="shared" si="18"/>
        <v>38</v>
      </c>
    </row>
    <row r="302" spans="1:26" ht="27" customHeight="1">
      <c r="A302" s="583"/>
      <c r="B302" s="583">
        <v>1018</v>
      </c>
      <c r="C302" s="581">
        <v>10</v>
      </c>
      <c r="D302" s="1137" t="s">
        <v>450</v>
      </c>
      <c r="E302" s="1138" t="s">
        <v>1012</v>
      </c>
      <c r="F302" s="599"/>
      <c r="G302" s="599">
        <v>-817916887</v>
      </c>
      <c r="H302" s="599"/>
      <c r="I302" s="599"/>
      <c r="J302" s="599"/>
      <c r="K302" s="599"/>
      <c r="L302" s="599"/>
      <c r="M302" s="599"/>
      <c r="N302" s="599"/>
      <c r="O302" s="599"/>
      <c r="P302" s="599"/>
      <c r="Q302" s="599"/>
      <c r="R302" s="599"/>
      <c r="S302" s="1096">
        <f t="shared" si="16"/>
        <v>-817916887</v>
      </c>
      <c r="T302" s="599">
        <v>0</v>
      </c>
      <c r="U302" s="1096">
        <f t="shared" si="19"/>
        <v>-818</v>
      </c>
      <c r="V302" s="599">
        <v>0</v>
      </c>
      <c r="W302" s="620"/>
      <c r="X302" s="621"/>
      <c r="Y302" s="1096">
        <f t="shared" si="17"/>
        <v>-817916887</v>
      </c>
      <c r="Z302" s="882">
        <f t="shared" si="18"/>
        <v>-818</v>
      </c>
    </row>
    <row r="303" spans="1:26" ht="27" customHeight="1">
      <c r="A303" s="583"/>
      <c r="B303" s="583">
        <v>501</v>
      </c>
      <c r="C303" s="581">
        <v>5</v>
      </c>
      <c r="D303" s="1137" t="s">
        <v>452</v>
      </c>
      <c r="E303" s="1138" t="s">
        <v>1651</v>
      </c>
      <c r="F303" s="599"/>
      <c r="G303" s="599">
        <v>3357427</v>
      </c>
      <c r="H303" s="599"/>
      <c r="I303" s="599"/>
      <c r="J303" s="599"/>
      <c r="K303" s="599"/>
      <c r="L303" s="599"/>
      <c r="M303" s="599"/>
      <c r="N303" s="599"/>
      <c r="O303" s="599"/>
      <c r="P303" s="599"/>
      <c r="Q303" s="599"/>
      <c r="R303" s="599"/>
      <c r="S303" s="1096">
        <f t="shared" si="16"/>
        <v>3357427</v>
      </c>
      <c r="T303" s="599">
        <v>0</v>
      </c>
      <c r="U303" s="1096">
        <f t="shared" si="19"/>
        <v>3</v>
      </c>
      <c r="V303" s="599">
        <v>0</v>
      </c>
      <c r="W303" s="620"/>
      <c r="X303" s="621"/>
      <c r="Y303" s="1096">
        <f t="shared" si="17"/>
        <v>3357427</v>
      </c>
      <c r="Z303" s="882">
        <f t="shared" si="18"/>
        <v>3</v>
      </c>
    </row>
    <row r="304" spans="1:26" ht="27" customHeight="1">
      <c r="A304" s="583"/>
      <c r="B304" s="583">
        <v>908</v>
      </c>
      <c r="C304" s="581">
        <v>9</v>
      </c>
      <c r="D304" s="1137" t="s">
        <v>454</v>
      </c>
      <c r="E304" s="1138" t="s">
        <v>1013</v>
      </c>
      <c r="F304" s="599"/>
      <c r="G304" s="599">
        <v>8645000</v>
      </c>
      <c r="H304" s="599"/>
      <c r="I304" s="599"/>
      <c r="J304" s="599"/>
      <c r="K304" s="599"/>
      <c r="L304" s="599"/>
      <c r="M304" s="599"/>
      <c r="N304" s="599"/>
      <c r="O304" s="599"/>
      <c r="P304" s="599"/>
      <c r="Q304" s="599"/>
      <c r="R304" s="599"/>
      <c r="S304" s="1096">
        <f t="shared" si="16"/>
        <v>8645000</v>
      </c>
      <c r="T304" s="599">
        <v>0</v>
      </c>
      <c r="U304" s="1096">
        <f t="shared" si="19"/>
        <v>9</v>
      </c>
      <c r="V304" s="599">
        <v>0</v>
      </c>
      <c r="W304" s="620"/>
      <c r="X304" s="621"/>
      <c r="Y304" s="1096">
        <f t="shared" si="17"/>
        <v>8645000</v>
      </c>
      <c r="Z304" s="882">
        <f t="shared" si="18"/>
        <v>9</v>
      </c>
    </row>
    <row r="305" spans="1:26" ht="27" customHeight="1">
      <c r="A305" s="583"/>
      <c r="B305" s="583">
        <v>501</v>
      </c>
      <c r="C305" s="581">
        <v>5</v>
      </c>
      <c r="D305" s="1137" t="s">
        <v>460</v>
      </c>
      <c r="E305" s="1138" t="s">
        <v>758</v>
      </c>
      <c r="F305" s="599">
        <v>2931095212733</v>
      </c>
      <c r="G305" s="599">
        <v>-6108462621</v>
      </c>
      <c r="H305" s="599"/>
      <c r="I305" s="599"/>
      <c r="J305" s="599">
        <v>-903097883460</v>
      </c>
      <c r="K305" s="599"/>
      <c r="L305" s="599">
        <v>-108090000000</v>
      </c>
      <c r="M305" s="599"/>
      <c r="N305" s="599"/>
      <c r="O305" s="599">
        <v>251256712994</v>
      </c>
      <c r="P305" s="599"/>
      <c r="Q305" s="599"/>
      <c r="R305" s="599"/>
      <c r="S305" s="1096">
        <f t="shared" si="16"/>
        <v>2165055579646</v>
      </c>
      <c r="T305" s="599">
        <v>2713540446184</v>
      </c>
      <c r="U305" s="738">
        <f>ROUND((S305/1000000),0)-1</f>
        <v>2165055</v>
      </c>
      <c r="V305" s="599">
        <v>2713540</v>
      </c>
      <c r="W305" s="620"/>
      <c r="X305" s="621"/>
      <c r="Y305" s="1096">
        <f t="shared" si="17"/>
        <v>2165055579646</v>
      </c>
      <c r="Z305" s="882">
        <f t="shared" si="18"/>
        <v>2165056</v>
      </c>
    </row>
    <row r="306" spans="1:26" ht="27" customHeight="1">
      <c r="A306" s="583"/>
      <c r="B306" s="583">
        <v>501</v>
      </c>
      <c r="C306" s="581">
        <v>5</v>
      </c>
      <c r="D306" s="1137" t="s">
        <v>460</v>
      </c>
      <c r="E306" s="1138" t="s">
        <v>759</v>
      </c>
      <c r="F306" s="599"/>
      <c r="G306" s="599"/>
      <c r="H306" s="599"/>
      <c r="I306" s="599"/>
      <c r="J306" s="599"/>
      <c r="K306" s="599"/>
      <c r="L306" s="599"/>
      <c r="M306" s="599"/>
      <c r="N306" s="599"/>
      <c r="O306" s="599"/>
      <c r="P306" s="599"/>
      <c r="Q306" s="599"/>
      <c r="R306" s="599"/>
      <c r="S306" s="1096">
        <f t="shared" si="16"/>
        <v>0</v>
      </c>
      <c r="T306" s="599">
        <v>0</v>
      </c>
      <c r="U306" s="1096">
        <f t="shared" si="19"/>
        <v>0</v>
      </c>
      <c r="V306" s="599">
        <v>0</v>
      </c>
      <c r="W306" s="620"/>
      <c r="X306" s="621"/>
      <c r="Y306" s="1096">
        <f t="shared" si="17"/>
        <v>0</v>
      </c>
      <c r="Z306" s="882">
        <f t="shared" si="18"/>
        <v>0</v>
      </c>
    </row>
    <row r="307" spans="1:26" ht="27" customHeight="1">
      <c r="A307" s="583"/>
      <c r="B307" s="583">
        <v>503</v>
      </c>
      <c r="C307" s="581">
        <v>5</v>
      </c>
      <c r="D307" s="1137" t="s">
        <v>460</v>
      </c>
      <c r="E307" s="1138" t="s">
        <v>760</v>
      </c>
      <c r="F307" s="599"/>
      <c r="G307" s="599"/>
      <c r="H307" s="599"/>
      <c r="I307" s="599"/>
      <c r="J307" s="599"/>
      <c r="K307" s="599"/>
      <c r="L307" s="599"/>
      <c r="M307" s="599"/>
      <c r="N307" s="599"/>
      <c r="O307" s="599"/>
      <c r="P307" s="599"/>
      <c r="Q307" s="599"/>
      <c r="R307" s="599"/>
      <c r="S307" s="1096">
        <f t="shared" si="16"/>
        <v>0</v>
      </c>
      <c r="T307" s="599">
        <v>0</v>
      </c>
      <c r="U307" s="1096">
        <f t="shared" si="19"/>
        <v>0</v>
      </c>
      <c r="V307" s="599">
        <v>0</v>
      </c>
      <c r="W307" s="620"/>
      <c r="X307" s="621"/>
      <c r="Y307" s="1096">
        <f t="shared" si="17"/>
        <v>0</v>
      </c>
      <c r="Z307" s="882">
        <f t="shared" si="18"/>
        <v>0</v>
      </c>
    </row>
    <row r="308" spans="1:26" ht="27" customHeight="1">
      <c r="A308" s="583"/>
      <c r="B308" s="583">
        <v>908</v>
      </c>
      <c r="C308" s="581">
        <v>9</v>
      </c>
      <c r="D308" s="1137" t="s">
        <v>462</v>
      </c>
      <c r="E308" s="1138" t="s">
        <v>463</v>
      </c>
      <c r="F308" s="599">
        <v>301487481027</v>
      </c>
      <c r="G308" s="599">
        <v>4055434658</v>
      </c>
      <c r="H308" s="599"/>
      <c r="I308" s="599"/>
      <c r="J308" s="599">
        <v>-305542915685</v>
      </c>
      <c r="K308" s="599"/>
      <c r="L308" s="599">
        <v>108090000000</v>
      </c>
      <c r="M308" s="599"/>
      <c r="N308" s="599"/>
      <c r="O308" s="599"/>
      <c r="P308" s="599"/>
      <c r="Q308" s="599"/>
      <c r="R308" s="599"/>
      <c r="S308" s="1096">
        <f t="shared" si="16"/>
        <v>108090000000</v>
      </c>
      <c r="T308" s="599">
        <v>109119070504</v>
      </c>
      <c r="U308" s="1096">
        <f t="shared" si="19"/>
        <v>108090</v>
      </c>
      <c r="V308" s="599">
        <v>109119</v>
      </c>
      <c r="W308" s="620"/>
      <c r="X308" s="621"/>
      <c r="Y308" s="1096">
        <f t="shared" si="17"/>
        <v>108090000000</v>
      </c>
      <c r="Z308" s="882">
        <f t="shared" si="18"/>
        <v>108090</v>
      </c>
    </row>
    <row r="309" spans="1:26" ht="27" customHeight="1">
      <c r="A309" s="583"/>
      <c r="B309" s="583">
        <v>506</v>
      </c>
      <c r="C309" s="581">
        <v>5</v>
      </c>
      <c r="D309" s="1137" t="s">
        <v>163</v>
      </c>
      <c r="E309" s="1138" t="s">
        <v>1599</v>
      </c>
      <c r="F309" s="599">
        <v>10000</v>
      </c>
      <c r="G309" s="599">
        <v>12097572</v>
      </c>
      <c r="H309" s="599"/>
      <c r="I309" s="599"/>
      <c r="J309" s="599"/>
      <c r="K309" s="599"/>
      <c r="L309" s="599"/>
      <c r="M309" s="599"/>
      <c r="N309" s="599"/>
      <c r="O309" s="599"/>
      <c r="P309" s="599"/>
      <c r="Q309" s="599"/>
      <c r="R309" s="599"/>
      <c r="S309" s="1096">
        <f t="shared" si="16"/>
        <v>12107572</v>
      </c>
      <c r="T309" s="599">
        <v>215027053</v>
      </c>
      <c r="U309" s="1096">
        <f t="shared" si="19"/>
        <v>12</v>
      </c>
      <c r="V309" s="599">
        <v>215</v>
      </c>
      <c r="W309" s="620"/>
      <c r="X309" s="621"/>
      <c r="Y309" s="1096">
        <f t="shared" si="17"/>
        <v>12107572</v>
      </c>
      <c r="Z309" s="882">
        <f t="shared" si="18"/>
        <v>12</v>
      </c>
    </row>
    <row r="310" spans="1:26" ht="27" customHeight="1">
      <c r="A310" s="583"/>
      <c r="B310" s="583">
        <v>506</v>
      </c>
      <c r="C310" s="581">
        <v>5</v>
      </c>
      <c r="D310" s="1137" t="s">
        <v>165</v>
      </c>
      <c r="E310" s="1138" t="s">
        <v>1600</v>
      </c>
      <c r="F310" s="599">
        <v>10144925116</v>
      </c>
      <c r="G310" s="599">
        <v>-103728421</v>
      </c>
      <c r="H310" s="599"/>
      <c r="I310" s="599"/>
      <c r="J310" s="599"/>
      <c r="K310" s="599"/>
      <c r="L310" s="599"/>
      <c r="M310" s="599"/>
      <c r="N310" s="599"/>
      <c r="O310" s="599"/>
      <c r="P310" s="599"/>
      <c r="Q310" s="599"/>
      <c r="R310" s="599"/>
      <c r="S310" s="1096">
        <f t="shared" si="16"/>
        <v>10041196695</v>
      </c>
      <c r="T310" s="599">
        <v>31490778625</v>
      </c>
      <c r="U310" s="1096">
        <f t="shared" si="19"/>
        <v>10041</v>
      </c>
      <c r="V310" s="599">
        <v>31491</v>
      </c>
      <c r="W310" s="620"/>
      <c r="X310" s="621"/>
      <c r="Y310" s="1096">
        <f t="shared" si="17"/>
        <v>10041196695</v>
      </c>
      <c r="Z310" s="882">
        <f t="shared" si="18"/>
        <v>10041</v>
      </c>
    </row>
    <row r="311" spans="1:26" ht="27" customHeight="1">
      <c r="A311" s="583"/>
      <c r="B311" s="583">
        <v>506</v>
      </c>
      <c r="C311" s="581">
        <v>5</v>
      </c>
      <c r="D311" s="1137" t="s">
        <v>1598</v>
      </c>
      <c r="E311" s="1138" t="s">
        <v>1601</v>
      </c>
      <c r="F311" s="599"/>
      <c r="G311" s="599"/>
      <c r="H311" s="599"/>
      <c r="I311" s="599"/>
      <c r="J311" s="599"/>
      <c r="K311" s="599"/>
      <c r="L311" s="599"/>
      <c r="M311" s="599"/>
      <c r="N311" s="599"/>
      <c r="O311" s="599"/>
      <c r="P311" s="599"/>
      <c r="Q311" s="599"/>
      <c r="R311" s="599"/>
      <c r="S311" s="1096">
        <f t="shared" si="16"/>
        <v>0</v>
      </c>
      <c r="T311" s="599">
        <v>695428702</v>
      </c>
      <c r="U311" s="1096">
        <f t="shared" si="19"/>
        <v>0</v>
      </c>
      <c r="V311" s="599">
        <v>695</v>
      </c>
      <c r="W311" s="620"/>
      <c r="X311" s="621"/>
      <c r="Y311" s="1096">
        <f t="shared" si="17"/>
        <v>0</v>
      </c>
      <c r="Z311" s="882">
        <f t="shared" si="18"/>
        <v>0</v>
      </c>
    </row>
    <row r="312" spans="1:26" ht="27" customHeight="1">
      <c r="A312" s="583"/>
      <c r="B312" s="583">
        <v>1018</v>
      </c>
      <c r="C312" s="581">
        <v>10</v>
      </c>
      <c r="D312" s="1137" t="s">
        <v>395</v>
      </c>
      <c r="E312" s="1138" t="s">
        <v>1652</v>
      </c>
      <c r="F312" s="599">
        <v>-148486480232</v>
      </c>
      <c r="G312" s="599">
        <v>148486453232</v>
      </c>
      <c r="H312" s="599">
        <v>27000</v>
      </c>
      <c r="I312" s="599"/>
      <c r="J312" s="599"/>
      <c r="K312" s="599"/>
      <c r="L312" s="599"/>
      <c r="M312" s="599"/>
      <c r="N312" s="599"/>
      <c r="O312" s="599"/>
      <c r="P312" s="599"/>
      <c r="Q312" s="599"/>
      <c r="R312" s="599"/>
      <c r="S312" s="1096">
        <f t="shared" si="16"/>
        <v>0</v>
      </c>
      <c r="T312" s="599">
        <v>-2191388776</v>
      </c>
      <c r="U312" s="1096">
        <f t="shared" si="19"/>
        <v>0</v>
      </c>
      <c r="V312" s="599">
        <v>-2191</v>
      </c>
      <c r="W312" s="620"/>
      <c r="X312" s="621"/>
      <c r="Y312" s="1096">
        <f t="shared" si="17"/>
        <v>0</v>
      </c>
      <c r="Z312" s="882">
        <f t="shared" si="18"/>
        <v>0</v>
      </c>
    </row>
    <row r="313" spans="1:26" ht="27" customHeight="1">
      <c r="A313" s="583"/>
      <c r="B313" s="583">
        <v>506</v>
      </c>
      <c r="C313" s="581">
        <v>5</v>
      </c>
      <c r="D313" s="1137" t="s">
        <v>1007</v>
      </c>
      <c r="E313" s="1138" t="s">
        <v>1008</v>
      </c>
      <c r="F313" s="599">
        <v>205432349</v>
      </c>
      <c r="G313" s="599">
        <v>-205432349</v>
      </c>
      <c r="H313" s="599"/>
      <c r="I313" s="599"/>
      <c r="J313" s="599"/>
      <c r="K313" s="599"/>
      <c r="L313" s="599"/>
      <c r="M313" s="599"/>
      <c r="N313" s="599"/>
      <c r="O313" s="599"/>
      <c r="P313" s="599"/>
      <c r="Q313" s="599"/>
      <c r="R313" s="599"/>
      <c r="S313" s="1096">
        <f t="shared" si="16"/>
        <v>0</v>
      </c>
      <c r="T313" s="599">
        <v>-175</v>
      </c>
      <c r="U313" s="1096">
        <f t="shared" si="19"/>
        <v>0</v>
      </c>
      <c r="V313" s="599">
        <v>0</v>
      </c>
      <c r="W313" s="620"/>
      <c r="X313" s="621"/>
      <c r="Y313" s="1096">
        <f t="shared" si="17"/>
        <v>0</v>
      </c>
      <c r="Z313" s="882">
        <f t="shared" si="18"/>
        <v>0</v>
      </c>
    </row>
    <row r="314" spans="1:26" ht="27" customHeight="1">
      <c r="A314" s="583"/>
      <c r="B314" s="583">
        <v>506</v>
      </c>
      <c r="C314" s="581">
        <v>5</v>
      </c>
      <c r="D314" s="1137" t="s">
        <v>167</v>
      </c>
      <c r="E314" s="1138" t="s">
        <v>1027</v>
      </c>
      <c r="F314" s="599">
        <v>-1486004</v>
      </c>
      <c r="G314" s="599"/>
      <c r="H314" s="599">
        <v>1486004</v>
      </c>
      <c r="I314" s="599"/>
      <c r="J314" s="599"/>
      <c r="K314" s="599"/>
      <c r="L314" s="599"/>
      <c r="M314" s="599"/>
      <c r="N314" s="599"/>
      <c r="O314" s="599"/>
      <c r="P314" s="599"/>
      <c r="Q314" s="599"/>
      <c r="R314" s="599"/>
      <c r="S314" s="1096">
        <f t="shared" si="16"/>
        <v>0</v>
      </c>
      <c r="T314" s="599">
        <v>-125543265</v>
      </c>
      <c r="U314" s="1096">
        <f t="shared" si="19"/>
        <v>0</v>
      </c>
      <c r="V314" s="599">
        <v>-126</v>
      </c>
      <c r="W314" s="620"/>
      <c r="X314" s="621"/>
      <c r="Y314" s="1096">
        <f t="shared" si="17"/>
        <v>0</v>
      </c>
      <c r="Z314" s="882">
        <f t="shared" si="18"/>
        <v>0</v>
      </c>
    </row>
    <row r="315" spans="1:26" ht="27" customHeight="1">
      <c r="A315" s="583"/>
      <c r="B315" s="583">
        <v>506</v>
      </c>
      <c r="C315" s="1235">
        <v>5</v>
      </c>
      <c r="D315" s="1137" t="s">
        <v>1009</v>
      </c>
      <c r="E315" s="1138" t="s">
        <v>1008</v>
      </c>
      <c r="F315" s="599">
        <v>-204293729</v>
      </c>
      <c r="G315" s="599"/>
      <c r="H315" s="599">
        <v>204293729</v>
      </c>
      <c r="I315" s="599"/>
      <c r="J315" s="599"/>
      <c r="K315" s="599"/>
      <c r="L315" s="599"/>
      <c r="M315" s="599"/>
      <c r="N315" s="599"/>
      <c r="O315" s="599"/>
      <c r="P315" s="599"/>
      <c r="Q315" s="599"/>
      <c r="R315" s="599"/>
      <c r="S315" s="1096">
        <f t="shared" si="16"/>
        <v>0</v>
      </c>
      <c r="T315" s="599">
        <v>3644964817</v>
      </c>
      <c r="U315" s="1096">
        <f t="shared" si="19"/>
        <v>0</v>
      </c>
      <c r="V315" s="599">
        <v>3645</v>
      </c>
      <c r="W315" s="620"/>
      <c r="X315" s="621"/>
      <c r="Y315" s="1096">
        <f t="shared" si="17"/>
        <v>0</v>
      </c>
      <c r="Z315" s="882">
        <f t="shared" si="18"/>
        <v>0</v>
      </c>
    </row>
    <row r="316" spans="1:26" ht="27" customHeight="1">
      <c r="A316" s="583"/>
      <c r="B316" s="583">
        <v>506</v>
      </c>
      <c r="C316" s="581">
        <v>5</v>
      </c>
      <c r="D316" s="1137" t="s">
        <v>1024</v>
      </c>
      <c r="E316" s="1138" t="s">
        <v>1025</v>
      </c>
      <c r="F316" s="599">
        <v>5278582</v>
      </c>
      <c r="G316" s="599"/>
      <c r="H316" s="599">
        <v>-5278522</v>
      </c>
      <c r="I316" s="599"/>
      <c r="J316" s="599"/>
      <c r="K316" s="599"/>
      <c r="L316" s="599"/>
      <c r="M316" s="599"/>
      <c r="N316" s="599"/>
      <c r="O316" s="599"/>
      <c r="P316" s="599"/>
      <c r="Q316" s="599"/>
      <c r="R316" s="599"/>
      <c r="S316" s="1096">
        <f t="shared" si="16"/>
        <v>60</v>
      </c>
      <c r="T316" s="599">
        <v>2000</v>
      </c>
      <c r="U316" s="1096">
        <f t="shared" si="19"/>
        <v>0</v>
      </c>
      <c r="V316" s="599">
        <v>0</v>
      </c>
      <c r="W316" s="620"/>
      <c r="X316" s="621"/>
      <c r="Y316" s="1096">
        <f t="shared" si="17"/>
        <v>60</v>
      </c>
      <c r="Z316" s="882">
        <f t="shared" si="18"/>
        <v>0</v>
      </c>
    </row>
    <row r="317" spans="1:26" ht="27" customHeight="1">
      <c r="A317" s="583"/>
      <c r="B317" s="583">
        <v>506</v>
      </c>
      <c r="C317" s="581">
        <v>5</v>
      </c>
      <c r="D317" s="1137" t="s">
        <v>282</v>
      </c>
      <c r="E317" s="1138" t="s">
        <v>283</v>
      </c>
      <c r="F317" s="599">
        <v>320955123</v>
      </c>
      <c r="G317" s="599">
        <v>-320955123</v>
      </c>
      <c r="H317" s="599"/>
      <c r="I317" s="599"/>
      <c r="J317" s="599"/>
      <c r="K317" s="599"/>
      <c r="L317" s="599"/>
      <c r="M317" s="599"/>
      <c r="N317" s="599"/>
      <c r="O317" s="599"/>
      <c r="P317" s="599"/>
      <c r="Q317" s="599"/>
      <c r="R317" s="599"/>
      <c r="S317" s="1096">
        <f t="shared" si="16"/>
        <v>0</v>
      </c>
      <c r="T317" s="599">
        <v>320955123</v>
      </c>
      <c r="U317" s="1096">
        <f t="shared" si="19"/>
        <v>0</v>
      </c>
      <c r="V317" s="599">
        <v>321</v>
      </c>
      <c r="W317" s="620"/>
      <c r="X317" s="621"/>
      <c r="Y317" s="1096">
        <f t="shared" si="17"/>
        <v>0</v>
      </c>
      <c r="Z317" s="882">
        <f t="shared" si="18"/>
        <v>0</v>
      </c>
    </row>
    <row r="318" spans="1:26" ht="27" customHeight="1">
      <c r="A318" s="583"/>
      <c r="B318" s="583">
        <v>506</v>
      </c>
      <c r="C318" s="581">
        <v>5</v>
      </c>
      <c r="D318" s="1137" t="s">
        <v>76</v>
      </c>
      <c r="E318" s="1138" t="s">
        <v>77</v>
      </c>
      <c r="F318" s="599">
        <v>-1413452</v>
      </c>
      <c r="G318" s="599">
        <v>1413453</v>
      </c>
      <c r="H318" s="599">
        <v>-1</v>
      </c>
      <c r="I318" s="599"/>
      <c r="J318" s="599"/>
      <c r="K318" s="599"/>
      <c r="L318" s="599"/>
      <c r="M318" s="599"/>
      <c r="N318" s="599"/>
      <c r="O318" s="599"/>
      <c r="P318" s="599"/>
      <c r="Q318" s="599"/>
      <c r="R318" s="599"/>
      <c r="S318" s="1096">
        <f t="shared" si="16"/>
        <v>0</v>
      </c>
      <c r="T318" s="599">
        <v>916433</v>
      </c>
      <c r="U318" s="1096">
        <f t="shared" si="19"/>
        <v>0</v>
      </c>
      <c r="V318" s="599">
        <v>1</v>
      </c>
      <c r="W318" s="620"/>
      <c r="X318" s="621"/>
      <c r="Y318" s="1096">
        <f t="shared" si="17"/>
        <v>0</v>
      </c>
      <c r="Z318" s="882">
        <f t="shared" si="18"/>
        <v>0</v>
      </c>
    </row>
    <row r="319" spans="1:26" ht="27" customHeight="1">
      <c r="A319" s="583"/>
      <c r="B319" s="583">
        <v>506</v>
      </c>
      <c r="C319" s="581">
        <v>5</v>
      </c>
      <c r="D319" s="1137" t="s">
        <v>1741</v>
      </c>
      <c r="E319" s="1138" t="s">
        <v>77</v>
      </c>
      <c r="F319" s="599"/>
      <c r="G319" s="599"/>
      <c r="H319" s="599"/>
      <c r="I319" s="599"/>
      <c r="J319" s="599"/>
      <c r="K319" s="599"/>
      <c r="L319" s="599"/>
      <c r="M319" s="599"/>
      <c r="N319" s="599"/>
      <c r="O319" s="599"/>
      <c r="P319" s="599"/>
      <c r="Q319" s="599"/>
      <c r="R319" s="599"/>
      <c r="S319" s="1096">
        <f t="shared" si="16"/>
        <v>0</v>
      </c>
      <c r="T319" s="599">
        <v>19320</v>
      </c>
      <c r="U319" s="1096">
        <f t="shared" si="19"/>
        <v>0</v>
      </c>
      <c r="V319" s="599">
        <v>0</v>
      </c>
      <c r="W319" s="620"/>
      <c r="X319" s="621"/>
      <c r="Y319" s="1096">
        <f t="shared" si="17"/>
        <v>0</v>
      </c>
      <c r="Z319" s="882">
        <f t="shared" si="18"/>
        <v>0</v>
      </c>
    </row>
    <row r="320" spans="1:26" ht="27" customHeight="1">
      <c r="A320" s="583"/>
      <c r="B320" s="583">
        <v>1018</v>
      </c>
      <c r="C320" s="581">
        <v>10</v>
      </c>
      <c r="D320" s="1137" t="s">
        <v>464</v>
      </c>
      <c r="E320" s="1138" t="s">
        <v>311</v>
      </c>
      <c r="F320" s="599">
        <v>-842961986</v>
      </c>
      <c r="G320" s="599"/>
      <c r="H320" s="599"/>
      <c r="I320" s="599"/>
      <c r="J320" s="599"/>
      <c r="K320" s="599"/>
      <c r="L320" s="599"/>
      <c r="M320" s="599"/>
      <c r="N320" s="599"/>
      <c r="O320" s="599"/>
      <c r="P320" s="599"/>
      <c r="Q320" s="599"/>
      <c r="R320" s="599"/>
      <c r="S320" s="1096">
        <f t="shared" si="16"/>
        <v>-842961986</v>
      </c>
      <c r="T320" s="599">
        <v>-703497266</v>
      </c>
      <c r="U320" s="1096">
        <f t="shared" si="19"/>
        <v>-843</v>
      </c>
      <c r="V320" s="599">
        <v>-703</v>
      </c>
      <c r="W320" s="620"/>
      <c r="X320" s="621"/>
      <c r="Y320" s="1096">
        <f t="shared" si="17"/>
        <v>-842961986</v>
      </c>
      <c r="Z320" s="882">
        <f t="shared" si="18"/>
        <v>-843</v>
      </c>
    </row>
    <row r="321" spans="1:26" ht="27" customHeight="1">
      <c r="A321" s="583"/>
      <c r="B321" s="583">
        <v>506</v>
      </c>
      <c r="C321" s="581">
        <v>5</v>
      </c>
      <c r="D321" s="1137" t="s">
        <v>1602</v>
      </c>
      <c r="E321" s="1138" t="s">
        <v>1603</v>
      </c>
      <c r="F321" s="599"/>
      <c r="G321" s="599"/>
      <c r="H321" s="599"/>
      <c r="I321" s="599"/>
      <c r="J321" s="599"/>
      <c r="K321" s="599"/>
      <c r="L321" s="599"/>
      <c r="M321" s="599"/>
      <c r="N321" s="599"/>
      <c r="O321" s="599"/>
      <c r="P321" s="599"/>
      <c r="Q321" s="599"/>
      <c r="R321" s="599"/>
      <c r="S321" s="1096">
        <f t="shared" si="16"/>
        <v>0</v>
      </c>
      <c r="T321" s="599">
        <v>109610776</v>
      </c>
      <c r="U321" s="1096">
        <f t="shared" si="19"/>
        <v>0</v>
      </c>
      <c r="V321" s="599">
        <v>110</v>
      </c>
      <c r="W321" s="620"/>
      <c r="X321" s="621"/>
      <c r="Y321" s="1096">
        <f t="shared" si="17"/>
        <v>0</v>
      </c>
      <c r="Z321" s="882">
        <f t="shared" si="18"/>
        <v>0</v>
      </c>
    </row>
    <row r="322" spans="1:26" ht="27" customHeight="1">
      <c r="A322" s="583"/>
      <c r="B322" s="583">
        <v>506</v>
      </c>
      <c r="C322" s="581">
        <v>5</v>
      </c>
      <c r="D322" s="1137" t="s">
        <v>594</v>
      </c>
      <c r="E322" s="1138" t="s">
        <v>314</v>
      </c>
      <c r="F322" s="599"/>
      <c r="G322" s="599"/>
      <c r="H322" s="599"/>
      <c r="I322" s="599"/>
      <c r="J322" s="599"/>
      <c r="K322" s="599"/>
      <c r="L322" s="599"/>
      <c r="M322" s="599"/>
      <c r="N322" s="599"/>
      <c r="O322" s="599"/>
      <c r="P322" s="599"/>
      <c r="Q322" s="599"/>
      <c r="R322" s="599"/>
      <c r="S322" s="1096">
        <f t="shared" si="16"/>
        <v>0</v>
      </c>
      <c r="T322" s="599">
        <v>0</v>
      </c>
      <c r="U322" s="1096">
        <f t="shared" si="19"/>
        <v>0</v>
      </c>
      <c r="V322" s="599">
        <v>0</v>
      </c>
      <c r="W322" s="620"/>
      <c r="X322" s="621"/>
      <c r="Y322" s="1096">
        <f t="shared" si="17"/>
        <v>0</v>
      </c>
      <c r="Z322" s="882">
        <f t="shared" si="18"/>
        <v>0</v>
      </c>
    </row>
    <row r="323" spans="1:26" ht="27" customHeight="1">
      <c r="A323" s="583"/>
      <c r="B323" s="583">
        <v>906</v>
      </c>
      <c r="C323" s="581">
        <v>9</v>
      </c>
      <c r="D323" s="1137" t="s">
        <v>1604</v>
      </c>
      <c r="E323" s="1138" t="s">
        <v>1605</v>
      </c>
      <c r="F323" s="599"/>
      <c r="G323" s="599"/>
      <c r="H323" s="599"/>
      <c r="I323" s="599"/>
      <c r="J323" s="599"/>
      <c r="K323" s="599"/>
      <c r="L323" s="599"/>
      <c r="M323" s="599"/>
      <c r="N323" s="599"/>
      <c r="O323" s="599"/>
      <c r="P323" s="599"/>
      <c r="Q323" s="599"/>
      <c r="R323" s="599"/>
      <c r="S323" s="1096">
        <f t="shared" si="16"/>
        <v>0</v>
      </c>
      <c r="T323" s="599">
        <v>0</v>
      </c>
      <c r="U323" s="1096">
        <f t="shared" si="19"/>
        <v>0</v>
      </c>
      <c r="V323" s="599">
        <v>0</v>
      </c>
      <c r="W323" s="620"/>
      <c r="X323" s="621"/>
      <c r="Y323" s="1096">
        <f t="shared" si="17"/>
        <v>0</v>
      </c>
      <c r="Z323" s="882">
        <f t="shared" si="18"/>
        <v>0</v>
      </c>
    </row>
    <row r="324" spans="1:26" ht="27" customHeight="1">
      <c r="A324" s="583"/>
      <c r="B324" s="583"/>
      <c r="C324" s="581">
        <v>5</v>
      </c>
      <c r="D324" s="1137" t="s">
        <v>595</v>
      </c>
      <c r="E324" s="1138" t="s">
        <v>315</v>
      </c>
      <c r="F324" s="599"/>
      <c r="G324" s="599"/>
      <c r="H324" s="599"/>
      <c r="I324" s="599"/>
      <c r="J324" s="599"/>
      <c r="K324" s="599"/>
      <c r="L324" s="599"/>
      <c r="M324" s="599"/>
      <c r="N324" s="599"/>
      <c r="O324" s="599"/>
      <c r="P324" s="599"/>
      <c r="Q324" s="599"/>
      <c r="R324" s="599"/>
      <c r="S324" s="1096">
        <f t="shared" si="16"/>
        <v>0</v>
      </c>
      <c r="T324" s="599">
        <v>0</v>
      </c>
      <c r="U324" s="1096">
        <f t="shared" si="19"/>
        <v>0</v>
      </c>
      <c r="V324" s="599">
        <v>0</v>
      </c>
      <c r="W324" s="620"/>
      <c r="X324" s="621"/>
      <c r="Y324" s="1096">
        <f t="shared" si="17"/>
        <v>0</v>
      </c>
      <c r="Z324" s="882">
        <f t="shared" si="18"/>
        <v>0</v>
      </c>
    </row>
    <row r="325" spans="1:26" ht="27" customHeight="1">
      <c r="A325" s="583"/>
      <c r="B325" s="583">
        <v>1018</v>
      </c>
      <c r="C325" s="581">
        <v>10</v>
      </c>
      <c r="D325" s="582" t="s">
        <v>1836</v>
      </c>
      <c r="E325" s="1138" t="s">
        <v>1825</v>
      </c>
      <c r="F325" s="599">
        <v>-4448716025</v>
      </c>
      <c r="G325" s="599">
        <v>724317544</v>
      </c>
      <c r="H325" s="599"/>
      <c r="I325" s="599">
        <v>3724398481</v>
      </c>
      <c r="J325" s="599"/>
      <c r="K325" s="599"/>
      <c r="L325" s="599"/>
      <c r="M325" s="599"/>
      <c r="N325" s="599"/>
      <c r="O325" s="599"/>
      <c r="P325" s="599"/>
      <c r="Q325" s="599"/>
      <c r="R325" s="599"/>
      <c r="S325" s="1096">
        <f t="shared" si="16"/>
        <v>0</v>
      </c>
      <c r="T325" s="599"/>
      <c r="U325" s="1096">
        <f t="shared" si="19"/>
        <v>0</v>
      </c>
      <c r="V325" s="599"/>
      <c r="W325" s="620"/>
      <c r="X325" s="621"/>
      <c r="Y325" s="1096">
        <f t="shared" si="17"/>
        <v>0</v>
      </c>
      <c r="Z325" s="882">
        <f t="shared" si="18"/>
        <v>0</v>
      </c>
    </row>
    <row r="326" spans="1:26" ht="27" customHeight="1">
      <c r="A326" s="583"/>
      <c r="B326" s="583">
        <v>506</v>
      </c>
      <c r="C326" s="581">
        <v>5</v>
      </c>
      <c r="D326" s="1137" t="s">
        <v>333</v>
      </c>
      <c r="E326" s="1138" t="s">
        <v>334</v>
      </c>
      <c r="F326" s="599">
        <v>-410393</v>
      </c>
      <c r="G326" s="599"/>
      <c r="H326" s="599">
        <v>410393</v>
      </c>
      <c r="I326" s="599"/>
      <c r="J326" s="599"/>
      <c r="K326" s="599"/>
      <c r="L326" s="599"/>
      <c r="M326" s="599"/>
      <c r="N326" s="599"/>
      <c r="O326" s="599"/>
      <c r="P326" s="599"/>
      <c r="Q326" s="599"/>
      <c r="R326" s="599"/>
      <c r="S326" s="1096">
        <f t="shared" ref="S326:S390" si="20">SUM(F326:R326)</f>
        <v>0</v>
      </c>
      <c r="T326" s="599">
        <v>-410393</v>
      </c>
      <c r="U326" s="1096">
        <f t="shared" si="19"/>
        <v>0</v>
      </c>
      <c r="V326" s="599">
        <v>0</v>
      </c>
      <c r="W326" s="620"/>
      <c r="X326" s="621"/>
      <c r="Y326" s="1096">
        <f t="shared" ref="Y326:Y390" si="21">S326+X326-W326</f>
        <v>0</v>
      </c>
      <c r="Z326" s="882">
        <f t="shared" ref="Z326:Z390" si="22">ROUND((Y326/1000000),0)</f>
        <v>0</v>
      </c>
    </row>
    <row r="327" spans="1:26" ht="27" customHeight="1">
      <c r="A327" s="583"/>
      <c r="B327" s="583">
        <v>501</v>
      </c>
      <c r="C327" s="581">
        <v>5</v>
      </c>
      <c r="D327" s="1137" t="s">
        <v>902</v>
      </c>
      <c r="E327" s="1138" t="s">
        <v>1030</v>
      </c>
      <c r="F327" s="599">
        <v>-2366295647</v>
      </c>
      <c r="G327" s="599">
        <v>-400000</v>
      </c>
      <c r="H327" s="599"/>
      <c r="I327" s="599"/>
      <c r="J327" s="599"/>
      <c r="K327" s="599"/>
      <c r="L327" s="599"/>
      <c r="M327" s="599"/>
      <c r="N327" s="599"/>
      <c r="O327" s="599"/>
      <c r="P327" s="599"/>
      <c r="Q327" s="599"/>
      <c r="R327" s="599"/>
      <c r="S327" s="1096">
        <f t="shared" si="20"/>
        <v>-2366695647</v>
      </c>
      <c r="T327" s="599">
        <v>-178435576</v>
      </c>
      <c r="U327" s="1096">
        <f t="shared" si="19"/>
        <v>-2367</v>
      </c>
      <c r="V327" s="599">
        <v>-178</v>
      </c>
      <c r="W327" s="620"/>
      <c r="X327" s="621"/>
      <c r="Y327" s="1096">
        <f t="shared" si="21"/>
        <v>-2366695647</v>
      </c>
      <c r="Z327" s="882">
        <f t="shared" si="22"/>
        <v>-2367</v>
      </c>
    </row>
    <row r="328" spans="1:26" ht="27" customHeight="1">
      <c r="A328" s="583"/>
      <c r="B328" s="583"/>
      <c r="C328" s="581">
        <v>9</v>
      </c>
      <c r="D328" s="1137" t="s">
        <v>903</v>
      </c>
      <c r="E328" s="1138" t="s">
        <v>912</v>
      </c>
      <c r="F328" s="599"/>
      <c r="G328" s="599"/>
      <c r="H328" s="599"/>
      <c r="I328" s="599"/>
      <c r="J328" s="599"/>
      <c r="K328" s="599"/>
      <c r="L328" s="599"/>
      <c r="M328" s="599"/>
      <c r="N328" s="599"/>
      <c r="O328" s="599"/>
      <c r="P328" s="599"/>
      <c r="Q328" s="599"/>
      <c r="R328" s="599"/>
      <c r="S328" s="1096">
        <f t="shared" si="20"/>
        <v>0</v>
      </c>
      <c r="T328" s="599">
        <v>0</v>
      </c>
      <c r="U328" s="1096">
        <f t="shared" ref="U328:U392" si="23">ROUND((S328/1000000),0)</f>
        <v>0</v>
      </c>
      <c r="V328" s="599">
        <v>0</v>
      </c>
      <c r="W328" s="620"/>
      <c r="X328" s="621"/>
      <c r="Y328" s="1096">
        <f t="shared" si="21"/>
        <v>0</v>
      </c>
      <c r="Z328" s="882">
        <f t="shared" si="22"/>
        <v>0</v>
      </c>
    </row>
    <row r="329" spans="1:26" ht="27" customHeight="1">
      <c r="A329" s="583"/>
      <c r="B329" s="583">
        <v>506</v>
      </c>
      <c r="C329" s="581">
        <v>5</v>
      </c>
      <c r="D329" s="1137" t="s">
        <v>596</v>
      </c>
      <c r="E329" s="1138" t="s">
        <v>762</v>
      </c>
      <c r="F329" s="599">
        <v>22003418061</v>
      </c>
      <c r="G329" s="599">
        <v>-7471156424</v>
      </c>
      <c r="H329" s="599"/>
      <c r="I329" s="599">
        <v>4294846</v>
      </c>
      <c r="J329" s="599"/>
      <c r="K329" s="599"/>
      <c r="L329" s="599"/>
      <c r="M329" s="599">
        <f>35516250+35516250+46044271+46837926-117076771+59120887</f>
        <v>105958813</v>
      </c>
      <c r="N329" s="599"/>
      <c r="O329" s="599"/>
      <c r="P329" s="599"/>
      <c r="Q329" s="599"/>
      <c r="R329" s="599"/>
      <c r="S329" s="1096">
        <f t="shared" si="20"/>
        <v>14642515296</v>
      </c>
      <c r="T329" s="599">
        <v>33480102107</v>
      </c>
      <c r="U329" s="1096">
        <f t="shared" si="23"/>
        <v>14643</v>
      </c>
      <c r="V329" s="599">
        <v>33480</v>
      </c>
      <c r="W329" s="620"/>
      <c r="X329" s="621"/>
      <c r="Y329" s="1096">
        <f t="shared" si="21"/>
        <v>14642515296</v>
      </c>
      <c r="Z329" s="882">
        <f t="shared" si="22"/>
        <v>14643</v>
      </c>
    </row>
    <row r="330" spans="1:26" ht="27" customHeight="1">
      <c r="A330" s="583">
        <v>3214</v>
      </c>
      <c r="B330" s="583">
        <v>907</v>
      </c>
      <c r="C330" s="581">
        <v>9</v>
      </c>
      <c r="D330" s="1137" t="s">
        <v>596</v>
      </c>
      <c r="E330" s="1138" t="s">
        <v>1458</v>
      </c>
      <c r="F330" s="599"/>
      <c r="G330" s="599"/>
      <c r="H330" s="599"/>
      <c r="I330" s="599"/>
      <c r="J330" s="599"/>
      <c r="K330" s="599"/>
      <c r="L330" s="599"/>
      <c r="M330" s="599"/>
      <c r="N330" s="599"/>
      <c r="O330" s="599"/>
      <c r="P330" s="599"/>
      <c r="Q330" s="599"/>
      <c r="R330" s="599"/>
      <c r="S330" s="1096">
        <f t="shared" si="20"/>
        <v>0</v>
      </c>
      <c r="T330" s="599">
        <v>0</v>
      </c>
      <c r="U330" s="1096">
        <f t="shared" si="23"/>
        <v>0</v>
      </c>
      <c r="V330" s="599">
        <v>0</v>
      </c>
      <c r="W330" s="620"/>
      <c r="X330" s="621"/>
      <c r="Y330" s="1096">
        <f t="shared" si="21"/>
        <v>0</v>
      </c>
      <c r="Z330" s="882">
        <f t="shared" si="22"/>
        <v>0</v>
      </c>
    </row>
    <row r="331" spans="1:26" ht="27" customHeight="1">
      <c r="A331" s="583"/>
      <c r="B331" s="583">
        <v>607</v>
      </c>
      <c r="C331" s="581">
        <v>6</v>
      </c>
      <c r="D331" s="1137" t="s">
        <v>1384</v>
      </c>
      <c r="E331" s="1138" t="s">
        <v>1401</v>
      </c>
      <c r="F331" s="599">
        <v>356994467347</v>
      </c>
      <c r="G331" s="599">
        <v>1030195556</v>
      </c>
      <c r="H331" s="599"/>
      <c r="I331" s="599"/>
      <c r="J331" s="599"/>
      <c r="K331" s="599">
        <v>-19472372700</v>
      </c>
      <c r="L331" s="599"/>
      <c r="M331" s="599">
        <v>1074925224</v>
      </c>
      <c r="N331" s="599"/>
      <c r="O331" s="599">
        <v>-251256712994</v>
      </c>
      <c r="P331" s="599"/>
      <c r="Q331" s="599"/>
      <c r="R331" s="599"/>
      <c r="S331" s="1096">
        <f t="shared" si="20"/>
        <v>88370502433</v>
      </c>
      <c r="T331" s="599">
        <v>28551130413</v>
      </c>
      <c r="U331" s="1096">
        <f t="shared" si="23"/>
        <v>88371</v>
      </c>
      <c r="V331" s="599">
        <v>28551</v>
      </c>
      <c r="W331" s="620"/>
      <c r="X331" s="621"/>
      <c r="Y331" s="1096">
        <f t="shared" si="21"/>
        <v>88370502433</v>
      </c>
      <c r="Z331" s="882">
        <f t="shared" si="22"/>
        <v>88371</v>
      </c>
    </row>
    <row r="332" spans="1:26" ht="27" customHeight="1">
      <c r="A332" s="583"/>
      <c r="B332" s="583">
        <v>607</v>
      </c>
      <c r="C332" s="581">
        <v>6</v>
      </c>
      <c r="D332" s="1137" t="s">
        <v>319</v>
      </c>
      <c r="E332" s="1138" t="s">
        <v>1035</v>
      </c>
      <c r="F332" s="599"/>
      <c r="G332" s="599"/>
      <c r="H332" s="599"/>
      <c r="I332" s="599"/>
      <c r="J332" s="599"/>
      <c r="K332" s="599"/>
      <c r="L332" s="599"/>
      <c r="M332" s="599"/>
      <c r="N332" s="599"/>
      <c r="O332" s="599"/>
      <c r="P332" s="599"/>
      <c r="Q332" s="599"/>
      <c r="R332" s="599"/>
      <c r="S332" s="1096">
        <f t="shared" si="20"/>
        <v>0</v>
      </c>
      <c r="T332" s="599">
        <v>0</v>
      </c>
      <c r="U332" s="1096">
        <f t="shared" si="23"/>
        <v>0</v>
      </c>
      <c r="V332" s="599">
        <v>0</v>
      </c>
      <c r="W332" s="620"/>
      <c r="X332" s="621"/>
      <c r="Y332" s="1096">
        <f t="shared" si="21"/>
        <v>0</v>
      </c>
      <c r="Z332" s="882">
        <f t="shared" si="22"/>
        <v>0</v>
      </c>
    </row>
    <row r="333" spans="1:26" ht="27" customHeight="1">
      <c r="A333" s="583"/>
      <c r="B333" s="1238">
        <v>607</v>
      </c>
      <c r="C333" s="1235">
        <v>6</v>
      </c>
      <c r="D333" s="1137" t="s">
        <v>321</v>
      </c>
      <c r="E333" s="1138" t="s">
        <v>1656</v>
      </c>
      <c r="F333" s="599">
        <v>51172990600</v>
      </c>
      <c r="G333" s="599">
        <v>787380000</v>
      </c>
      <c r="H333" s="599"/>
      <c r="I333" s="599">
        <v>409516760</v>
      </c>
      <c r="J333" s="599"/>
      <c r="K333" s="599"/>
      <c r="L333" s="599"/>
      <c r="M333" s="599">
        <v>851598660</v>
      </c>
      <c r="N333" s="599"/>
      <c r="O333" s="599"/>
      <c r="P333" s="599"/>
      <c r="Q333" s="599"/>
      <c r="R333" s="599"/>
      <c r="S333" s="1096">
        <f t="shared" si="20"/>
        <v>53221486020</v>
      </c>
      <c r="T333" s="599">
        <v>-26382505305</v>
      </c>
      <c r="U333" s="1096">
        <f t="shared" si="23"/>
        <v>53221</v>
      </c>
      <c r="V333" s="599">
        <v>-26383</v>
      </c>
      <c r="W333" s="620"/>
      <c r="X333" s="621"/>
      <c r="Y333" s="1096">
        <f t="shared" si="21"/>
        <v>53221486020</v>
      </c>
      <c r="Z333" s="882">
        <f t="shared" si="22"/>
        <v>53221</v>
      </c>
    </row>
    <row r="334" spans="1:26" ht="27" customHeight="1">
      <c r="A334" s="583">
        <v>11</v>
      </c>
      <c r="B334" s="583">
        <v>907</v>
      </c>
      <c r="C334" s="581">
        <v>9</v>
      </c>
      <c r="D334" s="1137" t="s">
        <v>323</v>
      </c>
      <c r="E334" s="1138" t="s">
        <v>1037</v>
      </c>
      <c r="F334" s="599">
        <v>163136258056</v>
      </c>
      <c r="G334" s="599"/>
      <c r="H334" s="599"/>
      <c r="I334" s="599"/>
      <c r="J334" s="599">
        <v>-163136258056</v>
      </c>
      <c r="K334" s="599">
        <v>0</v>
      </c>
      <c r="L334" s="599"/>
      <c r="M334" s="599">
        <f>837168552+4949067239-5786235791</f>
        <v>0</v>
      </c>
      <c r="N334" s="599"/>
      <c r="O334" s="599"/>
      <c r="P334" s="599"/>
      <c r="Q334" s="599"/>
      <c r="R334" s="599"/>
      <c r="S334" s="1096">
        <f t="shared" si="20"/>
        <v>0</v>
      </c>
      <c r="T334" s="599">
        <v>0</v>
      </c>
      <c r="U334" s="1096">
        <f t="shared" si="23"/>
        <v>0</v>
      </c>
      <c r="V334" s="599">
        <v>0</v>
      </c>
      <c r="W334" s="620"/>
      <c r="X334" s="621"/>
      <c r="Y334" s="1096">
        <f t="shared" si="21"/>
        <v>0</v>
      </c>
      <c r="Z334" s="882">
        <f t="shared" si="22"/>
        <v>0</v>
      </c>
    </row>
    <row r="335" spans="1:26" ht="27" customHeight="1">
      <c r="A335" s="583">
        <v>11</v>
      </c>
      <c r="B335" s="583">
        <v>907</v>
      </c>
      <c r="C335" s="581">
        <v>9</v>
      </c>
      <c r="D335" s="1137" t="s">
        <v>325</v>
      </c>
      <c r="E335" s="1138" t="s">
        <v>1038</v>
      </c>
      <c r="F335" s="599">
        <v>17745298414</v>
      </c>
      <c r="G335" s="599">
        <v>6666701600</v>
      </c>
      <c r="H335" s="599"/>
      <c r="I335" s="599"/>
      <c r="J335" s="599">
        <v>-24412000014</v>
      </c>
      <c r="K335" s="599"/>
      <c r="L335" s="599"/>
      <c r="M335" s="599"/>
      <c r="N335" s="599"/>
      <c r="O335" s="599"/>
      <c r="P335" s="599"/>
      <c r="Q335" s="599"/>
      <c r="R335" s="599"/>
      <c r="S335" s="1096">
        <f t="shared" si="20"/>
        <v>0</v>
      </c>
      <c r="T335" s="599">
        <v>0</v>
      </c>
      <c r="U335" s="1096">
        <f t="shared" si="23"/>
        <v>0</v>
      </c>
      <c r="V335" s="599">
        <v>0</v>
      </c>
      <c r="W335" s="620"/>
      <c r="X335" s="621"/>
      <c r="Y335" s="1096">
        <f t="shared" si="21"/>
        <v>0</v>
      </c>
      <c r="Z335" s="882">
        <f t="shared" si="22"/>
        <v>0</v>
      </c>
    </row>
    <row r="336" spans="1:26" ht="27" customHeight="1">
      <c r="A336" s="583"/>
      <c r="B336" s="583">
        <v>906</v>
      </c>
      <c r="C336" s="581">
        <v>9</v>
      </c>
      <c r="D336" s="1137" t="s">
        <v>751</v>
      </c>
      <c r="E336" s="1138" t="s">
        <v>752</v>
      </c>
      <c r="F336" s="599"/>
      <c r="G336" s="599"/>
      <c r="H336" s="599"/>
      <c r="I336" s="599"/>
      <c r="J336" s="599"/>
      <c r="K336" s="599"/>
      <c r="L336" s="599"/>
      <c r="M336" s="599"/>
      <c r="N336" s="599"/>
      <c r="O336" s="599"/>
      <c r="P336" s="599"/>
      <c r="Q336" s="599"/>
      <c r="R336" s="599"/>
      <c r="S336" s="1096">
        <f t="shared" si="20"/>
        <v>0</v>
      </c>
      <c r="T336" s="599">
        <v>0</v>
      </c>
      <c r="U336" s="1096">
        <f t="shared" si="23"/>
        <v>0</v>
      </c>
      <c r="V336" s="599">
        <v>0</v>
      </c>
      <c r="W336" s="620"/>
      <c r="X336" s="621"/>
      <c r="Y336" s="1096">
        <f t="shared" si="21"/>
        <v>0</v>
      </c>
      <c r="Z336" s="882">
        <f t="shared" si="22"/>
        <v>0</v>
      </c>
    </row>
    <row r="337" spans="1:26" ht="27" customHeight="1">
      <c r="A337" s="583"/>
      <c r="B337" s="583">
        <v>907</v>
      </c>
      <c r="C337" s="581">
        <v>9</v>
      </c>
      <c r="D337" s="1137" t="s">
        <v>751</v>
      </c>
      <c r="E337" s="1138" t="s">
        <v>752</v>
      </c>
      <c r="F337" s="599"/>
      <c r="G337" s="599"/>
      <c r="H337" s="599"/>
      <c r="I337" s="599"/>
      <c r="J337" s="599"/>
      <c r="K337" s="599"/>
      <c r="L337" s="599"/>
      <c r="M337" s="599"/>
      <c r="N337" s="599"/>
      <c r="O337" s="599"/>
      <c r="P337" s="599"/>
      <c r="Q337" s="599"/>
      <c r="R337" s="599"/>
      <c r="S337" s="1096">
        <f t="shared" si="20"/>
        <v>0</v>
      </c>
      <c r="T337" s="599">
        <v>0</v>
      </c>
      <c r="U337" s="1096">
        <f t="shared" si="23"/>
        <v>0</v>
      </c>
      <c r="V337" s="599">
        <v>0</v>
      </c>
      <c r="W337" s="620"/>
      <c r="X337" s="621"/>
      <c r="Y337" s="1096">
        <f t="shared" si="21"/>
        <v>0</v>
      </c>
      <c r="Z337" s="882">
        <f t="shared" si="22"/>
        <v>0</v>
      </c>
    </row>
    <row r="338" spans="1:26" ht="27" customHeight="1">
      <c r="A338" s="583"/>
      <c r="B338" s="583">
        <v>601</v>
      </c>
      <c r="C338" s="581">
        <v>6</v>
      </c>
      <c r="D338" s="1137" t="s">
        <v>750</v>
      </c>
      <c r="E338" s="1138" t="s">
        <v>752</v>
      </c>
      <c r="F338" s="599"/>
      <c r="G338" s="599"/>
      <c r="H338" s="599"/>
      <c r="I338" s="599"/>
      <c r="J338" s="599"/>
      <c r="K338" s="599"/>
      <c r="L338" s="599"/>
      <c r="M338" s="599"/>
      <c r="N338" s="599"/>
      <c r="O338" s="599"/>
      <c r="P338" s="599"/>
      <c r="Q338" s="599"/>
      <c r="R338" s="599"/>
      <c r="S338" s="1096">
        <f t="shared" si="20"/>
        <v>0</v>
      </c>
      <c r="T338" s="599">
        <v>0</v>
      </c>
      <c r="U338" s="1096">
        <f t="shared" si="23"/>
        <v>0</v>
      </c>
      <c r="V338" s="599">
        <v>0</v>
      </c>
      <c r="W338" s="620"/>
      <c r="X338" s="621"/>
      <c r="Y338" s="1096">
        <f t="shared" si="21"/>
        <v>0</v>
      </c>
      <c r="Z338" s="882">
        <f t="shared" si="22"/>
        <v>0</v>
      </c>
    </row>
    <row r="339" spans="1:26" ht="27" customHeight="1">
      <c r="A339" s="583"/>
      <c r="B339" s="583">
        <v>302</v>
      </c>
      <c r="C339" s="581">
        <v>3</v>
      </c>
      <c r="D339" s="1137" t="s">
        <v>750</v>
      </c>
      <c r="E339" s="1138" t="s">
        <v>752</v>
      </c>
      <c r="F339" s="599"/>
      <c r="G339" s="599"/>
      <c r="H339" s="599"/>
      <c r="I339" s="599"/>
      <c r="J339" s="599"/>
      <c r="K339" s="599"/>
      <c r="L339" s="599"/>
      <c r="M339" s="599"/>
      <c r="N339" s="599"/>
      <c r="O339" s="599"/>
      <c r="P339" s="599"/>
      <c r="Q339" s="599"/>
      <c r="R339" s="599"/>
      <c r="S339" s="1096">
        <f t="shared" si="20"/>
        <v>0</v>
      </c>
      <c r="T339" s="599">
        <v>0</v>
      </c>
      <c r="U339" s="1096">
        <f t="shared" si="23"/>
        <v>0</v>
      </c>
      <c r="V339" s="599">
        <v>0</v>
      </c>
      <c r="W339" s="620"/>
      <c r="X339" s="621"/>
      <c r="Y339" s="1096">
        <f t="shared" si="21"/>
        <v>0</v>
      </c>
      <c r="Z339" s="882">
        <f t="shared" si="22"/>
        <v>0</v>
      </c>
    </row>
    <row r="340" spans="1:26" ht="27" customHeight="1">
      <c r="A340" s="583"/>
      <c r="B340" s="583"/>
      <c r="C340" s="581">
        <v>12</v>
      </c>
      <c r="D340" s="1137" t="s">
        <v>327</v>
      </c>
      <c r="E340" s="1138" t="s">
        <v>328</v>
      </c>
      <c r="F340" s="599">
        <v>-12000000000000</v>
      </c>
      <c r="G340" s="599"/>
      <c r="H340" s="599"/>
      <c r="I340" s="599"/>
      <c r="J340" s="599"/>
      <c r="K340" s="599"/>
      <c r="L340" s="599"/>
      <c r="M340" s="599"/>
      <c r="N340" s="599"/>
      <c r="O340" s="599"/>
      <c r="P340" s="599"/>
      <c r="Q340" s="599"/>
      <c r="R340" s="599"/>
      <c r="S340" s="1096">
        <f t="shared" si="20"/>
        <v>-12000000000000</v>
      </c>
      <c r="T340" s="599">
        <v>-12000000000000</v>
      </c>
      <c r="U340" s="1096">
        <f t="shared" si="23"/>
        <v>-12000000</v>
      </c>
      <c r="V340" s="599">
        <v>-12000000</v>
      </c>
      <c r="W340" s="620"/>
      <c r="X340" s="621"/>
      <c r="Y340" s="1096">
        <f t="shared" si="21"/>
        <v>-12000000000000</v>
      </c>
      <c r="Z340" s="882">
        <f t="shared" si="22"/>
        <v>-12000000</v>
      </c>
    </row>
    <row r="341" spans="1:26" ht="27" customHeight="1">
      <c r="A341" s="583"/>
      <c r="B341" s="583">
        <v>10040</v>
      </c>
      <c r="C341" s="581">
        <v>4</v>
      </c>
      <c r="D341" s="1137" t="s">
        <v>1345</v>
      </c>
      <c r="E341" s="1138" t="s">
        <v>1346</v>
      </c>
      <c r="F341" s="599"/>
      <c r="G341" s="599"/>
      <c r="H341" s="599"/>
      <c r="I341" s="599"/>
      <c r="J341" s="599"/>
      <c r="K341" s="599"/>
      <c r="L341" s="599"/>
      <c r="M341" s="599"/>
      <c r="N341" s="599"/>
      <c r="O341" s="599"/>
      <c r="P341" s="599"/>
      <c r="Q341" s="599"/>
      <c r="R341" s="599"/>
      <c r="S341" s="1096">
        <f t="shared" si="20"/>
        <v>0</v>
      </c>
      <c r="T341" s="599">
        <v>0</v>
      </c>
      <c r="U341" s="1096">
        <f t="shared" si="23"/>
        <v>0</v>
      </c>
      <c r="V341" s="599">
        <v>0</v>
      </c>
      <c r="W341" s="620"/>
      <c r="X341" s="621"/>
      <c r="Y341" s="1096">
        <f t="shared" si="21"/>
        <v>0</v>
      </c>
      <c r="Z341" s="882">
        <f t="shared" si="22"/>
        <v>0</v>
      </c>
    </row>
    <row r="342" spans="1:26" ht="27" customHeight="1">
      <c r="A342" s="583"/>
      <c r="B342" s="583">
        <v>1401</v>
      </c>
      <c r="C342" s="581">
        <v>13</v>
      </c>
      <c r="D342" s="1137" t="s">
        <v>329</v>
      </c>
      <c r="E342" s="1138" t="s">
        <v>330</v>
      </c>
      <c r="F342" s="599">
        <v>-500000</v>
      </c>
      <c r="G342" s="599"/>
      <c r="H342" s="599"/>
      <c r="I342" s="599"/>
      <c r="J342" s="599"/>
      <c r="K342" s="599"/>
      <c r="L342" s="599"/>
      <c r="M342" s="599"/>
      <c r="N342" s="599"/>
      <c r="O342" s="599"/>
      <c r="P342" s="599"/>
      <c r="Q342" s="599"/>
      <c r="R342" s="599"/>
      <c r="S342" s="1096">
        <f t="shared" si="20"/>
        <v>-500000</v>
      </c>
      <c r="T342" s="599">
        <v>-500000</v>
      </c>
      <c r="U342" s="1096">
        <f t="shared" si="23"/>
        <v>-1</v>
      </c>
      <c r="V342" s="599">
        <v>-1</v>
      </c>
      <c r="W342" s="620"/>
      <c r="X342" s="621"/>
      <c r="Y342" s="1096">
        <f t="shared" si="21"/>
        <v>-500000</v>
      </c>
      <c r="Z342" s="882">
        <f t="shared" si="22"/>
        <v>-1</v>
      </c>
    </row>
    <row r="343" spans="1:26" ht="27" customHeight="1">
      <c r="A343" s="583"/>
      <c r="B343" s="583">
        <v>1402</v>
      </c>
      <c r="C343" s="581">
        <v>13</v>
      </c>
      <c r="D343" s="1137" t="s">
        <v>331</v>
      </c>
      <c r="E343" s="1138" t="s">
        <v>332</v>
      </c>
      <c r="F343" s="599">
        <v>-2735500000</v>
      </c>
      <c r="G343" s="599"/>
      <c r="H343" s="599"/>
      <c r="I343" s="599"/>
      <c r="J343" s="599"/>
      <c r="K343" s="599"/>
      <c r="L343" s="599"/>
      <c r="M343" s="599"/>
      <c r="N343" s="599"/>
      <c r="O343" s="599"/>
      <c r="P343" s="599"/>
      <c r="Q343" s="599"/>
      <c r="R343" s="599"/>
      <c r="S343" s="1096">
        <f t="shared" si="20"/>
        <v>-2735500000</v>
      </c>
      <c r="T343" s="599">
        <v>-2735500000</v>
      </c>
      <c r="U343" s="1096">
        <f t="shared" si="23"/>
        <v>-2736</v>
      </c>
      <c r="V343" s="599">
        <v>-2736</v>
      </c>
      <c r="W343" s="620"/>
      <c r="X343" s="621"/>
      <c r="Y343" s="1096">
        <f t="shared" si="21"/>
        <v>-2735500000</v>
      </c>
      <c r="Z343" s="882">
        <f t="shared" si="22"/>
        <v>-2736</v>
      </c>
    </row>
    <row r="344" spans="1:26" ht="27" customHeight="1">
      <c r="A344" s="583"/>
      <c r="B344" s="583">
        <v>406</v>
      </c>
      <c r="C344" s="581">
        <v>4</v>
      </c>
      <c r="D344" s="1137" t="s">
        <v>1211</v>
      </c>
      <c r="E344" s="1138" t="s">
        <v>1165</v>
      </c>
      <c r="F344" s="599"/>
      <c r="G344" s="599"/>
      <c r="H344" s="599"/>
      <c r="I344" s="599"/>
      <c r="J344" s="599"/>
      <c r="K344" s="599"/>
      <c r="L344" s="599"/>
      <c r="M344" s="599"/>
      <c r="N344" s="599"/>
      <c r="O344" s="599"/>
      <c r="P344" s="599"/>
      <c r="Q344" s="599"/>
      <c r="R344" s="599"/>
      <c r="S344" s="1096">
        <f t="shared" si="20"/>
        <v>0</v>
      </c>
      <c r="T344" s="599">
        <v>0</v>
      </c>
      <c r="U344" s="1096">
        <f t="shared" si="23"/>
        <v>0</v>
      </c>
      <c r="V344" s="599">
        <v>0</v>
      </c>
      <c r="W344" s="620"/>
      <c r="X344" s="621"/>
      <c r="Y344" s="1096">
        <f t="shared" si="21"/>
        <v>0</v>
      </c>
      <c r="Z344" s="882">
        <f t="shared" si="22"/>
        <v>0</v>
      </c>
    </row>
    <row r="345" spans="1:26" ht="27" customHeight="1">
      <c r="A345" s="583"/>
      <c r="B345" s="583">
        <v>901</v>
      </c>
      <c r="C345" s="581">
        <v>9</v>
      </c>
      <c r="D345" s="1137" t="s">
        <v>112</v>
      </c>
      <c r="E345" s="1138" t="s">
        <v>113</v>
      </c>
      <c r="F345" s="599">
        <v>2311572271172</v>
      </c>
      <c r="G345" s="599">
        <v>0</v>
      </c>
      <c r="H345" s="599">
        <v>36197451825</v>
      </c>
      <c r="I345" s="599"/>
      <c r="J345" s="599"/>
      <c r="K345" s="599"/>
      <c r="L345" s="599"/>
      <c r="M345" s="599"/>
      <c r="N345" s="599"/>
      <c r="O345" s="599"/>
      <c r="P345" s="599"/>
      <c r="Q345" s="599"/>
      <c r="R345" s="599"/>
      <c r="S345" s="1096">
        <f t="shared" si="20"/>
        <v>2347769722997</v>
      </c>
      <c r="T345" s="599">
        <v>2311572271172</v>
      </c>
      <c r="U345" s="1096">
        <f>ROUND((S345/1000000),0)-1</f>
        <v>2347769</v>
      </c>
      <c r="V345" s="599">
        <v>2311572</v>
      </c>
      <c r="W345" s="620"/>
      <c r="X345" s="621"/>
      <c r="Y345" s="1096">
        <f t="shared" si="21"/>
        <v>2347769722997</v>
      </c>
      <c r="Z345" s="882">
        <f t="shared" si="22"/>
        <v>2347770</v>
      </c>
    </row>
    <row r="346" spans="1:26" ht="27" customHeight="1">
      <c r="A346" s="583"/>
      <c r="B346" s="583">
        <v>901</v>
      </c>
      <c r="C346" s="1231">
        <v>9</v>
      </c>
      <c r="D346" s="1230">
        <v>90002006</v>
      </c>
      <c r="E346" s="1138" t="s">
        <v>1829</v>
      </c>
      <c r="F346" s="599"/>
      <c r="G346" s="599"/>
      <c r="H346" s="599">
        <v>36197451825</v>
      </c>
      <c r="I346" s="599">
        <v>-36197451825</v>
      </c>
      <c r="J346" s="599"/>
      <c r="K346" s="599"/>
      <c r="L346" s="599"/>
      <c r="M346" s="599"/>
      <c r="N346" s="599"/>
      <c r="O346" s="599"/>
      <c r="P346" s="599"/>
      <c r="Q346" s="599"/>
      <c r="R346" s="599"/>
      <c r="S346" s="1096">
        <f t="shared" si="20"/>
        <v>0</v>
      </c>
      <c r="T346" s="599"/>
      <c r="U346" s="1096">
        <f t="shared" si="23"/>
        <v>0</v>
      </c>
      <c r="V346" s="599"/>
      <c r="W346" s="620"/>
      <c r="X346" s="621"/>
      <c r="Y346" s="1096">
        <f t="shared" si="21"/>
        <v>0</v>
      </c>
      <c r="Z346" s="882">
        <f t="shared" si="22"/>
        <v>0</v>
      </c>
    </row>
    <row r="347" spans="1:26" ht="27" customHeight="1">
      <c r="A347" s="583"/>
      <c r="B347" s="583">
        <v>902</v>
      </c>
      <c r="C347" s="581">
        <v>9</v>
      </c>
      <c r="D347" s="1137" t="s">
        <v>114</v>
      </c>
      <c r="E347" s="1138" t="s">
        <v>921</v>
      </c>
      <c r="F347" s="599">
        <v>31786351911258</v>
      </c>
      <c r="G347" s="599">
        <v>300423986812</v>
      </c>
      <c r="H347" s="599">
        <v>231468431037</v>
      </c>
      <c r="I347" s="599"/>
      <c r="J347" s="599"/>
      <c r="K347" s="599"/>
      <c r="L347" s="599"/>
      <c r="M347" s="599"/>
      <c r="N347" s="599"/>
      <c r="O347" s="599"/>
      <c r="P347" s="599"/>
      <c r="Q347" s="599"/>
      <c r="R347" s="599"/>
      <c r="S347" s="1096">
        <f t="shared" si="20"/>
        <v>32318244329107</v>
      </c>
      <c r="T347" s="599">
        <v>31055981989806</v>
      </c>
      <c r="U347" s="1096">
        <f t="shared" si="23"/>
        <v>32318244</v>
      </c>
      <c r="V347" s="599">
        <v>31055982</v>
      </c>
      <c r="W347" s="620"/>
      <c r="X347" s="621"/>
      <c r="Y347" s="1096">
        <f t="shared" si="21"/>
        <v>32318244329107</v>
      </c>
      <c r="Z347" s="882">
        <f t="shared" si="22"/>
        <v>32318244</v>
      </c>
    </row>
    <row r="348" spans="1:26" ht="27" customHeight="1">
      <c r="A348" s="583"/>
      <c r="B348" s="583"/>
      <c r="C348" s="581"/>
      <c r="D348" s="1137">
        <v>90002102</v>
      </c>
      <c r="E348" s="1138"/>
      <c r="F348" s="599"/>
      <c r="G348" s="599"/>
      <c r="H348" s="599"/>
      <c r="I348" s="599"/>
      <c r="J348" s="599"/>
      <c r="K348" s="599"/>
      <c r="L348" s="599"/>
      <c r="M348" s="599"/>
      <c r="N348" s="599"/>
      <c r="O348" s="599"/>
      <c r="P348" s="599"/>
      <c r="Q348" s="599"/>
      <c r="R348" s="599"/>
      <c r="S348" s="1096"/>
      <c r="T348" s="599"/>
      <c r="U348" s="1096"/>
      <c r="V348" s="599"/>
      <c r="W348" s="620"/>
      <c r="X348" s="621"/>
      <c r="Y348" s="1096"/>
      <c r="Z348" s="882"/>
    </row>
    <row r="349" spans="1:26" ht="27" customHeight="1">
      <c r="A349" s="583"/>
      <c r="B349" s="583">
        <v>902</v>
      </c>
      <c r="C349" s="581">
        <v>9</v>
      </c>
      <c r="D349" s="1137" t="s">
        <v>1666</v>
      </c>
      <c r="E349" s="1138" t="s">
        <v>1645</v>
      </c>
      <c r="F349" s="599"/>
      <c r="G349" s="599"/>
      <c r="H349" s="599"/>
      <c r="I349" s="599"/>
      <c r="J349" s="599"/>
      <c r="K349" s="599"/>
      <c r="L349" s="599"/>
      <c r="M349" s="599"/>
      <c r="N349" s="599"/>
      <c r="O349" s="599"/>
      <c r="P349" s="599"/>
      <c r="Q349" s="599"/>
      <c r="R349" s="599"/>
      <c r="S349" s="1096">
        <f t="shared" si="20"/>
        <v>0</v>
      </c>
      <c r="T349" s="599">
        <v>0</v>
      </c>
      <c r="U349" s="1096">
        <f t="shared" si="23"/>
        <v>0</v>
      </c>
      <c r="V349" s="599">
        <v>0</v>
      </c>
      <c r="W349" s="620"/>
      <c r="X349" s="621"/>
      <c r="Y349" s="1096">
        <f t="shared" si="21"/>
        <v>0</v>
      </c>
      <c r="Z349" s="882">
        <f t="shared" si="22"/>
        <v>0</v>
      </c>
    </row>
    <row r="350" spans="1:26" ht="27" customHeight="1">
      <c r="A350" s="583"/>
      <c r="B350" s="583"/>
      <c r="C350" s="581">
        <v>8</v>
      </c>
      <c r="D350" s="1137" t="s">
        <v>667</v>
      </c>
      <c r="E350" s="1138" t="s">
        <v>666</v>
      </c>
      <c r="F350" s="599">
        <v>8557763010</v>
      </c>
      <c r="G350" s="599"/>
      <c r="H350" s="599"/>
      <c r="I350" s="599"/>
      <c r="J350" s="599"/>
      <c r="K350" s="599"/>
      <c r="L350" s="599"/>
      <c r="M350" s="599"/>
      <c r="N350" s="599"/>
      <c r="O350" s="599"/>
      <c r="P350" s="599"/>
      <c r="Q350" s="599"/>
      <c r="R350" s="599"/>
      <c r="S350" s="1096">
        <f t="shared" si="20"/>
        <v>8557763010</v>
      </c>
      <c r="T350" s="599">
        <v>8557763010</v>
      </c>
      <c r="U350" s="1096">
        <f t="shared" si="23"/>
        <v>8558</v>
      </c>
      <c r="V350" s="599">
        <v>8558</v>
      </c>
      <c r="W350" s="620"/>
      <c r="X350" s="621"/>
      <c r="Y350" s="1096">
        <f t="shared" si="21"/>
        <v>8557763010</v>
      </c>
      <c r="Z350" s="882">
        <f t="shared" si="22"/>
        <v>8558</v>
      </c>
    </row>
    <row r="351" spans="1:26" ht="27" customHeight="1">
      <c r="A351" s="583"/>
      <c r="B351" s="583">
        <v>903</v>
      </c>
      <c r="C351" s="581">
        <v>9</v>
      </c>
      <c r="D351" s="1137" t="s">
        <v>105</v>
      </c>
      <c r="E351" s="1138" t="s">
        <v>914</v>
      </c>
      <c r="F351" s="599">
        <v>1274580222376</v>
      </c>
      <c r="G351" s="599"/>
      <c r="H351" s="599"/>
      <c r="I351" s="599">
        <v>271467039483</v>
      </c>
      <c r="J351" s="599"/>
      <c r="K351" s="599"/>
      <c r="L351" s="599"/>
      <c r="M351" s="599"/>
      <c r="N351" s="599"/>
      <c r="O351" s="599"/>
      <c r="P351" s="599"/>
      <c r="Q351" s="599"/>
      <c r="R351" s="599"/>
      <c r="S351" s="1096">
        <f t="shared" si="20"/>
        <v>1546047261859</v>
      </c>
      <c r="T351" s="599">
        <v>1274580222376</v>
      </c>
      <c r="U351" s="1096">
        <f t="shared" si="23"/>
        <v>1546047</v>
      </c>
      <c r="V351" s="599">
        <v>1274580</v>
      </c>
      <c r="W351" s="620"/>
      <c r="X351" s="621"/>
      <c r="Y351" s="1096">
        <f t="shared" si="21"/>
        <v>1546047261859</v>
      </c>
      <c r="Z351" s="882">
        <f t="shared" si="22"/>
        <v>1546047</v>
      </c>
    </row>
    <row r="352" spans="1:26" ht="27" customHeight="1">
      <c r="A352" s="583"/>
      <c r="B352" s="583">
        <v>903</v>
      </c>
      <c r="C352" s="581">
        <v>9</v>
      </c>
      <c r="D352" s="1137" t="s">
        <v>1108</v>
      </c>
      <c r="E352" s="1138" t="s">
        <v>1109</v>
      </c>
      <c r="F352" s="599">
        <v>226514969242</v>
      </c>
      <c r="G352" s="599">
        <v>17688616457</v>
      </c>
      <c r="H352" s="599">
        <v>28687994213</v>
      </c>
      <c r="I352" s="599">
        <v>-272891579912</v>
      </c>
      <c r="J352" s="599"/>
      <c r="K352" s="599"/>
      <c r="L352" s="599"/>
      <c r="M352" s="599"/>
      <c r="N352" s="599"/>
      <c r="O352" s="599"/>
      <c r="P352" s="599"/>
      <c r="Q352" s="599"/>
      <c r="R352" s="599"/>
      <c r="S352" s="1096">
        <f t="shared" si="20"/>
        <v>0</v>
      </c>
      <c r="T352" s="599">
        <v>0</v>
      </c>
      <c r="U352" s="1096">
        <f t="shared" si="23"/>
        <v>0</v>
      </c>
      <c r="V352" s="599">
        <v>0</v>
      </c>
      <c r="W352" s="620"/>
      <c r="X352" s="621"/>
      <c r="Y352" s="1096">
        <f t="shared" si="21"/>
        <v>0</v>
      </c>
      <c r="Z352" s="882">
        <f t="shared" si="22"/>
        <v>0</v>
      </c>
    </row>
    <row r="353" spans="1:26" ht="27" customHeight="1">
      <c r="A353" s="583"/>
      <c r="B353" s="583">
        <v>903</v>
      </c>
      <c r="C353" s="581">
        <v>9</v>
      </c>
      <c r="D353" s="1137" t="s">
        <v>1110</v>
      </c>
      <c r="E353" s="1138" t="s">
        <v>1111</v>
      </c>
      <c r="F353" s="599">
        <v>-1424540429</v>
      </c>
      <c r="G353" s="599"/>
      <c r="H353" s="599"/>
      <c r="I353" s="599">
        <v>1424540429</v>
      </c>
      <c r="J353" s="599"/>
      <c r="K353" s="599"/>
      <c r="L353" s="599"/>
      <c r="M353" s="599"/>
      <c r="N353" s="599"/>
      <c r="O353" s="599"/>
      <c r="P353" s="599"/>
      <c r="Q353" s="599"/>
      <c r="R353" s="599"/>
      <c r="S353" s="1096">
        <f t="shared" si="20"/>
        <v>0</v>
      </c>
      <c r="T353" s="599">
        <v>0</v>
      </c>
      <c r="U353" s="1096">
        <f t="shared" si="23"/>
        <v>0</v>
      </c>
      <c r="V353" s="599">
        <v>0</v>
      </c>
      <c r="W353" s="620"/>
      <c r="X353" s="621"/>
      <c r="Y353" s="1096">
        <f t="shared" si="21"/>
        <v>0</v>
      </c>
      <c r="Z353" s="882">
        <f t="shared" si="22"/>
        <v>0</v>
      </c>
    </row>
    <row r="354" spans="1:26" ht="27" customHeight="1">
      <c r="A354" s="583"/>
      <c r="B354" s="583">
        <v>903</v>
      </c>
      <c r="C354" s="581">
        <v>9</v>
      </c>
      <c r="D354" s="1137" t="s">
        <v>1612</v>
      </c>
      <c r="E354" s="1138" t="s">
        <v>1112</v>
      </c>
      <c r="F354" s="599"/>
      <c r="G354" s="599"/>
      <c r="H354" s="599"/>
      <c r="I354" s="599"/>
      <c r="J354" s="599"/>
      <c r="K354" s="599"/>
      <c r="L354" s="599"/>
      <c r="M354" s="599"/>
      <c r="N354" s="599"/>
      <c r="O354" s="599"/>
      <c r="P354" s="599"/>
      <c r="Q354" s="599"/>
      <c r="R354" s="599"/>
      <c r="S354" s="1096">
        <f t="shared" si="20"/>
        <v>0</v>
      </c>
      <c r="T354" s="599">
        <v>0</v>
      </c>
      <c r="U354" s="1096">
        <f t="shared" si="23"/>
        <v>0</v>
      </c>
      <c r="V354" s="599">
        <v>0</v>
      </c>
      <c r="W354" s="620"/>
      <c r="X354" s="621"/>
      <c r="Y354" s="1096">
        <f t="shared" si="21"/>
        <v>0</v>
      </c>
      <c r="Z354" s="882">
        <f t="shared" si="22"/>
        <v>0</v>
      </c>
    </row>
    <row r="355" spans="1:26" ht="27" customHeight="1">
      <c r="A355" s="583"/>
      <c r="B355" s="583">
        <v>902</v>
      </c>
      <c r="C355" s="581">
        <v>9</v>
      </c>
      <c r="D355" s="1137">
        <v>90002140</v>
      </c>
      <c r="E355" s="1138" t="s">
        <v>1819</v>
      </c>
      <c r="F355" s="599"/>
      <c r="G355" s="599"/>
      <c r="H355" s="599"/>
      <c r="I355" s="599"/>
      <c r="J355" s="599"/>
      <c r="K355" s="599"/>
      <c r="L355" s="599"/>
      <c r="M355" s="599"/>
      <c r="N355" s="599"/>
      <c r="O355" s="599"/>
      <c r="P355" s="599"/>
      <c r="Q355" s="599"/>
      <c r="R355" s="599"/>
      <c r="S355" s="1096">
        <f t="shared" si="20"/>
        <v>0</v>
      </c>
      <c r="T355" s="599"/>
      <c r="U355" s="1096">
        <f t="shared" si="23"/>
        <v>0</v>
      </c>
      <c r="V355" s="599"/>
      <c r="W355" s="620"/>
      <c r="X355" s="621"/>
      <c r="Y355" s="1096">
        <f t="shared" si="21"/>
        <v>0</v>
      </c>
      <c r="Z355" s="882">
        <f t="shared" si="22"/>
        <v>0</v>
      </c>
    </row>
    <row r="356" spans="1:26" ht="27" customHeight="1">
      <c r="A356" s="583"/>
      <c r="B356" s="583">
        <v>905</v>
      </c>
      <c r="C356" s="581">
        <v>9</v>
      </c>
      <c r="D356" s="1137" t="s">
        <v>107</v>
      </c>
      <c r="E356" s="1138" t="s">
        <v>918</v>
      </c>
      <c r="F356" s="599">
        <v>645834579657</v>
      </c>
      <c r="G356" s="599"/>
      <c r="H356" s="599"/>
      <c r="I356" s="599">
        <v>14483423633</v>
      </c>
      <c r="J356" s="599"/>
      <c r="K356" s="599"/>
      <c r="L356" s="599"/>
      <c r="M356" s="599"/>
      <c r="N356" s="599"/>
      <c r="O356" s="599"/>
      <c r="P356" s="599"/>
      <c r="Q356" s="599"/>
      <c r="R356" s="599"/>
      <c r="S356" s="1096">
        <f t="shared" si="20"/>
        <v>660318003290</v>
      </c>
      <c r="T356" s="599">
        <v>645834579657</v>
      </c>
      <c r="U356" s="1096">
        <f t="shared" si="23"/>
        <v>660318</v>
      </c>
      <c r="V356" s="599">
        <v>645835</v>
      </c>
      <c r="W356" s="620"/>
      <c r="X356" s="621"/>
      <c r="Y356" s="1096">
        <f t="shared" si="21"/>
        <v>660318003290</v>
      </c>
      <c r="Z356" s="882">
        <f t="shared" si="22"/>
        <v>660318</v>
      </c>
    </row>
    <row r="357" spans="1:26" ht="27" customHeight="1">
      <c r="A357" s="583"/>
      <c r="B357" s="583">
        <v>905</v>
      </c>
      <c r="C357" s="581">
        <v>9</v>
      </c>
      <c r="D357" s="1137" t="s">
        <v>1113</v>
      </c>
      <c r="E357" s="1138" t="s">
        <v>1114</v>
      </c>
      <c r="F357" s="599">
        <v>13292865633</v>
      </c>
      <c r="G357" s="599">
        <v>108000</v>
      </c>
      <c r="H357" s="599">
        <v>1194200000</v>
      </c>
      <c r="I357" s="599">
        <v>-14487173633</v>
      </c>
      <c r="J357" s="599"/>
      <c r="K357" s="599"/>
      <c r="L357" s="599"/>
      <c r="M357" s="599"/>
      <c r="N357" s="599"/>
      <c r="O357" s="599"/>
      <c r="P357" s="599"/>
      <c r="Q357" s="599"/>
      <c r="R357" s="599"/>
      <c r="S357" s="1096">
        <f t="shared" si="20"/>
        <v>0</v>
      </c>
      <c r="T357" s="599">
        <v>0</v>
      </c>
      <c r="U357" s="1096">
        <f t="shared" si="23"/>
        <v>0</v>
      </c>
      <c r="V357" s="599">
        <v>0</v>
      </c>
      <c r="W357" s="620"/>
      <c r="X357" s="621"/>
      <c r="Y357" s="1096">
        <f t="shared" si="21"/>
        <v>0</v>
      </c>
      <c r="Z357" s="882">
        <f t="shared" si="22"/>
        <v>0</v>
      </c>
    </row>
    <row r="358" spans="1:26" ht="27" customHeight="1">
      <c r="A358" s="583"/>
      <c r="B358" s="583">
        <v>905</v>
      </c>
      <c r="C358" s="581">
        <v>9</v>
      </c>
      <c r="D358" s="1137" t="s">
        <v>1116</v>
      </c>
      <c r="E358" s="1138" t="s">
        <v>1115</v>
      </c>
      <c r="F358" s="599">
        <v>-3750000</v>
      </c>
      <c r="G358" s="599"/>
      <c r="H358" s="599"/>
      <c r="I358" s="599">
        <v>3750000</v>
      </c>
      <c r="J358" s="599"/>
      <c r="K358" s="599"/>
      <c r="L358" s="599"/>
      <c r="M358" s="599"/>
      <c r="N358" s="599"/>
      <c r="O358" s="599"/>
      <c r="P358" s="599"/>
      <c r="Q358" s="599"/>
      <c r="R358" s="599"/>
      <c r="S358" s="1096">
        <f t="shared" si="20"/>
        <v>0</v>
      </c>
      <c r="T358" s="599">
        <v>0</v>
      </c>
      <c r="U358" s="1096">
        <f t="shared" si="23"/>
        <v>0</v>
      </c>
      <c r="V358" s="599">
        <v>0</v>
      </c>
      <c r="W358" s="620"/>
      <c r="X358" s="621"/>
      <c r="Y358" s="1096">
        <f t="shared" si="21"/>
        <v>0</v>
      </c>
      <c r="Z358" s="882">
        <f t="shared" si="22"/>
        <v>0</v>
      </c>
    </row>
    <row r="359" spans="1:26" ht="27" customHeight="1">
      <c r="A359" s="583"/>
      <c r="B359" s="583"/>
      <c r="C359" s="581">
        <v>9</v>
      </c>
      <c r="D359" s="1137" t="s">
        <v>1018</v>
      </c>
      <c r="E359" s="1138" t="s">
        <v>1019</v>
      </c>
      <c r="F359" s="599"/>
      <c r="G359" s="599"/>
      <c r="H359" s="599"/>
      <c r="I359" s="599"/>
      <c r="J359" s="599"/>
      <c r="K359" s="599"/>
      <c r="L359" s="599"/>
      <c r="M359" s="599"/>
      <c r="N359" s="599"/>
      <c r="O359" s="599"/>
      <c r="P359" s="599"/>
      <c r="Q359" s="599"/>
      <c r="R359" s="599"/>
      <c r="S359" s="1096">
        <f t="shared" si="20"/>
        <v>0</v>
      </c>
      <c r="T359" s="599">
        <v>0</v>
      </c>
      <c r="U359" s="1096">
        <f t="shared" si="23"/>
        <v>0</v>
      </c>
      <c r="V359" s="599">
        <v>0</v>
      </c>
      <c r="W359" s="620"/>
      <c r="X359" s="621"/>
      <c r="Y359" s="1096">
        <f t="shared" si="21"/>
        <v>0</v>
      </c>
      <c r="Z359" s="882">
        <f t="shared" si="22"/>
        <v>0</v>
      </c>
    </row>
    <row r="360" spans="1:26" ht="27" customHeight="1">
      <c r="A360" s="583"/>
      <c r="B360" s="583"/>
      <c r="C360" s="581">
        <v>9</v>
      </c>
      <c r="D360" s="1137" t="s">
        <v>1198</v>
      </c>
      <c r="E360" s="1138" t="s">
        <v>1199</v>
      </c>
      <c r="F360" s="599"/>
      <c r="G360" s="599"/>
      <c r="H360" s="599"/>
      <c r="I360" s="599"/>
      <c r="J360" s="599"/>
      <c r="K360" s="599"/>
      <c r="L360" s="599"/>
      <c r="M360" s="599"/>
      <c r="N360" s="599"/>
      <c r="O360" s="599"/>
      <c r="P360" s="599"/>
      <c r="Q360" s="599"/>
      <c r="R360" s="599"/>
      <c r="S360" s="1096">
        <f t="shared" si="20"/>
        <v>0</v>
      </c>
      <c r="T360" s="599">
        <v>0</v>
      </c>
      <c r="U360" s="1096">
        <f t="shared" si="23"/>
        <v>0</v>
      </c>
      <c r="V360" s="599">
        <v>0</v>
      </c>
      <c r="W360" s="620"/>
      <c r="X360" s="621"/>
      <c r="Y360" s="1096">
        <f t="shared" si="21"/>
        <v>0</v>
      </c>
      <c r="Z360" s="882">
        <f t="shared" si="22"/>
        <v>0</v>
      </c>
    </row>
    <row r="361" spans="1:26" ht="27" customHeight="1">
      <c r="A361" s="583"/>
      <c r="B361" s="583">
        <v>904</v>
      </c>
      <c r="C361" s="581">
        <v>9</v>
      </c>
      <c r="D361" s="1137" t="s">
        <v>149</v>
      </c>
      <c r="E361" s="1138" t="s">
        <v>916</v>
      </c>
      <c r="F361" s="599">
        <v>370073795649</v>
      </c>
      <c r="G361" s="599"/>
      <c r="H361" s="599">
        <v>-750963207</v>
      </c>
      <c r="I361" s="599">
        <v>36577683469</v>
      </c>
      <c r="J361" s="599"/>
      <c r="K361" s="599"/>
      <c r="L361" s="599"/>
      <c r="M361" s="599"/>
      <c r="N361" s="599"/>
      <c r="O361" s="599"/>
      <c r="P361" s="599"/>
      <c r="Q361" s="599"/>
      <c r="R361" s="599"/>
      <c r="S361" s="1096">
        <f t="shared" si="20"/>
        <v>405900515911</v>
      </c>
      <c r="T361" s="599">
        <v>370073795649</v>
      </c>
      <c r="U361" s="1096">
        <f t="shared" si="23"/>
        <v>405901</v>
      </c>
      <c r="V361" s="599">
        <v>370074</v>
      </c>
      <c r="W361" s="620"/>
      <c r="X361" s="621"/>
      <c r="Y361" s="1096">
        <f t="shared" si="21"/>
        <v>405900515911</v>
      </c>
      <c r="Z361" s="882">
        <f t="shared" si="22"/>
        <v>405901</v>
      </c>
    </row>
    <row r="362" spans="1:26" ht="27" customHeight="1">
      <c r="A362" s="583"/>
      <c r="B362" s="583">
        <v>904</v>
      </c>
      <c r="C362" s="581">
        <v>9</v>
      </c>
      <c r="D362" s="1137" t="s">
        <v>1117</v>
      </c>
      <c r="E362" s="1138" t="s">
        <v>1120</v>
      </c>
      <c r="F362" s="599">
        <v>29134310892</v>
      </c>
      <c r="G362" s="599">
        <v>2079095092</v>
      </c>
      <c r="H362" s="599">
        <v>6862924770</v>
      </c>
      <c r="I362" s="599">
        <v>-38076330754</v>
      </c>
      <c r="J362" s="599"/>
      <c r="K362" s="599"/>
      <c r="L362" s="599"/>
      <c r="M362" s="599"/>
      <c r="N362" s="599"/>
      <c r="O362" s="599"/>
      <c r="P362" s="599"/>
      <c r="Q362" s="599"/>
      <c r="R362" s="599"/>
      <c r="S362" s="1096">
        <f t="shared" si="20"/>
        <v>0</v>
      </c>
      <c r="T362" s="599">
        <v>0</v>
      </c>
      <c r="U362" s="1096">
        <f t="shared" si="23"/>
        <v>0</v>
      </c>
      <c r="V362" s="599">
        <v>0</v>
      </c>
      <c r="W362" s="620"/>
      <c r="X362" s="621"/>
      <c r="Y362" s="1096">
        <f t="shared" si="21"/>
        <v>0</v>
      </c>
      <c r="Z362" s="882">
        <f t="shared" si="22"/>
        <v>0</v>
      </c>
    </row>
    <row r="363" spans="1:26" ht="27" customHeight="1">
      <c r="A363" s="583"/>
      <c r="B363" s="583">
        <v>904</v>
      </c>
      <c r="C363" s="581">
        <v>9</v>
      </c>
      <c r="D363" s="1137" t="s">
        <v>1118</v>
      </c>
      <c r="E363" s="1138" t="s">
        <v>1121</v>
      </c>
      <c r="F363" s="599">
        <v>-1496210561</v>
      </c>
      <c r="G363" s="599">
        <v>-2436724</v>
      </c>
      <c r="H363" s="599"/>
      <c r="I363" s="599">
        <v>1498647285</v>
      </c>
      <c r="J363" s="599"/>
      <c r="K363" s="599"/>
      <c r="L363" s="599"/>
      <c r="M363" s="599"/>
      <c r="N363" s="599"/>
      <c r="O363" s="599"/>
      <c r="P363" s="599"/>
      <c r="Q363" s="599"/>
      <c r="R363" s="599"/>
      <c r="S363" s="1096">
        <f t="shared" si="20"/>
        <v>0</v>
      </c>
      <c r="T363" s="599">
        <v>0</v>
      </c>
      <c r="U363" s="1096">
        <f t="shared" si="23"/>
        <v>0</v>
      </c>
      <c r="V363" s="599">
        <v>0</v>
      </c>
      <c r="W363" s="620"/>
      <c r="X363" s="621"/>
      <c r="Y363" s="1096">
        <f t="shared" si="21"/>
        <v>0</v>
      </c>
      <c r="Z363" s="882">
        <f t="shared" si="22"/>
        <v>0</v>
      </c>
    </row>
    <row r="364" spans="1:26" ht="27" customHeight="1">
      <c r="A364" s="583"/>
      <c r="B364" s="583">
        <v>904</v>
      </c>
      <c r="C364" s="581">
        <v>9</v>
      </c>
      <c r="D364" s="1137" t="s">
        <v>1119</v>
      </c>
      <c r="E364" s="1138" t="s">
        <v>1122</v>
      </c>
      <c r="F364" s="599"/>
      <c r="G364" s="599"/>
      <c r="H364" s="599"/>
      <c r="I364" s="599"/>
      <c r="J364" s="599"/>
      <c r="K364" s="599"/>
      <c r="L364" s="599"/>
      <c r="M364" s="599"/>
      <c r="N364" s="599"/>
      <c r="O364" s="599"/>
      <c r="P364" s="599"/>
      <c r="Q364" s="599"/>
      <c r="R364" s="599"/>
      <c r="S364" s="1096">
        <f t="shared" si="20"/>
        <v>0</v>
      </c>
      <c r="T364" s="599">
        <v>0</v>
      </c>
      <c r="U364" s="1096">
        <f t="shared" si="23"/>
        <v>0</v>
      </c>
      <c r="V364" s="599">
        <v>0</v>
      </c>
      <c r="W364" s="620"/>
      <c r="X364" s="621"/>
      <c r="Y364" s="1096">
        <f t="shared" si="21"/>
        <v>0</v>
      </c>
      <c r="Z364" s="882">
        <f t="shared" si="22"/>
        <v>0</v>
      </c>
    </row>
    <row r="365" spans="1:26" ht="27" customHeight="1">
      <c r="A365" s="583"/>
      <c r="B365" s="583">
        <v>9</v>
      </c>
      <c r="C365" s="581">
        <v>9</v>
      </c>
      <c r="D365" s="1137" t="s">
        <v>1020</v>
      </c>
      <c r="E365" s="1138" t="s">
        <v>1021</v>
      </c>
      <c r="F365" s="599">
        <v>-71813541048</v>
      </c>
      <c r="G365" s="599">
        <v>95758504892</v>
      </c>
      <c r="H365" s="599">
        <v>-60142415669</v>
      </c>
      <c r="I365" s="599">
        <v>36197451825</v>
      </c>
      <c r="J365" s="599"/>
      <c r="K365" s="599"/>
      <c r="L365" s="599"/>
      <c r="M365" s="599"/>
      <c r="N365" s="599"/>
      <c r="O365" s="599"/>
      <c r="P365" s="599"/>
      <c r="Q365" s="599"/>
      <c r="R365" s="599"/>
      <c r="S365" s="1096">
        <f t="shared" si="20"/>
        <v>0</v>
      </c>
      <c r="T365" s="599">
        <v>0</v>
      </c>
      <c r="U365" s="1096">
        <f t="shared" si="23"/>
        <v>0</v>
      </c>
      <c r="V365" s="599">
        <v>0</v>
      </c>
      <c r="W365" s="620"/>
      <c r="X365" s="621"/>
      <c r="Y365" s="1096">
        <f t="shared" si="21"/>
        <v>0</v>
      </c>
      <c r="Z365" s="882">
        <f t="shared" si="22"/>
        <v>0</v>
      </c>
    </row>
    <row r="366" spans="1:26" ht="27" customHeight="1">
      <c r="A366" s="583"/>
      <c r="B366" s="583">
        <v>902</v>
      </c>
      <c r="C366" s="581">
        <v>9</v>
      </c>
      <c r="D366" s="1137" t="s">
        <v>1010</v>
      </c>
      <c r="E366" s="1138" t="s">
        <v>1011</v>
      </c>
      <c r="F366" s="599">
        <v>-2070168061052</v>
      </c>
      <c r="G366" s="599">
        <v>-8634392344</v>
      </c>
      <c r="H366" s="599">
        <v>1725031633455</v>
      </c>
      <c r="I366" s="599">
        <v>353770819941</v>
      </c>
      <c r="J366" s="599"/>
      <c r="K366" s="599"/>
      <c r="L366" s="599"/>
      <c r="M366" s="599"/>
      <c r="N366" s="599"/>
      <c r="O366" s="599"/>
      <c r="P366" s="599"/>
      <c r="Q366" s="599"/>
      <c r="R366" s="599"/>
      <c r="S366" s="1096">
        <f t="shared" si="20"/>
        <v>0</v>
      </c>
      <c r="T366" s="599">
        <v>0</v>
      </c>
      <c r="U366" s="1096">
        <f t="shared" si="23"/>
        <v>0</v>
      </c>
      <c r="V366" s="599">
        <v>0</v>
      </c>
      <c r="W366" s="620"/>
      <c r="X366" s="621"/>
      <c r="Y366" s="1096">
        <f t="shared" si="21"/>
        <v>0</v>
      </c>
      <c r="Z366" s="882">
        <f t="shared" si="22"/>
        <v>0</v>
      </c>
    </row>
    <row r="367" spans="1:26" ht="27" customHeight="1">
      <c r="A367" s="583"/>
      <c r="B367" s="583"/>
      <c r="C367" s="581">
        <v>9</v>
      </c>
      <c r="D367" s="1137" t="s">
        <v>1667</v>
      </c>
      <c r="E367" s="1138" t="s">
        <v>1252</v>
      </c>
      <c r="F367" s="599"/>
      <c r="G367" s="599"/>
      <c r="H367" s="599"/>
      <c r="I367" s="599"/>
      <c r="J367" s="599"/>
      <c r="K367" s="599"/>
      <c r="L367" s="599"/>
      <c r="M367" s="599"/>
      <c r="N367" s="599"/>
      <c r="O367" s="599"/>
      <c r="P367" s="599"/>
      <c r="Q367" s="599"/>
      <c r="R367" s="599"/>
      <c r="S367" s="1096">
        <f t="shared" si="20"/>
        <v>0</v>
      </c>
      <c r="T367" s="599">
        <v>0</v>
      </c>
      <c r="U367" s="1096">
        <f t="shared" si="23"/>
        <v>0</v>
      </c>
      <c r="V367" s="599">
        <v>0</v>
      </c>
      <c r="W367" s="620"/>
      <c r="X367" s="621"/>
      <c r="Y367" s="1096">
        <f t="shared" si="21"/>
        <v>0</v>
      </c>
      <c r="Z367" s="882">
        <f t="shared" si="22"/>
        <v>0</v>
      </c>
    </row>
    <row r="368" spans="1:26" ht="27" customHeight="1">
      <c r="A368" s="583"/>
      <c r="B368" s="583">
        <v>903</v>
      </c>
      <c r="C368" s="581">
        <v>9</v>
      </c>
      <c r="D368" s="1137" t="s">
        <v>1253</v>
      </c>
      <c r="E368" s="1138" t="s">
        <v>1252</v>
      </c>
      <c r="F368" s="599">
        <v>-3065148</v>
      </c>
      <c r="G368" s="599"/>
      <c r="H368" s="599"/>
      <c r="I368" s="599">
        <v>3065148</v>
      </c>
      <c r="J368" s="599"/>
      <c r="K368" s="599"/>
      <c r="L368" s="599"/>
      <c r="M368" s="599"/>
      <c r="N368" s="599"/>
      <c r="O368" s="599"/>
      <c r="P368" s="599"/>
      <c r="Q368" s="599"/>
      <c r="R368" s="599"/>
      <c r="S368" s="1096">
        <f t="shared" si="20"/>
        <v>0</v>
      </c>
      <c r="T368" s="599">
        <v>0</v>
      </c>
      <c r="U368" s="1096">
        <f t="shared" si="23"/>
        <v>0</v>
      </c>
      <c r="V368" s="599">
        <v>0</v>
      </c>
      <c r="W368" s="620"/>
      <c r="X368" s="621"/>
      <c r="Y368" s="1096">
        <f t="shared" si="21"/>
        <v>0</v>
      </c>
      <c r="Z368" s="882">
        <f t="shared" si="22"/>
        <v>0</v>
      </c>
    </row>
    <row r="369" spans="1:26" ht="27" customHeight="1">
      <c r="A369" s="583"/>
      <c r="B369" s="583">
        <v>902</v>
      </c>
      <c r="C369" s="581">
        <v>9</v>
      </c>
      <c r="D369" s="1137" t="s">
        <v>1123</v>
      </c>
      <c r="E369" s="1138" t="s">
        <v>1124</v>
      </c>
      <c r="F369" s="599">
        <v>-117784800362</v>
      </c>
      <c r="G369" s="599"/>
      <c r="H369" s="599">
        <v>-1575171847</v>
      </c>
      <c r="I369" s="599">
        <v>119359972209</v>
      </c>
      <c r="J369" s="599"/>
      <c r="K369" s="599"/>
      <c r="L369" s="599"/>
      <c r="M369" s="599"/>
      <c r="N369" s="599"/>
      <c r="O369" s="599"/>
      <c r="P369" s="599"/>
      <c r="Q369" s="599"/>
      <c r="R369" s="599"/>
      <c r="S369" s="1096">
        <f t="shared" si="20"/>
        <v>0</v>
      </c>
      <c r="T369" s="599">
        <v>0</v>
      </c>
      <c r="U369" s="1096">
        <f t="shared" si="23"/>
        <v>0</v>
      </c>
      <c r="V369" s="599">
        <v>0</v>
      </c>
      <c r="W369" s="620"/>
      <c r="X369" s="621"/>
      <c r="Y369" s="1096">
        <f t="shared" si="21"/>
        <v>0</v>
      </c>
      <c r="Z369" s="882">
        <f t="shared" si="22"/>
        <v>0</v>
      </c>
    </row>
    <row r="370" spans="1:26" ht="27" customHeight="1">
      <c r="A370" s="583"/>
      <c r="B370" s="583"/>
      <c r="C370" s="581">
        <v>9</v>
      </c>
      <c r="D370" s="1137" t="s">
        <v>1254</v>
      </c>
      <c r="E370" s="1138" t="s">
        <v>1255</v>
      </c>
      <c r="F370" s="599"/>
      <c r="G370" s="599"/>
      <c r="H370" s="599"/>
      <c r="I370" s="599"/>
      <c r="J370" s="599"/>
      <c r="K370" s="599"/>
      <c r="L370" s="599"/>
      <c r="M370" s="599"/>
      <c r="N370" s="599"/>
      <c r="O370" s="599"/>
      <c r="P370" s="599"/>
      <c r="Q370" s="599"/>
      <c r="R370" s="599"/>
      <c r="S370" s="1096">
        <f t="shared" si="20"/>
        <v>0</v>
      </c>
      <c r="T370" s="599">
        <v>0</v>
      </c>
      <c r="U370" s="1096">
        <f t="shared" si="23"/>
        <v>0</v>
      </c>
      <c r="V370" s="599">
        <v>0</v>
      </c>
      <c r="W370" s="620"/>
      <c r="X370" s="621"/>
      <c r="Y370" s="1096">
        <f t="shared" si="21"/>
        <v>0</v>
      </c>
      <c r="Z370" s="882">
        <f t="shared" si="22"/>
        <v>0</v>
      </c>
    </row>
    <row r="371" spans="1:26" ht="27" customHeight="1">
      <c r="A371" s="583"/>
      <c r="B371" s="583">
        <v>902</v>
      </c>
      <c r="C371" s="581">
        <v>9</v>
      </c>
      <c r="D371" s="1137" t="s">
        <v>1125</v>
      </c>
      <c r="E371" s="1138" t="s">
        <v>1126</v>
      </c>
      <c r="F371" s="599">
        <v>-50357105219</v>
      </c>
      <c r="G371" s="599">
        <v>-40117768</v>
      </c>
      <c r="H371" s="599">
        <v>-4057606772</v>
      </c>
      <c r="I371" s="599">
        <v>54454829759</v>
      </c>
      <c r="J371" s="599"/>
      <c r="K371" s="599"/>
      <c r="L371" s="599"/>
      <c r="M371" s="599"/>
      <c r="N371" s="599"/>
      <c r="O371" s="599"/>
      <c r="P371" s="599"/>
      <c r="Q371" s="599"/>
      <c r="R371" s="599"/>
      <c r="S371" s="1096">
        <f t="shared" si="20"/>
        <v>0</v>
      </c>
      <c r="T371" s="599">
        <v>0</v>
      </c>
      <c r="U371" s="1096">
        <f t="shared" si="23"/>
        <v>0</v>
      </c>
      <c r="V371" s="599">
        <v>0</v>
      </c>
      <c r="W371" s="620"/>
      <c r="X371" s="621"/>
      <c r="Y371" s="1096">
        <f t="shared" si="21"/>
        <v>0</v>
      </c>
      <c r="Z371" s="882">
        <f t="shared" si="22"/>
        <v>0</v>
      </c>
    </row>
    <row r="372" spans="1:26" ht="27" customHeight="1">
      <c r="A372" s="583"/>
      <c r="B372" s="583"/>
      <c r="C372" s="581">
        <v>9</v>
      </c>
      <c r="D372" s="1137" t="s">
        <v>1200</v>
      </c>
      <c r="E372" s="1138" t="s">
        <v>1201</v>
      </c>
      <c r="F372" s="599"/>
      <c r="G372" s="599"/>
      <c r="H372" s="599"/>
      <c r="I372" s="599"/>
      <c r="J372" s="599"/>
      <c r="K372" s="599"/>
      <c r="L372" s="599"/>
      <c r="M372" s="599"/>
      <c r="N372" s="599"/>
      <c r="O372" s="599"/>
      <c r="P372" s="599"/>
      <c r="Q372" s="599"/>
      <c r="R372" s="599"/>
      <c r="S372" s="1096">
        <f t="shared" si="20"/>
        <v>0</v>
      </c>
      <c r="T372" s="599">
        <v>0</v>
      </c>
      <c r="U372" s="1096">
        <f t="shared" si="23"/>
        <v>0</v>
      </c>
      <c r="V372" s="599">
        <v>0</v>
      </c>
      <c r="W372" s="620"/>
      <c r="X372" s="621"/>
      <c r="Y372" s="1096">
        <f t="shared" si="21"/>
        <v>0</v>
      </c>
      <c r="Z372" s="882">
        <f t="shared" si="22"/>
        <v>0</v>
      </c>
    </row>
    <row r="373" spans="1:26" ht="27" customHeight="1">
      <c r="A373" s="583"/>
      <c r="B373" s="583">
        <v>902</v>
      </c>
      <c r="C373" s="581">
        <v>9</v>
      </c>
      <c r="D373" s="1137" t="s">
        <v>151</v>
      </c>
      <c r="E373" s="1138" t="s">
        <v>915</v>
      </c>
      <c r="F373" s="599">
        <v>-21742769841653</v>
      </c>
      <c r="G373" s="599">
        <v>899407547</v>
      </c>
      <c r="H373" s="599"/>
      <c r="I373" s="599">
        <v>-1492565740826</v>
      </c>
      <c r="J373" s="599"/>
      <c r="K373" s="599"/>
      <c r="L373" s="599"/>
      <c r="M373" s="599"/>
      <c r="N373" s="599"/>
      <c r="O373" s="599"/>
      <c r="P373" s="599"/>
      <c r="Q373" s="599"/>
      <c r="R373" s="599"/>
      <c r="S373" s="1096">
        <f t="shared" si="20"/>
        <v>-23234436174932</v>
      </c>
      <c r="T373" s="599">
        <v>-21767719856634</v>
      </c>
      <c r="U373" s="1096">
        <f t="shared" si="23"/>
        <v>-23234436</v>
      </c>
      <c r="V373" s="599">
        <v>-21767720</v>
      </c>
      <c r="W373" s="620"/>
      <c r="X373" s="621"/>
      <c r="Y373" s="1096">
        <f t="shared" si="21"/>
        <v>-23234436174932</v>
      </c>
      <c r="Z373" s="882">
        <f t="shared" si="22"/>
        <v>-23234436</v>
      </c>
    </row>
    <row r="374" spans="1:26" ht="27" customHeight="1">
      <c r="A374" s="583"/>
      <c r="B374" s="583"/>
      <c r="C374" s="581">
        <v>9</v>
      </c>
      <c r="D374" s="1137" t="s">
        <v>1256</v>
      </c>
      <c r="E374" s="1138" t="s">
        <v>1257</v>
      </c>
      <c r="F374" s="599"/>
      <c r="G374" s="599"/>
      <c r="H374" s="599"/>
      <c r="I374" s="599"/>
      <c r="J374" s="599"/>
      <c r="K374" s="599"/>
      <c r="L374" s="599"/>
      <c r="M374" s="599"/>
      <c r="N374" s="599"/>
      <c r="O374" s="599"/>
      <c r="P374" s="599"/>
      <c r="Q374" s="599"/>
      <c r="R374" s="599"/>
      <c r="S374" s="1096">
        <f t="shared" si="20"/>
        <v>0</v>
      </c>
      <c r="T374" s="599">
        <v>0</v>
      </c>
      <c r="U374" s="1096">
        <f t="shared" si="23"/>
        <v>0</v>
      </c>
      <c r="V374" s="599">
        <v>0</v>
      </c>
      <c r="W374" s="620"/>
      <c r="X374" s="621"/>
      <c r="Y374" s="1096">
        <f t="shared" si="21"/>
        <v>0</v>
      </c>
      <c r="Z374" s="882">
        <f t="shared" si="22"/>
        <v>0</v>
      </c>
    </row>
    <row r="375" spans="1:26" ht="27" customHeight="1">
      <c r="A375" s="583"/>
      <c r="B375" s="583">
        <v>902</v>
      </c>
      <c r="C375" s="581">
        <v>9</v>
      </c>
      <c r="D375" s="1137" t="s">
        <v>1127</v>
      </c>
      <c r="E375" s="1138" t="s">
        <v>1128</v>
      </c>
      <c r="F375" s="599">
        <v>-7978506582</v>
      </c>
      <c r="G375" s="599">
        <v>35994119</v>
      </c>
      <c r="H375" s="599">
        <v>194313076</v>
      </c>
      <c r="I375" s="599">
        <v>7748199387</v>
      </c>
      <c r="J375" s="599"/>
      <c r="K375" s="599"/>
      <c r="L375" s="599"/>
      <c r="M375" s="599"/>
      <c r="N375" s="599"/>
      <c r="O375" s="599"/>
      <c r="P375" s="599"/>
      <c r="Q375" s="599"/>
      <c r="R375" s="599"/>
      <c r="S375" s="1096">
        <f t="shared" si="20"/>
        <v>0</v>
      </c>
      <c r="T375" s="599">
        <v>0</v>
      </c>
      <c r="U375" s="1096">
        <f t="shared" si="23"/>
        <v>0</v>
      </c>
      <c r="V375" s="599">
        <v>0</v>
      </c>
      <c r="W375" s="620"/>
      <c r="X375" s="621"/>
      <c r="Y375" s="1096">
        <f t="shared" si="21"/>
        <v>0</v>
      </c>
      <c r="Z375" s="882">
        <f t="shared" si="22"/>
        <v>0</v>
      </c>
    </row>
    <row r="376" spans="1:26" ht="27" customHeight="1">
      <c r="A376" s="583"/>
      <c r="B376" s="583">
        <v>903</v>
      </c>
      <c r="C376" s="581">
        <v>9</v>
      </c>
      <c r="D376" s="1137" t="s">
        <v>509</v>
      </c>
      <c r="E376" s="1138" t="s">
        <v>922</v>
      </c>
      <c r="F376" s="599">
        <v>-760000067976</v>
      </c>
      <c r="G376" s="599"/>
      <c r="H376" s="599"/>
      <c r="I376" s="599">
        <v>-122265276143</v>
      </c>
      <c r="J376" s="599"/>
      <c r="K376" s="599"/>
      <c r="L376" s="599"/>
      <c r="M376" s="599"/>
      <c r="N376" s="599"/>
      <c r="O376" s="599"/>
      <c r="P376" s="599"/>
      <c r="Q376" s="599"/>
      <c r="R376" s="599"/>
      <c r="S376" s="1096">
        <f t="shared" si="20"/>
        <v>-882265344119</v>
      </c>
      <c r="T376" s="599">
        <v>-760000067976</v>
      </c>
      <c r="U376" s="1096">
        <f t="shared" si="23"/>
        <v>-882265</v>
      </c>
      <c r="V376" s="599">
        <v>-760000</v>
      </c>
      <c r="W376" s="620"/>
      <c r="X376" s="621"/>
      <c r="Y376" s="1096">
        <f t="shared" si="21"/>
        <v>-882265344119</v>
      </c>
      <c r="Z376" s="882">
        <f t="shared" si="22"/>
        <v>-882265</v>
      </c>
    </row>
    <row r="377" spans="1:26" ht="27" customHeight="1">
      <c r="A377" s="583"/>
      <c r="B377" s="583">
        <v>903</v>
      </c>
      <c r="C377" s="581">
        <v>9</v>
      </c>
      <c r="D377" s="1137" t="s">
        <v>1129</v>
      </c>
      <c r="E377" s="1138" t="s">
        <v>1134</v>
      </c>
      <c r="F377" s="599">
        <v>-127465531695</v>
      </c>
      <c r="G377" s="599">
        <v>-608647730</v>
      </c>
      <c r="H377" s="599">
        <v>-1121306676</v>
      </c>
      <c r="I377" s="599">
        <v>129195486101</v>
      </c>
      <c r="J377" s="599"/>
      <c r="K377" s="599"/>
      <c r="L377" s="599"/>
      <c r="M377" s="599"/>
      <c r="N377" s="599"/>
      <c r="O377" s="599"/>
      <c r="P377" s="599"/>
      <c r="Q377" s="599"/>
      <c r="R377" s="599"/>
      <c r="S377" s="1096">
        <f t="shared" si="20"/>
        <v>0</v>
      </c>
      <c r="T377" s="599">
        <v>0</v>
      </c>
      <c r="U377" s="1096">
        <f t="shared" si="23"/>
        <v>0</v>
      </c>
      <c r="V377" s="599">
        <v>0</v>
      </c>
      <c r="W377" s="620"/>
      <c r="X377" s="621"/>
      <c r="Y377" s="1096">
        <f t="shared" si="21"/>
        <v>0</v>
      </c>
      <c r="Z377" s="882">
        <f t="shared" si="22"/>
        <v>0</v>
      </c>
    </row>
    <row r="378" spans="1:26" ht="27" customHeight="1">
      <c r="A378" s="583"/>
      <c r="B378" s="583">
        <v>903</v>
      </c>
      <c r="C378" s="581">
        <v>9</v>
      </c>
      <c r="D378" s="1137" t="s">
        <v>1130</v>
      </c>
      <c r="E378" s="1138" t="s">
        <v>1132</v>
      </c>
      <c r="F378" s="599">
        <v>1361372512</v>
      </c>
      <c r="G378" s="599"/>
      <c r="H378" s="599"/>
      <c r="I378" s="599">
        <v>-1361372512</v>
      </c>
      <c r="J378" s="599"/>
      <c r="K378" s="599"/>
      <c r="L378" s="599"/>
      <c r="M378" s="599"/>
      <c r="N378" s="599"/>
      <c r="O378" s="599"/>
      <c r="P378" s="599"/>
      <c r="Q378" s="599"/>
      <c r="R378" s="599"/>
      <c r="S378" s="1096">
        <f t="shared" si="20"/>
        <v>0</v>
      </c>
      <c r="T378" s="599">
        <v>0</v>
      </c>
      <c r="U378" s="1096">
        <f t="shared" si="23"/>
        <v>0</v>
      </c>
      <c r="V378" s="599">
        <v>0</v>
      </c>
      <c r="W378" s="620"/>
      <c r="X378" s="621"/>
      <c r="Y378" s="1096">
        <f t="shared" si="21"/>
        <v>0</v>
      </c>
      <c r="Z378" s="882">
        <f t="shared" si="22"/>
        <v>0</v>
      </c>
    </row>
    <row r="379" spans="1:26" ht="27" customHeight="1">
      <c r="A379" s="583"/>
      <c r="B379" s="583"/>
      <c r="C379" s="581">
        <v>9</v>
      </c>
      <c r="D379" s="1137" t="s">
        <v>1131</v>
      </c>
      <c r="E379" s="1138" t="s">
        <v>1133</v>
      </c>
      <c r="F379" s="599"/>
      <c r="G379" s="599"/>
      <c r="H379" s="599"/>
      <c r="I379" s="599"/>
      <c r="J379" s="599"/>
      <c r="K379" s="599"/>
      <c r="L379" s="599"/>
      <c r="M379" s="599"/>
      <c r="N379" s="599"/>
      <c r="O379" s="599"/>
      <c r="P379" s="599"/>
      <c r="Q379" s="599"/>
      <c r="R379" s="599"/>
      <c r="S379" s="1096">
        <f t="shared" si="20"/>
        <v>0</v>
      </c>
      <c r="T379" s="599">
        <v>0</v>
      </c>
      <c r="U379" s="1096">
        <f t="shared" si="23"/>
        <v>0</v>
      </c>
      <c r="V379" s="599">
        <v>0</v>
      </c>
      <c r="W379" s="620"/>
      <c r="X379" s="621"/>
      <c r="Y379" s="1096">
        <f t="shared" si="21"/>
        <v>0</v>
      </c>
      <c r="Z379" s="882">
        <f t="shared" si="22"/>
        <v>0</v>
      </c>
    </row>
    <row r="380" spans="1:26" ht="27" customHeight="1">
      <c r="A380" s="583"/>
      <c r="B380" s="583">
        <v>905</v>
      </c>
      <c r="C380" s="581">
        <v>9</v>
      </c>
      <c r="D380" s="1137" t="s">
        <v>287</v>
      </c>
      <c r="E380" s="1138" t="s">
        <v>919</v>
      </c>
      <c r="F380" s="599">
        <v>-520031461166</v>
      </c>
      <c r="G380" s="599"/>
      <c r="H380" s="599"/>
      <c r="I380" s="599">
        <v>-38808605513</v>
      </c>
      <c r="J380" s="599"/>
      <c r="K380" s="599"/>
      <c r="L380" s="599"/>
      <c r="M380" s="599"/>
      <c r="N380" s="599"/>
      <c r="O380" s="599"/>
      <c r="P380" s="599"/>
      <c r="Q380" s="599"/>
      <c r="R380" s="599"/>
      <c r="S380" s="1096">
        <f t="shared" si="20"/>
        <v>-558840066679</v>
      </c>
      <c r="T380" s="599">
        <v>-520031461166</v>
      </c>
      <c r="U380" s="1096">
        <f t="shared" si="23"/>
        <v>-558840</v>
      </c>
      <c r="V380" s="599">
        <v>-520031</v>
      </c>
      <c r="W380" s="620"/>
      <c r="X380" s="621"/>
      <c r="Y380" s="1096">
        <f t="shared" si="21"/>
        <v>-558840066679</v>
      </c>
      <c r="Z380" s="882">
        <f t="shared" si="22"/>
        <v>-558840</v>
      </c>
    </row>
    <row r="381" spans="1:26" ht="27" customHeight="1">
      <c r="A381" s="583"/>
      <c r="B381" s="583">
        <v>905</v>
      </c>
      <c r="C381" s="581">
        <v>9</v>
      </c>
      <c r="D381" s="1137" t="s">
        <v>1135</v>
      </c>
      <c r="E381" s="1138" t="s">
        <v>1137</v>
      </c>
      <c r="F381" s="599">
        <v>-53032335014</v>
      </c>
      <c r="G381" s="599">
        <v>-34490</v>
      </c>
      <c r="H381" s="599">
        <v>-67094780</v>
      </c>
      <c r="I381" s="599">
        <v>53099464284</v>
      </c>
      <c r="J381" s="599"/>
      <c r="K381" s="599"/>
      <c r="L381" s="599"/>
      <c r="M381" s="599"/>
      <c r="N381" s="599"/>
      <c r="O381" s="599"/>
      <c r="P381" s="599"/>
      <c r="Q381" s="599"/>
      <c r="R381" s="599"/>
      <c r="S381" s="1096">
        <f t="shared" si="20"/>
        <v>0</v>
      </c>
      <c r="T381" s="599">
        <v>0</v>
      </c>
      <c r="U381" s="1096">
        <f t="shared" si="23"/>
        <v>0</v>
      </c>
      <c r="V381" s="599">
        <v>0</v>
      </c>
      <c r="W381" s="620"/>
      <c r="X381" s="621"/>
      <c r="Y381" s="1096">
        <f t="shared" si="21"/>
        <v>0</v>
      </c>
      <c r="Z381" s="882">
        <f t="shared" si="22"/>
        <v>0</v>
      </c>
    </row>
    <row r="382" spans="1:26" ht="27" customHeight="1">
      <c r="A382" s="583"/>
      <c r="B382" s="583">
        <v>905</v>
      </c>
      <c r="C382" s="581">
        <v>9</v>
      </c>
      <c r="D382" s="1137" t="s">
        <v>1136</v>
      </c>
      <c r="E382" s="1138" t="s">
        <v>1138</v>
      </c>
      <c r="F382" s="599">
        <v>3750000</v>
      </c>
      <c r="G382" s="599"/>
      <c r="H382" s="599"/>
      <c r="I382" s="599">
        <v>-3750000</v>
      </c>
      <c r="J382" s="599"/>
      <c r="K382" s="599"/>
      <c r="L382" s="599"/>
      <c r="M382" s="599"/>
      <c r="N382" s="599"/>
      <c r="O382" s="599"/>
      <c r="P382" s="599"/>
      <c r="Q382" s="599"/>
      <c r="R382" s="599"/>
      <c r="S382" s="1096">
        <f t="shared" si="20"/>
        <v>0</v>
      </c>
      <c r="T382" s="599">
        <v>0</v>
      </c>
      <c r="U382" s="1096">
        <f t="shared" si="23"/>
        <v>0</v>
      </c>
      <c r="V382" s="599">
        <v>0</v>
      </c>
      <c r="W382" s="620"/>
      <c r="X382" s="621"/>
      <c r="Y382" s="1096">
        <f t="shared" si="21"/>
        <v>0</v>
      </c>
      <c r="Z382" s="882">
        <f t="shared" si="22"/>
        <v>0</v>
      </c>
    </row>
    <row r="383" spans="1:26" ht="27" customHeight="1">
      <c r="A383" s="583"/>
      <c r="B383" s="583"/>
      <c r="C383" s="581">
        <v>9</v>
      </c>
      <c r="D383" s="1137" t="s">
        <v>1022</v>
      </c>
      <c r="E383" s="1138" t="s">
        <v>1023</v>
      </c>
      <c r="F383" s="599"/>
      <c r="G383" s="599"/>
      <c r="H383" s="599"/>
      <c r="I383" s="599"/>
      <c r="J383" s="599"/>
      <c r="K383" s="599"/>
      <c r="L383" s="599"/>
      <c r="M383" s="599"/>
      <c r="N383" s="599"/>
      <c r="O383" s="599"/>
      <c r="P383" s="599"/>
      <c r="Q383" s="599"/>
      <c r="R383" s="599"/>
      <c r="S383" s="1096">
        <f t="shared" si="20"/>
        <v>0</v>
      </c>
      <c r="T383" s="599">
        <v>0</v>
      </c>
      <c r="U383" s="1096">
        <f t="shared" si="23"/>
        <v>0</v>
      </c>
      <c r="V383" s="599">
        <v>0</v>
      </c>
      <c r="W383" s="620"/>
      <c r="X383" s="621"/>
      <c r="Y383" s="1096">
        <f t="shared" si="21"/>
        <v>0</v>
      </c>
      <c r="Z383" s="882">
        <f t="shared" si="22"/>
        <v>0</v>
      </c>
    </row>
    <row r="384" spans="1:26" ht="27" customHeight="1">
      <c r="A384" s="583"/>
      <c r="B384" s="583">
        <v>904</v>
      </c>
      <c r="C384" s="581">
        <v>9</v>
      </c>
      <c r="D384" s="1137" t="s">
        <v>289</v>
      </c>
      <c r="E384" s="1138" t="s">
        <v>917</v>
      </c>
      <c r="F384" s="599">
        <v>-247156444145</v>
      </c>
      <c r="G384" s="599"/>
      <c r="H384" s="599">
        <v>750963207</v>
      </c>
      <c r="I384" s="599">
        <v>-38510139751</v>
      </c>
      <c r="J384" s="599"/>
      <c r="K384" s="599"/>
      <c r="L384" s="599"/>
      <c r="M384" s="599"/>
      <c r="N384" s="599"/>
      <c r="O384" s="599"/>
      <c r="P384" s="599"/>
      <c r="Q384" s="599"/>
      <c r="R384" s="599"/>
      <c r="S384" s="1096">
        <f t="shared" si="20"/>
        <v>-284915620689</v>
      </c>
      <c r="T384" s="599">
        <v>-247156444145</v>
      </c>
      <c r="U384" s="1096">
        <f t="shared" si="23"/>
        <v>-284916</v>
      </c>
      <c r="V384" s="599">
        <v>-247156</v>
      </c>
      <c r="W384" s="620"/>
      <c r="X384" s="621"/>
      <c r="Y384" s="1096">
        <f t="shared" si="21"/>
        <v>-284915620689</v>
      </c>
      <c r="Z384" s="882">
        <f t="shared" si="22"/>
        <v>-284916</v>
      </c>
    </row>
    <row r="385" spans="1:26" ht="27" customHeight="1">
      <c r="A385" s="583"/>
      <c r="B385" s="583">
        <v>904</v>
      </c>
      <c r="C385" s="581">
        <v>9</v>
      </c>
      <c r="D385" s="1137" t="s">
        <v>1139</v>
      </c>
      <c r="E385" s="1138" t="s">
        <v>1142</v>
      </c>
      <c r="F385" s="599">
        <v>-39102177589</v>
      </c>
      <c r="G385" s="599">
        <v>-45333966</v>
      </c>
      <c r="H385" s="599">
        <v>66646824</v>
      </c>
      <c r="I385" s="599">
        <v>39080864731</v>
      </c>
      <c r="J385" s="599"/>
      <c r="K385" s="599"/>
      <c r="L385" s="599"/>
      <c r="M385" s="599"/>
      <c r="N385" s="599"/>
      <c r="O385" s="599"/>
      <c r="P385" s="599"/>
      <c r="Q385" s="599"/>
      <c r="R385" s="599"/>
      <c r="S385" s="1096">
        <f t="shared" si="20"/>
        <v>0</v>
      </c>
      <c r="T385" s="599">
        <v>0</v>
      </c>
      <c r="U385" s="1096">
        <f t="shared" si="23"/>
        <v>0</v>
      </c>
      <c r="V385" s="599">
        <v>0</v>
      </c>
      <c r="W385" s="620"/>
      <c r="X385" s="621"/>
      <c r="Y385" s="1096">
        <f t="shared" si="21"/>
        <v>0</v>
      </c>
      <c r="Z385" s="882">
        <f t="shared" si="22"/>
        <v>0</v>
      </c>
    </row>
    <row r="386" spans="1:26" ht="27" customHeight="1">
      <c r="A386" s="583"/>
      <c r="B386" s="583">
        <v>904</v>
      </c>
      <c r="C386" s="581">
        <v>9</v>
      </c>
      <c r="D386" s="1137" t="s">
        <v>1140</v>
      </c>
      <c r="E386" s="1138" t="s">
        <v>1143</v>
      </c>
      <c r="F386" s="599">
        <v>1412194708</v>
      </c>
      <c r="G386" s="599">
        <v>1006564</v>
      </c>
      <c r="H386" s="599"/>
      <c r="I386" s="599">
        <v>-1413201272</v>
      </c>
      <c r="J386" s="599"/>
      <c r="K386" s="599"/>
      <c r="L386" s="599"/>
      <c r="M386" s="599"/>
      <c r="N386" s="599"/>
      <c r="O386" s="599"/>
      <c r="P386" s="599"/>
      <c r="Q386" s="599"/>
      <c r="R386" s="599"/>
      <c r="S386" s="1096">
        <f t="shared" si="20"/>
        <v>0</v>
      </c>
      <c r="T386" s="599">
        <v>0</v>
      </c>
      <c r="U386" s="1096">
        <f t="shared" si="23"/>
        <v>0</v>
      </c>
      <c r="V386" s="599">
        <v>0</v>
      </c>
      <c r="W386" s="620"/>
      <c r="X386" s="621"/>
      <c r="Y386" s="1096">
        <f t="shared" si="21"/>
        <v>0</v>
      </c>
      <c r="Z386" s="882">
        <f t="shared" si="22"/>
        <v>0</v>
      </c>
    </row>
    <row r="387" spans="1:26" ht="27" customHeight="1">
      <c r="A387" s="583"/>
      <c r="B387" s="583">
        <v>904</v>
      </c>
      <c r="C387" s="581">
        <v>9</v>
      </c>
      <c r="D387" s="1137" t="s">
        <v>1141</v>
      </c>
      <c r="E387" s="1138" t="s">
        <v>1144</v>
      </c>
      <c r="F387" s="599"/>
      <c r="G387" s="599"/>
      <c r="H387" s="599"/>
      <c r="I387" s="599"/>
      <c r="J387" s="599"/>
      <c r="K387" s="599"/>
      <c r="L387" s="599"/>
      <c r="M387" s="599"/>
      <c r="N387" s="599"/>
      <c r="O387" s="599"/>
      <c r="P387" s="599"/>
      <c r="Q387" s="599"/>
      <c r="R387" s="599"/>
      <c r="S387" s="1096">
        <f t="shared" si="20"/>
        <v>0</v>
      </c>
      <c r="T387" s="599">
        <v>0</v>
      </c>
      <c r="U387" s="1096">
        <f t="shared" si="23"/>
        <v>0</v>
      </c>
      <c r="V387" s="599">
        <v>0</v>
      </c>
      <c r="W387" s="620"/>
      <c r="X387" s="621"/>
      <c r="Y387" s="1096">
        <f t="shared" si="21"/>
        <v>0</v>
      </c>
      <c r="Z387" s="882">
        <f t="shared" si="22"/>
        <v>0</v>
      </c>
    </row>
    <row r="388" spans="1:26" ht="27" customHeight="1">
      <c r="A388" s="583"/>
      <c r="B388" s="583">
        <v>902</v>
      </c>
      <c r="C388" s="581">
        <v>9</v>
      </c>
      <c r="D388" s="1137" t="s">
        <v>1145</v>
      </c>
      <c r="E388" s="1138" t="s">
        <v>1147</v>
      </c>
      <c r="F388" s="599">
        <v>-4062583502</v>
      </c>
      <c r="G388" s="599"/>
      <c r="H388" s="599"/>
      <c r="I388" s="599">
        <v>4062583502</v>
      </c>
      <c r="J388" s="599"/>
      <c r="K388" s="599"/>
      <c r="L388" s="599"/>
      <c r="M388" s="599"/>
      <c r="N388" s="599"/>
      <c r="O388" s="599"/>
      <c r="P388" s="599"/>
      <c r="Q388" s="599"/>
      <c r="R388" s="599"/>
      <c r="S388" s="1096">
        <f t="shared" si="20"/>
        <v>0</v>
      </c>
      <c r="T388" s="599">
        <v>0</v>
      </c>
      <c r="U388" s="1096">
        <f t="shared" si="23"/>
        <v>0</v>
      </c>
      <c r="V388" s="599">
        <v>0</v>
      </c>
      <c r="W388" s="620"/>
      <c r="X388" s="621"/>
      <c r="Y388" s="1096">
        <f t="shared" si="21"/>
        <v>0</v>
      </c>
      <c r="Z388" s="882">
        <f t="shared" si="22"/>
        <v>0</v>
      </c>
    </row>
    <row r="389" spans="1:26" ht="27" customHeight="1">
      <c r="A389" s="583"/>
      <c r="B389" s="583">
        <v>902</v>
      </c>
      <c r="C389" s="581">
        <v>9</v>
      </c>
      <c r="D389" s="1137" t="s">
        <v>1146</v>
      </c>
      <c r="E389" s="1138" t="s">
        <v>1148</v>
      </c>
      <c r="F389" s="599">
        <v>-1158794844</v>
      </c>
      <c r="G389" s="599"/>
      <c r="H389" s="599"/>
      <c r="I389" s="599">
        <v>1158794844</v>
      </c>
      <c r="J389" s="599"/>
      <c r="K389" s="599"/>
      <c r="L389" s="599"/>
      <c r="M389" s="599"/>
      <c r="N389" s="599"/>
      <c r="O389" s="599"/>
      <c r="P389" s="599"/>
      <c r="Q389" s="599"/>
      <c r="R389" s="599"/>
      <c r="S389" s="1096">
        <f t="shared" si="20"/>
        <v>0</v>
      </c>
      <c r="T389" s="599">
        <v>0</v>
      </c>
      <c r="U389" s="1096">
        <f t="shared" si="23"/>
        <v>0</v>
      </c>
      <c r="V389" s="599">
        <v>0</v>
      </c>
      <c r="W389" s="620"/>
      <c r="X389" s="621"/>
      <c r="Y389" s="1096">
        <f t="shared" si="21"/>
        <v>0</v>
      </c>
      <c r="Z389" s="882">
        <f t="shared" si="22"/>
        <v>0</v>
      </c>
    </row>
    <row r="390" spans="1:26" ht="27" customHeight="1">
      <c r="A390" s="583"/>
      <c r="B390" s="583">
        <v>906</v>
      </c>
      <c r="C390" s="581">
        <v>9</v>
      </c>
      <c r="D390" s="1137" t="s">
        <v>771</v>
      </c>
      <c r="E390" s="1138" t="s">
        <v>773</v>
      </c>
      <c r="F390" s="599">
        <v>6110910443356</v>
      </c>
      <c r="G390" s="599">
        <v>-371568812393</v>
      </c>
      <c r="H390" s="599">
        <v>-272368375530</v>
      </c>
      <c r="I390" s="599">
        <v>-2902867774854</v>
      </c>
      <c r="J390" s="599"/>
      <c r="K390" s="599">
        <f>14577011855+33935000</f>
        <v>14610946855</v>
      </c>
      <c r="L390" s="599">
        <v>2235044688</v>
      </c>
      <c r="M390" s="599">
        <v>212260192324</v>
      </c>
      <c r="N390" s="599">
        <v>1050610660</v>
      </c>
      <c r="O390" s="599"/>
      <c r="P390" s="599"/>
      <c r="Q390" s="599"/>
      <c r="R390" s="599"/>
      <c r="S390" s="1096">
        <f t="shared" si="20"/>
        <v>2794262275106</v>
      </c>
      <c r="T390" s="599">
        <v>2564085324383</v>
      </c>
      <c r="U390" s="1096">
        <f t="shared" si="23"/>
        <v>2794262</v>
      </c>
      <c r="V390" s="599">
        <v>2564085</v>
      </c>
      <c r="W390" s="620"/>
      <c r="X390" s="621"/>
      <c r="Y390" s="1096">
        <f t="shared" si="21"/>
        <v>2794262275106</v>
      </c>
      <c r="Z390" s="882">
        <f t="shared" si="22"/>
        <v>2794262</v>
      </c>
    </row>
    <row r="391" spans="1:26" ht="27" customHeight="1">
      <c r="A391" s="583"/>
      <c r="B391" s="583">
        <v>903</v>
      </c>
      <c r="C391" s="581">
        <v>9</v>
      </c>
      <c r="D391" s="1137" t="s">
        <v>1014</v>
      </c>
      <c r="E391" s="1138" t="s">
        <v>1015</v>
      </c>
      <c r="F391" s="599">
        <v>79873695150</v>
      </c>
      <c r="G391" s="599">
        <v>-70856444614</v>
      </c>
      <c r="H391" s="599">
        <v>-9017250536</v>
      </c>
      <c r="I391" s="599"/>
      <c r="J391" s="599"/>
      <c r="K391" s="599"/>
      <c r="L391" s="599"/>
      <c r="M391" s="599"/>
      <c r="N391" s="599"/>
      <c r="O391" s="599"/>
      <c r="P391" s="599"/>
      <c r="Q391" s="599"/>
      <c r="R391" s="599"/>
      <c r="S391" s="1096">
        <f t="shared" ref="S391:S454" si="24">SUM(F391:R391)</f>
        <v>0</v>
      </c>
      <c r="T391" s="599">
        <v>0</v>
      </c>
      <c r="U391" s="1096">
        <f t="shared" si="23"/>
        <v>0</v>
      </c>
      <c r="V391" s="599">
        <v>0</v>
      </c>
      <c r="W391" s="620"/>
      <c r="X391" s="621"/>
      <c r="Y391" s="1096">
        <f t="shared" ref="Y391:Y454" si="25">S391+X391-W391</f>
        <v>0</v>
      </c>
      <c r="Z391" s="882">
        <f t="shared" ref="Z391:Z454" si="26">ROUND((Y391/1000000),0)</f>
        <v>0</v>
      </c>
    </row>
    <row r="392" spans="1:26" ht="27" customHeight="1">
      <c r="A392" s="583"/>
      <c r="B392" s="583">
        <v>906</v>
      </c>
      <c r="C392" s="581">
        <v>9</v>
      </c>
      <c r="D392" s="1137" t="s">
        <v>772</v>
      </c>
      <c r="E392" s="1138" t="s">
        <v>774</v>
      </c>
      <c r="F392" s="599"/>
      <c r="G392" s="599"/>
      <c r="H392" s="599"/>
      <c r="I392" s="599"/>
      <c r="J392" s="599"/>
      <c r="K392" s="599"/>
      <c r="L392" s="599"/>
      <c r="M392" s="599"/>
      <c r="N392" s="599"/>
      <c r="O392" s="599"/>
      <c r="P392" s="599"/>
      <c r="Q392" s="599"/>
      <c r="R392" s="599"/>
      <c r="S392" s="1096">
        <f t="shared" si="24"/>
        <v>0</v>
      </c>
      <c r="T392" s="599">
        <v>0</v>
      </c>
      <c r="U392" s="1096">
        <f t="shared" si="23"/>
        <v>0</v>
      </c>
      <c r="V392" s="599">
        <v>0</v>
      </c>
      <c r="W392" s="620"/>
      <c r="X392" s="621"/>
      <c r="Y392" s="1096">
        <f t="shared" si="25"/>
        <v>0</v>
      </c>
      <c r="Z392" s="882">
        <f t="shared" si="26"/>
        <v>0</v>
      </c>
    </row>
    <row r="393" spans="1:26" ht="27" customHeight="1">
      <c r="A393" s="583"/>
      <c r="B393" s="583"/>
      <c r="C393" s="581">
        <v>7</v>
      </c>
      <c r="D393" s="1137" t="s">
        <v>291</v>
      </c>
      <c r="E393" s="1138" t="s">
        <v>495</v>
      </c>
      <c r="F393" s="599">
        <v>47500000</v>
      </c>
      <c r="G393" s="599"/>
      <c r="H393" s="599"/>
      <c r="I393" s="599"/>
      <c r="J393" s="599"/>
      <c r="K393" s="599"/>
      <c r="L393" s="599"/>
      <c r="M393" s="599"/>
      <c r="N393" s="599"/>
      <c r="O393" s="599"/>
      <c r="P393" s="599"/>
      <c r="Q393" s="599"/>
      <c r="R393" s="599"/>
      <c r="S393" s="1096">
        <f t="shared" si="24"/>
        <v>47500000</v>
      </c>
      <c r="T393" s="599">
        <v>47500000</v>
      </c>
      <c r="U393" s="1096">
        <f t="shared" ref="U393:U456" si="27">ROUND((S393/1000000),0)</f>
        <v>48</v>
      </c>
      <c r="V393" s="599">
        <v>48</v>
      </c>
      <c r="W393" s="620"/>
      <c r="X393" s="621"/>
      <c r="Y393" s="1096">
        <f t="shared" si="25"/>
        <v>47500000</v>
      </c>
      <c r="Z393" s="882">
        <f t="shared" si="26"/>
        <v>48</v>
      </c>
    </row>
    <row r="394" spans="1:26" ht="27" customHeight="1">
      <c r="A394" s="583"/>
      <c r="B394" s="583">
        <v>421</v>
      </c>
      <c r="C394" s="581">
        <v>4</v>
      </c>
      <c r="D394" s="1137" t="s">
        <v>610</v>
      </c>
      <c r="E394" s="1138" t="s">
        <v>611</v>
      </c>
      <c r="F394" s="738">
        <v>20125875211</v>
      </c>
      <c r="G394" s="599"/>
      <c r="H394" s="599"/>
      <c r="I394" s="599">
        <v>-6732919468</v>
      </c>
      <c r="J394" s="599"/>
      <c r="K394" s="599"/>
      <c r="L394" s="599"/>
      <c r="M394" s="599"/>
      <c r="N394" s="599"/>
      <c r="O394" s="599"/>
      <c r="P394" s="599"/>
      <c r="Q394" s="599"/>
      <c r="R394" s="599"/>
      <c r="S394" s="1096">
        <f t="shared" si="24"/>
        <v>13392955743</v>
      </c>
      <c r="T394" s="599">
        <v>20125875211</v>
      </c>
      <c r="U394" s="1096">
        <f t="shared" si="27"/>
        <v>13393</v>
      </c>
      <c r="V394" s="599">
        <v>20126</v>
      </c>
      <c r="W394" s="620"/>
      <c r="X394" s="621"/>
      <c r="Y394" s="1096">
        <f t="shared" si="25"/>
        <v>13392955743</v>
      </c>
      <c r="Z394" s="882">
        <f t="shared" si="26"/>
        <v>13393</v>
      </c>
    </row>
    <row r="395" spans="1:26" ht="27" customHeight="1">
      <c r="A395" s="583"/>
      <c r="B395" s="583">
        <v>410</v>
      </c>
      <c r="C395" s="581">
        <v>4</v>
      </c>
      <c r="D395" s="1137" t="s">
        <v>610</v>
      </c>
      <c r="E395" s="1138" t="s">
        <v>611</v>
      </c>
      <c r="F395" s="599"/>
      <c r="G395" s="599"/>
      <c r="H395" s="599"/>
      <c r="I395" s="599"/>
      <c r="J395" s="599"/>
      <c r="K395" s="599"/>
      <c r="L395" s="599"/>
      <c r="M395" s="599"/>
      <c r="N395" s="599"/>
      <c r="O395" s="599"/>
      <c r="P395" s="599"/>
      <c r="Q395" s="599"/>
      <c r="R395" s="599"/>
      <c r="S395" s="1096">
        <f t="shared" si="24"/>
        <v>0</v>
      </c>
      <c r="T395" s="599">
        <v>0</v>
      </c>
      <c r="U395" s="1096">
        <f t="shared" si="27"/>
        <v>0</v>
      </c>
      <c r="V395" s="599">
        <v>0</v>
      </c>
      <c r="W395" s="620"/>
      <c r="X395" s="621"/>
      <c r="Y395" s="1096">
        <f t="shared" si="25"/>
        <v>0</v>
      </c>
      <c r="Z395" s="882">
        <f t="shared" si="26"/>
        <v>0</v>
      </c>
    </row>
    <row r="396" spans="1:26" ht="27" customHeight="1">
      <c r="A396" s="583"/>
      <c r="B396" s="583">
        <v>1018</v>
      </c>
      <c r="C396" s="581">
        <v>10</v>
      </c>
      <c r="D396" s="1137" t="s">
        <v>894</v>
      </c>
      <c r="E396" s="1138" t="s">
        <v>895</v>
      </c>
      <c r="F396" s="599">
        <v>-12988037428</v>
      </c>
      <c r="G396" s="599">
        <v>51620000</v>
      </c>
      <c r="H396" s="599"/>
      <c r="I396" s="599"/>
      <c r="J396" s="599"/>
      <c r="K396" s="599"/>
      <c r="L396" s="599"/>
      <c r="M396" s="599"/>
      <c r="N396" s="599"/>
      <c r="O396" s="599"/>
      <c r="P396" s="599"/>
      <c r="Q396" s="599"/>
      <c r="R396" s="599"/>
      <c r="S396" s="1096">
        <f t="shared" si="24"/>
        <v>-12936417428</v>
      </c>
      <c r="T396" s="599">
        <v>0</v>
      </c>
      <c r="U396" s="1096">
        <f t="shared" si="27"/>
        <v>-12936</v>
      </c>
      <c r="V396" s="599">
        <v>0</v>
      </c>
      <c r="W396" s="620"/>
      <c r="X396" s="621"/>
      <c r="Y396" s="1096">
        <f t="shared" si="25"/>
        <v>-12936417428</v>
      </c>
      <c r="Z396" s="882">
        <f t="shared" si="26"/>
        <v>-12936</v>
      </c>
    </row>
    <row r="397" spans="1:26" ht="27" customHeight="1">
      <c r="A397" s="583"/>
      <c r="B397" s="583">
        <v>506</v>
      </c>
      <c r="C397" s="581">
        <v>5</v>
      </c>
      <c r="D397" s="1137" t="s">
        <v>145</v>
      </c>
      <c r="E397" s="1138" t="s">
        <v>761</v>
      </c>
      <c r="F397" s="599">
        <v>214844387</v>
      </c>
      <c r="G397" s="599"/>
      <c r="H397" s="599"/>
      <c r="I397" s="599"/>
      <c r="J397" s="599"/>
      <c r="K397" s="599"/>
      <c r="L397" s="599"/>
      <c r="M397" s="599"/>
      <c r="N397" s="599"/>
      <c r="O397" s="599"/>
      <c r="P397" s="599"/>
      <c r="Q397" s="599"/>
      <c r="R397" s="599"/>
      <c r="S397" s="1096">
        <f t="shared" si="24"/>
        <v>214844387</v>
      </c>
      <c r="T397" s="599">
        <v>214844387</v>
      </c>
      <c r="U397" s="1096">
        <f t="shared" si="27"/>
        <v>215</v>
      </c>
      <c r="V397" s="599">
        <v>215</v>
      </c>
      <c r="W397" s="620"/>
      <c r="X397" s="621"/>
      <c r="Y397" s="1096">
        <f t="shared" si="25"/>
        <v>214844387</v>
      </c>
      <c r="Z397" s="882">
        <f t="shared" si="26"/>
        <v>215</v>
      </c>
    </row>
    <row r="398" spans="1:26" ht="27" customHeight="1">
      <c r="A398" s="583"/>
      <c r="B398" s="583">
        <v>504</v>
      </c>
      <c r="C398" s="581">
        <v>5</v>
      </c>
      <c r="D398" s="1137" t="s">
        <v>119</v>
      </c>
      <c r="E398" s="1138" t="s">
        <v>1149</v>
      </c>
      <c r="F398" s="599">
        <v>28494795000</v>
      </c>
      <c r="G398" s="599">
        <v>-11033053500</v>
      </c>
      <c r="H398" s="599"/>
      <c r="I398" s="599"/>
      <c r="J398" s="599"/>
      <c r="K398" s="599"/>
      <c r="L398" s="599"/>
      <c r="M398" s="599"/>
      <c r="N398" s="599"/>
      <c r="O398" s="599"/>
      <c r="P398" s="599"/>
      <c r="Q398" s="599"/>
      <c r="R398" s="599"/>
      <c r="S398" s="1096">
        <f t="shared" si="24"/>
        <v>17461741500</v>
      </c>
      <c r="T398" s="599">
        <v>28494795000</v>
      </c>
      <c r="U398" s="1096">
        <f t="shared" si="27"/>
        <v>17462</v>
      </c>
      <c r="V398" s="599">
        <v>28495</v>
      </c>
      <c r="W398" s="620"/>
      <c r="X398" s="621"/>
      <c r="Y398" s="1096">
        <f t="shared" si="25"/>
        <v>17461741500</v>
      </c>
      <c r="Z398" s="882">
        <f t="shared" si="26"/>
        <v>17462</v>
      </c>
    </row>
    <row r="399" spans="1:26" ht="27" customHeight="1">
      <c r="A399" s="583"/>
      <c r="B399" s="583">
        <v>1022</v>
      </c>
      <c r="C399" s="581">
        <v>10</v>
      </c>
      <c r="D399" s="1137" t="s">
        <v>121</v>
      </c>
      <c r="E399" s="1138" t="s">
        <v>1150</v>
      </c>
      <c r="F399" s="599"/>
      <c r="G399" s="599"/>
      <c r="H399" s="599"/>
      <c r="I399" s="599"/>
      <c r="J399" s="599"/>
      <c r="K399" s="599"/>
      <c r="L399" s="599"/>
      <c r="M399" s="599"/>
      <c r="N399" s="599"/>
      <c r="O399" s="599"/>
      <c r="P399" s="599"/>
      <c r="Q399" s="599"/>
      <c r="R399" s="599"/>
      <c r="S399" s="1096">
        <f t="shared" si="24"/>
        <v>0</v>
      </c>
      <c r="T399" s="599">
        <v>0</v>
      </c>
      <c r="U399" s="1096">
        <f t="shared" si="27"/>
        <v>0</v>
      </c>
      <c r="V399" s="599">
        <v>0</v>
      </c>
      <c r="W399" s="620"/>
      <c r="X399" s="621"/>
      <c r="Y399" s="1096">
        <f t="shared" si="25"/>
        <v>0</v>
      </c>
      <c r="Z399" s="882">
        <f t="shared" si="26"/>
        <v>0</v>
      </c>
    </row>
    <row r="400" spans="1:26" ht="27" customHeight="1">
      <c r="A400" s="583"/>
      <c r="B400" s="583">
        <v>505</v>
      </c>
      <c r="C400" s="581">
        <v>5</v>
      </c>
      <c r="D400" s="1137" t="s">
        <v>123</v>
      </c>
      <c r="E400" s="1138" t="s">
        <v>124</v>
      </c>
      <c r="F400" s="599">
        <v>96274812670</v>
      </c>
      <c r="G400" s="599">
        <v>71277854272</v>
      </c>
      <c r="H400" s="599">
        <v>-102314178110</v>
      </c>
      <c r="I400" s="599"/>
      <c r="J400" s="599"/>
      <c r="K400" s="599"/>
      <c r="L400" s="599"/>
      <c r="M400" s="599"/>
      <c r="N400" s="599"/>
      <c r="O400" s="599"/>
      <c r="P400" s="599"/>
      <c r="Q400" s="599"/>
      <c r="R400" s="599"/>
      <c r="S400" s="1096">
        <f t="shared" si="24"/>
        <v>65238488832</v>
      </c>
      <c r="T400" s="599">
        <v>28481663307</v>
      </c>
      <c r="U400" s="1096">
        <f t="shared" si="27"/>
        <v>65238</v>
      </c>
      <c r="V400" s="599">
        <v>28482</v>
      </c>
      <c r="W400" s="620"/>
      <c r="X400" s="621"/>
      <c r="Y400" s="1096">
        <f t="shared" si="25"/>
        <v>65238488832</v>
      </c>
      <c r="Z400" s="882">
        <f t="shared" si="26"/>
        <v>65238</v>
      </c>
    </row>
    <row r="401" spans="1:26" ht="27" customHeight="1">
      <c r="A401" s="583"/>
      <c r="B401" s="583">
        <v>506</v>
      </c>
      <c r="C401" s="1231">
        <v>5</v>
      </c>
      <c r="D401" s="1230">
        <v>90004883</v>
      </c>
      <c r="E401" s="1138" t="s">
        <v>1830</v>
      </c>
      <c r="F401" s="599"/>
      <c r="G401" s="599"/>
      <c r="H401" s="599">
        <v>71277854272</v>
      </c>
      <c r="I401" s="599"/>
      <c r="J401" s="599"/>
      <c r="K401" s="599"/>
      <c r="L401" s="599"/>
      <c r="M401" s="599"/>
      <c r="N401" s="599"/>
      <c r="O401" s="599"/>
      <c r="P401" s="599"/>
      <c r="Q401" s="599"/>
      <c r="R401" s="599"/>
      <c r="S401" s="1096">
        <f t="shared" si="24"/>
        <v>71277854272</v>
      </c>
      <c r="T401" s="599"/>
      <c r="U401" s="1096">
        <f t="shared" si="27"/>
        <v>71278</v>
      </c>
      <c r="V401" s="599"/>
      <c r="W401" s="620"/>
      <c r="X401" s="621"/>
      <c r="Y401" s="1096">
        <f t="shared" si="25"/>
        <v>71277854272</v>
      </c>
      <c r="Z401" s="882">
        <f t="shared" si="26"/>
        <v>71278</v>
      </c>
    </row>
    <row r="402" spans="1:26" ht="27" customHeight="1">
      <c r="A402" s="583"/>
      <c r="B402" s="583"/>
      <c r="C402" s="581">
        <v>8</v>
      </c>
      <c r="D402" s="1137" t="s">
        <v>125</v>
      </c>
      <c r="E402" s="1138" t="s">
        <v>999</v>
      </c>
      <c r="F402" s="599">
        <v>68696594496</v>
      </c>
      <c r="G402" s="599">
        <v>347819000</v>
      </c>
      <c r="H402" s="599"/>
      <c r="I402" s="599"/>
      <c r="J402" s="599"/>
      <c r="K402" s="599">
        <v>-54000000</v>
      </c>
      <c r="L402" s="599"/>
      <c r="M402" s="599"/>
      <c r="N402" s="599"/>
      <c r="O402" s="599"/>
      <c r="P402" s="599"/>
      <c r="Q402" s="599"/>
      <c r="R402" s="599"/>
      <c r="S402" s="1096">
        <f t="shared" si="24"/>
        <v>68990413496</v>
      </c>
      <c r="T402" s="599">
        <v>67763363290</v>
      </c>
      <c r="U402" s="1096">
        <f t="shared" si="27"/>
        <v>68990</v>
      </c>
      <c r="V402" s="599">
        <v>67763</v>
      </c>
      <c r="W402" s="620"/>
      <c r="X402" s="621"/>
      <c r="Y402" s="1096">
        <f t="shared" si="25"/>
        <v>68990413496</v>
      </c>
      <c r="Z402" s="882">
        <f t="shared" si="26"/>
        <v>68990</v>
      </c>
    </row>
    <row r="403" spans="1:26" ht="27" customHeight="1">
      <c r="A403" s="583"/>
      <c r="B403" s="583">
        <v>406</v>
      </c>
      <c r="C403" s="581">
        <v>4</v>
      </c>
      <c r="D403" s="1137" t="s">
        <v>63</v>
      </c>
      <c r="E403" s="1138" t="s">
        <v>559</v>
      </c>
      <c r="F403" s="599">
        <v>7603492099</v>
      </c>
      <c r="G403" s="599"/>
      <c r="H403" s="599"/>
      <c r="I403" s="599"/>
      <c r="J403" s="599"/>
      <c r="K403" s="599"/>
      <c r="L403" s="599"/>
      <c r="M403" s="599"/>
      <c r="N403" s="599"/>
      <c r="O403" s="599"/>
      <c r="P403" s="599"/>
      <c r="Q403" s="599"/>
      <c r="R403" s="599"/>
      <c r="S403" s="1096">
        <f t="shared" si="24"/>
        <v>7603492099</v>
      </c>
      <c r="T403" s="599">
        <v>20026101779</v>
      </c>
      <c r="U403" s="1096">
        <f t="shared" si="27"/>
        <v>7603</v>
      </c>
      <c r="V403" s="599">
        <v>20026</v>
      </c>
      <c r="W403" s="620"/>
      <c r="X403" s="621"/>
      <c r="Y403" s="1096">
        <f t="shared" si="25"/>
        <v>7603492099</v>
      </c>
      <c r="Z403" s="882">
        <f t="shared" si="26"/>
        <v>7603</v>
      </c>
    </row>
    <row r="404" spans="1:26" ht="27" customHeight="1">
      <c r="A404" s="583"/>
      <c r="B404" s="583">
        <v>606</v>
      </c>
      <c r="C404" s="581">
        <v>6</v>
      </c>
      <c r="D404" s="1137" t="s">
        <v>849</v>
      </c>
      <c r="E404" s="1138" t="s">
        <v>920</v>
      </c>
      <c r="F404" s="599">
        <v>15894955372</v>
      </c>
      <c r="G404" s="599"/>
      <c r="H404" s="599"/>
      <c r="I404" s="599"/>
      <c r="J404" s="599"/>
      <c r="K404" s="599"/>
      <c r="L404" s="599"/>
      <c r="M404" s="599"/>
      <c r="N404" s="599"/>
      <c r="O404" s="599"/>
      <c r="P404" s="599"/>
      <c r="Q404" s="599"/>
      <c r="R404" s="599"/>
      <c r="S404" s="1096">
        <f t="shared" si="24"/>
        <v>15894955372</v>
      </c>
      <c r="T404" s="599">
        <v>7821475124</v>
      </c>
      <c r="U404" s="1096">
        <f t="shared" si="27"/>
        <v>15895</v>
      </c>
      <c r="V404" s="599">
        <v>7821</v>
      </c>
      <c r="W404" s="620"/>
      <c r="X404" s="621"/>
      <c r="Y404" s="1096">
        <f t="shared" si="25"/>
        <v>15894955372</v>
      </c>
      <c r="Z404" s="882">
        <f t="shared" si="26"/>
        <v>15895</v>
      </c>
    </row>
    <row r="405" spans="1:26" ht="27" customHeight="1">
      <c r="A405" s="583"/>
      <c r="B405" s="583">
        <v>604</v>
      </c>
      <c r="C405" s="581">
        <v>6</v>
      </c>
      <c r="D405" s="1137" t="s">
        <v>69</v>
      </c>
      <c r="E405" s="1138" t="s">
        <v>70</v>
      </c>
      <c r="F405" s="599">
        <v>174017126</v>
      </c>
      <c r="G405" s="599"/>
      <c r="H405" s="599"/>
      <c r="I405" s="599"/>
      <c r="J405" s="599"/>
      <c r="K405" s="599"/>
      <c r="L405" s="599"/>
      <c r="M405" s="599"/>
      <c r="N405" s="599"/>
      <c r="O405" s="599"/>
      <c r="P405" s="599"/>
      <c r="Q405" s="599"/>
      <c r="R405" s="599"/>
      <c r="S405" s="1096">
        <f t="shared" si="24"/>
        <v>174017126</v>
      </c>
      <c r="T405" s="599">
        <v>223324836</v>
      </c>
      <c r="U405" s="1096">
        <f t="shared" si="27"/>
        <v>174</v>
      </c>
      <c r="V405" s="599">
        <v>223</v>
      </c>
      <c r="W405" s="620"/>
      <c r="X405" s="621"/>
      <c r="Y405" s="1096">
        <f t="shared" si="25"/>
        <v>174017126</v>
      </c>
      <c r="Z405" s="882">
        <f t="shared" si="26"/>
        <v>174</v>
      </c>
    </row>
    <row r="406" spans="1:26" ht="27" customHeight="1">
      <c r="A406" s="583"/>
      <c r="B406" s="583">
        <v>406</v>
      </c>
      <c r="C406" s="581">
        <v>4</v>
      </c>
      <c r="D406" s="1137" t="s">
        <v>1151</v>
      </c>
      <c r="E406" s="1138" t="s">
        <v>1152</v>
      </c>
      <c r="F406" s="599">
        <v>1348983865</v>
      </c>
      <c r="G406" s="599"/>
      <c r="H406" s="599"/>
      <c r="I406" s="599"/>
      <c r="J406" s="599"/>
      <c r="K406" s="599"/>
      <c r="L406" s="599"/>
      <c r="M406" s="599"/>
      <c r="N406" s="599"/>
      <c r="O406" s="599"/>
      <c r="P406" s="599"/>
      <c r="Q406" s="599"/>
      <c r="R406" s="599"/>
      <c r="S406" s="1096">
        <f t="shared" si="24"/>
        <v>1348983865</v>
      </c>
      <c r="T406" s="599">
        <v>1348983865</v>
      </c>
      <c r="U406" s="1096">
        <f t="shared" si="27"/>
        <v>1349</v>
      </c>
      <c r="V406" s="599">
        <v>1349</v>
      </c>
      <c r="W406" s="620"/>
      <c r="X406" s="621"/>
      <c r="Y406" s="1096">
        <f t="shared" si="25"/>
        <v>1348983865</v>
      </c>
      <c r="Z406" s="882">
        <f t="shared" si="26"/>
        <v>1349</v>
      </c>
    </row>
    <row r="407" spans="1:26" ht="27" customHeight="1">
      <c r="A407" s="1232"/>
      <c r="B407" s="583">
        <v>907</v>
      </c>
      <c r="C407" s="581">
        <v>9</v>
      </c>
      <c r="D407" s="1137" t="s">
        <v>71</v>
      </c>
      <c r="E407" s="1138" t="s">
        <v>72</v>
      </c>
      <c r="F407" s="599">
        <v>100692672432</v>
      </c>
      <c r="G407" s="599">
        <v>3680227547</v>
      </c>
      <c r="H407" s="599"/>
      <c r="I407" s="599">
        <v>-104372899979</v>
      </c>
      <c r="J407" s="599"/>
      <c r="K407" s="599"/>
      <c r="L407" s="599"/>
      <c r="M407" s="599"/>
      <c r="N407" s="599"/>
      <c r="O407" s="599"/>
      <c r="P407" s="599"/>
      <c r="Q407" s="599"/>
      <c r="R407" s="599"/>
      <c r="S407" s="1096">
        <f t="shared" si="24"/>
        <v>0</v>
      </c>
      <c r="T407" s="599">
        <v>0</v>
      </c>
      <c r="U407" s="1096">
        <f t="shared" si="27"/>
        <v>0</v>
      </c>
      <c r="V407" s="599">
        <v>0</v>
      </c>
      <c r="W407" s="620"/>
      <c r="X407" s="621"/>
      <c r="Y407" s="1096">
        <f t="shared" si="25"/>
        <v>0</v>
      </c>
      <c r="Z407" s="882">
        <f t="shared" si="26"/>
        <v>0</v>
      </c>
    </row>
    <row r="408" spans="1:26" ht="27" customHeight="1">
      <c r="A408" s="1232">
        <v>3214</v>
      </c>
      <c r="B408" s="583">
        <v>907</v>
      </c>
      <c r="C408" s="581">
        <v>9</v>
      </c>
      <c r="D408" s="1137" t="s">
        <v>71</v>
      </c>
      <c r="E408" s="1138" t="s">
        <v>1459</v>
      </c>
      <c r="G408" s="599"/>
      <c r="H408" s="599"/>
      <c r="I408" s="599"/>
      <c r="J408" s="599"/>
      <c r="K408" s="599">
        <f>21831258741+104964313357</f>
        <v>126795572098</v>
      </c>
      <c r="L408" s="599"/>
      <c r="M408" s="599"/>
      <c r="N408" s="599">
        <v>-24286148855</v>
      </c>
      <c r="O408" s="599"/>
      <c r="P408" s="599"/>
      <c r="Q408" s="599"/>
      <c r="R408" s="599"/>
      <c r="S408" s="1096">
        <f t="shared" si="24"/>
        <v>102509423243</v>
      </c>
      <c r="T408" s="599">
        <v>101478534118</v>
      </c>
      <c r="U408" s="1096">
        <f t="shared" si="27"/>
        <v>102509</v>
      </c>
      <c r="V408" s="738">
        <v>101479</v>
      </c>
      <c r="W408" s="620"/>
      <c r="X408" s="621"/>
      <c r="Y408" s="1096">
        <f t="shared" si="25"/>
        <v>102509423243</v>
      </c>
      <c r="Z408" s="882">
        <f t="shared" si="26"/>
        <v>102509</v>
      </c>
    </row>
    <row r="409" spans="1:26" ht="27" customHeight="1">
      <c r="A409" s="1232">
        <v>6587</v>
      </c>
      <c r="B409" s="583">
        <v>907</v>
      </c>
      <c r="C409" s="581">
        <v>9</v>
      </c>
      <c r="D409" s="1137" t="s">
        <v>71</v>
      </c>
      <c r="E409" s="1138" t="s">
        <v>1719</v>
      </c>
      <c r="F409" s="599"/>
      <c r="G409" s="599"/>
      <c r="H409" s="599"/>
      <c r="I409" s="599"/>
      <c r="J409" s="599"/>
      <c r="K409" s="599"/>
      <c r="L409" s="599"/>
      <c r="M409" s="599"/>
      <c r="N409" s="599"/>
      <c r="O409" s="599"/>
      <c r="P409" s="599"/>
      <c r="Q409" s="599"/>
      <c r="R409" s="599"/>
      <c r="S409" s="1096">
        <f t="shared" si="24"/>
        <v>0</v>
      </c>
      <c r="T409" s="599">
        <v>0</v>
      </c>
      <c r="U409" s="1096">
        <f t="shared" si="27"/>
        <v>0</v>
      </c>
      <c r="V409" s="599">
        <v>0</v>
      </c>
      <c r="W409" s="620"/>
      <c r="X409" s="621"/>
      <c r="Y409" s="1096">
        <f t="shared" si="25"/>
        <v>0</v>
      </c>
      <c r="Z409" s="882">
        <f t="shared" si="26"/>
        <v>0</v>
      </c>
    </row>
    <row r="410" spans="1:26" ht="27" customHeight="1">
      <c r="A410" s="583"/>
      <c r="B410" s="583">
        <v>406</v>
      </c>
      <c r="C410" s="581">
        <v>4</v>
      </c>
      <c r="D410" s="1137" t="s">
        <v>73</v>
      </c>
      <c r="E410" s="1138" t="s">
        <v>74</v>
      </c>
      <c r="F410" s="599">
        <v>12529127004</v>
      </c>
      <c r="G410" s="599">
        <v>-1729321797</v>
      </c>
      <c r="H410" s="599">
        <v>-76191000</v>
      </c>
      <c r="I410" s="599">
        <v>-401595000</v>
      </c>
      <c r="J410" s="599"/>
      <c r="K410" s="599"/>
      <c r="L410" s="599"/>
      <c r="M410" s="599"/>
      <c r="N410" s="599"/>
      <c r="O410" s="599"/>
      <c r="P410" s="599"/>
      <c r="Q410" s="599"/>
      <c r="R410" s="599"/>
      <c r="S410" s="1096">
        <f t="shared" si="24"/>
        <v>10322019207</v>
      </c>
      <c r="T410" s="599">
        <v>11711478798</v>
      </c>
      <c r="U410" s="1096">
        <f t="shared" si="27"/>
        <v>10322</v>
      </c>
      <c r="V410" s="599">
        <v>11711</v>
      </c>
      <c r="W410" s="620"/>
      <c r="X410" s="621"/>
      <c r="Y410" s="1096">
        <f t="shared" si="25"/>
        <v>10322019207</v>
      </c>
      <c r="Z410" s="882">
        <f t="shared" si="26"/>
        <v>10322</v>
      </c>
    </row>
    <row r="411" spans="1:26" ht="27" customHeight="1">
      <c r="A411" s="583"/>
      <c r="B411" s="583">
        <v>605</v>
      </c>
      <c r="C411" s="581">
        <v>6</v>
      </c>
      <c r="D411" s="1137" t="s">
        <v>1153</v>
      </c>
      <c r="E411" s="1138" t="s">
        <v>1154</v>
      </c>
      <c r="F411" s="599">
        <v>805562337786</v>
      </c>
      <c r="G411" s="599"/>
      <c r="H411" s="599"/>
      <c r="I411" s="599"/>
      <c r="J411" s="599"/>
      <c r="K411" s="599"/>
      <c r="L411" s="599"/>
      <c r="M411" s="599"/>
      <c r="N411" s="599"/>
      <c r="O411" s="599"/>
      <c r="P411" s="599"/>
      <c r="Q411" s="599"/>
      <c r="R411" s="599"/>
      <c r="S411" s="1096">
        <f t="shared" si="24"/>
        <v>805562337786</v>
      </c>
      <c r="T411" s="599">
        <v>693769756976</v>
      </c>
      <c r="U411" s="1096">
        <f t="shared" si="27"/>
        <v>805562</v>
      </c>
      <c r="V411" s="599">
        <v>693770</v>
      </c>
      <c r="W411" s="620"/>
      <c r="X411" s="621"/>
      <c r="Y411" s="1096">
        <f t="shared" si="25"/>
        <v>805562337786</v>
      </c>
      <c r="Z411" s="882">
        <f t="shared" si="26"/>
        <v>805562</v>
      </c>
    </row>
    <row r="412" spans="1:26" ht="27" customHeight="1">
      <c r="A412" s="583"/>
      <c r="B412" s="583">
        <v>406</v>
      </c>
      <c r="C412" s="581">
        <v>4</v>
      </c>
      <c r="D412" s="1137" t="s">
        <v>75</v>
      </c>
      <c r="E412" s="1138" t="s">
        <v>406</v>
      </c>
      <c r="F412" s="599">
        <v>6749066270</v>
      </c>
      <c r="G412" s="599"/>
      <c r="H412" s="599"/>
      <c r="I412" s="599"/>
      <c r="J412" s="599"/>
      <c r="K412" s="599"/>
      <c r="L412" s="599"/>
      <c r="M412" s="599"/>
      <c r="N412" s="599"/>
      <c r="O412" s="599"/>
      <c r="P412" s="599"/>
      <c r="Q412" s="599"/>
      <c r="R412" s="599"/>
      <c r="S412" s="1096">
        <f t="shared" si="24"/>
        <v>6749066270</v>
      </c>
      <c r="T412" s="599">
        <v>6749066270</v>
      </c>
      <c r="U412" s="1096">
        <f t="shared" si="27"/>
        <v>6749</v>
      </c>
      <c r="V412" s="599">
        <v>6749</v>
      </c>
      <c r="W412" s="620"/>
      <c r="X412" s="621"/>
      <c r="Y412" s="1096">
        <f t="shared" si="25"/>
        <v>6749066270</v>
      </c>
      <c r="Z412" s="882">
        <f t="shared" si="26"/>
        <v>6749</v>
      </c>
    </row>
    <row r="413" spans="1:26" ht="27" customHeight="1">
      <c r="A413" s="583"/>
      <c r="B413" s="583">
        <v>406</v>
      </c>
      <c r="C413" s="581">
        <v>4</v>
      </c>
      <c r="D413" s="1137" t="s">
        <v>407</v>
      </c>
      <c r="E413" s="1138" t="s">
        <v>408</v>
      </c>
      <c r="F413" s="599">
        <v>199100360</v>
      </c>
      <c r="G413" s="599"/>
      <c r="H413" s="599"/>
      <c r="I413" s="599"/>
      <c r="J413" s="599"/>
      <c r="K413" s="599"/>
      <c r="L413" s="599"/>
      <c r="M413" s="599"/>
      <c r="N413" s="599"/>
      <c r="O413" s="599"/>
      <c r="P413" s="599"/>
      <c r="Q413" s="599"/>
      <c r="R413" s="599"/>
      <c r="S413" s="1096">
        <f t="shared" si="24"/>
        <v>199100360</v>
      </c>
      <c r="T413" s="599">
        <v>199100360</v>
      </c>
      <c r="U413" s="1096">
        <f t="shared" si="27"/>
        <v>199</v>
      </c>
      <c r="V413" s="599">
        <v>199</v>
      </c>
      <c r="W413" s="620"/>
      <c r="X413" s="621"/>
      <c r="Y413" s="1096">
        <f t="shared" si="25"/>
        <v>199100360</v>
      </c>
      <c r="Z413" s="882">
        <f t="shared" si="26"/>
        <v>199</v>
      </c>
    </row>
    <row r="414" spans="1:26" ht="27" customHeight="1">
      <c r="A414" s="583"/>
      <c r="B414" s="583">
        <v>411</v>
      </c>
      <c r="C414" s="581">
        <v>4</v>
      </c>
      <c r="D414" s="1137" t="s">
        <v>409</v>
      </c>
      <c r="E414" s="1138" t="s">
        <v>410</v>
      </c>
      <c r="F414" s="599">
        <v>17403364862</v>
      </c>
      <c r="G414" s="599">
        <v>834909213</v>
      </c>
      <c r="H414" s="599"/>
      <c r="I414" s="599"/>
      <c r="J414" s="599"/>
      <c r="K414" s="599"/>
      <c r="L414" s="599"/>
      <c r="M414" s="599"/>
      <c r="N414" s="599"/>
      <c r="O414" s="599"/>
      <c r="P414" s="599"/>
      <c r="Q414" s="599"/>
      <c r="R414" s="599"/>
      <c r="S414" s="1096">
        <f t="shared" si="24"/>
        <v>18238274075</v>
      </c>
      <c r="T414" s="599">
        <v>34374391635</v>
      </c>
      <c r="U414" s="1096">
        <f t="shared" si="27"/>
        <v>18238</v>
      </c>
      <c r="V414" s="599">
        <v>34374</v>
      </c>
      <c r="W414" s="620"/>
      <c r="X414" s="621"/>
      <c r="Y414" s="1096">
        <f t="shared" si="25"/>
        <v>18238274075</v>
      </c>
      <c r="Z414" s="882">
        <f t="shared" si="26"/>
        <v>18238</v>
      </c>
    </row>
    <row r="415" spans="1:26" ht="27" customHeight="1">
      <c r="A415" s="583">
        <v>3214</v>
      </c>
      <c r="B415" s="583">
        <v>408</v>
      </c>
      <c r="C415" s="581">
        <v>4</v>
      </c>
      <c r="D415" s="1137" t="s">
        <v>409</v>
      </c>
      <c r="E415" s="1138" t="s">
        <v>1669</v>
      </c>
      <c r="F415" s="599"/>
      <c r="G415" s="599"/>
      <c r="H415" s="599"/>
      <c r="I415" s="599"/>
      <c r="J415" s="599"/>
      <c r="K415" s="599"/>
      <c r="L415" s="599"/>
      <c r="M415" s="599"/>
      <c r="N415" s="599">
        <v>214165293180</v>
      </c>
      <c r="O415" s="599"/>
      <c r="P415" s="599"/>
      <c r="Q415" s="599"/>
      <c r="R415" s="599"/>
      <c r="S415" s="1096">
        <f t="shared" si="24"/>
        <v>214165293180</v>
      </c>
      <c r="T415" s="599">
        <v>0</v>
      </c>
      <c r="U415" s="1096">
        <f t="shared" si="27"/>
        <v>214165</v>
      </c>
      <c r="V415" s="599">
        <v>0</v>
      </c>
      <c r="W415" s="620"/>
      <c r="X415" s="621"/>
      <c r="Y415" s="1096">
        <f t="shared" si="25"/>
        <v>214165293180</v>
      </c>
      <c r="Z415" s="882">
        <f t="shared" si="26"/>
        <v>214165</v>
      </c>
    </row>
    <row r="416" spans="1:26" ht="27" customHeight="1">
      <c r="A416" s="1232"/>
      <c r="B416" s="583">
        <v>907</v>
      </c>
      <c r="C416" s="581">
        <v>9</v>
      </c>
      <c r="D416" s="1137" t="s">
        <v>411</v>
      </c>
      <c r="E416" s="1138" t="s">
        <v>769</v>
      </c>
      <c r="F416" s="599">
        <v>236526671920</v>
      </c>
      <c r="G416" s="599">
        <v>3928857260</v>
      </c>
      <c r="H416" s="599"/>
      <c r="I416" s="599">
        <v>-228456619180</v>
      </c>
      <c r="J416" s="599"/>
      <c r="K416" s="599">
        <v>23107500000</v>
      </c>
      <c r="L416" s="599"/>
      <c r="M416" s="599"/>
      <c r="N416" s="599"/>
      <c r="O416" s="599"/>
      <c r="P416" s="599"/>
      <c r="Q416" s="599"/>
      <c r="R416" s="599"/>
      <c r="S416" s="1096">
        <f t="shared" si="24"/>
        <v>35106410000</v>
      </c>
      <c r="T416" s="599">
        <v>35943162105</v>
      </c>
      <c r="U416" s="1096">
        <f t="shared" si="27"/>
        <v>35106</v>
      </c>
      <c r="V416" s="599">
        <v>35943</v>
      </c>
      <c r="W416" s="620"/>
      <c r="X416" s="621"/>
      <c r="Y416" s="1096">
        <f t="shared" si="25"/>
        <v>35106410000</v>
      </c>
      <c r="Z416" s="882">
        <f t="shared" si="26"/>
        <v>35106</v>
      </c>
    </row>
    <row r="417" spans="1:26" ht="27" customHeight="1">
      <c r="A417" s="1232">
        <v>3214</v>
      </c>
      <c r="B417" s="583">
        <v>907</v>
      </c>
      <c r="C417" s="581">
        <v>9</v>
      </c>
      <c r="D417" s="1137" t="s">
        <v>411</v>
      </c>
      <c r="E417" s="1138" t="s">
        <v>1670</v>
      </c>
      <c r="G417" s="599"/>
      <c r="H417" s="599"/>
      <c r="I417" s="599"/>
      <c r="J417" s="599"/>
      <c r="K417" s="599">
        <f>1130702506844+1270183074959+250819866045</f>
        <v>2651705447848</v>
      </c>
      <c r="L417" s="599"/>
      <c r="M417" s="599"/>
      <c r="N417" s="599">
        <f>1030615214062+89012262</f>
        <v>1030704226324</v>
      </c>
      <c r="O417" s="599"/>
      <c r="P417" s="599">
        <f>-956229217891-198351663180</f>
        <v>-1154580881071</v>
      </c>
      <c r="Q417" s="599"/>
      <c r="R417" s="599"/>
      <c r="S417" s="1096">
        <f t="shared" si="24"/>
        <v>2527828793101</v>
      </c>
      <c r="T417" s="599">
        <v>1925966244039</v>
      </c>
      <c r="U417" s="1096">
        <f t="shared" si="27"/>
        <v>2527829</v>
      </c>
      <c r="V417" s="738">
        <v>1925966</v>
      </c>
      <c r="W417" s="620"/>
      <c r="X417" s="621"/>
      <c r="Y417" s="1096">
        <f t="shared" si="25"/>
        <v>2527828793101</v>
      </c>
      <c r="Z417" s="882">
        <f t="shared" si="26"/>
        <v>2527829</v>
      </c>
    </row>
    <row r="418" spans="1:26" ht="33.75" customHeight="1">
      <c r="A418" s="1232">
        <v>6587</v>
      </c>
      <c r="B418" s="583">
        <v>907</v>
      </c>
      <c r="C418" s="581">
        <v>9</v>
      </c>
      <c r="D418" s="1137" t="s">
        <v>411</v>
      </c>
      <c r="E418" s="1139" t="s">
        <v>1674</v>
      </c>
      <c r="F418" s="599"/>
      <c r="G418" s="599"/>
      <c r="H418" s="599"/>
      <c r="I418" s="599"/>
      <c r="J418" s="599"/>
      <c r="K418" s="599"/>
      <c r="L418" s="599"/>
      <c r="M418" s="599"/>
      <c r="N418" s="599"/>
      <c r="O418" s="599"/>
      <c r="P418" s="599"/>
      <c r="Q418" s="599"/>
      <c r="R418" s="599"/>
      <c r="S418" s="1096">
        <f t="shared" si="24"/>
        <v>0</v>
      </c>
      <c r="T418" s="599">
        <v>0</v>
      </c>
      <c r="U418" s="1096">
        <f t="shared" si="27"/>
        <v>0</v>
      </c>
      <c r="V418" s="599">
        <v>0</v>
      </c>
      <c r="W418" s="620"/>
      <c r="X418" s="621"/>
      <c r="Y418" s="1096">
        <f t="shared" si="25"/>
        <v>0</v>
      </c>
      <c r="Z418" s="882">
        <f t="shared" si="26"/>
        <v>0</v>
      </c>
    </row>
    <row r="419" spans="1:26" ht="27" customHeight="1">
      <c r="A419" s="583"/>
      <c r="B419" s="583">
        <v>603</v>
      </c>
      <c r="C419" s="581">
        <v>6</v>
      </c>
      <c r="D419" s="1137" t="s">
        <v>353</v>
      </c>
      <c r="E419" s="1138" t="s">
        <v>354</v>
      </c>
      <c r="F419" s="599">
        <v>104887566658</v>
      </c>
      <c r="G419" s="599">
        <v>1004430000</v>
      </c>
      <c r="H419" s="599"/>
      <c r="I419" s="599"/>
      <c r="J419" s="599"/>
      <c r="K419" s="599"/>
      <c r="L419" s="599"/>
      <c r="M419" s="599"/>
      <c r="N419" s="599"/>
      <c r="O419" s="599"/>
      <c r="P419" s="599"/>
      <c r="Q419" s="599"/>
      <c r="R419" s="599"/>
      <c r="S419" s="1096">
        <f t="shared" si="24"/>
        <v>105891996658</v>
      </c>
      <c r="T419" s="599">
        <v>33653479892</v>
      </c>
      <c r="U419" s="1096">
        <f t="shared" si="27"/>
        <v>105892</v>
      </c>
      <c r="V419" s="599">
        <v>33653</v>
      </c>
      <c r="W419" s="620"/>
      <c r="X419" s="621"/>
      <c r="Y419" s="1096">
        <f t="shared" si="25"/>
        <v>105891996658</v>
      </c>
      <c r="Z419" s="882">
        <f t="shared" si="26"/>
        <v>105892</v>
      </c>
    </row>
    <row r="420" spans="1:26" ht="27" customHeight="1">
      <c r="A420" s="583"/>
      <c r="B420" s="583">
        <v>406</v>
      </c>
      <c r="C420" s="581">
        <v>4</v>
      </c>
      <c r="D420" s="1137" t="s">
        <v>355</v>
      </c>
      <c r="E420" s="1138" t="s">
        <v>356</v>
      </c>
      <c r="F420" s="599">
        <v>5692862935</v>
      </c>
      <c r="G420" s="599">
        <v>-5614062329</v>
      </c>
      <c r="H420" s="599"/>
      <c r="I420" s="599"/>
      <c r="J420" s="599"/>
      <c r="K420" s="599"/>
      <c r="L420" s="599"/>
      <c r="M420" s="599"/>
      <c r="N420" s="599"/>
      <c r="O420" s="599"/>
      <c r="P420" s="599"/>
      <c r="Q420" s="599"/>
      <c r="R420" s="599"/>
      <c r="S420" s="1096">
        <f t="shared" si="24"/>
        <v>78800606</v>
      </c>
      <c r="T420" s="599">
        <v>83549006</v>
      </c>
      <c r="U420" s="1096">
        <f t="shared" si="27"/>
        <v>79</v>
      </c>
      <c r="V420" s="599">
        <v>84</v>
      </c>
      <c r="W420" s="620"/>
      <c r="X420" s="621"/>
      <c r="Y420" s="1096">
        <f t="shared" si="25"/>
        <v>78800606</v>
      </c>
      <c r="Z420" s="882">
        <f t="shared" si="26"/>
        <v>79</v>
      </c>
    </row>
    <row r="421" spans="1:26" ht="27" customHeight="1">
      <c r="A421" s="583">
        <v>3214</v>
      </c>
      <c r="B421" s="583">
        <v>1015</v>
      </c>
      <c r="C421" s="581">
        <v>10</v>
      </c>
      <c r="D421" s="1137" t="s">
        <v>355</v>
      </c>
      <c r="E421" s="1138" t="s">
        <v>1462</v>
      </c>
      <c r="F421" s="599"/>
      <c r="G421" s="599"/>
      <c r="H421" s="599"/>
      <c r="I421" s="599"/>
      <c r="J421" s="599"/>
      <c r="K421" s="599"/>
      <c r="L421" s="599"/>
      <c r="M421" s="599"/>
      <c r="N421" s="599"/>
      <c r="O421" s="599"/>
      <c r="P421" s="599"/>
      <c r="Q421" s="599"/>
      <c r="R421" s="599"/>
      <c r="S421" s="1096">
        <f t="shared" si="24"/>
        <v>0</v>
      </c>
      <c r="T421" s="599">
        <v>-42738271</v>
      </c>
      <c r="U421" s="1096">
        <f t="shared" si="27"/>
        <v>0</v>
      </c>
      <c r="V421" s="599">
        <v>-43</v>
      </c>
      <c r="W421" s="620"/>
      <c r="X421" s="621"/>
      <c r="Y421" s="1096">
        <f t="shared" si="25"/>
        <v>0</v>
      </c>
      <c r="Z421" s="882">
        <f t="shared" si="26"/>
        <v>0</v>
      </c>
    </row>
    <row r="422" spans="1:26" ht="27" customHeight="1">
      <c r="A422" s="583"/>
      <c r="B422" s="583">
        <v>406</v>
      </c>
      <c r="C422" s="581">
        <v>4</v>
      </c>
      <c r="D422" s="1137" t="s">
        <v>1258</v>
      </c>
      <c r="E422" s="1138" t="s">
        <v>1259</v>
      </c>
      <c r="F422" s="599"/>
      <c r="G422" s="599"/>
      <c r="H422" s="599"/>
      <c r="I422" s="599"/>
      <c r="J422" s="599"/>
      <c r="K422" s="599"/>
      <c r="L422" s="599"/>
      <c r="M422" s="599"/>
      <c r="N422" s="599"/>
      <c r="O422" s="599"/>
      <c r="P422" s="599"/>
      <c r="Q422" s="599"/>
      <c r="R422" s="599"/>
      <c r="S422" s="1096">
        <f t="shared" si="24"/>
        <v>0</v>
      </c>
      <c r="T422" s="599">
        <v>0</v>
      </c>
      <c r="U422" s="1096">
        <f t="shared" si="27"/>
        <v>0</v>
      </c>
      <c r="V422" s="599">
        <v>0</v>
      </c>
      <c r="W422" s="620"/>
      <c r="X422" s="621"/>
      <c r="Y422" s="1096">
        <f t="shared" si="25"/>
        <v>0</v>
      </c>
      <c r="Z422" s="882">
        <f t="shared" si="26"/>
        <v>0</v>
      </c>
    </row>
    <row r="423" spans="1:26" ht="27" customHeight="1">
      <c r="A423" s="583"/>
      <c r="B423" s="583">
        <v>1015</v>
      </c>
      <c r="C423" s="581">
        <v>10</v>
      </c>
      <c r="D423" s="1137" t="s">
        <v>357</v>
      </c>
      <c r="E423" s="1138" t="s">
        <v>358</v>
      </c>
      <c r="F423" s="599">
        <v>-582436371</v>
      </c>
      <c r="G423" s="599">
        <v>-12494109</v>
      </c>
      <c r="H423" s="599"/>
      <c r="I423" s="599"/>
      <c r="J423" s="599"/>
      <c r="K423" s="599"/>
      <c r="L423" s="599"/>
      <c r="M423" s="599"/>
      <c r="N423" s="599"/>
      <c r="O423" s="599"/>
      <c r="P423" s="599"/>
      <c r="Q423" s="599"/>
      <c r="R423" s="599"/>
      <c r="S423" s="1096">
        <f t="shared" si="24"/>
        <v>-594930480</v>
      </c>
      <c r="T423" s="599">
        <v>-78404720</v>
      </c>
      <c r="U423" s="1096">
        <f t="shared" si="27"/>
        <v>-595</v>
      </c>
      <c r="V423" s="599">
        <v>-78</v>
      </c>
      <c r="W423" s="620"/>
      <c r="X423" s="621"/>
      <c r="Y423" s="1096">
        <f t="shared" si="25"/>
        <v>-594930480</v>
      </c>
      <c r="Z423" s="882">
        <f t="shared" si="26"/>
        <v>-595</v>
      </c>
    </row>
    <row r="424" spans="1:26" ht="27" customHeight="1">
      <c r="A424" s="583"/>
      <c r="B424" s="583">
        <v>1015</v>
      </c>
      <c r="C424" s="581">
        <v>10</v>
      </c>
      <c r="D424" s="1137" t="s">
        <v>359</v>
      </c>
      <c r="E424" s="1138" t="s">
        <v>896</v>
      </c>
      <c r="G424" s="599"/>
      <c r="H424" s="599"/>
      <c r="I424" s="599"/>
      <c r="J424" s="599"/>
      <c r="K424" s="599"/>
      <c r="L424" s="599"/>
      <c r="M424" s="599"/>
      <c r="N424" s="599"/>
      <c r="O424" s="599"/>
      <c r="P424" s="599"/>
      <c r="Q424" s="599"/>
      <c r="R424" s="599"/>
      <c r="S424" s="1096">
        <f t="shared" si="24"/>
        <v>0</v>
      </c>
      <c r="T424" s="599">
        <v>0</v>
      </c>
      <c r="U424" s="1096">
        <f t="shared" si="27"/>
        <v>0</v>
      </c>
      <c r="V424" s="599">
        <v>0</v>
      </c>
      <c r="W424" s="620"/>
      <c r="X424" s="621"/>
      <c r="Y424" s="1096">
        <f t="shared" si="25"/>
        <v>0</v>
      </c>
      <c r="Z424" s="882">
        <f t="shared" si="26"/>
        <v>0</v>
      </c>
    </row>
    <row r="425" spans="1:26" ht="27" customHeight="1">
      <c r="A425" s="583"/>
      <c r="B425" s="583">
        <v>1015</v>
      </c>
      <c r="C425" s="581">
        <v>10</v>
      </c>
      <c r="D425" s="1137" t="s">
        <v>598</v>
      </c>
      <c r="E425" s="1138" t="s">
        <v>850</v>
      </c>
      <c r="F425" s="599">
        <v>-97583</v>
      </c>
      <c r="G425" s="599"/>
      <c r="H425" s="599"/>
      <c r="I425" s="599"/>
      <c r="J425" s="599"/>
      <c r="K425" s="599"/>
      <c r="L425" s="599"/>
      <c r="M425" s="599"/>
      <c r="N425" s="599"/>
      <c r="O425" s="599"/>
      <c r="P425" s="599"/>
      <c r="Q425" s="599"/>
      <c r="R425" s="599"/>
      <c r="S425" s="1096">
        <f t="shared" si="24"/>
        <v>-97583</v>
      </c>
      <c r="T425" s="599">
        <v>-97583</v>
      </c>
      <c r="U425" s="1096">
        <f t="shared" si="27"/>
        <v>0</v>
      </c>
      <c r="V425" s="599">
        <v>0</v>
      </c>
      <c r="W425" s="620"/>
      <c r="X425" s="621"/>
      <c r="Y425" s="1096">
        <f t="shared" si="25"/>
        <v>-97583</v>
      </c>
      <c r="Z425" s="882">
        <f t="shared" si="26"/>
        <v>0</v>
      </c>
    </row>
    <row r="426" spans="1:26" ht="27" customHeight="1">
      <c r="A426" s="583"/>
      <c r="B426" s="583">
        <v>602</v>
      </c>
      <c r="C426" s="581">
        <v>6</v>
      </c>
      <c r="D426" s="1137" t="s">
        <v>600</v>
      </c>
      <c r="E426" s="1138" t="s">
        <v>601</v>
      </c>
      <c r="F426" s="599">
        <v>-42116464946</v>
      </c>
      <c r="G426" s="599"/>
      <c r="H426" s="599"/>
      <c r="I426" s="599"/>
      <c r="J426" s="599"/>
      <c r="K426" s="599"/>
      <c r="L426" s="599"/>
      <c r="M426" s="599"/>
      <c r="N426" s="599"/>
      <c r="O426" s="599"/>
      <c r="P426" s="599"/>
      <c r="Q426" s="599"/>
      <c r="R426" s="599"/>
      <c r="S426" s="1096">
        <f t="shared" si="24"/>
        <v>-42116464946</v>
      </c>
      <c r="T426" s="599">
        <v>-42116464946</v>
      </c>
      <c r="U426" s="1096">
        <f t="shared" si="27"/>
        <v>-42116</v>
      </c>
      <c r="V426" s="599">
        <v>-33846</v>
      </c>
      <c r="W426" s="620"/>
      <c r="X426" s="738"/>
      <c r="Y426" s="1096">
        <f t="shared" si="25"/>
        <v>-42116464946</v>
      </c>
      <c r="Z426" s="882">
        <f t="shared" si="26"/>
        <v>-42116</v>
      </c>
    </row>
    <row r="427" spans="1:26" ht="27" customHeight="1">
      <c r="A427" s="583"/>
      <c r="B427" s="583">
        <v>1015</v>
      </c>
      <c r="C427" s="581">
        <v>10</v>
      </c>
      <c r="D427" s="1137" t="s">
        <v>1264</v>
      </c>
      <c r="E427" s="1138" t="s">
        <v>1259</v>
      </c>
      <c r="F427" s="599"/>
      <c r="G427" s="599"/>
      <c r="H427" s="599"/>
      <c r="I427" s="599"/>
      <c r="J427" s="599"/>
      <c r="K427" s="599"/>
      <c r="L427" s="599"/>
      <c r="M427" s="599"/>
      <c r="N427" s="599"/>
      <c r="O427" s="599"/>
      <c r="P427" s="599"/>
      <c r="Q427" s="599"/>
      <c r="R427" s="599"/>
      <c r="S427" s="1096">
        <f t="shared" si="24"/>
        <v>0</v>
      </c>
      <c r="T427" s="599">
        <v>0</v>
      </c>
      <c r="U427" s="1096">
        <f t="shared" si="27"/>
        <v>0</v>
      </c>
      <c r="V427" s="599">
        <v>0</v>
      </c>
      <c r="W427" s="620"/>
      <c r="X427" s="621"/>
      <c r="Y427" s="1096">
        <f t="shared" si="25"/>
        <v>0</v>
      </c>
      <c r="Z427" s="882">
        <f t="shared" si="26"/>
        <v>0</v>
      </c>
    </row>
    <row r="428" spans="1:26" ht="27" customHeight="1">
      <c r="A428" s="583"/>
      <c r="B428" s="583">
        <v>406</v>
      </c>
      <c r="C428" s="581">
        <v>4</v>
      </c>
      <c r="D428" s="1137" t="s">
        <v>602</v>
      </c>
      <c r="E428" s="1138" t="s">
        <v>603</v>
      </c>
      <c r="F428" s="599">
        <v>630222394</v>
      </c>
      <c r="G428" s="599">
        <v>-2376000</v>
      </c>
      <c r="H428" s="599"/>
      <c r="I428" s="599"/>
      <c r="J428" s="599"/>
      <c r="K428" s="599"/>
      <c r="L428" s="599"/>
      <c r="M428" s="599"/>
      <c r="N428" s="599"/>
      <c r="O428" s="599"/>
      <c r="P428" s="599"/>
      <c r="Q428" s="599"/>
      <c r="R428" s="599"/>
      <c r="S428" s="1096">
        <f t="shared" si="24"/>
        <v>627846394</v>
      </c>
      <c r="T428" s="599">
        <v>228068074</v>
      </c>
      <c r="U428" s="1096">
        <f t="shared" si="27"/>
        <v>628</v>
      </c>
      <c r="V428" s="599">
        <v>228</v>
      </c>
      <c r="W428" s="620"/>
      <c r="X428" s="621"/>
      <c r="Y428" s="1096">
        <f t="shared" si="25"/>
        <v>627846394</v>
      </c>
      <c r="Z428" s="882">
        <f t="shared" si="26"/>
        <v>628</v>
      </c>
    </row>
    <row r="429" spans="1:26" ht="27" customHeight="1">
      <c r="A429" s="583"/>
      <c r="B429" s="583">
        <v>406</v>
      </c>
      <c r="C429" s="581">
        <v>4</v>
      </c>
      <c r="D429" s="1137" t="s">
        <v>668</v>
      </c>
      <c r="E429" s="1138" t="s">
        <v>669</v>
      </c>
      <c r="F429" s="599"/>
      <c r="G429" s="599"/>
      <c r="H429" s="599"/>
      <c r="I429" s="599"/>
      <c r="J429" s="599"/>
      <c r="K429" s="599"/>
      <c r="L429" s="599"/>
      <c r="M429" s="599"/>
      <c r="N429" s="599"/>
      <c r="O429" s="599"/>
      <c r="P429" s="599"/>
      <c r="Q429" s="599"/>
      <c r="R429" s="599"/>
      <c r="S429" s="1096">
        <f t="shared" si="24"/>
        <v>0</v>
      </c>
      <c r="T429" s="599">
        <v>0</v>
      </c>
      <c r="U429" s="1096">
        <f t="shared" si="27"/>
        <v>0</v>
      </c>
      <c r="V429" s="599">
        <v>0</v>
      </c>
      <c r="W429" s="620"/>
      <c r="X429" s="621"/>
      <c r="Y429" s="1096">
        <f t="shared" si="25"/>
        <v>0</v>
      </c>
      <c r="Z429" s="882">
        <f t="shared" si="26"/>
        <v>0</v>
      </c>
    </row>
    <row r="430" spans="1:26" ht="27" customHeight="1">
      <c r="A430" s="583"/>
      <c r="B430" s="583">
        <v>100201</v>
      </c>
      <c r="C430" s="581">
        <v>10</v>
      </c>
      <c r="D430" s="1137" t="s">
        <v>604</v>
      </c>
      <c r="E430" s="1138" t="s">
        <v>532</v>
      </c>
      <c r="F430" s="599"/>
      <c r="G430" s="599"/>
      <c r="H430" s="599"/>
      <c r="I430" s="599"/>
      <c r="J430" s="599"/>
      <c r="K430" s="599"/>
      <c r="L430" s="599"/>
      <c r="M430" s="599"/>
      <c r="N430" s="599"/>
      <c r="O430" s="599"/>
      <c r="P430" s="599"/>
      <c r="Q430" s="599"/>
      <c r="R430" s="599"/>
      <c r="S430" s="1096">
        <f t="shared" si="24"/>
        <v>0</v>
      </c>
      <c r="T430" s="599">
        <v>0</v>
      </c>
      <c r="U430" s="1096">
        <f t="shared" si="27"/>
        <v>0</v>
      </c>
      <c r="V430" s="599">
        <v>0</v>
      </c>
      <c r="W430" s="620"/>
      <c r="X430" s="621"/>
      <c r="Y430" s="1096">
        <f t="shared" si="25"/>
        <v>0</v>
      </c>
      <c r="Z430" s="882">
        <f t="shared" si="26"/>
        <v>0</v>
      </c>
    </row>
    <row r="431" spans="1:26" ht="27" customHeight="1">
      <c r="A431" s="583"/>
      <c r="B431" s="583">
        <v>1018</v>
      </c>
      <c r="C431" s="581">
        <v>10</v>
      </c>
      <c r="D431" s="1137" t="s">
        <v>605</v>
      </c>
      <c r="E431" s="1138" t="s">
        <v>227</v>
      </c>
      <c r="F431" s="599">
        <v>-36813592313</v>
      </c>
      <c r="G431" s="599">
        <v>36704598000</v>
      </c>
      <c r="H431" s="599"/>
      <c r="I431" s="599"/>
      <c r="J431" s="599"/>
      <c r="K431" s="599"/>
      <c r="L431" s="599"/>
      <c r="M431" s="599"/>
      <c r="N431" s="599"/>
      <c r="O431" s="599"/>
      <c r="P431" s="599"/>
      <c r="Q431" s="599"/>
      <c r="R431" s="599"/>
      <c r="S431" s="1096">
        <f t="shared" si="24"/>
        <v>-108994313</v>
      </c>
      <c r="T431" s="599">
        <v>-474666902</v>
      </c>
      <c r="U431" s="1096">
        <f t="shared" si="27"/>
        <v>-109</v>
      </c>
      <c r="V431" s="599">
        <v>-475</v>
      </c>
      <c r="W431" s="620"/>
      <c r="X431" s="621"/>
      <c r="Y431" s="1096">
        <f t="shared" si="25"/>
        <v>-108994313</v>
      </c>
      <c r="Z431" s="882">
        <f t="shared" si="26"/>
        <v>-109</v>
      </c>
    </row>
    <row r="432" spans="1:26" ht="27" customHeight="1">
      <c r="A432" s="583"/>
      <c r="B432" s="583">
        <v>1018</v>
      </c>
      <c r="C432" s="581">
        <v>10</v>
      </c>
      <c r="D432" s="1137" t="s">
        <v>1000</v>
      </c>
      <c r="E432" s="1138" t="s">
        <v>1001</v>
      </c>
      <c r="F432" s="599">
        <v>-24326180</v>
      </c>
      <c r="G432" s="599"/>
      <c r="H432" s="599"/>
      <c r="I432" s="599"/>
      <c r="J432" s="599"/>
      <c r="K432" s="599"/>
      <c r="L432" s="599"/>
      <c r="M432" s="599"/>
      <c r="N432" s="599"/>
      <c r="O432" s="599"/>
      <c r="P432" s="599"/>
      <c r="Q432" s="599"/>
      <c r="R432" s="599"/>
      <c r="S432" s="1096">
        <f t="shared" si="24"/>
        <v>-24326180</v>
      </c>
      <c r="T432" s="599">
        <v>-62897680</v>
      </c>
      <c r="U432" s="1096">
        <f t="shared" si="27"/>
        <v>-24</v>
      </c>
      <c r="V432" s="599">
        <v>-63</v>
      </c>
      <c r="W432" s="620"/>
      <c r="X432" s="621"/>
      <c r="Y432" s="1096">
        <f t="shared" si="25"/>
        <v>-24326180</v>
      </c>
      <c r="Z432" s="882">
        <f t="shared" si="26"/>
        <v>-24</v>
      </c>
    </row>
    <row r="433" spans="1:26" ht="27" customHeight="1">
      <c r="A433" s="583"/>
      <c r="B433" s="583">
        <v>1018</v>
      </c>
      <c r="C433" s="581">
        <v>10</v>
      </c>
      <c r="D433" s="1137" t="s">
        <v>515</v>
      </c>
      <c r="E433" s="1138" t="s">
        <v>516</v>
      </c>
      <c r="F433" s="599">
        <v>-362000000</v>
      </c>
      <c r="G433" s="599"/>
      <c r="H433" s="599"/>
      <c r="I433" s="599"/>
      <c r="J433" s="599"/>
      <c r="K433" s="599"/>
      <c r="L433" s="599"/>
      <c r="M433" s="599"/>
      <c r="N433" s="599"/>
      <c r="O433" s="599"/>
      <c r="P433" s="599"/>
      <c r="Q433" s="599"/>
      <c r="R433" s="599"/>
      <c r="S433" s="1096">
        <f t="shared" si="24"/>
        <v>-362000000</v>
      </c>
      <c r="T433" s="599">
        <v>-362000000</v>
      </c>
      <c r="U433" s="1096">
        <f t="shared" si="27"/>
        <v>-362</v>
      </c>
      <c r="V433" s="599">
        <v>-362</v>
      </c>
      <c r="W433" s="620"/>
      <c r="X433" s="621"/>
      <c r="Y433" s="1096">
        <f t="shared" si="25"/>
        <v>-362000000</v>
      </c>
      <c r="Z433" s="882">
        <f t="shared" si="26"/>
        <v>-362</v>
      </c>
    </row>
    <row r="434" spans="1:26" ht="27" customHeight="1">
      <c r="A434" s="583"/>
      <c r="B434" s="583">
        <v>1018</v>
      </c>
      <c r="C434" s="581">
        <v>10</v>
      </c>
      <c r="D434" s="1137" t="s">
        <v>1347</v>
      </c>
      <c r="E434" s="1138" t="s">
        <v>1348</v>
      </c>
      <c r="F434" s="599"/>
      <c r="G434" s="599"/>
      <c r="H434" s="599"/>
      <c r="I434" s="599"/>
      <c r="J434" s="599"/>
      <c r="K434" s="599"/>
      <c r="L434" s="599"/>
      <c r="M434" s="599"/>
      <c r="N434" s="599"/>
      <c r="O434" s="599"/>
      <c r="P434" s="599"/>
      <c r="Q434" s="599"/>
      <c r="R434" s="599"/>
      <c r="S434" s="1096">
        <f t="shared" si="24"/>
        <v>0</v>
      </c>
      <c r="T434" s="599">
        <v>0</v>
      </c>
      <c r="U434" s="1096">
        <f t="shared" si="27"/>
        <v>0</v>
      </c>
      <c r="V434" s="599">
        <v>0</v>
      </c>
      <c r="W434" s="620"/>
      <c r="X434" s="621"/>
      <c r="Y434" s="1096">
        <f t="shared" si="25"/>
        <v>0</v>
      </c>
      <c r="Z434" s="882">
        <f t="shared" si="26"/>
        <v>0</v>
      </c>
    </row>
    <row r="435" spans="1:26" ht="27" customHeight="1">
      <c r="A435" s="1232"/>
      <c r="B435" s="583">
        <v>1012</v>
      </c>
      <c r="C435" s="581">
        <v>10</v>
      </c>
      <c r="D435" s="1137" t="s">
        <v>18</v>
      </c>
      <c r="E435" s="1138" t="s">
        <v>228</v>
      </c>
      <c r="F435" s="599">
        <f>-5572124565977-F436-F437-F438</f>
        <v>-1703872996503</v>
      </c>
      <c r="G435" s="599">
        <v>-192644447017</v>
      </c>
      <c r="H435" s="599">
        <v>124958183798</v>
      </c>
      <c r="I435" s="599">
        <f>-1497177759643-I436-I437-I438</f>
        <v>-643379513</v>
      </c>
      <c r="J435" s="599">
        <v>578571772</v>
      </c>
      <c r="K435" s="599">
        <f>-2068427024007+2069794043816+247151108+1265692392</f>
        <v>2879863309</v>
      </c>
      <c r="L435" s="599"/>
      <c r="M435" s="599">
        <f>-637958950+8102343345+9023542410+582840287</f>
        <v>17070767092</v>
      </c>
      <c r="N435" s="599"/>
      <c r="O435" s="599"/>
      <c r="P435" s="599"/>
      <c r="Q435" s="599"/>
      <c r="R435" s="599"/>
      <c r="S435" s="1096">
        <f t="shared" si="24"/>
        <v>-1751673437062</v>
      </c>
      <c r="T435" s="599">
        <v>-1374297848841</v>
      </c>
      <c r="U435" s="1096">
        <f t="shared" si="27"/>
        <v>-1751673</v>
      </c>
      <c r="V435" s="599">
        <v>-1374298</v>
      </c>
      <c r="W435" s="620"/>
      <c r="X435" s="621"/>
      <c r="Y435" s="1096">
        <f t="shared" si="25"/>
        <v>-1751673437062</v>
      </c>
      <c r="Z435" s="882">
        <f t="shared" si="26"/>
        <v>-1751673</v>
      </c>
    </row>
    <row r="436" spans="1:26" ht="27" customHeight="1">
      <c r="A436" s="1233">
        <v>6587</v>
      </c>
      <c r="B436" s="583">
        <v>100201</v>
      </c>
      <c r="C436" s="581">
        <v>10</v>
      </c>
      <c r="D436" s="1137" t="s">
        <v>1692</v>
      </c>
      <c r="E436" s="1138" t="s">
        <v>228</v>
      </c>
      <c r="F436" s="599">
        <v>-1324253316424</v>
      </c>
      <c r="G436" s="599"/>
      <c r="I436" s="599">
        <f>-2056189513042-F436</f>
        <v>-731936196618</v>
      </c>
      <c r="J436" s="599"/>
      <c r="K436" s="599"/>
      <c r="L436" s="599"/>
      <c r="M436" s="599"/>
      <c r="N436" s="599"/>
      <c r="O436" s="599"/>
      <c r="P436" s="599"/>
      <c r="Q436" s="599"/>
      <c r="R436" s="599"/>
      <c r="S436" s="1096">
        <f t="shared" si="24"/>
        <v>-2056189513042</v>
      </c>
      <c r="T436" s="599">
        <v>-1324253316424</v>
      </c>
      <c r="U436" s="1096">
        <f t="shared" si="27"/>
        <v>-2056190</v>
      </c>
      <c r="V436" s="599">
        <v>-1324253</v>
      </c>
      <c r="W436" s="620"/>
      <c r="X436" s="621"/>
      <c r="Y436" s="1096">
        <f t="shared" si="25"/>
        <v>-2056189513042</v>
      </c>
      <c r="Z436" s="882">
        <f t="shared" si="26"/>
        <v>-2056190</v>
      </c>
    </row>
    <row r="437" spans="1:26" ht="27" customHeight="1">
      <c r="A437" s="1233">
        <v>6587</v>
      </c>
      <c r="B437" s="583">
        <v>100201</v>
      </c>
      <c r="C437" s="581">
        <v>10</v>
      </c>
      <c r="D437" s="1137" t="s">
        <v>1693</v>
      </c>
      <c r="E437" s="1138" t="s">
        <v>228</v>
      </c>
      <c r="F437" s="599">
        <v>-2523755640092</v>
      </c>
      <c r="G437" s="599"/>
      <c r="I437" s="599">
        <f>-3162441390543-F437</f>
        <v>-638685750451</v>
      </c>
      <c r="J437" s="599"/>
      <c r="K437" s="599"/>
      <c r="L437" s="599"/>
      <c r="M437" s="599"/>
      <c r="N437" s="599"/>
      <c r="O437" s="599"/>
      <c r="P437" s="599"/>
      <c r="Q437" s="599"/>
      <c r="R437" s="599"/>
      <c r="S437" s="1096">
        <f t="shared" si="24"/>
        <v>-3162441390543</v>
      </c>
      <c r="T437" s="599">
        <v>-2523755640092</v>
      </c>
      <c r="U437" s="1096">
        <f t="shared" si="27"/>
        <v>-3162441</v>
      </c>
      <c r="V437" s="599">
        <v>-2523756</v>
      </c>
      <c r="W437" s="620"/>
      <c r="X437" s="621"/>
      <c r="Y437" s="1096">
        <f t="shared" si="25"/>
        <v>-3162441390543</v>
      </c>
      <c r="Z437" s="882">
        <f t="shared" si="26"/>
        <v>-3162441</v>
      </c>
    </row>
    <row r="438" spans="1:26" ht="27" customHeight="1">
      <c r="A438" s="1233">
        <v>6587</v>
      </c>
      <c r="B438" s="583">
        <v>100201</v>
      </c>
      <c r="C438" s="581">
        <v>10</v>
      </c>
      <c r="D438" s="1137" t="s">
        <v>1770</v>
      </c>
      <c r="E438" s="1138" t="s">
        <v>228</v>
      </c>
      <c r="F438" s="599">
        <v>-20242612958</v>
      </c>
      <c r="G438" s="599"/>
      <c r="I438" s="599">
        <f>-146155046019-F438</f>
        <v>-125912433061</v>
      </c>
      <c r="J438" s="599"/>
      <c r="K438" s="599"/>
      <c r="L438" s="599"/>
      <c r="M438" s="599"/>
      <c r="N438" s="599"/>
      <c r="O438" s="599"/>
      <c r="P438" s="599"/>
      <c r="Q438" s="599"/>
      <c r="R438" s="599"/>
      <c r="S438" s="1096">
        <f t="shared" si="24"/>
        <v>-146155046019</v>
      </c>
      <c r="T438" s="599">
        <v>-20242612958</v>
      </c>
      <c r="U438" s="1096">
        <f t="shared" si="27"/>
        <v>-146155</v>
      </c>
      <c r="V438" s="599">
        <v>-20243</v>
      </c>
      <c r="W438" s="620"/>
      <c r="X438" s="621"/>
      <c r="Y438" s="1096">
        <f t="shared" si="25"/>
        <v>-146155046019</v>
      </c>
      <c r="Z438" s="882">
        <f t="shared" si="26"/>
        <v>-146155</v>
      </c>
    </row>
    <row r="439" spans="1:26" ht="27" customHeight="1">
      <c r="A439" s="1233">
        <v>3214</v>
      </c>
      <c r="B439" s="583">
        <v>100201</v>
      </c>
      <c r="C439" s="581">
        <v>10</v>
      </c>
      <c r="D439" s="1137" t="s">
        <v>18</v>
      </c>
      <c r="E439" s="1138" t="s">
        <v>228</v>
      </c>
      <c r="G439" s="599"/>
      <c r="H439" s="599"/>
      <c r="I439" s="599"/>
      <c r="J439" s="599"/>
      <c r="K439" s="599">
        <v>-2069794043816</v>
      </c>
      <c r="L439" s="599"/>
      <c r="M439" s="599"/>
      <c r="N439" s="599">
        <v>-1113303999697</v>
      </c>
      <c r="O439" s="599"/>
      <c r="P439" s="599">
        <v>1005169977023</v>
      </c>
      <c r="Q439" s="599"/>
      <c r="R439" s="599"/>
      <c r="S439" s="1096">
        <f t="shared" si="24"/>
        <v>-2177928066490</v>
      </c>
      <c r="T439" s="599">
        <v>-1682872043769</v>
      </c>
      <c r="U439" s="1096">
        <f t="shared" si="27"/>
        <v>-2177928</v>
      </c>
      <c r="V439" s="599">
        <v>-1682872</v>
      </c>
      <c r="W439" s="620"/>
      <c r="X439" s="621"/>
      <c r="Y439" s="1096">
        <f t="shared" si="25"/>
        <v>-2177928066490</v>
      </c>
      <c r="Z439" s="882">
        <f t="shared" si="26"/>
        <v>-2177928</v>
      </c>
    </row>
    <row r="440" spans="1:26" ht="27" customHeight="1">
      <c r="A440" s="583"/>
      <c r="B440" s="583">
        <v>405</v>
      </c>
      <c r="C440" s="581">
        <v>4</v>
      </c>
      <c r="D440" s="1137" t="s">
        <v>201</v>
      </c>
      <c r="E440" s="1138" t="s">
        <v>1426</v>
      </c>
      <c r="F440" s="599">
        <v>216542002021</v>
      </c>
      <c r="G440" s="599"/>
      <c r="H440" s="599"/>
      <c r="I440" s="599"/>
      <c r="J440" s="599"/>
      <c r="K440" s="599"/>
      <c r="L440" s="599"/>
      <c r="M440" s="599"/>
      <c r="N440" s="599"/>
      <c r="O440" s="599"/>
      <c r="P440" s="599"/>
      <c r="Q440" s="599"/>
      <c r="R440" s="599"/>
      <c r="S440" s="1096">
        <f t="shared" si="24"/>
        <v>216542002021</v>
      </c>
      <c r="T440" s="599">
        <v>257135039061</v>
      </c>
      <c r="U440" s="1096">
        <f t="shared" si="27"/>
        <v>216542</v>
      </c>
      <c r="V440" s="599">
        <v>273676</v>
      </c>
      <c r="W440" s="620"/>
      <c r="X440" s="738"/>
      <c r="Y440" s="1096">
        <f t="shared" si="25"/>
        <v>216542002021</v>
      </c>
      <c r="Z440" s="882">
        <f t="shared" si="26"/>
        <v>216542</v>
      </c>
    </row>
    <row r="441" spans="1:26" ht="27" customHeight="1">
      <c r="A441" s="583"/>
      <c r="B441" s="583">
        <v>1401</v>
      </c>
      <c r="C441" s="581">
        <v>11</v>
      </c>
      <c r="D441" s="1137" t="s">
        <v>1166</v>
      </c>
      <c r="E441" s="1138" t="s">
        <v>1165</v>
      </c>
      <c r="F441" s="599"/>
      <c r="G441" s="599"/>
      <c r="H441" s="599"/>
      <c r="I441" s="599"/>
      <c r="J441" s="599"/>
      <c r="K441" s="599"/>
      <c r="L441" s="599"/>
      <c r="M441" s="599"/>
      <c r="N441" s="599"/>
      <c r="O441" s="599"/>
      <c r="P441" s="599"/>
      <c r="Q441" s="599"/>
      <c r="R441" s="599"/>
      <c r="S441" s="1096">
        <f t="shared" si="24"/>
        <v>0</v>
      </c>
      <c r="T441" s="599">
        <v>0</v>
      </c>
      <c r="U441" s="1096">
        <f t="shared" si="27"/>
        <v>0</v>
      </c>
      <c r="V441" s="599">
        <v>0</v>
      </c>
      <c r="W441" s="620"/>
      <c r="X441" s="621"/>
      <c r="Y441" s="1096">
        <f t="shared" si="25"/>
        <v>0</v>
      </c>
      <c r="Z441" s="882">
        <f t="shared" si="26"/>
        <v>0</v>
      </c>
    </row>
    <row r="442" spans="1:26" ht="27" customHeight="1">
      <c r="A442" s="583"/>
      <c r="B442" s="583">
        <v>406</v>
      </c>
      <c r="C442" s="581">
        <v>4</v>
      </c>
      <c r="D442" s="1137" t="s">
        <v>19</v>
      </c>
      <c r="E442" s="1138" t="s">
        <v>680</v>
      </c>
      <c r="F442" s="599"/>
      <c r="G442" s="599"/>
      <c r="H442" s="599"/>
      <c r="I442" s="599"/>
      <c r="J442" s="599"/>
      <c r="K442" s="599"/>
      <c r="L442" s="599"/>
      <c r="M442" s="599"/>
      <c r="N442" s="599"/>
      <c r="O442" s="599"/>
      <c r="P442" s="599"/>
      <c r="Q442" s="599"/>
      <c r="R442" s="599"/>
      <c r="S442" s="1096">
        <f t="shared" si="24"/>
        <v>0</v>
      </c>
      <c r="T442" s="599">
        <v>0</v>
      </c>
      <c r="U442" s="1096">
        <f t="shared" si="27"/>
        <v>0</v>
      </c>
      <c r="V442" s="599">
        <v>0</v>
      </c>
      <c r="W442" s="620"/>
      <c r="X442" s="621"/>
      <c r="Y442" s="1096">
        <f t="shared" si="25"/>
        <v>0</v>
      </c>
      <c r="Z442" s="882">
        <f t="shared" si="26"/>
        <v>0</v>
      </c>
    </row>
    <row r="443" spans="1:26" ht="27" customHeight="1">
      <c r="A443" s="583"/>
      <c r="B443" s="583"/>
      <c r="C443" s="581">
        <v>15</v>
      </c>
      <c r="D443" s="1137" t="s">
        <v>897</v>
      </c>
      <c r="E443" s="1138" t="s">
        <v>779</v>
      </c>
      <c r="F443" s="599"/>
      <c r="G443" s="599"/>
      <c r="H443" s="599"/>
      <c r="I443" s="599"/>
      <c r="J443" s="599"/>
      <c r="K443" s="599"/>
      <c r="L443" s="599"/>
      <c r="M443" s="599"/>
      <c r="N443" s="599"/>
      <c r="O443" s="599"/>
      <c r="P443" s="599"/>
      <c r="Q443" s="599"/>
      <c r="R443" s="599"/>
      <c r="S443" s="1096">
        <f t="shared" si="24"/>
        <v>0</v>
      </c>
      <c r="T443" s="599">
        <v>0</v>
      </c>
      <c r="U443" s="1096">
        <f t="shared" si="27"/>
        <v>0</v>
      </c>
      <c r="V443" s="599">
        <v>0</v>
      </c>
      <c r="W443" s="620"/>
      <c r="X443" s="621"/>
      <c r="Y443" s="1096">
        <f t="shared" si="25"/>
        <v>0</v>
      </c>
      <c r="Z443" s="882">
        <f t="shared" si="26"/>
        <v>0</v>
      </c>
    </row>
    <row r="444" spans="1:26" ht="27" customHeight="1">
      <c r="A444" s="583"/>
      <c r="B444" s="583">
        <v>1020</v>
      </c>
      <c r="C444" s="581">
        <v>10</v>
      </c>
      <c r="D444" s="1137" t="s">
        <v>1403</v>
      </c>
      <c r="E444" s="1138" t="s">
        <v>821</v>
      </c>
      <c r="F444" s="599">
        <v>-173166692653</v>
      </c>
      <c r="G444" s="599">
        <v>-29467108677</v>
      </c>
      <c r="H444" s="599"/>
      <c r="I444" s="599"/>
      <c r="J444" s="599"/>
      <c r="K444" s="599"/>
      <c r="L444" s="599"/>
      <c r="M444" s="599"/>
      <c r="N444" s="599"/>
      <c r="O444" s="599"/>
      <c r="P444" s="599"/>
      <c r="Q444" s="599"/>
      <c r="R444" s="599"/>
      <c r="S444" s="1096">
        <f t="shared" si="24"/>
        <v>-202633801330</v>
      </c>
      <c r="T444" s="599">
        <v>-173166692653</v>
      </c>
      <c r="U444" s="1096">
        <f t="shared" si="27"/>
        <v>-202634</v>
      </c>
      <c r="V444" s="599">
        <v>-173167</v>
      </c>
      <c r="W444" s="620"/>
      <c r="X444" s="621"/>
      <c r="Y444" s="1096">
        <f t="shared" si="25"/>
        <v>-202633801330</v>
      </c>
      <c r="Z444" s="882">
        <f t="shared" si="26"/>
        <v>-202634</v>
      </c>
    </row>
    <row r="445" spans="1:26" ht="27" customHeight="1">
      <c r="A445" s="583"/>
      <c r="B445" s="583">
        <v>1004</v>
      </c>
      <c r="C445" s="581">
        <v>10</v>
      </c>
      <c r="D445" s="1137" t="s">
        <v>1432</v>
      </c>
      <c r="E445" s="1138" t="s">
        <v>822</v>
      </c>
      <c r="F445" s="599">
        <v>-916514275781</v>
      </c>
      <c r="G445" s="910">
        <v>4761751181</v>
      </c>
      <c r="H445" s="599">
        <v>104461812150</v>
      </c>
      <c r="I445" s="599"/>
      <c r="J445" s="599"/>
      <c r="K445" s="599"/>
      <c r="L445" s="599"/>
      <c r="M445" s="599"/>
      <c r="N445" s="599"/>
      <c r="O445" s="599"/>
      <c r="P445" s="599"/>
      <c r="Q445" s="599"/>
      <c r="R445" s="599"/>
      <c r="S445" s="1096">
        <f t="shared" si="24"/>
        <v>-807290712450</v>
      </c>
      <c r="T445" s="599">
        <v>-782102483050</v>
      </c>
      <c r="U445" s="1096">
        <f t="shared" si="27"/>
        <v>-807291</v>
      </c>
      <c r="V445" s="599">
        <v>-782102</v>
      </c>
      <c r="W445" s="620"/>
      <c r="X445" s="621"/>
      <c r="Y445" s="1096">
        <f t="shared" si="25"/>
        <v>-807290712450</v>
      </c>
      <c r="Z445" s="882">
        <f t="shared" si="26"/>
        <v>-807291</v>
      </c>
    </row>
    <row r="446" spans="1:26" ht="27" customHeight="1">
      <c r="A446" s="583"/>
      <c r="B446" s="583">
        <v>1018</v>
      </c>
      <c r="C446" s="581">
        <v>10</v>
      </c>
      <c r="D446" s="1137" t="s">
        <v>764</v>
      </c>
      <c r="E446" s="1138" t="s">
        <v>824</v>
      </c>
      <c r="F446" s="599"/>
      <c r="G446" s="599"/>
      <c r="H446" s="599"/>
      <c r="I446" s="599"/>
      <c r="J446" s="599"/>
      <c r="K446" s="599"/>
      <c r="L446" s="599"/>
      <c r="M446" s="599"/>
      <c r="N446" s="599"/>
      <c r="O446" s="599"/>
      <c r="P446" s="599"/>
      <c r="Q446" s="599"/>
      <c r="R446" s="599"/>
      <c r="S446" s="1096">
        <f t="shared" si="24"/>
        <v>0</v>
      </c>
      <c r="T446" s="599">
        <v>0</v>
      </c>
      <c r="U446" s="1096">
        <f t="shared" si="27"/>
        <v>0</v>
      </c>
      <c r="V446" s="599">
        <v>0</v>
      </c>
      <c r="W446" s="620"/>
      <c r="X446" s="621"/>
      <c r="Y446" s="1096">
        <f t="shared" si="25"/>
        <v>0</v>
      </c>
      <c r="Z446" s="882">
        <f t="shared" si="26"/>
        <v>0</v>
      </c>
    </row>
    <row r="447" spans="1:26" ht="27" customHeight="1">
      <c r="A447" s="583"/>
      <c r="B447" s="583">
        <v>10040</v>
      </c>
      <c r="C447" s="581">
        <v>4</v>
      </c>
      <c r="D447" s="1137" t="s">
        <v>764</v>
      </c>
      <c r="E447" s="1138" t="s">
        <v>823</v>
      </c>
      <c r="F447" s="599"/>
      <c r="G447" s="599"/>
      <c r="H447" s="599"/>
      <c r="I447" s="599"/>
      <c r="J447" s="599"/>
      <c r="K447" s="599"/>
      <c r="L447" s="599"/>
      <c r="M447" s="599"/>
      <c r="N447" s="599"/>
      <c r="O447" s="599"/>
      <c r="P447" s="599"/>
      <c r="Q447" s="599"/>
      <c r="R447" s="599"/>
      <c r="S447" s="1096">
        <f t="shared" si="24"/>
        <v>0</v>
      </c>
      <c r="T447" s="599">
        <v>0</v>
      </c>
      <c r="U447" s="1096">
        <f t="shared" si="27"/>
        <v>0</v>
      </c>
      <c r="V447" s="599">
        <v>0</v>
      </c>
      <c r="W447" s="620"/>
      <c r="X447" s="621"/>
      <c r="Y447" s="1096">
        <f t="shared" si="25"/>
        <v>0</v>
      </c>
      <c r="Z447" s="882">
        <f t="shared" si="26"/>
        <v>0</v>
      </c>
    </row>
    <row r="448" spans="1:26" ht="27" customHeight="1">
      <c r="A448" s="583"/>
      <c r="B448" s="583">
        <v>1002</v>
      </c>
      <c r="C448" s="581">
        <v>10</v>
      </c>
      <c r="D448" s="1137" t="s">
        <v>21</v>
      </c>
      <c r="E448" s="1138" t="s">
        <v>22</v>
      </c>
      <c r="F448" s="599">
        <v>-578882618378</v>
      </c>
      <c r="G448" s="599">
        <v>421763685311</v>
      </c>
      <c r="H448" s="599">
        <v>820228952</v>
      </c>
      <c r="I448" s="599"/>
      <c r="J448" s="599">
        <v>-151375723116</v>
      </c>
      <c r="K448" s="599">
        <v>66312254712</v>
      </c>
      <c r="L448" s="599"/>
      <c r="M448" s="599"/>
      <c r="N448" s="599"/>
      <c r="O448" s="599"/>
      <c r="P448" s="599"/>
      <c r="Q448" s="599"/>
      <c r="R448" s="599"/>
      <c r="S448" s="1096">
        <f t="shared" si="24"/>
        <v>-241362172519</v>
      </c>
      <c r="T448" s="599">
        <v>-130586345180</v>
      </c>
      <c r="U448" s="1096">
        <f t="shared" si="27"/>
        <v>-241362</v>
      </c>
      <c r="V448" s="599">
        <v>-130586</v>
      </c>
      <c r="W448" s="620"/>
      <c r="X448" s="621"/>
      <c r="Y448" s="1096">
        <f t="shared" si="25"/>
        <v>-241362172519</v>
      </c>
      <c r="Z448" s="882">
        <f t="shared" si="26"/>
        <v>-241362</v>
      </c>
    </row>
    <row r="449" spans="1:26" ht="27" customHeight="1">
      <c r="A449" s="583"/>
      <c r="B449" s="583">
        <v>1013</v>
      </c>
      <c r="C449" s="581">
        <v>4</v>
      </c>
      <c r="D449" s="1137" t="s">
        <v>681</v>
      </c>
      <c r="E449" s="1138" t="s">
        <v>682</v>
      </c>
      <c r="F449" s="599">
        <v>532561740671</v>
      </c>
      <c r="G449" s="599">
        <v>2977500040</v>
      </c>
      <c r="H449" s="599">
        <v>1394636510</v>
      </c>
      <c r="I449" s="599">
        <v>2102669738</v>
      </c>
      <c r="J449" s="599">
        <v>259584523</v>
      </c>
      <c r="K449" s="599">
        <v>483695959</v>
      </c>
      <c r="L449" s="599"/>
      <c r="M449" s="599">
        <f>486140601+541412545+34970417</f>
        <v>1062523563</v>
      </c>
      <c r="N449" s="599"/>
      <c r="O449" s="599"/>
      <c r="P449" s="599"/>
      <c r="Q449" s="599"/>
      <c r="R449" s="599"/>
      <c r="S449" s="1096">
        <f t="shared" si="24"/>
        <v>540842351004</v>
      </c>
      <c r="T449" s="599">
        <v>349128303977</v>
      </c>
      <c r="U449" s="1096">
        <f t="shared" si="27"/>
        <v>540842</v>
      </c>
      <c r="V449" s="599">
        <v>349128</v>
      </c>
      <c r="W449" s="620"/>
      <c r="X449" s="621"/>
      <c r="Y449" s="1096">
        <f t="shared" si="25"/>
        <v>540842351004</v>
      </c>
      <c r="Z449" s="882">
        <f t="shared" si="26"/>
        <v>540842</v>
      </c>
    </row>
    <row r="450" spans="1:26" ht="27" customHeight="1">
      <c r="A450" s="583"/>
      <c r="B450" s="583">
        <v>1013</v>
      </c>
      <c r="C450" s="581">
        <v>4</v>
      </c>
      <c r="D450" s="1137" t="s">
        <v>683</v>
      </c>
      <c r="E450" s="1138" t="s">
        <v>684</v>
      </c>
      <c r="F450" s="599">
        <v>266321505393</v>
      </c>
      <c r="G450" s="599">
        <v>1488855071</v>
      </c>
      <c r="H450" s="599">
        <v>697318269</v>
      </c>
      <c r="I450" s="599">
        <v>982387720</v>
      </c>
      <c r="J450" s="599">
        <v>129792263</v>
      </c>
      <c r="K450" s="599">
        <v>241847981</v>
      </c>
      <c r="L450" s="599"/>
      <c r="M450" s="599">
        <f>243070301+270706272+17485209</f>
        <v>531261782</v>
      </c>
      <c r="N450" s="599"/>
      <c r="O450" s="599"/>
      <c r="P450" s="599"/>
      <c r="Q450" s="599"/>
      <c r="R450" s="599"/>
      <c r="S450" s="1096">
        <f t="shared" si="24"/>
        <v>270392968479</v>
      </c>
      <c r="T450" s="599">
        <v>174397115134</v>
      </c>
      <c r="U450" s="1096">
        <f t="shared" si="27"/>
        <v>270393</v>
      </c>
      <c r="V450" s="599">
        <v>174397</v>
      </c>
      <c r="W450" s="620"/>
      <c r="X450" s="621"/>
      <c r="Y450" s="1096">
        <f t="shared" si="25"/>
        <v>270392968479</v>
      </c>
      <c r="Z450" s="882">
        <f t="shared" si="26"/>
        <v>270393</v>
      </c>
    </row>
    <row r="451" spans="1:26" ht="27" customHeight="1">
      <c r="A451" s="583"/>
      <c r="B451" s="583">
        <v>1013</v>
      </c>
      <c r="C451" s="581">
        <v>4</v>
      </c>
      <c r="D451" s="1137" t="s">
        <v>685</v>
      </c>
      <c r="E451" s="1138" t="s">
        <v>688</v>
      </c>
      <c r="F451" s="599">
        <v>-68289456084</v>
      </c>
      <c r="G451" s="599">
        <v>364788595</v>
      </c>
      <c r="H451" s="599">
        <v>-702000</v>
      </c>
      <c r="I451" s="599">
        <v>-197985560</v>
      </c>
      <c r="J451" s="599"/>
      <c r="K451" s="599">
        <v>8640000</v>
      </c>
      <c r="L451" s="599"/>
      <c r="M451" s="599"/>
      <c r="N451" s="599">
        <f>486474876-207994740</f>
        <v>278480136</v>
      </c>
      <c r="O451" s="599"/>
      <c r="P451" s="599"/>
      <c r="Q451" s="599"/>
      <c r="R451" s="599"/>
      <c r="S451" s="1096">
        <f t="shared" si="24"/>
        <v>-67836234913</v>
      </c>
      <c r="T451" s="599">
        <v>-33133720244</v>
      </c>
      <c r="U451" s="1096">
        <f t="shared" si="27"/>
        <v>-67836</v>
      </c>
      <c r="V451" s="599">
        <v>-33134</v>
      </c>
      <c r="W451" s="620"/>
      <c r="X451" s="621"/>
      <c r="Y451" s="1096">
        <f t="shared" si="25"/>
        <v>-67836234913</v>
      </c>
      <c r="Z451" s="882">
        <f t="shared" si="26"/>
        <v>-67836</v>
      </c>
    </row>
    <row r="452" spans="1:26" ht="27" customHeight="1">
      <c r="A452" s="583"/>
      <c r="B452" s="583">
        <v>1013</v>
      </c>
      <c r="C452" s="581">
        <v>4</v>
      </c>
      <c r="D452" s="1137" t="s">
        <v>686</v>
      </c>
      <c r="E452" s="1138" t="s">
        <v>689</v>
      </c>
      <c r="F452" s="599">
        <v>-34176633178</v>
      </c>
      <c r="G452" s="599">
        <v>182394297</v>
      </c>
      <c r="H452" s="599">
        <v>-351000</v>
      </c>
      <c r="I452" s="599">
        <v>-98992780</v>
      </c>
      <c r="J452" s="599"/>
      <c r="K452" s="599">
        <v>4320000</v>
      </c>
      <c r="L452" s="599"/>
      <c r="M452" s="599"/>
      <c r="N452" s="599">
        <f>-103997370+243237438</f>
        <v>139240068</v>
      </c>
      <c r="O452" s="599"/>
      <c r="P452" s="599"/>
      <c r="Q452" s="599"/>
      <c r="R452" s="599"/>
      <c r="S452" s="1096">
        <f t="shared" si="24"/>
        <v>-33950022593</v>
      </c>
      <c r="T452" s="599">
        <v>-16566859862</v>
      </c>
      <c r="U452" s="1096">
        <f t="shared" si="27"/>
        <v>-33950</v>
      </c>
      <c r="V452" s="599">
        <v>-16567</v>
      </c>
      <c r="W452" s="620"/>
      <c r="X452" s="621"/>
      <c r="Y452" s="1096">
        <f t="shared" si="25"/>
        <v>-33950022593</v>
      </c>
      <c r="Z452" s="882">
        <f t="shared" si="26"/>
        <v>-33950</v>
      </c>
    </row>
    <row r="453" spans="1:26" ht="27" customHeight="1">
      <c r="A453" s="583"/>
      <c r="B453" s="583">
        <v>1013</v>
      </c>
      <c r="C453" s="581">
        <v>4</v>
      </c>
      <c r="D453" s="1137" t="s">
        <v>687</v>
      </c>
      <c r="E453" s="1138" t="s">
        <v>691</v>
      </c>
      <c r="F453" s="599">
        <v>300193066281</v>
      </c>
      <c r="G453" s="599">
        <v>738451515</v>
      </c>
      <c r="H453" s="599"/>
      <c r="I453" s="599"/>
      <c r="J453" s="599"/>
      <c r="K453" s="599"/>
      <c r="L453" s="599"/>
      <c r="M453" s="599"/>
      <c r="N453" s="599"/>
      <c r="O453" s="599"/>
      <c r="P453" s="599"/>
      <c r="Q453" s="599"/>
      <c r="R453" s="599"/>
      <c r="S453" s="1096">
        <f t="shared" si="24"/>
        <v>300931517796</v>
      </c>
      <c r="T453" s="599">
        <v>197969551522</v>
      </c>
      <c r="U453" s="1096">
        <f t="shared" si="27"/>
        <v>300932</v>
      </c>
      <c r="V453" s="599">
        <v>197970</v>
      </c>
      <c r="W453" s="620"/>
      <c r="X453" s="621"/>
      <c r="Y453" s="1096">
        <f t="shared" si="25"/>
        <v>300931517796</v>
      </c>
      <c r="Z453" s="882">
        <f t="shared" si="26"/>
        <v>300932</v>
      </c>
    </row>
    <row r="454" spans="1:26" ht="27" customHeight="1">
      <c r="A454" s="583"/>
      <c r="B454" s="583">
        <v>1013</v>
      </c>
      <c r="C454" s="581">
        <v>4</v>
      </c>
      <c r="D454" s="1137" t="s">
        <v>690</v>
      </c>
      <c r="E454" s="1138" t="s">
        <v>692</v>
      </c>
      <c r="F454" s="599">
        <v>159166178557</v>
      </c>
      <c r="G454" s="599">
        <v>369225731</v>
      </c>
      <c r="H454" s="599"/>
      <c r="I454" s="599"/>
      <c r="J454" s="599"/>
      <c r="K454" s="599"/>
      <c r="L454" s="599"/>
      <c r="M454" s="599"/>
      <c r="N454" s="599"/>
      <c r="O454" s="599"/>
      <c r="P454" s="599"/>
      <c r="Q454" s="599"/>
      <c r="R454" s="599"/>
      <c r="S454" s="1096">
        <f t="shared" si="24"/>
        <v>159535404288</v>
      </c>
      <c r="T454" s="599">
        <v>107260513510</v>
      </c>
      <c r="U454" s="1096">
        <f t="shared" si="27"/>
        <v>159535</v>
      </c>
      <c r="V454" s="599">
        <v>107261</v>
      </c>
      <c r="W454" s="620"/>
      <c r="X454" s="621"/>
      <c r="Y454" s="1096">
        <f t="shared" si="25"/>
        <v>159535404288</v>
      </c>
      <c r="Z454" s="882">
        <f t="shared" si="26"/>
        <v>159535</v>
      </c>
    </row>
    <row r="455" spans="1:26" ht="27" customHeight="1">
      <c r="A455" s="583"/>
      <c r="B455" s="583">
        <v>100201</v>
      </c>
      <c r="C455" s="581">
        <v>10</v>
      </c>
      <c r="D455" s="1137" t="s">
        <v>23</v>
      </c>
      <c r="E455" s="1138" t="s">
        <v>537</v>
      </c>
      <c r="F455" s="599"/>
      <c r="G455" s="599"/>
      <c r="H455" s="599"/>
      <c r="I455" s="599"/>
      <c r="J455" s="599"/>
      <c r="K455" s="599"/>
      <c r="L455" s="599"/>
      <c r="M455" s="599"/>
      <c r="N455" s="599"/>
      <c r="O455" s="599"/>
      <c r="P455" s="599"/>
      <c r="Q455" s="599"/>
      <c r="R455" s="599"/>
      <c r="S455" s="1096">
        <f t="shared" ref="S455:S518" si="28">SUM(F455:R455)</f>
        <v>0</v>
      </c>
      <c r="T455" s="599">
        <v>0</v>
      </c>
      <c r="U455" s="1096">
        <f t="shared" si="27"/>
        <v>0</v>
      </c>
      <c r="V455" s="599">
        <v>0</v>
      </c>
      <c r="W455" s="620"/>
      <c r="X455" s="621"/>
      <c r="Y455" s="1096">
        <f t="shared" ref="Y455:Y518" si="29">S455+X455-W455</f>
        <v>0</v>
      </c>
      <c r="Z455" s="882">
        <f t="shared" ref="Z455:Z518" si="30">ROUND((Y455/1000000),0)</f>
        <v>0</v>
      </c>
    </row>
    <row r="456" spans="1:26" ht="27" customHeight="1">
      <c r="A456" s="583">
        <v>3214</v>
      </c>
      <c r="B456" s="583">
        <v>100201</v>
      </c>
      <c r="C456" s="581">
        <v>10</v>
      </c>
      <c r="D456" s="1137" t="s">
        <v>23</v>
      </c>
      <c r="E456" s="1138" t="s">
        <v>537</v>
      </c>
      <c r="F456" s="599"/>
      <c r="G456" s="599"/>
      <c r="H456" s="599"/>
      <c r="I456" s="599"/>
      <c r="J456" s="599"/>
      <c r="K456" s="599"/>
      <c r="L456" s="599"/>
      <c r="M456" s="599"/>
      <c r="N456" s="599"/>
      <c r="O456" s="599"/>
      <c r="P456" s="599"/>
      <c r="Q456" s="599"/>
      <c r="R456" s="599"/>
      <c r="S456" s="1096">
        <f t="shared" si="28"/>
        <v>0</v>
      </c>
      <c r="T456" s="599">
        <v>0</v>
      </c>
      <c r="U456" s="1096">
        <f t="shared" si="27"/>
        <v>0</v>
      </c>
      <c r="V456" s="599">
        <v>0</v>
      </c>
      <c r="W456" s="620"/>
      <c r="X456" s="621"/>
      <c r="Y456" s="1096">
        <f t="shared" si="29"/>
        <v>0</v>
      </c>
      <c r="Z456" s="882">
        <f t="shared" si="30"/>
        <v>0</v>
      </c>
    </row>
    <row r="457" spans="1:26" ht="27" customHeight="1">
      <c r="A457" s="583"/>
      <c r="B457" s="583">
        <v>100201</v>
      </c>
      <c r="C457" s="581">
        <v>10</v>
      </c>
      <c r="D457" s="1137" t="s">
        <v>1160</v>
      </c>
      <c r="E457" s="1138" t="s">
        <v>1161</v>
      </c>
      <c r="F457" s="599">
        <v>-210243609471</v>
      </c>
      <c r="G457" s="599"/>
      <c r="H457" s="599"/>
      <c r="I457" s="599"/>
      <c r="J457" s="599"/>
      <c r="K457" s="599"/>
      <c r="L457" s="599">
        <v>16557110975</v>
      </c>
      <c r="M457" s="599">
        <v>-193487357985</v>
      </c>
      <c r="N457" s="599"/>
      <c r="O457" s="599"/>
      <c r="P457" s="599"/>
      <c r="Q457" s="599"/>
      <c r="R457" s="599"/>
      <c r="S457" s="1096">
        <f t="shared" si="28"/>
        <v>-387173856481</v>
      </c>
      <c r="T457" s="599">
        <v>-210243609471</v>
      </c>
      <c r="U457" s="1096">
        <f t="shared" ref="U457:V520" si="31">ROUND((S457/1000000),0)</f>
        <v>-387174</v>
      </c>
      <c r="V457" s="599">
        <v>-210244</v>
      </c>
      <c r="W457" s="620"/>
      <c r="X457" s="621"/>
      <c r="Y457" s="1096">
        <f t="shared" si="29"/>
        <v>-387173856481</v>
      </c>
      <c r="Z457" s="882">
        <f t="shared" si="30"/>
        <v>-387174</v>
      </c>
    </row>
    <row r="458" spans="1:26" ht="27" customHeight="1">
      <c r="A458" s="583"/>
      <c r="B458" s="583">
        <v>10040</v>
      </c>
      <c r="C458" s="581">
        <v>4</v>
      </c>
      <c r="D458" s="1137" t="s">
        <v>1196</v>
      </c>
      <c r="E458" s="1138" t="s">
        <v>1197</v>
      </c>
      <c r="F458" s="599"/>
      <c r="G458" s="599"/>
      <c r="H458" s="599"/>
      <c r="I458" s="599"/>
      <c r="J458" s="599"/>
      <c r="K458" s="599"/>
      <c r="L458" s="599"/>
      <c r="M458" s="599"/>
      <c r="N458" s="599"/>
      <c r="O458" s="599"/>
      <c r="P458" s="599"/>
      <c r="Q458" s="599"/>
      <c r="R458" s="599"/>
      <c r="S458" s="1096">
        <f t="shared" si="28"/>
        <v>0</v>
      </c>
      <c r="T458" s="599">
        <v>0</v>
      </c>
      <c r="U458" s="1096">
        <f t="shared" si="31"/>
        <v>0</v>
      </c>
      <c r="V458" s="599">
        <v>0</v>
      </c>
      <c r="W458" s="620"/>
      <c r="X458" s="621"/>
      <c r="Y458" s="1096">
        <f t="shared" si="29"/>
        <v>0</v>
      </c>
      <c r="Z458" s="882">
        <f t="shared" si="30"/>
        <v>0</v>
      </c>
    </row>
    <row r="459" spans="1:26" ht="27" customHeight="1">
      <c r="A459" s="583"/>
      <c r="B459" s="583">
        <v>100201</v>
      </c>
      <c r="C459" s="581">
        <v>10</v>
      </c>
      <c r="D459" s="1137" t="s">
        <v>1499</v>
      </c>
      <c r="E459" s="1138" t="s">
        <v>1523</v>
      </c>
      <c r="F459" s="599">
        <v>-6417814172381</v>
      </c>
      <c r="G459" s="599">
        <v>-71754000</v>
      </c>
      <c r="H459" s="599">
        <v>151698900232</v>
      </c>
      <c r="I459" s="599">
        <v>4732882966112</v>
      </c>
      <c r="J459" s="599">
        <v>1396189057215</v>
      </c>
      <c r="K459" s="599"/>
      <c r="L459" s="599"/>
      <c r="M459" s="599">
        <f>-71032500-5832280062-17442036992+5903312562+17442036992</f>
        <v>0</v>
      </c>
      <c r="N459" s="599"/>
      <c r="O459" s="599"/>
      <c r="P459" s="599"/>
      <c r="Q459" s="599"/>
      <c r="R459" s="599"/>
      <c r="S459" s="1096">
        <f t="shared" si="28"/>
        <v>-137115002822</v>
      </c>
      <c r="T459" s="599">
        <v>-137115002822</v>
      </c>
      <c r="U459" s="1096">
        <f t="shared" si="31"/>
        <v>-137115</v>
      </c>
      <c r="V459" s="599">
        <v>-137115</v>
      </c>
      <c r="W459" s="620"/>
      <c r="X459" s="621"/>
      <c r="Y459" s="1096">
        <f t="shared" si="29"/>
        <v>-137115002822</v>
      </c>
      <c r="Z459" s="882">
        <f t="shared" si="30"/>
        <v>-137115</v>
      </c>
    </row>
    <row r="460" spans="1:26" ht="27" customHeight="1">
      <c r="A460" s="583">
        <v>3214</v>
      </c>
      <c r="B460" s="583">
        <v>100201</v>
      </c>
      <c r="C460" s="581">
        <v>10</v>
      </c>
      <c r="D460" s="1137" t="s">
        <v>1499</v>
      </c>
      <c r="E460" s="1138" t="s">
        <v>1523</v>
      </c>
      <c r="F460" s="599"/>
      <c r="G460" s="599"/>
      <c r="H460" s="599"/>
      <c r="I460" s="599"/>
      <c r="J460" s="599"/>
      <c r="K460" s="599">
        <v>0</v>
      </c>
      <c r="L460" s="599"/>
      <c r="M460" s="599"/>
      <c r="N460" s="599"/>
      <c r="O460" s="599"/>
      <c r="P460" s="599"/>
      <c r="Q460" s="599"/>
      <c r="R460" s="599"/>
      <c r="S460" s="1096">
        <f t="shared" si="28"/>
        <v>0</v>
      </c>
      <c r="T460" s="599">
        <v>0</v>
      </c>
      <c r="U460" s="1096">
        <f t="shared" si="31"/>
        <v>0</v>
      </c>
      <c r="V460" s="599">
        <v>0</v>
      </c>
      <c r="W460" s="620"/>
      <c r="X460" s="621"/>
      <c r="Y460" s="1096">
        <f t="shared" si="29"/>
        <v>0</v>
      </c>
      <c r="Z460" s="882">
        <f t="shared" si="30"/>
        <v>0</v>
      </c>
    </row>
    <row r="461" spans="1:26" ht="27" customHeight="1">
      <c r="A461" s="583">
        <v>3214</v>
      </c>
      <c r="B461" s="583">
        <v>100201</v>
      </c>
      <c r="C461" s="581">
        <v>10</v>
      </c>
      <c r="D461" s="1137" t="s">
        <v>538</v>
      </c>
      <c r="E461" s="1138" t="s">
        <v>1463</v>
      </c>
      <c r="F461" s="599"/>
      <c r="G461" s="599"/>
      <c r="H461" s="599"/>
      <c r="I461" s="599"/>
      <c r="J461" s="599"/>
      <c r="K461" s="599"/>
      <c r="L461" s="599"/>
      <c r="M461" s="599"/>
      <c r="N461" s="599"/>
      <c r="O461" s="599"/>
      <c r="P461" s="599"/>
      <c r="Q461" s="599"/>
      <c r="R461" s="599"/>
      <c r="S461" s="1096">
        <f t="shared" si="28"/>
        <v>0</v>
      </c>
      <c r="T461" s="599">
        <v>0</v>
      </c>
      <c r="U461" s="1096">
        <f t="shared" si="31"/>
        <v>0</v>
      </c>
      <c r="V461" s="599">
        <v>0</v>
      </c>
      <c r="W461" s="620"/>
      <c r="X461" s="621"/>
      <c r="Y461" s="1096">
        <f t="shared" si="29"/>
        <v>0</v>
      </c>
      <c r="Z461" s="882">
        <f t="shared" si="30"/>
        <v>0</v>
      </c>
    </row>
    <row r="462" spans="1:26" ht="27" customHeight="1">
      <c r="A462" s="583"/>
      <c r="B462" s="583">
        <v>1011</v>
      </c>
      <c r="C462" s="581">
        <v>10</v>
      </c>
      <c r="D462" s="1137" t="s">
        <v>540</v>
      </c>
      <c r="E462" s="1138" t="s">
        <v>229</v>
      </c>
      <c r="F462" s="599">
        <v>-3809023175</v>
      </c>
      <c r="G462" s="599">
        <v>2996457980</v>
      </c>
      <c r="H462" s="599"/>
      <c r="I462" s="599"/>
      <c r="J462" s="599"/>
      <c r="K462" s="599"/>
      <c r="L462" s="599"/>
      <c r="M462" s="599"/>
      <c r="N462" s="599"/>
      <c r="O462" s="599"/>
      <c r="P462" s="599"/>
      <c r="Q462" s="599"/>
      <c r="R462" s="599"/>
      <c r="S462" s="1096">
        <f t="shared" si="28"/>
        <v>-812565195</v>
      </c>
      <c r="T462" s="599">
        <v>-760065195</v>
      </c>
      <c r="U462" s="1096">
        <f t="shared" si="31"/>
        <v>-813</v>
      </c>
      <c r="V462" s="599">
        <v>-760</v>
      </c>
      <c r="W462" s="620"/>
      <c r="X462" s="621"/>
      <c r="Y462" s="1096">
        <f t="shared" si="29"/>
        <v>-812565195</v>
      </c>
      <c r="Z462" s="882">
        <f t="shared" si="30"/>
        <v>-813</v>
      </c>
    </row>
    <row r="463" spans="1:26" ht="27" customHeight="1">
      <c r="A463" s="583"/>
      <c r="B463" s="583">
        <v>1011</v>
      </c>
      <c r="C463" s="581">
        <v>10</v>
      </c>
      <c r="D463" s="1137" t="s">
        <v>1742</v>
      </c>
      <c r="E463" s="1138" t="s">
        <v>1743</v>
      </c>
      <c r="F463" s="599">
        <v>-860069862</v>
      </c>
      <c r="G463" s="599">
        <v>860064500</v>
      </c>
      <c r="H463" s="599"/>
      <c r="I463" s="599"/>
      <c r="J463" s="599"/>
      <c r="K463" s="599"/>
      <c r="L463" s="599"/>
      <c r="M463" s="599"/>
      <c r="N463" s="599"/>
      <c r="O463" s="599"/>
      <c r="P463" s="599"/>
      <c r="Q463" s="599"/>
      <c r="R463" s="599"/>
      <c r="S463" s="1096">
        <f t="shared" si="28"/>
        <v>-5362</v>
      </c>
      <c r="T463" s="599">
        <v>38</v>
      </c>
      <c r="U463" s="1096">
        <f t="shared" si="31"/>
        <v>0</v>
      </c>
      <c r="V463" s="599">
        <v>0</v>
      </c>
      <c r="W463" s="620"/>
      <c r="X463" s="621"/>
      <c r="Y463" s="1096">
        <f t="shared" si="29"/>
        <v>-5362</v>
      </c>
      <c r="Z463" s="882">
        <f t="shared" si="30"/>
        <v>0</v>
      </c>
    </row>
    <row r="464" spans="1:26" ht="27" customHeight="1">
      <c r="A464" s="583"/>
      <c r="B464" s="583">
        <v>1014</v>
      </c>
      <c r="C464" s="581">
        <v>10</v>
      </c>
      <c r="D464" s="1137" t="s">
        <v>541</v>
      </c>
      <c r="E464" s="1138" t="s">
        <v>693</v>
      </c>
      <c r="F464" s="599">
        <v>-11069720850</v>
      </c>
      <c r="G464" s="599">
        <v>-20367208692</v>
      </c>
      <c r="H464" s="599"/>
      <c r="I464" s="599"/>
      <c r="J464" s="599"/>
      <c r="K464" s="599"/>
      <c r="L464" s="599"/>
      <c r="M464" s="599"/>
      <c r="N464" s="599"/>
      <c r="O464" s="599"/>
      <c r="P464" s="599"/>
      <c r="Q464" s="599"/>
      <c r="R464" s="599"/>
      <c r="S464" s="1096">
        <f t="shared" si="28"/>
        <v>-31436929542</v>
      </c>
      <c r="T464" s="599">
        <v>-187313039467</v>
      </c>
      <c r="U464" s="1096">
        <f t="shared" si="31"/>
        <v>-31437</v>
      </c>
      <c r="V464" s="599">
        <v>-187313</v>
      </c>
      <c r="W464" s="620"/>
      <c r="X464" s="621"/>
      <c r="Y464" s="1096">
        <f t="shared" si="29"/>
        <v>-31436929542</v>
      </c>
      <c r="Z464" s="882">
        <f t="shared" si="30"/>
        <v>-31437</v>
      </c>
    </row>
    <row r="465" spans="1:26" ht="27" customHeight="1">
      <c r="A465" s="583">
        <v>3214</v>
      </c>
      <c r="B465" s="583">
        <v>408</v>
      </c>
      <c r="C465" s="581">
        <v>4</v>
      </c>
      <c r="D465" s="1137" t="s">
        <v>541</v>
      </c>
      <c r="E465" s="1138" t="s">
        <v>1668</v>
      </c>
      <c r="F465" s="599"/>
      <c r="G465" s="599"/>
      <c r="H465" s="599"/>
      <c r="I465" s="599"/>
      <c r="J465" s="599"/>
      <c r="K465" s="599">
        <f>33286455254+71440809023</f>
        <v>104727264277</v>
      </c>
      <c r="L465" s="599"/>
      <c r="M465" s="599"/>
      <c r="N465" s="599">
        <f>21532405611-125073499</f>
        <v>21407332112</v>
      </c>
      <c r="O465" s="599"/>
      <c r="P465" s="599">
        <v>-21648207134</v>
      </c>
      <c r="Q465" s="599"/>
      <c r="R465" s="599"/>
      <c r="S465" s="1096">
        <f t="shared" si="28"/>
        <v>104486389255</v>
      </c>
      <c r="T465" s="599">
        <v>84451501085</v>
      </c>
      <c r="U465" s="1096">
        <f t="shared" si="31"/>
        <v>104486</v>
      </c>
      <c r="V465" s="601">
        <v>84452</v>
      </c>
      <c r="W465" s="620"/>
      <c r="X465" s="621"/>
      <c r="Y465" s="1096">
        <f t="shared" si="29"/>
        <v>104486389255</v>
      </c>
      <c r="Z465" s="882">
        <f t="shared" si="30"/>
        <v>104486</v>
      </c>
    </row>
    <row r="466" spans="1:26" ht="27" customHeight="1">
      <c r="A466" s="583"/>
      <c r="B466" s="583">
        <v>1007</v>
      </c>
      <c r="C466" s="581">
        <v>10</v>
      </c>
      <c r="D466" s="1137" t="s">
        <v>543</v>
      </c>
      <c r="E466" s="1138" t="s">
        <v>544</v>
      </c>
      <c r="F466" s="599">
        <v>-160355015858</v>
      </c>
      <c r="G466" s="599">
        <v>508917409</v>
      </c>
      <c r="H466" s="599"/>
      <c r="I466" s="599"/>
      <c r="J466" s="599"/>
      <c r="L466" s="599"/>
      <c r="M466" s="599"/>
      <c r="N466" s="599"/>
      <c r="O466" s="599"/>
      <c r="P466" s="599"/>
      <c r="Q466" s="599"/>
      <c r="R466" s="599"/>
      <c r="S466" s="1096">
        <f t="shared" si="28"/>
        <v>-159846098449</v>
      </c>
      <c r="T466" s="599">
        <v>-138902926107</v>
      </c>
      <c r="U466" s="1096">
        <f t="shared" si="31"/>
        <v>-159846</v>
      </c>
      <c r="V466" s="599">
        <v>-138903</v>
      </c>
      <c r="W466" s="620"/>
      <c r="X466" s="621"/>
      <c r="Y466" s="1096">
        <f t="shared" si="29"/>
        <v>-159846098449</v>
      </c>
      <c r="Z466" s="882">
        <f t="shared" si="30"/>
        <v>-159846</v>
      </c>
    </row>
    <row r="467" spans="1:26" ht="27" customHeight="1">
      <c r="A467" s="583">
        <v>3214</v>
      </c>
      <c r="B467" s="583">
        <v>1007</v>
      </c>
      <c r="C467" s="581">
        <v>10</v>
      </c>
      <c r="D467" s="1137" t="s">
        <v>543</v>
      </c>
      <c r="E467" s="1138" t="s">
        <v>1464</v>
      </c>
      <c r="F467" s="599"/>
      <c r="G467" s="599"/>
      <c r="H467" s="599"/>
      <c r="I467" s="599"/>
      <c r="J467" s="599"/>
      <c r="K467" s="599">
        <f>-149040458275-394381512151</f>
        <v>-543421970426</v>
      </c>
      <c r="L467" s="599"/>
      <c r="M467" s="599"/>
      <c r="N467" s="599">
        <f>-126901517038-11459013808</f>
        <v>-138360530846</v>
      </c>
      <c r="O467" s="599"/>
      <c r="P467" s="599"/>
      <c r="Q467" s="599"/>
      <c r="R467" s="599"/>
      <c r="S467" s="1096">
        <f t="shared" si="28"/>
        <v>-681782501272</v>
      </c>
      <c r="T467" s="599">
        <v>-510950750279</v>
      </c>
      <c r="U467" s="1096">
        <f t="shared" si="31"/>
        <v>-681783</v>
      </c>
      <c r="V467" s="601">
        <v>-510951</v>
      </c>
      <c r="W467" s="620"/>
      <c r="X467" s="621"/>
      <c r="Y467" s="1096">
        <f t="shared" si="29"/>
        <v>-681782501272</v>
      </c>
      <c r="Z467" s="882">
        <f t="shared" si="30"/>
        <v>-681783</v>
      </c>
    </row>
    <row r="468" spans="1:26" ht="27" customHeight="1">
      <c r="A468" s="583"/>
      <c r="B468" s="583">
        <v>1007</v>
      </c>
      <c r="C468" s="581">
        <v>10</v>
      </c>
      <c r="D468" s="1137" t="s">
        <v>545</v>
      </c>
      <c r="E468" s="1138" t="s">
        <v>510</v>
      </c>
      <c r="F468" s="599"/>
      <c r="G468" s="599"/>
      <c r="H468" s="599"/>
      <c r="I468" s="599"/>
      <c r="J468" s="599"/>
      <c r="K468" s="599"/>
      <c r="L468" s="599"/>
      <c r="M468" s="599"/>
      <c r="N468" s="599"/>
      <c r="O468" s="599"/>
      <c r="P468" s="599"/>
      <c r="Q468" s="599"/>
      <c r="R468" s="599"/>
      <c r="S468" s="1096">
        <f t="shared" si="28"/>
        <v>0</v>
      </c>
      <c r="T468" s="599">
        <v>0</v>
      </c>
      <c r="U468" s="1096">
        <f t="shared" si="31"/>
        <v>0</v>
      </c>
      <c r="V468" s="599">
        <v>0</v>
      </c>
      <c r="W468" s="620"/>
      <c r="X468" s="621"/>
      <c r="Y468" s="1096">
        <f t="shared" si="29"/>
        <v>0</v>
      </c>
      <c r="Z468" s="882">
        <f t="shared" si="30"/>
        <v>0</v>
      </c>
    </row>
    <row r="469" spans="1:26" ht="27" customHeight="1">
      <c r="A469" s="583"/>
      <c r="B469" s="583">
        <v>1008</v>
      </c>
      <c r="C469" s="581">
        <v>10</v>
      </c>
      <c r="D469" s="1137" t="s">
        <v>511</v>
      </c>
      <c r="E469" s="1138" t="s">
        <v>512</v>
      </c>
      <c r="F469" s="599"/>
      <c r="G469" s="599"/>
      <c r="H469" s="599"/>
      <c r="I469" s="599"/>
      <c r="J469" s="599"/>
      <c r="K469" s="599"/>
      <c r="L469" s="599"/>
      <c r="M469" s="599"/>
      <c r="N469" s="599"/>
      <c r="O469" s="599"/>
      <c r="P469" s="599"/>
      <c r="Q469" s="599"/>
      <c r="R469" s="599"/>
      <c r="S469" s="1096">
        <f t="shared" si="28"/>
        <v>0</v>
      </c>
      <c r="T469" s="599">
        <v>0</v>
      </c>
      <c r="U469" s="1096">
        <f t="shared" si="31"/>
        <v>0</v>
      </c>
      <c r="V469" s="599">
        <v>0</v>
      </c>
      <c r="W469" s="620"/>
      <c r="X469" s="621"/>
      <c r="Y469" s="1096">
        <f t="shared" si="29"/>
        <v>0</v>
      </c>
      <c r="Z469" s="882">
        <f t="shared" si="30"/>
        <v>0</v>
      </c>
    </row>
    <row r="470" spans="1:26" ht="27" customHeight="1">
      <c r="A470" s="583"/>
      <c r="B470" s="583">
        <v>1008</v>
      </c>
      <c r="C470" s="581">
        <v>10</v>
      </c>
      <c r="D470" s="1137">
        <v>90006721</v>
      </c>
      <c r="E470" s="1138" t="s">
        <v>1826</v>
      </c>
      <c r="F470" s="599">
        <v>-304417188</v>
      </c>
      <c r="G470" s="599"/>
      <c r="H470" s="599"/>
      <c r="I470" s="599"/>
      <c r="J470" s="599"/>
      <c r="K470" s="599"/>
      <c r="L470" s="599"/>
      <c r="M470" s="599"/>
      <c r="N470" s="599"/>
      <c r="O470" s="599"/>
      <c r="P470" s="599"/>
      <c r="Q470" s="599"/>
      <c r="R470" s="599"/>
      <c r="S470" s="1096">
        <f t="shared" si="28"/>
        <v>-304417188</v>
      </c>
      <c r="T470" s="599">
        <v>0</v>
      </c>
      <c r="U470" s="1096">
        <f t="shared" si="31"/>
        <v>-304</v>
      </c>
      <c r="V470" s="599">
        <v>0</v>
      </c>
      <c r="W470" s="620"/>
      <c r="X470" s="621"/>
      <c r="Y470" s="1096">
        <f t="shared" si="29"/>
        <v>-304417188</v>
      </c>
      <c r="Z470" s="882">
        <f t="shared" si="30"/>
        <v>-304</v>
      </c>
    </row>
    <row r="471" spans="1:26" ht="27" customHeight="1">
      <c r="A471" s="583"/>
      <c r="B471" s="583">
        <v>1008</v>
      </c>
      <c r="C471" s="581">
        <v>10</v>
      </c>
      <c r="D471" s="1137" t="s">
        <v>513</v>
      </c>
      <c r="E471" s="1138" t="s">
        <v>279</v>
      </c>
      <c r="F471" s="599">
        <v>-97050277525</v>
      </c>
      <c r="G471" s="599">
        <v>-152588817</v>
      </c>
      <c r="H471" s="599"/>
      <c r="I471" s="599"/>
      <c r="J471" s="599"/>
      <c r="K471" s="599"/>
      <c r="L471" s="599"/>
      <c r="M471" s="599"/>
      <c r="N471" s="599"/>
      <c r="O471" s="599"/>
      <c r="P471" s="599"/>
      <c r="Q471" s="599"/>
      <c r="R471" s="599"/>
      <c r="S471" s="1096">
        <f t="shared" si="28"/>
        <v>-97202866342</v>
      </c>
      <c r="T471" s="599">
        <v>-72811725223</v>
      </c>
      <c r="U471" s="1096">
        <f t="shared" si="31"/>
        <v>-97203</v>
      </c>
      <c r="V471" s="599">
        <v>-72812</v>
      </c>
      <c r="W471" s="620"/>
      <c r="X471" s="621"/>
      <c r="Y471" s="1096">
        <f t="shared" si="29"/>
        <v>-97202866342</v>
      </c>
      <c r="Z471" s="882">
        <f t="shared" si="30"/>
        <v>-97203</v>
      </c>
    </row>
    <row r="472" spans="1:26" ht="27" customHeight="1">
      <c r="A472" s="583">
        <v>3214</v>
      </c>
      <c r="B472" s="583">
        <v>1008</v>
      </c>
      <c r="C472" s="581">
        <v>10</v>
      </c>
      <c r="D472" s="1137" t="s">
        <v>513</v>
      </c>
      <c r="E472" s="1138" t="s">
        <v>1465</v>
      </c>
      <c r="F472" s="599"/>
      <c r="G472" s="599"/>
      <c r="H472" s="599"/>
      <c r="I472" s="599"/>
      <c r="J472" s="599"/>
      <c r="K472" s="599">
        <v>-260550812783</v>
      </c>
      <c r="L472" s="599"/>
      <c r="M472" s="599"/>
      <c r="N472" s="599">
        <v>145241</v>
      </c>
      <c r="O472" s="599"/>
      <c r="P472" s="599"/>
      <c r="Q472" s="599"/>
      <c r="R472" s="599"/>
      <c r="S472" s="1096">
        <f t="shared" si="28"/>
        <v>-260550667542</v>
      </c>
      <c r="T472" s="599">
        <v>-216652178357</v>
      </c>
      <c r="U472" s="1096">
        <f t="shared" si="31"/>
        <v>-260551</v>
      </c>
      <c r="V472" s="601">
        <v>-216652</v>
      </c>
      <c r="W472" s="620"/>
      <c r="X472" s="621"/>
      <c r="Y472" s="1096">
        <f t="shared" si="29"/>
        <v>-260550667542</v>
      </c>
      <c r="Z472" s="882">
        <f t="shared" si="30"/>
        <v>-260551</v>
      </c>
    </row>
    <row r="473" spans="1:26" ht="27" customHeight="1">
      <c r="A473" s="583">
        <v>3214</v>
      </c>
      <c r="B473" s="583">
        <v>1007</v>
      </c>
      <c r="C473" s="581">
        <v>10</v>
      </c>
      <c r="D473" s="1137" t="s">
        <v>1764</v>
      </c>
      <c r="E473" s="1138" t="s">
        <v>1765</v>
      </c>
      <c r="F473" s="599"/>
      <c r="G473" s="599"/>
      <c r="H473" s="599"/>
      <c r="I473" s="599"/>
      <c r="J473" s="599"/>
      <c r="K473" s="599">
        <f>221584081-15833686369</f>
        <v>-15612102288</v>
      </c>
      <c r="L473" s="599"/>
      <c r="M473" s="599"/>
      <c r="N473" s="599"/>
      <c r="O473" s="599"/>
      <c r="P473" s="599"/>
      <c r="Q473" s="599"/>
      <c r="R473" s="599"/>
      <c r="S473" s="1096">
        <f t="shared" si="28"/>
        <v>-15612102288</v>
      </c>
      <c r="T473" s="599">
        <f>'96'!Q461</f>
        <v>-54433918032</v>
      </c>
      <c r="U473" s="1096">
        <f t="shared" si="31"/>
        <v>-15612</v>
      </c>
      <c r="V473" s="601">
        <f t="shared" si="31"/>
        <v>-54434</v>
      </c>
      <c r="W473" s="620"/>
      <c r="X473" s="621"/>
      <c r="Y473" s="1096">
        <f t="shared" si="29"/>
        <v>-15612102288</v>
      </c>
      <c r="Z473" s="882">
        <f t="shared" si="30"/>
        <v>-15612</v>
      </c>
    </row>
    <row r="474" spans="1:26" ht="27" customHeight="1">
      <c r="A474" s="583"/>
      <c r="B474" s="583">
        <v>1007</v>
      </c>
      <c r="C474" s="581">
        <v>10</v>
      </c>
      <c r="D474" s="1137" t="s">
        <v>499</v>
      </c>
      <c r="E474" s="1138" t="s">
        <v>694</v>
      </c>
      <c r="F474" s="599">
        <v>-10644321955</v>
      </c>
      <c r="G474" s="599"/>
      <c r="H474" s="599"/>
      <c r="I474" s="599"/>
      <c r="J474" s="599"/>
      <c r="K474" s="599"/>
      <c r="L474" s="599"/>
      <c r="M474" s="599"/>
      <c r="N474" s="599"/>
      <c r="O474" s="599"/>
      <c r="P474" s="599"/>
      <c r="Q474" s="599"/>
      <c r="R474" s="599"/>
      <c r="S474" s="1096">
        <f t="shared" si="28"/>
        <v>-10644321955</v>
      </c>
      <c r="T474" s="599">
        <v>-19374528609</v>
      </c>
      <c r="U474" s="1096">
        <f t="shared" si="31"/>
        <v>-10644</v>
      </c>
      <c r="V474" s="599">
        <v>-19375</v>
      </c>
      <c r="W474" s="620"/>
      <c r="X474" s="621"/>
      <c r="Y474" s="1096">
        <f t="shared" si="29"/>
        <v>-10644321955</v>
      </c>
      <c r="Z474" s="882">
        <f t="shared" si="30"/>
        <v>-10644</v>
      </c>
    </row>
    <row r="475" spans="1:26" ht="27" customHeight="1">
      <c r="A475" s="583">
        <v>3214</v>
      </c>
      <c r="B475" s="583">
        <v>1007</v>
      </c>
      <c r="C475" s="581">
        <v>10</v>
      </c>
      <c r="D475" s="1137" t="s">
        <v>499</v>
      </c>
      <c r="E475" s="1138" t="s">
        <v>1466</v>
      </c>
      <c r="F475" s="599"/>
      <c r="G475" s="599"/>
      <c r="H475" s="599"/>
      <c r="I475" s="599"/>
      <c r="J475" s="599"/>
      <c r="K475" s="599"/>
      <c r="L475" s="599">
        <v>-23095821478</v>
      </c>
      <c r="M475" s="599"/>
      <c r="N475" s="599">
        <v>-150610660</v>
      </c>
      <c r="O475" s="599"/>
      <c r="P475" s="599"/>
      <c r="Q475" s="599"/>
      <c r="R475" s="599"/>
      <c r="S475" s="1096">
        <f t="shared" si="28"/>
        <v>-23246432138</v>
      </c>
      <c r="T475" s="599">
        <v>-53587677852</v>
      </c>
      <c r="U475" s="1096">
        <f t="shared" si="31"/>
        <v>-23246</v>
      </c>
      <c r="V475" s="601">
        <v>-53588</v>
      </c>
      <c r="W475" s="620"/>
      <c r="X475" s="621"/>
      <c r="Y475" s="1096">
        <f t="shared" si="29"/>
        <v>-23246432138</v>
      </c>
      <c r="Z475" s="882">
        <f t="shared" si="30"/>
        <v>-23246</v>
      </c>
    </row>
    <row r="476" spans="1:26" ht="27" customHeight="1">
      <c r="A476" s="583"/>
      <c r="B476" s="583">
        <v>1018</v>
      </c>
      <c r="C476" s="581">
        <v>10</v>
      </c>
      <c r="D476" s="1137" t="s">
        <v>501</v>
      </c>
      <c r="E476" s="1138" t="s">
        <v>695</v>
      </c>
      <c r="F476" s="599">
        <v>-10000000</v>
      </c>
      <c r="G476" s="599"/>
      <c r="H476" s="599"/>
      <c r="I476" s="599"/>
      <c r="J476" s="599"/>
      <c r="K476" s="599"/>
      <c r="L476" s="599"/>
      <c r="M476" s="599"/>
      <c r="N476" s="599"/>
      <c r="O476" s="599"/>
      <c r="P476" s="599"/>
      <c r="Q476" s="599"/>
      <c r="R476" s="599"/>
      <c r="S476" s="1096">
        <f t="shared" si="28"/>
        <v>-10000000</v>
      </c>
      <c r="T476" s="599">
        <v>-454000000</v>
      </c>
      <c r="U476" s="1096">
        <f t="shared" si="31"/>
        <v>-10</v>
      </c>
      <c r="V476" s="599">
        <v>-454</v>
      </c>
      <c r="W476" s="620"/>
      <c r="X476" s="621"/>
      <c r="Y476" s="1096">
        <f t="shared" si="29"/>
        <v>-10000000</v>
      </c>
      <c r="Z476" s="882">
        <f t="shared" si="30"/>
        <v>-10</v>
      </c>
    </row>
    <row r="477" spans="1:26" ht="27" customHeight="1">
      <c r="A477" s="583"/>
      <c r="B477" s="583">
        <v>1016</v>
      </c>
      <c r="C477" s="581">
        <v>10</v>
      </c>
      <c r="D477" s="1137" t="s">
        <v>503</v>
      </c>
      <c r="E477" s="1138" t="s">
        <v>504</v>
      </c>
      <c r="F477" s="599">
        <v>-135151396312</v>
      </c>
      <c r="G477" s="599">
        <v>13286436542</v>
      </c>
      <c r="H477" s="599">
        <v>-27000</v>
      </c>
      <c r="I477" s="599"/>
      <c r="J477" s="599"/>
      <c r="K477" s="599"/>
      <c r="L477" s="599"/>
      <c r="M477" s="599"/>
      <c r="N477" s="599"/>
      <c r="O477" s="599"/>
      <c r="P477" s="599"/>
      <c r="Q477" s="599"/>
      <c r="R477" s="599"/>
      <c r="S477" s="1096">
        <f t="shared" si="28"/>
        <v>-121864986770</v>
      </c>
      <c r="T477" s="599">
        <v>-93250854375</v>
      </c>
      <c r="U477" s="1096">
        <f t="shared" si="31"/>
        <v>-121865</v>
      </c>
      <c r="V477" s="599">
        <v>-93251</v>
      </c>
      <c r="W477" s="620"/>
      <c r="X477" s="621"/>
      <c r="Y477" s="1096">
        <f t="shared" si="29"/>
        <v>-121864986770</v>
      </c>
      <c r="Z477" s="882">
        <f t="shared" si="30"/>
        <v>-121865</v>
      </c>
    </row>
    <row r="478" spans="1:26" ht="27" customHeight="1">
      <c r="A478" s="583"/>
      <c r="B478" s="583">
        <v>1017</v>
      </c>
      <c r="C478" s="581">
        <v>10</v>
      </c>
      <c r="D478" s="1137" t="s">
        <v>697</v>
      </c>
      <c r="E478" s="1138" t="s">
        <v>696</v>
      </c>
      <c r="F478" s="599">
        <v>-7864018053</v>
      </c>
      <c r="G478" s="599">
        <v>-123185912488</v>
      </c>
      <c r="H478" s="599">
        <v>-748710482</v>
      </c>
      <c r="I478" s="599">
        <v>-659318327</v>
      </c>
      <c r="J478" s="599"/>
      <c r="K478" s="599"/>
      <c r="L478" s="599"/>
      <c r="M478" s="599"/>
      <c r="N478" s="599"/>
      <c r="O478" s="599"/>
      <c r="P478" s="599"/>
      <c r="Q478" s="599"/>
      <c r="R478" s="599"/>
      <c r="S478" s="1096">
        <f t="shared" si="28"/>
        <v>-132457959350</v>
      </c>
      <c r="T478" s="599">
        <v>-168003227603</v>
      </c>
      <c r="U478" s="1096">
        <f t="shared" si="31"/>
        <v>-132458</v>
      </c>
      <c r="V478" s="599">
        <v>-168003</v>
      </c>
      <c r="W478" s="620"/>
      <c r="X478" s="621"/>
      <c r="Y478" s="1096">
        <f t="shared" si="29"/>
        <v>-132457959350</v>
      </c>
      <c r="Z478" s="882">
        <f t="shared" si="30"/>
        <v>-132458</v>
      </c>
    </row>
    <row r="479" spans="1:26" ht="27" customHeight="1">
      <c r="A479" s="583"/>
      <c r="B479" s="583">
        <v>1007</v>
      </c>
      <c r="C479" s="581">
        <v>10</v>
      </c>
      <c r="D479" s="1137" t="s">
        <v>505</v>
      </c>
      <c r="E479" s="1138" t="s">
        <v>506</v>
      </c>
      <c r="F479" s="599">
        <v>-123204353482</v>
      </c>
      <c r="G479" s="599">
        <v>-613135539</v>
      </c>
      <c r="H479" s="599"/>
      <c r="I479" s="599"/>
      <c r="J479" s="599"/>
      <c r="K479" s="599"/>
      <c r="L479" s="599"/>
      <c r="M479" s="599"/>
      <c r="N479" s="599"/>
      <c r="O479" s="599"/>
      <c r="P479" s="599"/>
      <c r="Q479" s="599"/>
      <c r="R479" s="599"/>
      <c r="S479" s="1096">
        <f t="shared" si="28"/>
        <v>-123817489021</v>
      </c>
      <c r="T479" s="599">
        <v>-93664022141</v>
      </c>
      <c r="U479" s="1096">
        <f t="shared" si="31"/>
        <v>-123817</v>
      </c>
      <c r="V479" s="599">
        <v>-93664</v>
      </c>
      <c r="W479" s="620"/>
      <c r="X479" s="621"/>
      <c r="Y479" s="1096">
        <f t="shared" si="29"/>
        <v>-123817489021</v>
      </c>
      <c r="Z479" s="882">
        <f t="shared" si="30"/>
        <v>-123817</v>
      </c>
    </row>
    <row r="480" spans="1:26" ht="27" customHeight="1">
      <c r="A480" s="583">
        <v>3214</v>
      </c>
      <c r="B480" s="583">
        <v>1007</v>
      </c>
      <c r="C480" s="581">
        <v>10</v>
      </c>
      <c r="D480" s="1137" t="s">
        <v>507</v>
      </c>
      <c r="E480" s="1138" t="s">
        <v>185</v>
      </c>
      <c r="F480" s="599"/>
      <c r="G480" s="599"/>
      <c r="H480" s="599"/>
      <c r="I480" s="599"/>
      <c r="J480" s="599"/>
      <c r="K480" s="599"/>
      <c r="L480" s="599"/>
      <c r="M480" s="599"/>
      <c r="N480" s="599"/>
      <c r="O480" s="599"/>
      <c r="P480" s="599"/>
      <c r="Q480" s="599"/>
      <c r="R480" s="599"/>
      <c r="S480" s="1096">
        <f t="shared" si="28"/>
        <v>0</v>
      </c>
      <c r="T480" s="599">
        <v>0</v>
      </c>
      <c r="U480" s="1096">
        <f t="shared" si="31"/>
        <v>0</v>
      </c>
      <c r="V480" s="599">
        <v>0</v>
      </c>
      <c r="W480" s="620"/>
      <c r="X480" s="621"/>
      <c r="Y480" s="1096">
        <f t="shared" si="29"/>
        <v>0</v>
      </c>
      <c r="Z480" s="882">
        <f t="shared" si="30"/>
        <v>0</v>
      </c>
    </row>
    <row r="481" spans="1:26" ht="27" customHeight="1">
      <c r="A481" s="583"/>
      <c r="B481" s="583">
        <v>1010</v>
      </c>
      <c r="C481" s="581">
        <v>10</v>
      </c>
      <c r="D481" s="1137" t="s">
        <v>186</v>
      </c>
      <c r="E481" s="1138" t="s">
        <v>187</v>
      </c>
      <c r="F481" s="599"/>
      <c r="G481" s="599"/>
      <c r="H481" s="599"/>
      <c r="I481" s="599"/>
      <c r="J481" s="599"/>
      <c r="K481" s="599"/>
      <c r="L481" s="599"/>
      <c r="M481" s="599"/>
      <c r="N481" s="599"/>
      <c r="O481" s="599"/>
      <c r="P481" s="599"/>
      <c r="Q481" s="599"/>
      <c r="R481" s="599"/>
      <c r="S481" s="1096">
        <f t="shared" si="28"/>
        <v>0</v>
      </c>
      <c r="T481" s="599">
        <v>0</v>
      </c>
      <c r="U481" s="1096">
        <f t="shared" si="31"/>
        <v>0</v>
      </c>
      <c r="V481" s="599">
        <v>0</v>
      </c>
      <c r="W481" s="620"/>
      <c r="X481" s="621"/>
      <c r="Y481" s="1096">
        <f t="shared" si="29"/>
        <v>0</v>
      </c>
      <c r="Z481" s="882">
        <f t="shared" si="30"/>
        <v>0</v>
      </c>
    </row>
    <row r="482" spans="1:26" ht="27" customHeight="1">
      <c r="A482" s="583"/>
      <c r="B482" s="583">
        <v>1010</v>
      </c>
      <c r="C482" s="581">
        <v>10</v>
      </c>
      <c r="D482" s="1137" t="s">
        <v>188</v>
      </c>
      <c r="E482" s="1138" t="s">
        <v>749</v>
      </c>
      <c r="F482" s="599">
        <v>-105729376799</v>
      </c>
      <c r="G482" s="599">
        <v>-3947669879</v>
      </c>
      <c r="H482" s="599"/>
      <c r="I482" s="599"/>
      <c r="J482" s="599"/>
      <c r="K482" s="599"/>
      <c r="L482" s="599"/>
      <c r="M482" s="599"/>
      <c r="N482" s="599"/>
      <c r="O482" s="599"/>
      <c r="P482" s="599"/>
      <c r="Q482" s="599"/>
      <c r="R482" s="599"/>
      <c r="S482" s="1096">
        <f t="shared" si="28"/>
        <v>-109677046678</v>
      </c>
      <c r="T482" s="599">
        <v>-77559025596</v>
      </c>
      <c r="U482" s="1096">
        <f t="shared" si="31"/>
        <v>-109677</v>
      </c>
      <c r="V482" s="599">
        <v>-77559</v>
      </c>
      <c r="W482" s="620"/>
      <c r="X482" s="621"/>
      <c r="Y482" s="1096">
        <f t="shared" si="29"/>
        <v>-109677046678</v>
      </c>
      <c r="Z482" s="882">
        <f t="shared" si="30"/>
        <v>-109677</v>
      </c>
    </row>
    <row r="483" spans="1:26" ht="27" customHeight="1">
      <c r="A483" s="583"/>
      <c r="B483" s="583">
        <v>1007</v>
      </c>
      <c r="C483" s="581">
        <v>10</v>
      </c>
      <c r="D483" s="1137" t="s">
        <v>190</v>
      </c>
      <c r="E483" s="1138" t="s">
        <v>191</v>
      </c>
      <c r="F483" s="599">
        <v>-5736810664</v>
      </c>
      <c r="G483" s="599">
        <v>24088000</v>
      </c>
      <c r="H483" s="599"/>
      <c r="I483" s="599"/>
      <c r="J483" s="599"/>
      <c r="K483" s="599"/>
      <c r="L483" s="599"/>
      <c r="M483" s="599"/>
      <c r="N483" s="599"/>
      <c r="O483" s="599"/>
      <c r="P483" s="599"/>
      <c r="Q483" s="599"/>
      <c r="R483" s="599"/>
      <c r="S483" s="1096">
        <f t="shared" si="28"/>
        <v>-5712722664</v>
      </c>
      <c r="T483" s="599">
        <v>-5294635070</v>
      </c>
      <c r="U483" s="1096">
        <f t="shared" si="31"/>
        <v>-5713</v>
      </c>
      <c r="V483" s="599">
        <v>-5295</v>
      </c>
      <c r="W483" s="620"/>
      <c r="X483" s="621"/>
      <c r="Y483" s="1096">
        <f t="shared" si="29"/>
        <v>-5712722664</v>
      </c>
      <c r="Z483" s="882">
        <f t="shared" si="30"/>
        <v>-5713</v>
      </c>
    </row>
    <row r="484" spans="1:26" ht="27" customHeight="1">
      <c r="A484" s="583">
        <v>3214</v>
      </c>
      <c r="B484" s="583">
        <v>1007</v>
      </c>
      <c r="C484" s="581">
        <v>10</v>
      </c>
      <c r="D484" s="1137">
        <v>90006852</v>
      </c>
      <c r="E484" s="1138" t="s">
        <v>191</v>
      </c>
      <c r="F484" s="599"/>
      <c r="G484" s="599"/>
      <c r="H484" s="599"/>
      <c r="I484" s="599"/>
      <c r="J484" s="599"/>
      <c r="K484" s="599">
        <v>-23095821478</v>
      </c>
      <c r="L484" s="599">
        <v>23095821478</v>
      </c>
      <c r="M484" s="599"/>
      <c r="N484" s="599"/>
      <c r="O484" s="599"/>
      <c r="P484" s="599"/>
      <c r="Q484" s="599"/>
      <c r="R484" s="599"/>
      <c r="S484" s="1096">
        <f t="shared" si="28"/>
        <v>0</v>
      </c>
      <c r="T484" s="599"/>
      <c r="U484" s="1096">
        <f t="shared" si="31"/>
        <v>0</v>
      </c>
      <c r="V484" s="599"/>
      <c r="W484" s="620"/>
      <c r="X484" s="621"/>
      <c r="Y484" s="1096">
        <f t="shared" si="29"/>
        <v>0</v>
      </c>
      <c r="Z484" s="882">
        <f t="shared" si="30"/>
        <v>0</v>
      </c>
    </row>
    <row r="485" spans="1:26" ht="27" customHeight="1">
      <c r="A485" s="583"/>
      <c r="B485" s="583">
        <v>1017</v>
      </c>
      <c r="C485" s="581">
        <v>10</v>
      </c>
      <c r="D485" s="1137" t="s">
        <v>192</v>
      </c>
      <c r="E485" s="1138" t="s">
        <v>25</v>
      </c>
      <c r="F485" s="599">
        <v>-1759000000</v>
      </c>
      <c r="G485" s="599">
        <v>-35100000</v>
      </c>
      <c r="H485" s="599"/>
      <c r="I485" s="599"/>
      <c r="J485" s="599"/>
      <c r="K485" s="599"/>
      <c r="L485" s="599"/>
      <c r="M485" s="599"/>
      <c r="N485" s="599"/>
      <c r="O485" s="599"/>
      <c r="P485" s="599"/>
      <c r="Q485" s="599"/>
      <c r="R485" s="599"/>
      <c r="S485" s="1096">
        <f t="shared" si="28"/>
        <v>-1794100000</v>
      </c>
      <c r="T485" s="599">
        <v>-343500000</v>
      </c>
      <c r="U485" s="1096">
        <f t="shared" si="31"/>
        <v>-1794</v>
      </c>
      <c r="V485" s="599">
        <v>-344</v>
      </c>
      <c r="W485" s="620"/>
      <c r="X485" s="621"/>
      <c r="Y485" s="1096">
        <f t="shared" si="29"/>
        <v>-1794100000</v>
      </c>
      <c r="Z485" s="882">
        <f t="shared" si="30"/>
        <v>-1794</v>
      </c>
    </row>
    <row r="486" spans="1:26" ht="27" customHeight="1">
      <c r="A486" s="583"/>
      <c r="B486" s="583">
        <v>302</v>
      </c>
      <c r="C486" s="581">
        <v>3</v>
      </c>
      <c r="D486" s="1137" t="s">
        <v>26</v>
      </c>
      <c r="E486" s="1138" t="s">
        <v>27</v>
      </c>
      <c r="F486" s="599">
        <v>1217436000</v>
      </c>
      <c r="G486" s="599"/>
      <c r="H486" s="599"/>
      <c r="I486" s="599"/>
      <c r="J486" s="599"/>
      <c r="K486" s="599"/>
      <c r="L486" s="599">
        <v>2564000</v>
      </c>
      <c r="M486" s="599"/>
      <c r="N486" s="599"/>
      <c r="O486" s="599"/>
      <c r="P486" s="599"/>
      <c r="Q486" s="599"/>
      <c r="R486" s="599"/>
      <c r="S486" s="1096">
        <f t="shared" si="28"/>
        <v>1220000000</v>
      </c>
      <c r="T486" s="599">
        <v>1185320000</v>
      </c>
      <c r="U486" s="1096">
        <f t="shared" si="31"/>
        <v>1220</v>
      </c>
      <c r="V486" s="599">
        <v>1185</v>
      </c>
      <c r="W486" s="620"/>
      <c r="X486" s="621"/>
      <c r="Y486" s="1096">
        <f t="shared" si="29"/>
        <v>1220000000</v>
      </c>
      <c r="Z486" s="882">
        <f t="shared" si="30"/>
        <v>1220</v>
      </c>
    </row>
    <row r="487" spans="1:26" ht="27" customHeight="1">
      <c r="A487" s="583"/>
      <c r="B487" s="583">
        <v>302</v>
      </c>
      <c r="C487" s="581">
        <v>3</v>
      </c>
      <c r="D487" s="1137" t="s">
        <v>851</v>
      </c>
      <c r="E487" s="1138" t="s">
        <v>852</v>
      </c>
      <c r="F487" s="599"/>
      <c r="G487" s="599"/>
      <c r="H487" s="599"/>
      <c r="I487" s="599"/>
      <c r="J487" s="599"/>
      <c r="K487" s="599"/>
      <c r="L487" s="599"/>
      <c r="M487" s="599"/>
      <c r="N487" s="599"/>
      <c r="O487" s="599"/>
      <c r="P487" s="599"/>
      <c r="Q487" s="599"/>
      <c r="R487" s="599"/>
      <c r="S487" s="1096">
        <f t="shared" si="28"/>
        <v>0</v>
      </c>
      <c r="T487" s="599">
        <v>0</v>
      </c>
      <c r="U487" s="1096">
        <f t="shared" si="31"/>
        <v>0</v>
      </c>
      <c r="V487" s="599">
        <v>0</v>
      </c>
      <c r="W487" s="620"/>
      <c r="X487" s="621"/>
      <c r="Y487" s="1096">
        <f t="shared" si="29"/>
        <v>0</v>
      </c>
      <c r="Z487" s="882">
        <f t="shared" si="30"/>
        <v>0</v>
      </c>
    </row>
    <row r="488" spans="1:26" ht="27" customHeight="1">
      <c r="A488" s="583"/>
      <c r="B488" s="583">
        <v>303</v>
      </c>
      <c r="C488" s="581">
        <v>3</v>
      </c>
      <c r="D488" s="1137" t="s">
        <v>28</v>
      </c>
      <c r="E488" s="1138" t="s">
        <v>29</v>
      </c>
      <c r="F488" s="599">
        <v>365377579</v>
      </c>
      <c r="G488" s="599">
        <v>60539928</v>
      </c>
      <c r="H488" s="599"/>
      <c r="I488" s="599"/>
      <c r="J488" s="599"/>
      <c r="K488" s="599"/>
      <c r="L488" s="599">
        <v>-2564000</v>
      </c>
      <c r="M488" s="599"/>
      <c r="N488" s="599"/>
      <c r="O488" s="599"/>
      <c r="P488" s="599"/>
      <c r="Q488" s="599"/>
      <c r="R488" s="599"/>
      <c r="S488" s="1096">
        <f t="shared" si="28"/>
        <v>423353507</v>
      </c>
      <c r="T488" s="599">
        <v>23562653747</v>
      </c>
      <c r="U488" s="1096">
        <f t="shared" si="31"/>
        <v>423</v>
      </c>
      <c r="V488" s="599">
        <v>23563</v>
      </c>
      <c r="W488" s="620"/>
      <c r="X488" s="621"/>
      <c r="Y488" s="1096">
        <f t="shared" si="29"/>
        <v>423353507</v>
      </c>
      <c r="Z488" s="882">
        <f t="shared" si="30"/>
        <v>423</v>
      </c>
    </row>
    <row r="489" spans="1:26" ht="29.25" customHeight="1">
      <c r="A489" s="583"/>
      <c r="B489" s="583">
        <v>1018</v>
      </c>
      <c r="C489" s="581">
        <v>10</v>
      </c>
      <c r="D489" s="1137" t="s">
        <v>30</v>
      </c>
      <c r="E489" s="1138" t="s">
        <v>31</v>
      </c>
      <c r="F489" s="599">
        <v>9955000</v>
      </c>
      <c r="G489" s="599">
        <v>10000000</v>
      </c>
      <c r="H489" s="599">
        <v>-20000000</v>
      </c>
      <c r="I489" s="599"/>
      <c r="J489" s="599"/>
      <c r="K489" s="599"/>
      <c r="L489" s="599"/>
      <c r="M489" s="599"/>
      <c r="N489" s="599"/>
      <c r="O489" s="599"/>
      <c r="P489" s="599"/>
      <c r="Q489" s="599"/>
      <c r="R489" s="599"/>
      <c r="S489" s="1096">
        <f t="shared" si="28"/>
        <v>-45000</v>
      </c>
      <c r="T489" s="599">
        <v>0</v>
      </c>
      <c r="U489" s="1096">
        <f t="shared" si="31"/>
        <v>0</v>
      </c>
      <c r="V489" s="599">
        <v>0</v>
      </c>
      <c r="W489" s="620"/>
      <c r="X489" s="621"/>
      <c r="Y489" s="1096">
        <f t="shared" si="29"/>
        <v>-45000</v>
      </c>
      <c r="Z489" s="882">
        <f t="shared" si="30"/>
        <v>0</v>
      </c>
    </row>
    <row r="490" spans="1:26" ht="27" customHeight="1">
      <c r="A490" s="583"/>
      <c r="B490" s="583">
        <v>303</v>
      </c>
      <c r="C490" s="581">
        <v>3</v>
      </c>
      <c r="D490" s="1137" t="s">
        <v>1155</v>
      </c>
      <c r="E490" s="1138" t="s">
        <v>1156</v>
      </c>
      <c r="F490" s="599">
        <v>119295427231</v>
      </c>
      <c r="G490" s="599">
        <v>-59993191400</v>
      </c>
      <c r="H490" s="599">
        <v>-12800804662</v>
      </c>
      <c r="I490" s="599"/>
      <c r="J490" s="599"/>
      <c r="K490" s="599"/>
      <c r="L490" s="599"/>
      <c r="M490" s="599"/>
      <c r="N490" s="599"/>
      <c r="O490" s="599"/>
      <c r="P490" s="599">
        <v>-46501431169</v>
      </c>
      <c r="Q490" s="599"/>
      <c r="R490" s="599"/>
      <c r="S490" s="1096">
        <f t="shared" si="28"/>
        <v>0</v>
      </c>
      <c r="T490" s="599">
        <v>0</v>
      </c>
      <c r="U490" s="1096">
        <f t="shared" si="31"/>
        <v>0</v>
      </c>
      <c r="V490" s="599">
        <v>0</v>
      </c>
      <c r="W490" s="620"/>
      <c r="X490" s="621"/>
      <c r="Y490" s="1096">
        <f t="shared" si="29"/>
        <v>0</v>
      </c>
      <c r="Z490" s="882">
        <f t="shared" si="30"/>
        <v>0</v>
      </c>
    </row>
    <row r="491" spans="1:26" ht="27" customHeight="1">
      <c r="A491" s="583"/>
      <c r="B491" s="583">
        <v>303</v>
      </c>
      <c r="C491" s="581">
        <v>3</v>
      </c>
      <c r="D491" s="1137" t="s">
        <v>1157</v>
      </c>
      <c r="E491" s="1138" t="s">
        <v>1156</v>
      </c>
      <c r="F491" s="599">
        <v>-119295027231</v>
      </c>
      <c r="G491" s="599">
        <v>59992791400</v>
      </c>
      <c r="H491" s="599">
        <v>12800804662</v>
      </c>
      <c r="I491" s="599"/>
      <c r="J491" s="599"/>
      <c r="K491" s="599"/>
      <c r="L491" s="599"/>
      <c r="M491" s="599"/>
      <c r="N491" s="599"/>
      <c r="O491" s="599"/>
      <c r="P491" s="599">
        <v>46501431169</v>
      </c>
      <c r="Q491" s="599"/>
      <c r="R491" s="599"/>
      <c r="S491" s="1096">
        <f t="shared" si="28"/>
        <v>0</v>
      </c>
      <c r="T491" s="599">
        <v>0</v>
      </c>
      <c r="U491" s="1096">
        <f t="shared" si="31"/>
        <v>0</v>
      </c>
      <c r="V491" s="599">
        <v>0</v>
      </c>
      <c r="W491" s="620"/>
      <c r="X491" s="621"/>
      <c r="Y491" s="1096">
        <f t="shared" si="29"/>
        <v>0</v>
      </c>
      <c r="Z491" s="882">
        <f t="shared" si="30"/>
        <v>0</v>
      </c>
    </row>
    <row r="492" spans="1:26" ht="27" customHeight="1">
      <c r="A492" s="583">
        <v>3214</v>
      </c>
      <c r="B492" s="583">
        <v>302</v>
      </c>
      <c r="C492" s="581">
        <v>3</v>
      </c>
      <c r="D492" s="1137" t="s">
        <v>776</v>
      </c>
      <c r="E492" s="1138" t="s">
        <v>1453</v>
      </c>
      <c r="F492" s="599"/>
      <c r="G492" s="599"/>
      <c r="H492" s="599"/>
      <c r="I492" s="599"/>
      <c r="J492" s="599"/>
      <c r="K492" s="599"/>
      <c r="L492" s="599"/>
      <c r="M492" s="599"/>
      <c r="N492" s="599"/>
      <c r="O492" s="599"/>
      <c r="P492" s="599"/>
      <c r="Q492" s="599"/>
      <c r="R492" s="599"/>
      <c r="S492" s="1096">
        <f t="shared" si="28"/>
        <v>0</v>
      </c>
      <c r="T492" s="599">
        <v>0</v>
      </c>
      <c r="U492" s="1096">
        <f t="shared" si="31"/>
        <v>0</v>
      </c>
      <c r="V492" s="599">
        <v>0</v>
      </c>
      <c r="W492" s="620"/>
      <c r="X492" s="621"/>
      <c r="Y492" s="1096">
        <f t="shared" si="29"/>
        <v>0</v>
      </c>
      <c r="Z492" s="882">
        <f t="shared" si="30"/>
        <v>0</v>
      </c>
    </row>
    <row r="493" spans="1:26" ht="26.25" customHeight="1">
      <c r="A493" s="583">
        <v>12</v>
      </c>
      <c r="B493" s="583">
        <v>907</v>
      </c>
      <c r="C493" s="581">
        <v>9</v>
      </c>
      <c r="D493" s="1137" t="s">
        <v>32</v>
      </c>
      <c r="E493" s="1138" t="s">
        <v>770</v>
      </c>
      <c r="F493" s="599">
        <v>7552883600</v>
      </c>
      <c r="G493" s="599"/>
      <c r="H493" s="599"/>
      <c r="I493" s="599"/>
      <c r="J493" s="599"/>
      <c r="K493" s="599"/>
      <c r="L493" s="599"/>
      <c r="M493" s="599"/>
      <c r="N493" s="599"/>
      <c r="O493" s="599"/>
      <c r="P493" s="599"/>
      <c r="Q493" s="599"/>
      <c r="R493" s="599"/>
      <c r="S493" s="1096">
        <f t="shared" si="28"/>
        <v>7552883600</v>
      </c>
      <c r="T493" s="599">
        <v>7552883600</v>
      </c>
      <c r="U493" s="1096">
        <f t="shared" si="31"/>
        <v>7553</v>
      </c>
      <c r="V493" s="599">
        <v>7553</v>
      </c>
      <c r="W493" s="620"/>
      <c r="X493" s="621"/>
      <c r="Y493" s="1096">
        <f t="shared" si="29"/>
        <v>7552883600</v>
      </c>
      <c r="Z493" s="882">
        <f t="shared" si="30"/>
        <v>7553</v>
      </c>
    </row>
    <row r="494" spans="1:26" ht="27" customHeight="1">
      <c r="A494" s="583">
        <v>3214</v>
      </c>
      <c r="B494" s="583">
        <v>909</v>
      </c>
      <c r="C494" s="581">
        <v>9</v>
      </c>
      <c r="D494" s="1137" t="s">
        <v>32</v>
      </c>
      <c r="E494" s="1138" t="s">
        <v>1467</v>
      </c>
      <c r="F494" s="599"/>
      <c r="G494" s="599"/>
      <c r="H494" s="599"/>
      <c r="I494" s="599"/>
      <c r="J494" s="599"/>
      <c r="K494" s="599"/>
      <c r="L494" s="599"/>
      <c r="M494" s="599"/>
      <c r="N494" s="599"/>
      <c r="O494" s="599"/>
      <c r="P494" s="599"/>
      <c r="Q494" s="599"/>
      <c r="R494" s="599"/>
      <c r="S494" s="1096">
        <f t="shared" si="28"/>
        <v>0</v>
      </c>
      <c r="T494" s="599">
        <v>0</v>
      </c>
      <c r="U494" s="1096">
        <f t="shared" si="31"/>
        <v>0</v>
      </c>
      <c r="V494" s="599">
        <v>0</v>
      </c>
      <c r="W494" s="620"/>
      <c r="X494" s="621"/>
      <c r="Y494" s="1096">
        <f t="shared" si="29"/>
        <v>0</v>
      </c>
      <c r="Z494" s="882">
        <f t="shared" si="30"/>
        <v>0</v>
      </c>
    </row>
    <row r="495" spans="1:26" ht="27" customHeight="1">
      <c r="A495" s="583"/>
      <c r="B495" s="583">
        <v>601</v>
      </c>
      <c r="C495" s="581">
        <v>6</v>
      </c>
      <c r="D495" s="1137" t="s">
        <v>34</v>
      </c>
      <c r="E495" s="1138" t="s">
        <v>35</v>
      </c>
      <c r="F495" s="599"/>
      <c r="G495" s="599"/>
      <c r="H495" s="599"/>
      <c r="I495" s="599"/>
      <c r="J495" s="599"/>
      <c r="K495" s="599"/>
      <c r="L495" s="599"/>
      <c r="M495" s="599"/>
      <c r="N495" s="599"/>
      <c r="O495" s="599"/>
      <c r="P495" s="599"/>
      <c r="Q495" s="599"/>
      <c r="R495" s="599"/>
      <c r="S495" s="1096">
        <f t="shared" si="28"/>
        <v>0</v>
      </c>
      <c r="T495" s="599">
        <v>0</v>
      </c>
      <c r="U495" s="1096">
        <f t="shared" si="31"/>
        <v>0</v>
      </c>
      <c r="V495" s="599">
        <v>0</v>
      </c>
      <c r="W495" s="620"/>
      <c r="X495" s="621"/>
      <c r="Y495" s="1096">
        <f t="shared" si="29"/>
        <v>0</v>
      </c>
      <c r="Z495" s="882">
        <f t="shared" si="30"/>
        <v>0</v>
      </c>
    </row>
    <row r="496" spans="1:26" ht="27" customHeight="1">
      <c r="A496" s="583"/>
      <c r="B496" s="583">
        <v>301</v>
      </c>
      <c r="C496" s="581">
        <v>3</v>
      </c>
      <c r="D496" s="1137" t="s">
        <v>36</v>
      </c>
      <c r="E496" s="1138" t="s">
        <v>37</v>
      </c>
      <c r="F496" s="599">
        <v>3188529209</v>
      </c>
      <c r="G496" s="599"/>
      <c r="H496" s="599"/>
      <c r="I496" s="599"/>
      <c r="J496" s="599"/>
      <c r="K496" s="599"/>
      <c r="L496" s="599"/>
      <c r="M496" s="599"/>
      <c r="N496" s="599"/>
      <c r="O496" s="599"/>
      <c r="P496" s="599"/>
      <c r="Q496" s="599"/>
      <c r="R496" s="599"/>
      <c r="S496" s="1096">
        <f t="shared" si="28"/>
        <v>3188529209</v>
      </c>
      <c r="T496" s="599">
        <v>12210460244</v>
      </c>
      <c r="U496" s="1096">
        <f t="shared" si="31"/>
        <v>3189</v>
      </c>
      <c r="V496" s="599">
        <v>12210</v>
      </c>
      <c r="W496" s="620"/>
      <c r="X496" s="621"/>
      <c r="Y496" s="1096">
        <f t="shared" si="29"/>
        <v>3188529209</v>
      </c>
      <c r="Z496" s="882">
        <f t="shared" si="30"/>
        <v>3189</v>
      </c>
    </row>
    <row r="497" spans="1:26" ht="27" customHeight="1">
      <c r="A497" s="583"/>
      <c r="B497" s="583">
        <v>301</v>
      </c>
      <c r="C497" s="581">
        <v>3</v>
      </c>
      <c r="D497" s="1137" t="s">
        <v>1744</v>
      </c>
      <c r="E497" s="1138" t="s">
        <v>1745</v>
      </c>
      <c r="F497" s="599">
        <v>681023011099</v>
      </c>
      <c r="G497" s="599">
        <v>-2999940</v>
      </c>
      <c r="H497" s="599"/>
      <c r="I497" s="599"/>
      <c r="J497" s="599"/>
      <c r="K497" s="599"/>
      <c r="L497" s="599"/>
      <c r="M497" s="599"/>
      <c r="N497" s="599">
        <v>1251062556</v>
      </c>
      <c r="O497" s="599"/>
      <c r="P497" s="599"/>
      <c r="Q497" s="599"/>
      <c r="R497" s="599"/>
      <c r="S497" s="1096">
        <f t="shared" si="28"/>
        <v>682271073715</v>
      </c>
      <c r="T497" s="599">
        <v>103409014184</v>
      </c>
      <c r="U497" s="1096">
        <f t="shared" si="31"/>
        <v>682271</v>
      </c>
      <c r="V497" s="599">
        <v>103409</v>
      </c>
      <c r="W497" s="620"/>
      <c r="X497" s="621"/>
      <c r="Y497" s="1096">
        <f t="shared" si="29"/>
        <v>682271073715</v>
      </c>
      <c r="Z497" s="882">
        <f t="shared" si="30"/>
        <v>682271</v>
      </c>
    </row>
    <row r="498" spans="1:26" ht="27" customHeight="1">
      <c r="A498" s="583"/>
      <c r="B498" s="583">
        <v>301</v>
      </c>
      <c r="C498" s="581">
        <v>3</v>
      </c>
      <c r="D498" s="1137">
        <v>90007112</v>
      </c>
      <c r="E498" s="1138" t="s">
        <v>1820</v>
      </c>
      <c r="F498" s="599"/>
      <c r="G498" s="599"/>
      <c r="H498" s="599"/>
      <c r="I498" s="599"/>
      <c r="J498" s="599"/>
      <c r="K498" s="599"/>
      <c r="L498" s="599"/>
      <c r="M498" s="599"/>
      <c r="N498" s="599"/>
      <c r="O498" s="599"/>
      <c r="P498" s="599"/>
      <c r="Q498" s="599"/>
      <c r="R498" s="599"/>
      <c r="S498" s="1096">
        <f t="shared" si="28"/>
        <v>0</v>
      </c>
      <c r="T498" s="599"/>
      <c r="U498" s="1096">
        <f t="shared" si="31"/>
        <v>0</v>
      </c>
      <c r="V498" s="599"/>
      <c r="W498" s="620"/>
      <c r="X498" s="621"/>
      <c r="Y498" s="1096">
        <f t="shared" si="29"/>
        <v>0</v>
      </c>
      <c r="Z498" s="882">
        <f t="shared" si="30"/>
        <v>0</v>
      </c>
    </row>
    <row r="499" spans="1:26" ht="27" customHeight="1">
      <c r="A499" s="583"/>
      <c r="B499" s="583">
        <v>301</v>
      </c>
      <c r="C499" s="581">
        <v>3</v>
      </c>
      <c r="D499" s="1137" t="s">
        <v>1746</v>
      </c>
      <c r="E499" s="1138" t="s">
        <v>1747</v>
      </c>
      <c r="F499" s="599"/>
      <c r="G499" s="599"/>
      <c r="H499" s="599"/>
      <c r="I499" s="599"/>
      <c r="J499" s="599"/>
      <c r="K499" s="599"/>
      <c r="L499" s="599"/>
      <c r="M499" s="599"/>
      <c r="N499" s="599"/>
      <c r="O499" s="599"/>
      <c r="P499" s="599"/>
      <c r="Q499" s="599"/>
      <c r="R499" s="599"/>
      <c r="S499" s="1096">
        <f t="shared" si="28"/>
        <v>0</v>
      </c>
      <c r="T499" s="599">
        <v>1685783421</v>
      </c>
      <c r="U499" s="1096">
        <f t="shared" si="31"/>
        <v>0</v>
      </c>
      <c r="V499" s="599">
        <v>1686</v>
      </c>
      <c r="W499" s="620"/>
      <c r="X499" s="621"/>
      <c r="Y499" s="1096">
        <f t="shared" si="29"/>
        <v>0</v>
      </c>
      <c r="Z499" s="882">
        <f t="shared" si="30"/>
        <v>0</v>
      </c>
    </row>
    <row r="500" spans="1:26" ht="27" customHeight="1">
      <c r="A500" s="583"/>
      <c r="B500" s="583">
        <v>301</v>
      </c>
      <c r="C500" s="581">
        <v>3</v>
      </c>
      <c r="D500" s="1137" t="s">
        <v>1637</v>
      </c>
      <c r="E500" s="1138" t="s">
        <v>37</v>
      </c>
      <c r="F500" s="599">
        <v>1251062556</v>
      </c>
      <c r="G500" s="599"/>
      <c r="H500" s="599"/>
      <c r="I500" s="599"/>
      <c r="J500" s="599"/>
      <c r="K500" s="599"/>
      <c r="L500" s="599"/>
      <c r="M500" s="599"/>
      <c r="N500" s="599">
        <v>-1251062556</v>
      </c>
      <c r="O500" s="599"/>
      <c r="P500" s="599"/>
      <c r="Q500" s="599"/>
      <c r="R500" s="599"/>
      <c r="S500" s="1096">
        <f t="shared" si="28"/>
        <v>0</v>
      </c>
      <c r="T500" s="599">
        <v>9484517303</v>
      </c>
      <c r="U500" s="1096">
        <f t="shared" si="31"/>
        <v>0</v>
      </c>
      <c r="V500" s="599">
        <v>9485</v>
      </c>
      <c r="W500" s="620"/>
      <c r="X500" s="621"/>
      <c r="Y500" s="1096">
        <f t="shared" si="29"/>
        <v>0</v>
      </c>
      <c r="Z500" s="882">
        <f t="shared" si="30"/>
        <v>0</v>
      </c>
    </row>
    <row r="501" spans="1:26" ht="27" customHeight="1">
      <c r="A501" s="583"/>
      <c r="B501" s="583">
        <v>301</v>
      </c>
      <c r="C501" s="581">
        <v>3</v>
      </c>
      <c r="D501" s="1137" t="s">
        <v>38</v>
      </c>
      <c r="E501" s="1138" t="s">
        <v>624</v>
      </c>
      <c r="F501" s="599"/>
      <c r="G501" s="599"/>
      <c r="H501" s="599"/>
      <c r="I501" s="599"/>
      <c r="J501" s="599"/>
      <c r="K501" s="599"/>
      <c r="L501" s="599"/>
      <c r="M501" s="599"/>
      <c r="N501" s="599"/>
      <c r="O501" s="599"/>
      <c r="P501" s="599"/>
      <c r="Q501" s="599"/>
      <c r="R501" s="599"/>
      <c r="S501" s="1096">
        <f t="shared" si="28"/>
        <v>0</v>
      </c>
      <c r="T501" s="599">
        <v>0</v>
      </c>
      <c r="U501" s="1096">
        <f t="shared" si="31"/>
        <v>0</v>
      </c>
      <c r="V501" s="599">
        <v>0</v>
      </c>
      <c r="W501" s="620"/>
      <c r="X501" s="621"/>
      <c r="Y501" s="1096">
        <f t="shared" si="29"/>
        <v>0</v>
      </c>
      <c r="Z501" s="882">
        <f t="shared" si="30"/>
        <v>0</v>
      </c>
    </row>
    <row r="502" spans="1:26" ht="27" customHeight="1">
      <c r="A502" s="583"/>
      <c r="B502" s="583"/>
      <c r="C502" s="581">
        <v>15</v>
      </c>
      <c r="D502" s="1137" t="s">
        <v>734</v>
      </c>
      <c r="E502" s="1138" t="s">
        <v>736</v>
      </c>
      <c r="F502" s="599">
        <v>15994882060344</v>
      </c>
      <c r="G502" s="599">
        <v>5601984335</v>
      </c>
      <c r="H502" s="599">
        <v>-1624519867833</v>
      </c>
      <c r="I502" s="599">
        <v>993491306803</v>
      </c>
      <c r="J502" s="599">
        <v>150039421295</v>
      </c>
      <c r="K502" s="599">
        <v>1162600772</v>
      </c>
      <c r="L502" s="599"/>
      <c r="M502" s="599"/>
      <c r="N502" s="599"/>
      <c r="O502" s="599"/>
      <c r="P502" s="599">
        <v>-114220410557</v>
      </c>
      <c r="Q502" s="599">
        <v>100129310330</v>
      </c>
      <c r="R502" s="599">
        <v>114220410557</v>
      </c>
      <c r="S502" s="1096">
        <f t="shared" si="28"/>
        <v>15620786816046</v>
      </c>
      <c r="T502" s="599">
        <v>0</v>
      </c>
      <c r="U502" s="1096">
        <f t="shared" si="31"/>
        <v>15620787</v>
      </c>
      <c r="V502" s="599">
        <v>14605780</v>
      </c>
      <c r="W502" s="620"/>
      <c r="X502" s="620">
        <v>15620786816046</v>
      </c>
      <c r="Y502" s="1096">
        <f t="shared" si="29"/>
        <v>31241573632092</v>
      </c>
      <c r="Z502" s="882">
        <f t="shared" si="30"/>
        <v>31241574</v>
      </c>
    </row>
    <row r="503" spans="1:26" ht="27" customHeight="1">
      <c r="A503" s="583"/>
      <c r="B503" s="583"/>
      <c r="C503" s="581">
        <v>15</v>
      </c>
      <c r="D503" s="1137" t="s">
        <v>1748</v>
      </c>
      <c r="E503" s="1138" t="s">
        <v>1749</v>
      </c>
      <c r="F503" s="599">
        <v>250000000</v>
      </c>
      <c r="G503" s="599"/>
      <c r="H503" s="738">
        <v>200000000</v>
      </c>
      <c r="I503" s="599"/>
      <c r="J503" s="599"/>
      <c r="K503" s="599"/>
      <c r="L503" s="599"/>
      <c r="M503" s="599"/>
      <c r="N503" s="599"/>
      <c r="O503" s="599"/>
      <c r="P503" s="599"/>
      <c r="Q503" s="599"/>
      <c r="R503" s="599"/>
      <c r="S503" s="1096">
        <f t="shared" si="28"/>
        <v>450000000</v>
      </c>
      <c r="T503" s="599"/>
      <c r="U503" s="1096">
        <f t="shared" si="31"/>
        <v>450</v>
      </c>
      <c r="V503" s="599"/>
      <c r="W503" s="620"/>
      <c r="X503" s="620">
        <v>450000000</v>
      </c>
      <c r="Y503" s="1096">
        <f t="shared" si="29"/>
        <v>900000000</v>
      </c>
      <c r="Z503" s="882">
        <f t="shared" si="30"/>
        <v>900</v>
      </c>
    </row>
    <row r="504" spans="1:26" ht="27" customHeight="1">
      <c r="A504" s="583"/>
      <c r="B504" s="583">
        <v>205</v>
      </c>
      <c r="C504" s="581">
        <v>17</v>
      </c>
      <c r="D504" s="1137" t="s">
        <v>735</v>
      </c>
      <c r="E504" s="1138" t="s">
        <v>904</v>
      </c>
      <c r="F504" s="599">
        <v>105443617498</v>
      </c>
      <c r="G504" s="599">
        <v>-3067067861</v>
      </c>
      <c r="H504" s="599"/>
      <c r="I504" s="599">
        <v>11451127</v>
      </c>
      <c r="J504" s="599">
        <v>4535739736</v>
      </c>
      <c r="K504" s="599">
        <v>-3635127300</v>
      </c>
      <c r="L504" s="599"/>
      <c r="M504" s="599"/>
      <c r="N504" s="599"/>
      <c r="O504" s="599"/>
      <c r="P504" s="599">
        <f>4335482750+1578489954+85327103650+2349455254+5398000000+6755481696+8476397253</f>
        <v>114220410557</v>
      </c>
      <c r="Q504" s="599">
        <v>-100129310330</v>
      </c>
      <c r="R504" s="599">
        <v>-114220410557</v>
      </c>
      <c r="S504" s="1096">
        <f t="shared" si="28"/>
        <v>3159302870</v>
      </c>
      <c r="T504" s="599">
        <v>0</v>
      </c>
      <c r="U504" s="1096">
        <f t="shared" si="31"/>
        <v>3159</v>
      </c>
      <c r="V504" s="599">
        <v>311598</v>
      </c>
      <c r="W504" s="620">
        <v>0</v>
      </c>
      <c r="X504" s="620">
        <v>3159302870</v>
      </c>
      <c r="Y504" s="1096">
        <f t="shared" si="29"/>
        <v>6318605740</v>
      </c>
      <c r="Z504" s="882">
        <f t="shared" si="30"/>
        <v>6319</v>
      </c>
    </row>
    <row r="505" spans="1:26" ht="27" customHeight="1">
      <c r="A505" s="583"/>
      <c r="B505" s="583">
        <v>202</v>
      </c>
      <c r="C505" s="581">
        <v>16</v>
      </c>
      <c r="D505" s="1137" t="s">
        <v>906</v>
      </c>
      <c r="E505" s="1138" t="s">
        <v>905</v>
      </c>
      <c r="F505" s="599">
        <v>-155707569347</v>
      </c>
      <c r="G505" s="599">
        <v>-3457884432</v>
      </c>
      <c r="H505" s="599">
        <v>-10648224</v>
      </c>
      <c r="I505" s="599">
        <v>-3416879341</v>
      </c>
      <c r="J505" s="599"/>
      <c r="K505" s="599"/>
      <c r="L505" s="599"/>
      <c r="M505" s="599"/>
      <c r="N505" s="599"/>
      <c r="O505" s="599"/>
      <c r="P505" s="599"/>
      <c r="Q505" s="599"/>
      <c r="R505" s="599"/>
      <c r="S505" s="1096">
        <f t="shared" si="28"/>
        <v>-162592981344</v>
      </c>
      <c r="T505" s="599">
        <v>0</v>
      </c>
      <c r="U505" s="1096">
        <f t="shared" si="31"/>
        <v>-162593</v>
      </c>
      <c r="V505" s="599">
        <v>-29370</v>
      </c>
      <c r="W505" s="620">
        <v>162592981344</v>
      </c>
      <c r="X505" s="620"/>
      <c r="Y505" s="1096">
        <f t="shared" si="29"/>
        <v>-325185962688</v>
      </c>
      <c r="Z505" s="882">
        <f t="shared" si="30"/>
        <v>-325186</v>
      </c>
    </row>
    <row r="506" spans="1:26" ht="27" customHeight="1">
      <c r="A506" s="583">
        <v>7</v>
      </c>
      <c r="B506" s="583">
        <v>10040</v>
      </c>
      <c r="C506" s="581">
        <v>4</v>
      </c>
      <c r="D506" s="1137" t="s">
        <v>608</v>
      </c>
      <c r="E506" s="1138" t="s">
        <v>609</v>
      </c>
      <c r="F506" s="599">
        <v>-12290781199416</v>
      </c>
      <c r="G506" s="599">
        <v>-217460456307</v>
      </c>
      <c r="H506" s="599">
        <v>-310980246835</v>
      </c>
      <c r="I506" s="599">
        <v>504726548</v>
      </c>
      <c r="J506" s="599"/>
      <c r="K506" s="599">
        <f>12589930635517-33935000</f>
        <v>12589896700517</v>
      </c>
      <c r="L506" s="599"/>
      <c r="M506" s="599">
        <f>-1074925224-898436586-59120887</f>
        <v>-2032482697</v>
      </c>
      <c r="N506" s="599">
        <v>-1050610660</v>
      </c>
      <c r="O506" s="599"/>
      <c r="P506" s="599"/>
      <c r="Q506" s="599"/>
      <c r="R506" s="599"/>
      <c r="S506" s="1096">
        <f t="shared" si="28"/>
        <v>-231903568850</v>
      </c>
      <c r="T506" s="599">
        <v>0</v>
      </c>
      <c r="U506" s="1096">
        <f t="shared" si="31"/>
        <v>-231904</v>
      </c>
      <c r="V506" s="599">
        <v>0</v>
      </c>
      <c r="W506" s="620"/>
      <c r="X506" s="620"/>
      <c r="Y506" s="1096">
        <f t="shared" si="29"/>
        <v>-231903568850</v>
      </c>
      <c r="Z506" s="882">
        <f t="shared" si="30"/>
        <v>-231904</v>
      </c>
    </row>
    <row r="507" spans="1:26" ht="27" customHeight="1">
      <c r="A507" s="583"/>
      <c r="B507" s="583">
        <v>201</v>
      </c>
      <c r="C507" s="581">
        <v>16</v>
      </c>
      <c r="D507" s="1137" t="s">
        <v>738</v>
      </c>
      <c r="E507" s="1138" t="s">
        <v>737</v>
      </c>
      <c r="F507" s="599">
        <v>-166164600165</v>
      </c>
      <c r="G507" s="599">
        <v>467144800</v>
      </c>
      <c r="H507" s="599"/>
      <c r="I507" s="599"/>
      <c r="J507" s="599"/>
      <c r="K507" s="599"/>
      <c r="L507" s="599"/>
      <c r="M507" s="599"/>
      <c r="N507" s="599"/>
      <c r="O507" s="599"/>
      <c r="P507" s="599"/>
      <c r="Q507" s="599"/>
      <c r="R507" s="599"/>
      <c r="S507" s="1096">
        <f t="shared" si="28"/>
        <v>-165697455365</v>
      </c>
      <c r="T507" s="599">
        <v>0</v>
      </c>
      <c r="U507" s="1096">
        <f t="shared" si="31"/>
        <v>-165697</v>
      </c>
      <c r="V507" s="599">
        <v>-238097</v>
      </c>
      <c r="W507" s="620">
        <v>165697455365</v>
      </c>
      <c r="X507" s="620"/>
      <c r="Y507" s="1096">
        <f t="shared" si="29"/>
        <v>-331394910730</v>
      </c>
      <c r="Z507" s="882">
        <f t="shared" si="30"/>
        <v>-331395</v>
      </c>
    </row>
    <row r="508" spans="1:26" ht="27" customHeight="1">
      <c r="A508" s="583"/>
      <c r="B508" s="583"/>
      <c r="C508" s="581">
        <v>14</v>
      </c>
      <c r="D508" s="1137" t="s">
        <v>907</v>
      </c>
      <c r="E508" s="1138" t="s">
        <v>908</v>
      </c>
      <c r="F508" s="599">
        <v>-6230471029577</v>
      </c>
      <c r="G508" s="599">
        <v>-556066504540</v>
      </c>
      <c r="H508" s="599"/>
      <c r="I508" s="599"/>
      <c r="J508" s="599"/>
      <c r="K508" s="599"/>
      <c r="L508" s="599">
        <v>539117467664</v>
      </c>
      <c r="M508" s="599"/>
      <c r="N508" s="599">
        <f>-661796186-1303845</f>
        <v>-663100031</v>
      </c>
      <c r="O508" s="599"/>
      <c r="P508" s="599"/>
      <c r="Q508" s="599"/>
      <c r="R508" s="599"/>
      <c r="S508" s="1096">
        <f t="shared" si="28"/>
        <v>-6248083166484</v>
      </c>
      <c r="T508" s="599">
        <v>0</v>
      </c>
      <c r="U508" s="1096">
        <f t="shared" si="31"/>
        <v>-6248083</v>
      </c>
      <c r="V508" s="599">
        <v>-7091749</v>
      </c>
      <c r="W508" s="620">
        <v>6248083166484</v>
      </c>
      <c r="X508" s="620"/>
      <c r="Y508" s="1096">
        <f t="shared" si="29"/>
        <v>-12496166332968</v>
      </c>
      <c r="Z508" s="882">
        <f t="shared" si="30"/>
        <v>-12496166</v>
      </c>
    </row>
    <row r="509" spans="1:26" ht="27" customHeight="1">
      <c r="A509" s="583"/>
      <c r="B509" s="583"/>
      <c r="C509" s="581">
        <v>14</v>
      </c>
      <c r="D509" s="1137" t="s">
        <v>909</v>
      </c>
      <c r="E509" s="1138" t="s">
        <v>910</v>
      </c>
      <c r="F509" s="599">
        <v>-6771049281636</v>
      </c>
      <c r="G509" s="599">
        <v>-585692891813</v>
      </c>
      <c r="H509" s="599"/>
      <c r="I509" s="599">
        <v>-218995879</v>
      </c>
      <c r="J509" s="599"/>
      <c r="K509" s="599"/>
      <c r="L509" s="599">
        <v>-457822324325</v>
      </c>
      <c r="M509" s="599"/>
      <c r="N509" s="599">
        <f>-3466579000+8107914598</f>
        <v>4641335598</v>
      </c>
      <c r="O509" s="599"/>
      <c r="P509" s="599"/>
      <c r="Q509" s="599"/>
      <c r="R509" s="599"/>
      <c r="S509" s="1096">
        <f t="shared" si="28"/>
        <v>-7810142158055</v>
      </c>
      <c r="T509" s="599">
        <v>0</v>
      </c>
      <c r="U509" s="1096">
        <f t="shared" si="31"/>
        <v>-7810142</v>
      </c>
      <c r="V509" s="599">
        <v>-7235963</v>
      </c>
      <c r="W509" s="620">
        <v>7810142158055</v>
      </c>
      <c r="X509" s="620"/>
      <c r="Y509" s="1096">
        <f t="shared" si="29"/>
        <v>-15620284316110</v>
      </c>
      <c r="Z509" s="882">
        <f t="shared" si="30"/>
        <v>-15620284</v>
      </c>
    </row>
    <row r="510" spans="1:26" ht="27" customHeight="1">
      <c r="A510" s="583"/>
      <c r="B510" s="583">
        <v>203</v>
      </c>
      <c r="C510" s="581">
        <v>16</v>
      </c>
      <c r="D510" s="1137" t="s">
        <v>739</v>
      </c>
      <c r="E510" s="1138" t="s">
        <v>911</v>
      </c>
      <c r="F510" s="599">
        <v>-5000000</v>
      </c>
      <c r="G510" s="599"/>
      <c r="H510" s="599"/>
      <c r="I510" s="599"/>
      <c r="J510" s="599"/>
      <c r="K510" s="599"/>
      <c r="L510" s="599"/>
      <c r="M510" s="599"/>
      <c r="N510" s="599"/>
      <c r="O510" s="599"/>
      <c r="P510" s="599"/>
      <c r="Q510" s="599"/>
      <c r="R510" s="599"/>
      <c r="S510" s="1096">
        <f t="shared" si="28"/>
        <v>-5000000</v>
      </c>
      <c r="T510" s="599">
        <v>0</v>
      </c>
      <c r="U510" s="1096">
        <f t="shared" si="31"/>
        <v>-5</v>
      </c>
      <c r="V510" s="599">
        <v>-220</v>
      </c>
      <c r="W510" s="620">
        <v>5000000</v>
      </c>
      <c r="X510" s="620"/>
      <c r="Y510" s="1096">
        <f t="shared" si="29"/>
        <v>-10000000</v>
      </c>
      <c r="Z510" s="882">
        <f t="shared" si="30"/>
        <v>-10</v>
      </c>
    </row>
    <row r="511" spans="1:26" ht="27" customHeight="1">
      <c r="A511" s="583"/>
      <c r="B511" s="1424">
        <v>406</v>
      </c>
      <c r="C511" s="1131">
        <v>4</v>
      </c>
      <c r="D511" s="1137" t="s">
        <v>586</v>
      </c>
      <c r="E511" s="1138" t="s">
        <v>587</v>
      </c>
      <c r="F511" s="599">
        <v>-1639168871</v>
      </c>
      <c r="G511" s="599">
        <v>1330698653</v>
      </c>
      <c r="H511" s="599"/>
      <c r="I511" s="599">
        <v>2785434531</v>
      </c>
      <c r="J511" s="599">
        <v>-11073544234</v>
      </c>
      <c r="K511" s="599">
        <v>302890245</v>
      </c>
      <c r="L511" s="599"/>
      <c r="M511" s="599">
        <f>31036323838-320509320+11073544234-5000000000+15780975-15363405</f>
        <v>36789776322</v>
      </c>
      <c r="N511" s="599">
        <v>165620000</v>
      </c>
      <c r="O511" s="599"/>
      <c r="P511" s="599"/>
      <c r="Q511" s="599"/>
      <c r="R511" s="599"/>
      <c r="S511" s="1096">
        <f t="shared" si="28"/>
        <v>28661706646</v>
      </c>
      <c r="T511" s="599">
        <v>10833693799</v>
      </c>
      <c r="U511" s="1096">
        <f t="shared" si="31"/>
        <v>28662</v>
      </c>
      <c r="V511" s="599">
        <v>10834</v>
      </c>
      <c r="W511" s="620"/>
      <c r="X511" s="620"/>
      <c r="Y511" s="1096">
        <f t="shared" si="29"/>
        <v>28661706646</v>
      </c>
      <c r="Z511" s="882">
        <f t="shared" si="30"/>
        <v>28662</v>
      </c>
    </row>
    <row r="512" spans="1:26" ht="27" customHeight="1">
      <c r="A512" s="583"/>
      <c r="B512" s="583">
        <v>1011</v>
      </c>
      <c r="C512" s="581">
        <v>10</v>
      </c>
      <c r="D512" s="1137" t="s">
        <v>588</v>
      </c>
      <c r="E512" s="1138" t="s">
        <v>468</v>
      </c>
      <c r="F512" s="599">
        <v>-10044251519</v>
      </c>
      <c r="G512" s="599"/>
      <c r="H512" s="599"/>
      <c r="I512" s="599"/>
      <c r="J512" s="599"/>
      <c r="K512" s="599"/>
      <c r="L512" s="599"/>
      <c r="M512" s="599"/>
      <c r="N512" s="599"/>
      <c r="O512" s="599"/>
      <c r="P512" s="599"/>
      <c r="Q512" s="599"/>
      <c r="R512" s="599"/>
      <c r="S512" s="1096">
        <f t="shared" si="28"/>
        <v>-10044251519</v>
      </c>
      <c r="T512" s="599">
        <v>-9751742213</v>
      </c>
      <c r="U512" s="1096">
        <f t="shared" si="31"/>
        <v>-10044</v>
      </c>
      <c r="V512" s="599">
        <v>-9752</v>
      </c>
      <c r="W512" s="620"/>
      <c r="X512" s="620"/>
      <c r="Y512" s="1096">
        <f t="shared" si="29"/>
        <v>-10044251519</v>
      </c>
      <c r="Z512" s="882">
        <f t="shared" si="30"/>
        <v>-10044</v>
      </c>
    </row>
    <row r="513" spans="1:26" ht="27" customHeight="1">
      <c r="A513" s="583"/>
      <c r="B513" s="583">
        <v>204</v>
      </c>
      <c r="C513" s="581">
        <v>14</v>
      </c>
      <c r="D513" s="1137" t="s">
        <v>748</v>
      </c>
      <c r="E513" s="1138" t="s">
        <v>747</v>
      </c>
      <c r="F513" s="599">
        <v>-49032621968</v>
      </c>
      <c r="G513" s="599">
        <v>-2645330280</v>
      </c>
      <c r="H513" s="599"/>
      <c r="I513" s="599">
        <v>117120000</v>
      </c>
      <c r="J513" s="599"/>
      <c r="K513" s="599">
        <v>144000000</v>
      </c>
      <c r="L513" s="599"/>
      <c r="M513" s="599"/>
      <c r="N513" s="599"/>
      <c r="O513" s="599"/>
      <c r="P513" s="599"/>
      <c r="Q513" s="599"/>
      <c r="R513" s="599"/>
      <c r="S513" s="1096">
        <f t="shared" si="28"/>
        <v>-51416832248</v>
      </c>
      <c r="T513" s="599">
        <v>0</v>
      </c>
      <c r="U513" s="1096">
        <f t="shared" si="31"/>
        <v>-51417</v>
      </c>
      <c r="V513" s="599">
        <v>-43464</v>
      </c>
      <c r="W513" s="620">
        <v>51416832248</v>
      </c>
      <c r="X513" s="620"/>
      <c r="Y513" s="1096">
        <f t="shared" si="29"/>
        <v>-102833664496</v>
      </c>
      <c r="Z513" s="882">
        <f t="shared" si="30"/>
        <v>-102834</v>
      </c>
    </row>
    <row r="514" spans="1:26" ht="27" customHeight="1">
      <c r="A514" s="583"/>
      <c r="B514" s="583"/>
      <c r="C514" s="581">
        <v>18</v>
      </c>
      <c r="D514" s="1137" t="s">
        <v>853</v>
      </c>
      <c r="E514" s="1138" t="s">
        <v>1041</v>
      </c>
      <c r="F514" s="599"/>
      <c r="G514" s="599"/>
      <c r="H514" s="599"/>
      <c r="I514" s="599"/>
      <c r="J514" s="599"/>
      <c r="K514" s="599"/>
      <c r="L514" s="599"/>
      <c r="M514" s="599"/>
      <c r="N514" s="599"/>
      <c r="O514" s="599"/>
      <c r="P514" s="599"/>
      <c r="Q514" s="599"/>
      <c r="R514" s="599"/>
      <c r="S514" s="1096">
        <f t="shared" si="28"/>
        <v>0</v>
      </c>
      <c r="T514" s="599">
        <v>0</v>
      </c>
      <c r="U514" s="1096">
        <f t="shared" si="31"/>
        <v>0</v>
      </c>
      <c r="V514" s="599">
        <v>0</v>
      </c>
      <c r="W514" s="620"/>
      <c r="X514" s="620"/>
      <c r="Y514" s="1096">
        <f t="shared" si="29"/>
        <v>0</v>
      </c>
      <c r="Z514" s="882">
        <f t="shared" si="30"/>
        <v>0</v>
      </c>
    </row>
    <row r="515" spans="1:26" ht="27" customHeight="1">
      <c r="A515" s="583"/>
      <c r="B515" s="583"/>
      <c r="C515" s="581">
        <v>18</v>
      </c>
      <c r="D515" s="1137" t="s">
        <v>613</v>
      </c>
      <c r="E515" s="1138" t="s">
        <v>614</v>
      </c>
      <c r="F515" s="599">
        <v>1342286854990</v>
      </c>
      <c r="G515" s="599"/>
      <c r="H515" s="599"/>
      <c r="I515" s="599"/>
      <c r="J515" s="599"/>
      <c r="K515" s="599"/>
      <c r="L515" s="599"/>
      <c r="M515" s="599"/>
      <c r="N515" s="599"/>
      <c r="O515" s="599"/>
      <c r="P515" s="599"/>
      <c r="Q515" s="599"/>
      <c r="R515" s="599"/>
      <c r="S515" s="1096">
        <f t="shared" si="28"/>
        <v>1342286854990</v>
      </c>
      <c r="T515" s="599">
        <v>1358827784882</v>
      </c>
      <c r="U515" s="1096">
        <f t="shared" si="31"/>
        <v>1342287</v>
      </c>
      <c r="V515" s="599">
        <v>1055500</v>
      </c>
      <c r="W515" s="620">
        <f>3159302870+1183299222550</f>
        <v>1186458525420</v>
      </c>
      <c r="X515" s="620"/>
      <c r="Y515" s="1096">
        <f t="shared" si="29"/>
        <v>155828329570</v>
      </c>
      <c r="Z515" s="882">
        <f t="shared" si="30"/>
        <v>155828</v>
      </c>
    </row>
    <row r="516" spans="1:26" ht="27" customHeight="1">
      <c r="A516" s="583"/>
      <c r="B516" s="583">
        <v>406</v>
      </c>
      <c r="C516" s="581">
        <v>4</v>
      </c>
      <c r="D516" s="1137" t="s">
        <v>1260</v>
      </c>
      <c r="E516" s="1138" t="s">
        <v>1030</v>
      </c>
      <c r="F516" s="599">
        <v>2245937422</v>
      </c>
      <c r="G516" s="599">
        <v>-617995912</v>
      </c>
      <c r="H516" s="599">
        <v>-1626351510</v>
      </c>
      <c r="I516" s="599">
        <v>-1590000</v>
      </c>
      <c r="J516" s="599"/>
      <c r="K516" s="599"/>
      <c r="L516" s="599"/>
      <c r="M516" s="599"/>
      <c r="N516" s="599"/>
      <c r="O516" s="599"/>
      <c r="P516" s="599"/>
      <c r="Q516" s="599"/>
      <c r="R516" s="599"/>
      <c r="S516" s="1096">
        <f t="shared" si="28"/>
        <v>0</v>
      </c>
      <c r="T516" s="599">
        <v>0</v>
      </c>
      <c r="U516" s="1096">
        <f t="shared" si="31"/>
        <v>0</v>
      </c>
      <c r="V516" s="599">
        <v>0</v>
      </c>
      <c r="W516" s="620"/>
      <c r="X516" s="621"/>
      <c r="Y516" s="1096">
        <f t="shared" si="29"/>
        <v>0</v>
      </c>
      <c r="Z516" s="882">
        <f t="shared" si="30"/>
        <v>0</v>
      </c>
    </row>
    <row r="517" spans="1:26" ht="27" customHeight="1">
      <c r="A517" s="583"/>
      <c r="B517" s="583">
        <v>1018</v>
      </c>
      <c r="C517" s="581">
        <v>10</v>
      </c>
      <c r="D517" s="1137" t="s">
        <v>1158</v>
      </c>
      <c r="E517" s="1138" t="s">
        <v>957</v>
      </c>
      <c r="F517" s="738">
        <v>2739314926</v>
      </c>
      <c r="G517" s="599">
        <v>-2739314926</v>
      </c>
      <c r="H517" s="599">
        <v>651291969</v>
      </c>
      <c r="I517" s="599">
        <v>-651291969</v>
      </c>
      <c r="J517" s="599"/>
      <c r="K517" s="599"/>
      <c r="L517" s="599"/>
      <c r="M517" s="599"/>
      <c r="N517" s="599"/>
      <c r="O517" s="599"/>
      <c r="P517" s="599"/>
      <c r="Q517" s="599"/>
      <c r="R517" s="599"/>
      <c r="S517" s="1096">
        <f t="shared" si="28"/>
        <v>0</v>
      </c>
      <c r="T517" s="599">
        <v>0</v>
      </c>
      <c r="U517" s="1096">
        <f t="shared" si="31"/>
        <v>0</v>
      </c>
      <c r="V517" s="599">
        <v>0</v>
      </c>
      <c r="W517" s="620"/>
      <c r="X517" s="621"/>
      <c r="Y517" s="1096">
        <f t="shared" si="29"/>
        <v>0</v>
      </c>
      <c r="Z517" s="882">
        <f t="shared" si="30"/>
        <v>0</v>
      </c>
    </row>
    <row r="518" spans="1:26" ht="27" customHeight="1">
      <c r="A518" s="583"/>
      <c r="B518" s="583">
        <v>406</v>
      </c>
      <c r="C518" s="581">
        <v>4</v>
      </c>
      <c r="D518" s="1137" t="s">
        <v>1004</v>
      </c>
      <c r="E518" s="1138" t="s">
        <v>1261</v>
      </c>
      <c r="F518" s="599">
        <v>1049195952</v>
      </c>
      <c r="G518" s="599">
        <v>-13080000</v>
      </c>
      <c r="H518" s="599"/>
      <c r="I518" s="599"/>
      <c r="J518" s="599"/>
      <c r="K518" s="599">
        <v>-1029795952</v>
      </c>
      <c r="L518" s="599"/>
      <c r="M518" s="599"/>
      <c r="N518" s="599"/>
      <c r="O518" s="599"/>
      <c r="P518" s="599"/>
      <c r="Q518" s="599"/>
      <c r="R518" s="599"/>
      <c r="S518" s="1096">
        <f t="shared" si="28"/>
        <v>6320000</v>
      </c>
      <c r="T518" s="599">
        <v>6320000</v>
      </c>
      <c r="U518" s="1096">
        <f t="shared" si="31"/>
        <v>6</v>
      </c>
      <c r="V518" s="599">
        <v>6</v>
      </c>
      <c r="W518" s="620"/>
      <c r="X518" s="621"/>
      <c r="Y518" s="1096">
        <f t="shared" si="29"/>
        <v>6320000</v>
      </c>
      <c r="Z518" s="882">
        <f t="shared" si="30"/>
        <v>6</v>
      </c>
    </row>
    <row r="519" spans="1:26" ht="27" customHeight="1">
      <c r="A519" s="583"/>
      <c r="B519" s="583">
        <v>406</v>
      </c>
      <c r="C519" s="581">
        <v>4</v>
      </c>
      <c r="D519" s="1137" t="s">
        <v>1639</v>
      </c>
      <c r="E519" s="1138" t="s">
        <v>1638</v>
      </c>
      <c r="F519" s="738">
        <v>950</v>
      </c>
      <c r="G519" s="599">
        <v>7342954</v>
      </c>
      <c r="H519" s="599">
        <v>-7343904</v>
      </c>
      <c r="I519" s="599"/>
      <c r="J519" s="599"/>
      <c r="K519" s="599"/>
      <c r="L519" s="599"/>
      <c r="M519" s="599"/>
      <c r="N519" s="599"/>
      <c r="O519" s="599"/>
      <c r="P519" s="599"/>
      <c r="Q519" s="599"/>
      <c r="R519" s="599"/>
      <c r="S519" s="1096">
        <f t="shared" ref="S519:S557" si="32">SUM(F519:R519)</f>
        <v>0</v>
      </c>
      <c r="T519" s="599">
        <v>0</v>
      </c>
      <c r="U519" s="1096">
        <f t="shared" si="31"/>
        <v>0</v>
      </c>
      <c r="V519" s="599">
        <v>0</v>
      </c>
      <c r="W519" s="620"/>
      <c r="X519" s="621"/>
      <c r="Y519" s="1096">
        <f t="shared" ref="Y519:Y557" si="33">S519+X519-W519</f>
        <v>0</v>
      </c>
      <c r="Z519" s="882">
        <f t="shared" ref="Z519:Z557" si="34">ROUND((Y519/1000000),0)</f>
        <v>0</v>
      </c>
    </row>
    <row r="520" spans="1:26" ht="27" customHeight="1">
      <c r="A520" s="583"/>
      <c r="B520" s="583">
        <v>406</v>
      </c>
      <c r="C520" s="581">
        <v>4</v>
      </c>
      <c r="D520" s="1137" t="s">
        <v>1262</v>
      </c>
      <c r="E520" s="1138" t="s">
        <v>1263</v>
      </c>
      <c r="F520" s="599">
        <v>-1572575420</v>
      </c>
      <c r="G520" s="599">
        <v>-1309224</v>
      </c>
      <c r="H520" s="599">
        <v>1574147684</v>
      </c>
      <c r="I520" s="599"/>
      <c r="J520" s="599"/>
      <c r="K520" s="599"/>
      <c r="L520" s="599"/>
      <c r="M520" s="599"/>
      <c r="N520" s="599"/>
      <c r="O520" s="599"/>
      <c r="P520" s="599"/>
      <c r="Q520" s="599"/>
      <c r="R520" s="599"/>
      <c r="S520" s="1096">
        <f t="shared" si="32"/>
        <v>263040</v>
      </c>
      <c r="T520" s="599">
        <v>263040</v>
      </c>
      <c r="U520" s="1096">
        <f t="shared" si="31"/>
        <v>0</v>
      </c>
      <c r="V520" s="599">
        <v>0</v>
      </c>
      <c r="W520" s="620"/>
      <c r="X520" s="621"/>
      <c r="Y520" s="1096">
        <f t="shared" si="33"/>
        <v>263040</v>
      </c>
      <c r="Z520" s="882">
        <f t="shared" si="34"/>
        <v>0</v>
      </c>
    </row>
    <row r="521" spans="1:26" ht="27" customHeight="1">
      <c r="A521" s="583"/>
      <c r="B521" s="583">
        <v>10040</v>
      </c>
      <c r="C521" s="581">
        <v>4</v>
      </c>
      <c r="D521" s="1137" t="s">
        <v>615</v>
      </c>
      <c r="E521" s="1138" t="s">
        <v>616</v>
      </c>
      <c r="F521" s="599">
        <v>-473188</v>
      </c>
      <c r="G521" s="599"/>
      <c r="H521" s="599"/>
      <c r="I521" s="599"/>
      <c r="J521" s="599"/>
      <c r="K521" s="599"/>
      <c r="L521" s="599"/>
      <c r="M521" s="599"/>
      <c r="N521" s="599"/>
      <c r="O521" s="599"/>
      <c r="P521" s="599"/>
      <c r="Q521" s="599"/>
      <c r="R521" s="599"/>
      <c r="S521" s="1096">
        <f t="shared" si="32"/>
        <v>-473188</v>
      </c>
      <c r="T521" s="599">
        <v>-473188</v>
      </c>
      <c r="U521" s="1096">
        <f t="shared" ref="U521:U557" si="35">ROUND((S521/1000000),0)</f>
        <v>0</v>
      </c>
      <c r="V521" s="599">
        <v>0</v>
      </c>
      <c r="W521" s="620"/>
      <c r="X521" s="621"/>
      <c r="Y521" s="1096">
        <f t="shared" si="33"/>
        <v>-473188</v>
      </c>
      <c r="Z521" s="882">
        <f t="shared" si="34"/>
        <v>0</v>
      </c>
    </row>
    <row r="522" spans="1:26" ht="27" customHeight="1">
      <c r="A522" s="583"/>
      <c r="B522" s="583"/>
      <c r="C522" s="581">
        <v>19</v>
      </c>
      <c r="D522" s="1137" t="s">
        <v>617</v>
      </c>
      <c r="E522" s="1138" t="s">
        <v>618</v>
      </c>
      <c r="F522" s="599">
        <v>1671776701844</v>
      </c>
      <c r="G522" s="599">
        <v>-5669865278</v>
      </c>
      <c r="H522" s="599"/>
      <c r="I522" s="599"/>
      <c r="J522" s="599"/>
      <c r="K522" s="599">
        <v>3008384180665</v>
      </c>
      <c r="L522" s="599"/>
      <c r="M522" s="599"/>
      <c r="N522" s="599"/>
      <c r="O522" s="599"/>
      <c r="P522" s="599"/>
      <c r="Q522" s="599"/>
      <c r="R522" s="599"/>
      <c r="S522" s="1096">
        <f t="shared" si="32"/>
        <v>4674491017231</v>
      </c>
      <c r="T522" s="599">
        <v>4818236770678</v>
      </c>
      <c r="U522" s="1096">
        <f t="shared" si="35"/>
        <v>4674491</v>
      </c>
      <c r="V522" s="599">
        <v>4818237</v>
      </c>
      <c r="W522" s="620"/>
      <c r="X522" s="621"/>
      <c r="Y522" s="1096">
        <f t="shared" si="33"/>
        <v>4674491017231</v>
      </c>
      <c r="Z522" s="882">
        <f t="shared" si="34"/>
        <v>4674491</v>
      </c>
    </row>
    <row r="523" spans="1:26" ht="27" customHeight="1">
      <c r="A523" s="583"/>
      <c r="B523" s="583"/>
      <c r="C523" s="581">
        <v>19</v>
      </c>
      <c r="D523" s="1137" t="s">
        <v>1204</v>
      </c>
      <c r="E523" s="1138" t="s">
        <v>1205</v>
      </c>
      <c r="F523" s="599"/>
      <c r="G523" s="599"/>
      <c r="H523" s="599"/>
      <c r="I523" s="599"/>
      <c r="J523" s="599"/>
      <c r="K523" s="599">
        <v>924831632104</v>
      </c>
      <c r="L523" s="599"/>
      <c r="M523" s="599"/>
      <c r="N523" s="599"/>
      <c r="O523" s="599"/>
      <c r="P523" s="599"/>
      <c r="Q523" s="599"/>
      <c r="R523" s="599"/>
      <c r="S523" s="1096">
        <f t="shared" si="32"/>
        <v>924831632104</v>
      </c>
      <c r="T523" s="599">
        <v>512624574599</v>
      </c>
      <c r="U523" s="1096">
        <f t="shared" si="35"/>
        <v>924832</v>
      </c>
      <c r="V523" s="599">
        <v>512625</v>
      </c>
      <c r="W523" s="620"/>
      <c r="X523" s="621"/>
      <c r="Y523" s="1096">
        <f t="shared" si="33"/>
        <v>924831632104</v>
      </c>
      <c r="Z523" s="882">
        <f t="shared" si="34"/>
        <v>924832</v>
      </c>
    </row>
    <row r="524" spans="1:26" ht="27" customHeight="1">
      <c r="A524" s="583"/>
      <c r="B524" s="583"/>
      <c r="C524" s="581">
        <v>19</v>
      </c>
      <c r="D524" s="1137" t="s">
        <v>619</v>
      </c>
      <c r="E524" s="1138" t="s">
        <v>620</v>
      </c>
      <c r="F524" s="599">
        <v>-1671776701844</v>
      </c>
      <c r="G524" s="599">
        <v>5669865278</v>
      </c>
      <c r="H524" s="599"/>
      <c r="I524" s="599"/>
      <c r="J524" s="599"/>
      <c r="K524" s="599">
        <v>-3008384180665</v>
      </c>
      <c r="L524" s="599"/>
      <c r="M524" s="599"/>
      <c r="N524" s="599"/>
      <c r="O524" s="599"/>
      <c r="P524" s="599"/>
      <c r="Q524" s="599"/>
      <c r="R524" s="599"/>
      <c r="S524" s="1096">
        <f t="shared" si="32"/>
        <v>-4674491017231</v>
      </c>
      <c r="T524" s="599">
        <v>-4818236770678</v>
      </c>
      <c r="U524" s="1096">
        <f t="shared" si="35"/>
        <v>-4674491</v>
      </c>
      <c r="V524" s="599">
        <v>-4818237</v>
      </c>
      <c r="W524" s="620"/>
      <c r="X524" s="621"/>
      <c r="Y524" s="1096">
        <f t="shared" si="33"/>
        <v>-4674491017231</v>
      </c>
      <c r="Z524" s="882">
        <f t="shared" si="34"/>
        <v>-4674491</v>
      </c>
    </row>
    <row r="525" spans="1:26" ht="27" customHeight="1">
      <c r="A525" s="583"/>
      <c r="B525" s="583"/>
      <c r="C525" s="581">
        <v>19</v>
      </c>
      <c r="D525" s="1137" t="s">
        <v>1206</v>
      </c>
      <c r="E525" s="1138" t="s">
        <v>1207</v>
      </c>
      <c r="F525" s="599"/>
      <c r="G525" s="599"/>
      <c r="H525" s="599"/>
      <c r="I525" s="599"/>
      <c r="J525" s="599"/>
      <c r="K525" s="599">
        <v>-924831632104</v>
      </c>
      <c r="L525" s="599"/>
      <c r="M525" s="599"/>
      <c r="N525" s="599"/>
      <c r="O525" s="599"/>
      <c r="P525" s="599"/>
      <c r="Q525" s="599"/>
      <c r="R525" s="599"/>
      <c r="S525" s="1096">
        <f t="shared" si="32"/>
        <v>-924831632104</v>
      </c>
      <c r="T525" s="599">
        <v>-512624574599</v>
      </c>
      <c r="U525" s="1096">
        <f t="shared" si="35"/>
        <v>-924832</v>
      </c>
      <c r="V525" s="599">
        <v>-512625</v>
      </c>
      <c r="W525" s="620"/>
      <c r="X525" s="621"/>
      <c r="Y525" s="1096">
        <f t="shared" si="33"/>
        <v>-924831632104</v>
      </c>
      <c r="Z525" s="882">
        <f t="shared" si="34"/>
        <v>-924832</v>
      </c>
    </row>
    <row r="526" spans="1:26" ht="27" customHeight="1">
      <c r="A526" s="583">
        <v>3214</v>
      </c>
      <c r="B526" s="583"/>
      <c r="C526" s="581">
        <v>19</v>
      </c>
      <c r="D526" s="1137" t="s">
        <v>617</v>
      </c>
      <c r="E526" s="1138" t="s">
        <v>1660</v>
      </c>
      <c r="F526" s="599"/>
      <c r="G526" s="599"/>
      <c r="H526" s="599"/>
      <c r="I526" s="599"/>
      <c r="J526" s="599"/>
      <c r="K526" s="599"/>
      <c r="L526" s="599"/>
      <c r="M526" s="599"/>
      <c r="N526" s="599"/>
      <c r="O526" s="599"/>
      <c r="P526" s="599"/>
      <c r="Q526" s="599"/>
      <c r="R526" s="599"/>
      <c r="S526" s="1096">
        <f t="shared" si="32"/>
        <v>0</v>
      </c>
      <c r="T526" s="599">
        <v>0</v>
      </c>
      <c r="U526" s="1096">
        <f t="shared" si="35"/>
        <v>0</v>
      </c>
      <c r="V526" s="599">
        <v>0</v>
      </c>
      <c r="W526" s="620"/>
      <c r="X526" s="621"/>
      <c r="Y526" s="1096">
        <f t="shared" si="33"/>
        <v>0</v>
      </c>
      <c r="Z526" s="882">
        <f t="shared" si="34"/>
        <v>0</v>
      </c>
    </row>
    <row r="527" spans="1:26" ht="27" customHeight="1">
      <c r="A527" s="583">
        <v>3214</v>
      </c>
      <c r="B527" s="583"/>
      <c r="C527" s="581">
        <v>19</v>
      </c>
      <c r="D527" s="1137" t="s">
        <v>1204</v>
      </c>
      <c r="E527" s="1138" t="s">
        <v>1661</v>
      </c>
      <c r="F527" s="599"/>
      <c r="G527" s="599"/>
      <c r="H527" s="599"/>
      <c r="I527" s="599"/>
      <c r="J527" s="599"/>
      <c r="K527" s="599"/>
      <c r="L527" s="599"/>
      <c r="M527" s="599"/>
      <c r="N527" s="599">
        <v>814075478461</v>
      </c>
      <c r="O527" s="599"/>
      <c r="P527" s="599"/>
      <c r="Q527" s="599"/>
      <c r="R527" s="599"/>
      <c r="S527" s="1096">
        <f t="shared" si="32"/>
        <v>814075478461</v>
      </c>
      <c r="T527" s="599">
        <v>248302913955</v>
      </c>
      <c r="U527" s="1096">
        <f t="shared" si="35"/>
        <v>814075</v>
      </c>
      <c r="V527" s="599">
        <v>248303</v>
      </c>
      <c r="W527" s="620"/>
      <c r="X527" s="621"/>
      <c r="Y527" s="1096">
        <f t="shared" si="33"/>
        <v>814075478461</v>
      </c>
      <c r="Z527" s="882">
        <f t="shared" si="34"/>
        <v>814075</v>
      </c>
    </row>
    <row r="528" spans="1:26" ht="27" customHeight="1">
      <c r="A528" s="583">
        <v>3214</v>
      </c>
      <c r="B528" s="583"/>
      <c r="C528" s="581">
        <v>19</v>
      </c>
      <c r="D528" s="1137" t="s">
        <v>619</v>
      </c>
      <c r="E528" s="1138" t="s">
        <v>1662</v>
      </c>
      <c r="F528" s="599"/>
      <c r="G528" s="599"/>
      <c r="H528" s="599"/>
      <c r="I528" s="599"/>
      <c r="J528" s="599"/>
      <c r="K528" s="599"/>
      <c r="L528" s="599"/>
      <c r="M528" s="599"/>
      <c r="N528" s="599"/>
      <c r="O528" s="599"/>
      <c r="P528" s="599"/>
      <c r="Q528" s="599"/>
      <c r="R528" s="599"/>
      <c r="S528" s="1096">
        <f t="shared" si="32"/>
        <v>0</v>
      </c>
      <c r="T528" s="599">
        <v>0</v>
      </c>
      <c r="U528" s="1096">
        <f t="shared" si="35"/>
        <v>0</v>
      </c>
      <c r="V528" s="599">
        <v>0</v>
      </c>
      <c r="W528" s="620"/>
      <c r="X528" s="621"/>
      <c r="Y528" s="1096">
        <f t="shared" si="33"/>
        <v>0</v>
      </c>
      <c r="Z528" s="882">
        <f t="shared" si="34"/>
        <v>0</v>
      </c>
    </row>
    <row r="529" spans="1:26" ht="27" customHeight="1">
      <c r="A529" s="583">
        <v>3214</v>
      </c>
      <c r="B529" s="583"/>
      <c r="C529" s="581">
        <v>19</v>
      </c>
      <c r="D529" s="1137" t="s">
        <v>1206</v>
      </c>
      <c r="E529" s="1138" t="s">
        <v>1663</v>
      </c>
      <c r="F529" s="599"/>
      <c r="G529" s="599"/>
      <c r="H529" s="599"/>
      <c r="I529" s="599"/>
      <c r="J529" s="599"/>
      <c r="K529" s="599"/>
      <c r="L529" s="599"/>
      <c r="M529" s="599"/>
      <c r="N529" s="599">
        <v>-814075478461</v>
      </c>
      <c r="O529" s="599"/>
      <c r="P529" s="599"/>
      <c r="Q529" s="599"/>
      <c r="R529" s="599"/>
      <c r="S529" s="1096">
        <f t="shared" si="32"/>
        <v>-814075478461</v>
      </c>
      <c r="T529" s="599">
        <v>-248302913955</v>
      </c>
      <c r="U529" s="1096">
        <f t="shared" si="35"/>
        <v>-814075</v>
      </c>
      <c r="V529" s="599">
        <v>-248303</v>
      </c>
      <c r="W529" s="620"/>
      <c r="X529" s="621"/>
      <c r="Y529" s="1096">
        <f t="shared" si="33"/>
        <v>-814075478461</v>
      </c>
      <c r="Z529" s="882">
        <f t="shared" si="34"/>
        <v>-814075</v>
      </c>
    </row>
    <row r="530" spans="1:26" ht="27" customHeight="1">
      <c r="A530" s="583"/>
      <c r="B530" s="583">
        <v>501</v>
      </c>
      <c r="C530" s="581">
        <v>5</v>
      </c>
      <c r="D530" s="1137" t="s">
        <v>1269</v>
      </c>
      <c r="E530" s="1138" t="s">
        <v>1270</v>
      </c>
      <c r="F530" s="599">
        <v>993269557</v>
      </c>
      <c r="G530" s="599"/>
      <c r="H530" s="599"/>
      <c r="I530" s="599"/>
      <c r="J530" s="599"/>
      <c r="K530" s="599"/>
      <c r="L530" s="599"/>
      <c r="M530" s="599"/>
      <c r="N530" s="599"/>
      <c r="O530" s="599"/>
      <c r="P530" s="599"/>
      <c r="Q530" s="599"/>
      <c r="R530" s="599"/>
      <c r="S530" s="1096">
        <f t="shared" si="32"/>
        <v>993269557</v>
      </c>
      <c r="T530" s="599">
        <v>993502613</v>
      </c>
      <c r="U530" s="1096">
        <f t="shared" si="35"/>
        <v>993</v>
      </c>
      <c r="V530" s="599">
        <v>994</v>
      </c>
      <c r="W530" s="620"/>
      <c r="X530" s="621"/>
      <c r="Y530" s="1096">
        <f t="shared" si="33"/>
        <v>993269557</v>
      </c>
      <c r="Z530" s="882">
        <f t="shared" si="34"/>
        <v>993</v>
      </c>
    </row>
    <row r="531" spans="1:26" ht="27" customHeight="1">
      <c r="A531" s="583"/>
      <c r="B531" s="583">
        <v>1018</v>
      </c>
      <c r="C531" s="581">
        <v>10</v>
      </c>
      <c r="D531" s="1137" t="s">
        <v>97</v>
      </c>
      <c r="E531" s="1138" t="s">
        <v>95</v>
      </c>
      <c r="F531" s="599"/>
      <c r="G531" s="599">
        <v>0</v>
      </c>
      <c r="H531" s="599"/>
      <c r="I531" s="599"/>
      <c r="J531" s="599"/>
      <c r="K531" s="599"/>
      <c r="L531" s="599"/>
      <c r="M531" s="599"/>
      <c r="N531" s="599"/>
      <c r="O531" s="599"/>
      <c r="P531" s="599"/>
      <c r="Q531" s="599"/>
      <c r="R531" s="599"/>
      <c r="S531" s="1096">
        <f t="shared" si="32"/>
        <v>0</v>
      </c>
      <c r="T531" s="599">
        <v>0</v>
      </c>
      <c r="U531" s="1096">
        <f t="shared" si="35"/>
        <v>0</v>
      </c>
      <c r="V531" s="599">
        <v>0</v>
      </c>
      <c r="W531" s="620"/>
      <c r="X531" s="621"/>
      <c r="Y531" s="1096">
        <f t="shared" si="33"/>
        <v>0</v>
      </c>
      <c r="Z531" s="882">
        <f t="shared" si="34"/>
        <v>0</v>
      </c>
    </row>
    <row r="532" spans="1:26" ht="27" customHeight="1">
      <c r="A532" s="583"/>
      <c r="B532" s="583">
        <v>1018</v>
      </c>
      <c r="C532" s="581">
        <v>10</v>
      </c>
      <c r="D532" s="1137" t="s">
        <v>471</v>
      </c>
      <c r="E532" s="1138" t="s">
        <v>98</v>
      </c>
      <c r="F532" s="599"/>
      <c r="G532" s="599">
        <v>0</v>
      </c>
      <c r="H532" s="599"/>
      <c r="I532" s="599"/>
      <c r="J532" s="599"/>
      <c r="K532" s="599"/>
      <c r="L532" s="599"/>
      <c r="M532" s="599"/>
      <c r="N532" s="599"/>
      <c r="O532" s="599"/>
      <c r="P532" s="599"/>
      <c r="Q532" s="599"/>
      <c r="R532" s="599"/>
      <c r="S532" s="1096">
        <f t="shared" si="32"/>
        <v>0</v>
      </c>
      <c r="T532" s="599">
        <v>0</v>
      </c>
      <c r="U532" s="1096">
        <f t="shared" si="35"/>
        <v>0</v>
      </c>
      <c r="V532" s="599">
        <v>0</v>
      </c>
      <c r="W532" s="620"/>
      <c r="X532" s="621"/>
      <c r="Y532" s="1096">
        <f t="shared" si="33"/>
        <v>0</v>
      </c>
      <c r="Z532" s="882">
        <f t="shared" si="34"/>
        <v>0</v>
      </c>
    </row>
    <row r="533" spans="1:26" ht="27" customHeight="1">
      <c r="A533" s="583"/>
      <c r="B533" s="583">
        <v>1018</v>
      </c>
      <c r="C533" s="581">
        <v>10</v>
      </c>
      <c r="D533" s="1137" t="s">
        <v>100</v>
      </c>
      <c r="E533" s="1138" t="s">
        <v>1653</v>
      </c>
      <c r="F533" s="599"/>
      <c r="G533" s="599"/>
      <c r="H533" s="599"/>
      <c r="I533" s="599"/>
      <c r="J533" s="599"/>
      <c r="K533" s="599"/>
      <c r="L533" s="599"/>
      <c r="M533" s="599"/>
      <c r="N533" s="599"/>
      <c r="O533" s="599"/>
      <c r="P533" s="599"/>
      <c r="Q533" s="599"/>
      <c r="R533" s="599"/>
      <c r="S533" s="1096">
        <f t="shared" si="32"/>
        <v>0</v>
      </c>
      <c r="T533" s="599">
        <v>0</v>
      </c>
      <c r="U533" s="1096">
        <f t="shared" si="35"/>
        <v>0</v>
      </c>
      <c r="V533" s="599">
        <v>0</v>
      </c>
      <c r="W533" s="620"/>
      <c r="X533" s="621"/>
      <c r="Y533" s="1096">
        <f t="shared" si="33"/>
        <v>0</v>
      </c>
      <c r="Z533" s="882">
        <f t="shared" si="34"/>
        <v>0</v>
      </c>
    </row>
    <row r="534" spans="1:26" ht="27" customHeight="1">
      <c r="A534" s="583"/>
      <c r="B534" s="583">
        <v>1018</v>
      </c>
      <c r="C534" s="581">
        <v>10</v>
      </c>
      <c r="D534" s="1137" t="s">
        <v>1369</v>
      </c>
      <c r="E534" s="1138" t="s">
        <v>1654</v>
      </c>
      <c r="F534" s="599"/>
      <c r="G534" s="599"/>
      <c r="H534" s="599"/>
      <c r="I534" s="599"/>
      <c r="J534" s="599"/>
      <c r="K534" s="599"/>
      <c r="L534" s="599"/>
      <c r="M534" s="599"/>
      <c r="N534" s="599"/>
      <c r="O534" s="599"/>
      <c r="P534" s="599"/>
      <c r="Q534" s="599"/>
      <c r="R534" s="599"/>
      <c r="S534" s="1096">
        <f t="shared" si="32"/>
        <v>0</v>
      </c>
      <c r="T534" s="599">
        <v>0</v>
      </c>
      <c r="U534" s="1096">
        <f t="shared" si="35"/>
        <v>0</v>
      </c>
      <c r="V534" s="599">
        <v>0</v>
      </c>
      <c r="W534" s="620"/>
      <c r="X534" s="621"/>
      <c r="Y534" s="1096">
        <f t="shared" si="33"/>
        <v>0</v>
      </c>
      <c r="Z534" s="882">
        <f t="shared" si="34"/>
        <v>0</v>
      </c>
    </row>
    <row r="535" spans="1:26" ht="27" customHeight="1">
      <c r="A535" s="583"/>
      <c r="B535" s="583">
        <v>506</v>
      </c>
      <c r="C535" s="581">
        <v>5</v>
      </c>
      <c r="D535" s="1137" t="s">
        <v>1636</v>
      </c>
      <c r="E535" s="1138" t="s">
        <v>1654</v>
      </c>
      <c r="F535" s="599"/>
      <c r="G535" s="599"/>
      <c r="H535" s="599"/>
      <c r="I535" s="599"/>
      <c r="J535" s="599"/>
      <c r="K535" s="599"/>
      <c r="L535" s="599"/>
      <c r="M535" s="599"/>
      <c r="N535" s="599"/>
      <c r="O535" s="599"/>
      <c r="P535" s="599"/>
      <c r="Q535" s="599"/>
      <c r="R535" s="599"/>
      <c r="S535" s="1096">
        <f t="shared" si="32"/>
        <v>0</v>
      </c>
      <c r="T535" s="599">
        <v>0</v>
      </c>
      <c r="U535" s="1096">
        <f t="shared" si="35"/>
        <v>0</v>
      </c>
      <c r="V535" s="599">
        <v>0</v>
      </c>
      <c r="W535" s="620"/>
      <c r="X535" s="621"/>
      <c r="Y535" s="1096">
        <f t="shared" si="33"/>
        <v>0</v>
      </c>
      <c r="Z535" s="882">
        <f t="shared" si="34"/>
        <v>0</v>
      </c>
    </row>
    <row r="536" spans="1:26" ht="27" customHeight="1">
      <c r="A536" s="583"/>
      <c r="B536" s="583">
        <v>501</v>
      </c>
      <c r="C536" s="581">
        <v>5</v>
      </c>
      <c r="D536" s="1137" t="s">
        <v>1613</v>
      </c>
      <c r="E536" s="1138" t="s">
        <v>1615</v>
      </c>
      <c r="F536" s="599"/>
      <c r="G536" s="599"/>
      <c r="H536" s="599"/>
      <c r="I536" s="599"/>
      <c r="J536" s="599"/>
      <c r="K536" s="599"/>
      <c r="L536" s="599"/>
      <c r="M536" s="599"/>
      <c r="N536" s="599"/>
      <c r="O536" s="599"/>
      <c r="P536" s="599"/>
      <c r="Q536" s="599"/>
      <c r="R536" s="599"/>
      <c r="S536" s="1096">
        <f t="shared" si="32"/>
        <v>0</v>
      </c>
      <c r="T536" s="599">
        <v>0</v>
      </c>
      <c r="U536" s="1096">
        <f t="shared" si="35"/>
        <v>0</v>
      </c>
      <c r="V536" s="599">
        <v>0</v>
      </c>
      <c r="W536" s="620"/>
      <c r="X536" s="621"/>
      <c r="Y536" s="1096">
        <f t="shared" si="33"/>
        <v>0</v>
      </c>
      <c r="Z536" s="882">
        <f t="shared" si="34"/>
        <v>0</v>
      </c>
    </row>
    <row r="537" spans="1:26" ht="27" customHeight="1">
      <c r="A537" s="583"/>
      <c r="B537" s="583">
        <v>908</v>
      </c>
      <c r="C537" s="581">
        <v>9</v>
      </c>
      <c r="D537" s="1137" t="s">
        <v>1614</v>
      </c>
      <c r="E537" s="1138" t="s">
        <v>1616</v>
      </c>
      <c r="F537" s="599"/>
      <c r="G537" s="599"/>
      <c r="H537" s="599"/>
      <c r="I537" s="599"/>
      <c r="J537" s="599"/>
      <c r="K537" s="599"/>
      <c r="L537" s="599"/>
      <c r="M537" s="599"/>
      <c r="N537" s="599"/>
      <c r="O537" s="599"/>
      <c r="P537" s="599"/>
      <c r="Q537" s="599"/>
      <c r="R537" s="599"/>
      <c r="S537" s="1096">
        <f t="shared" si="32"/>
        <v>0</v>
      </c>
      <c r="T537" s="599">
        <v>0</v>
      </c>
      <c r="U537" s="1096">
        <f t="shared" si="35"/>
        <v>0</v>
      </c>
      <c r="V537" s="599">
        <v>0</v>
      </c>
      <c r="W537" s="620"/>
      <c r="X537" s="621"/>
      <c r="Y537" s="1096">
        <f t="shared" si="33"/>
        <v>0</v>
      </c>
      <c r="Z537" s="882">
        <f t="shared" si="34"/>
        <v>0</v>
      </c>
    </row>
    <row r="538" spans="1:26" ht="27" customHeight="1">
      <c r="A538" s="583"/>
      <c r="B538" s="583">
        <v>506</v>
      </c>
      <c r="C538" s="581">
        <v>5</v>
      </c>
      <c r="D538" s="1137" t="s">
        <v>593</v>
      </c>
      <c r="E538" s="1138" t="s">
        <v>1655</v>
      </c>
      <c r="F538" s="599"/>
      <c r="G538" s="599"/>
      <c r="H538" s="599"/>
      <c r="I538" s="599"/>
      <c r="J538" s="599"/>
      <c r="K538" s="599"/>
      <c r="L538" s="599"/>
      <c r="M538" s="599"/>
      <c r="N538" s="599"/>
      <c r="O538" s="599"/>
      <c r="P538" s="599"/>
      <c r="Q538" s="599"/>
      <c r="R538" s="599"/>
      <c r="S538" s="1096">
        <f t="shared" si="32"/>
        <v>0</v>
      </c>
      <c r="T538" s="599">
        <v>0</v>
      </c>
      <c r="U538" s="1096">
        <f t="shared" si="35"/>
        <v>0</v>
      </c>
      <c r="V538" s="599">
        <v>0</v>
      </c>
      <c r="W538" s="620"/>
      <c r="X538" s="621"/>
      <c r="Y538" s="1096">
        <f t="shared" si="33"/>
        <v>0</v>
      </c>
      <c r="Z538" s="882">
        <f t="shared" si="34"/>
        <v>0</v>
      </c>
    </row>
    <row r="539" spans="1:26" ht="27" customHeight="1">
      <c r="A539" s="583"/>
      <c r="B539" s="583">
        <v>506</v>
      </c>
      <c r="C539" s="581">
        <v>5</v>
      </c>
      <c r="D539" s="1137" t="s">
        <v>101</v>
      </c>
      <c r="E539" s="1138" t="s">
        <v>102</v>
      </c>
      <c r="F539" s="599"/>
      <c r="G539" s="599"/>
      <c r="H539" s="599"/>
      <c r="I539" s="599"/>
      <c r="J539" s="599"/>
      <c r="K539" s="599"/>
      <c r="L539" s="599"/>
      <c r="M539" s="599"/>
      <c r="N539" s="599"/>
      <c r="O539" s="599"/>
      <c r="P539" s="599"/>
      <c r="Q539" s="599"/>
      <c r="R539" s="599"/>
      <c r="S539" s="1096">
        <f t="shared" si="32"/>
        <v>0</v>
      </c>
      <c r="T539" s="599">
        <v>0</v>
      </c>
      <c r="U539" s="1096">
        <f t="shared" si="35"/>
        <v>0</v>
      </c>
      <c r="V539" s="599">
        <v>0</v>
      </c>
      <c r="W539" s="620"/>
      <c r="X539" s="621"/>
      <c r="Y539" s="1096">
        <f t="shared" si="33"/>
        <v>0</v>
      </c>
      <c r="Z539" s="882">
        <f t="shared" si="34"/>
        <v>0</v>
      </c>
    </row>
    <row r="540" spans="1:26" ht="27" customHeight="1">
      <c r="A540" s="583"/>
      <c r="B540" s="583">
        <v>506</v>
      </c>
      <c r="C540" s="581">
        <v>5</v>
      </c>
      <c r="D540" s="1137" t="s">
        <v>1640</v>
      </c>
      <c r="E540" s="1138" t="s">
        <v>1641</v>
      </c>
      <c r="F540" s="599"/>
      <c r="G540" s="599"/>
      <c r="H540" s="599"/>
      <c r="I540" s="599"/>
      <c r="J540" s="599"/>
      <c r="K540" s="599"/>
      <c r="L540" s="599"/>
      <c r="M540" s="599"/>
      <c r="N540" s="599"/>
      <c r="O540" s="599"/>
      <c r="P540" s="599"/>
      <c r="Q540" s="599"/>
      <c r="R540" s="599"/>
      <c r="S540" s="1096">
        <f t="shared" si="32"/>
        <v>0</v>
      </c>
      <c r="T540" s="599">
        <v>0</v>
      </c>
      <c r="U540" s="1096">
        <f t="shared" si="35"/>
        <v>0</v>
      </c>
      <c r="V540" s="599">
        <v>0</v>
      </c>
      <c r="W540" s="620"/>
      <c r="X540" s="621"/>
      <c r="Y540" s="1096">
        <f t="shared" si="33"/>
        <v>0</v>
      </c>
      <c r="Z540" s="882">
        <f t="shared" si="34"/>
        <v>0</v>
      </c>
    </row>
    <row r="541" spans="1:26" ht="27" customHeight="1">
      <c r="A541" s="583"/>
      <c r="B541" s="583">
        <v>506</v>
      </c>
      <c r="C541" s="581">
        <v>5</v>
      </c>
      <c r="D541" s="1137" t="s">
        <v>1371</v>
      </c>
      <c r="E541" s="1138" t="s">
        <v>1372</v>
      </c>
      <c r="F541" s="599"/>
      <c r="G541" s="599"/>
      <c r="H541" s="599"/>
      <c r="I541" s="599"/>
      <c r="J541" s="599"/>
      <c r="K541" s="599"/>
      <c r="L541" s="599"/>
      <c r="M541" s="599"/>
      <c r="N541" s="599"/>
      <c r="O541" s="599"/>
      <c r="P541" s="599"/>
      <c r="Q541" s="599"/>
      <c r="R541" s="599"/>
      <c r="S541" s="1096">
        <f t="shared" si="32"/>
        <v>0</v>
      </c>
      <c r="T541" s="599">
        <v>0</v>
      </c>
      <c r="U541" s="1096">
        <f t="shared" si="35"/>
        <v>0</v>
      </c>
      <c r="V541" s="599">
        <v>0</v>
      </c>
      <c r="W541" s="620"/>
      <c r="X541" s="621"/>
      <c r="Y541" s="1096">
        <f t="shared" si="33"/>
        <v>0</v>
      </c>
      <c r="Z541" s="882">
        <f t="shared" si="34"/>
        <v>0</v>
      </c>
    </row>
    <row r="542" spans="1:26" ht="27" customHeight="1">
      <c r="A542" s="583"/>
      <c r="B542" s="583">
        <v>506</v>
      </c>
      <c r="C542" s="581">
        <v>5</v>
      </c>
      <c r="D542" s="1137" t="s">
        <v>1617</v>
      </c>
      <c r="E542" s="1138" t="s">
        <v>1623</v>
      </c>
      <c r="F542" s="599"/>
      <c r="G542" s="599"/>
      <c r="H542" s="599"/>
      <c r="I542" s="599"/>
      <c r="J542" s="599"/>
      <c r="K542" s="599"/>
      <c r="L542" s="599"/>
      <c r="M542" s="599"/>
      <c r="N542" s="599"/>
      <c r="O542" s="599"/>
      <c r="P542" s="599"/>
      <c r="Q542" s="599"/>
      <c r="R542" s="599"/>
      <c r="S542" s="1096">
        <f t="shared" si="32"/>
        <v>0</v>
      </c>
      <c r="T542" s="599">
        <v>0</v>
      </c>
      <c r="U542" s="1096">
        <f t="shared" si="35"/>
        <v>0</v>
      </c>
      <c r="V542" s="599">
        <v>0</v>
      </c>
      <c r="W542" s="620"/>
      <c r="X542" s="621"/>
      <c r="Y542" s="1096">
        <f t="shared" si="33"/>
        <v>0</v>
      </c>
      <c r="Z542" s="882">
        <f t="shared" si="34"/>
        <v>0</v>
      </c>
    </row>
    <row r="543" spans="1:26" ht="27" customHeight="1">
      <c r="A543" s="583"/>
      <c r="B543" s="583">
        <v>506</v>
      </c>
      <c r="C543" s="581">
        <v>5</v>
      </c>
      <c r="D543" s="1137" t="s">
        <v>1618</v>
      </c>
      <c r="E543" s="1138" t="s">
        <v>1624</v>
      </c>
      <c r="F543" s="599"/>
      <c r="G543" s="599"/>
      <c r="H543" s="599"/>
      <c r="I543" s="599"/>
      <c r="J543" s="599"/>
      <c r="K543" s="599"/>
      <c r="L543" s="599"/>
      <c r="M543" s="599"/>
      <c r="N543" s="599"/>
      <c r="O543" s="599"/>
      <c r="P543" s="599"/>
      <c r="Q543" s="599"/>
      <c r="R543" s="599"/>
      <c r="S543" s="1096">
        <f t="shared" si="32"/>
        <v>0</v>
      </c>
      <c r="T543" s="599">
        <v>0</v>
      </c>
      <c r="U543" s="1096">
        <f t="shared" si="35"/>
        <v>0</v>
      </c>
      <c r="V543" s="599">
        <v>0</v>
      </c>
      <c r="W543" s="620"/>
      <c r="X543" s="621"/>
      <c r="Y543" s="1096">
        <f t="shared" si="33"/>
        <v>0</v>
      </c>
      <c r="Z543" s="882">
        <f t="shared" si="34"/>
        <v>0</v>
      </c>
    </row>
    <row r="544" spans="1:26" ht="27" customHeight="1">
      <c r="A544" s="583"/>
      <c r="B544" s="583">
        <v>506</v>
      </c>
      <c r="C544" s="581">
        <v>5</v>
      </c>
      <c r="D544" s="1137" t="s">
        <v>1619</v>
      </c>
      <c r="E544" s="1138" t="s">
        <v>1625</v>
      </c>
      <c r="F544" s="599"/>
      <c r="G544" s="599"/>
      <c r="H544" s="599"/>
      <c r="I544" s="599"/>
      <c r="J544" s="599"/>
      <c r="K544" s="599"/>
      <c r="L544" s="599"/>
      <c r="M544" s="599"/>
      <c r="N544" s="599"/>
      <c r="O544" s="599"/>
      <c r="P544" s="599"/>
      <c r="Q544" s="599"/>
      <c r="R544" s="599"/>
      <c r="S544" s="1096">
        <f t="shared" si="32"/>
        <v>0</v>
      </c>
      <c r="T544" s="599">
        <v>0</v>
      </c>
      <c r="U544" s="1096">
        <f t="shared" si="35"/>
        <v>0</v>
      </c>
      <c r="V544" s="599">
        <v>0</v>
      </c>
      <c r="W544" s="620"/>
      <c r="X544" s="621"/>
      <c r="Y544" s="1096">
        <f t="shared" si="33"/>
        <v>0</v>
      </c>
      <c r="Z544" s="882">
        <f t="shared" si="34"/>
        <v>0</v>
      </c>
    </row>
    <row r="545" spans="1:26" ht="27" customHeight="1">
      <c r="A545" s="583"/>
      <c r="B545" s="583">
        <v>506</v>
      </c>
      <c r="C545" s="581">
        <v>5</v>
      </c>
      <c r="D545" s="1137" t="s">
        <v>1620</v>
      </c>
      <c r="E545" s="1138" t="s">
        <v>1626</v>
      </c>
      <c r="F545" s="599"/>
      <c r="G545" s="599"/>
      <c r="H545" s="599"/>
      <c r="I545" s="599"/>
      <c r="J545" s="599"/>
      <c r="K545" s="599"/>
      <c r="L545" s="599"/>
      <c r="M545" s="599"/>
      <c r="N545" s="599"/>
      <c r="O545" s="599"/>
      <c r="P545" s="599"/>
      <c r="Q545" s="599"/>
      <c r="R545" s="599"/>
      <c r="S545" s="1096">
        <f t="shared" si="32"/>
        <v>0</v>
      </c>
      <c r="T545" s="599">
        <v>0</v>
      </c>
      <c r="U545" s="1096">
        <f t="shared" si="35"/>
        <v>0</v>
      </c>
      <c r="V545" s="599">
        <v>0</v>
      </c>
      <c r="W545" s="620"/>
      <c r="X545" s="621"/>
      <c r="Y545" s="1096">
        <f t="shared" si="33"/>
        <v>0</v>
      </c>
      <c r="Z545" s="882">
        <f t="shared" si="34"/>
        <v>0</v>
      </c>
    </row>
    <row r="546" spans="1:26" ht="27" customHeight="1">
      <c r="A546" s="583"/>
      <c r="B546" s="583">
        <v>506</v>
      </c>
      <c r="C546" s="581">
        <v>5</v>
      </c>
      <c r="D546" s="1137" t="s">
        <v>1621</v>
      </c>
      <c r="E546" s="1138" t="s">
        <v>1627</v>
      </c>
      <c r="F546" s="599"/>
      <c r="G546" s="599"/>
      <c r="H546" s="599"/>
      <c r="I546" s="599"/>
      <c r="J546" s="599"/>
      <c r="K546" s="599"/>
      <c r="L546" s="599"/>
      <c r="M546" s="599"/>
      <c r="N546" s="599"/>
      <c r="O546" s="599"/>
      <c r="P546" s="599"/>
      <c r="Q546" s="599"/>
      <c r="R546" s="599"/>
      <c r="S546" s="1096">
        <f t="shared" si="32"/>
        <v>0</v>
      </c>
      <c r="T546" s="599">
        <v>0</v>
      </c>
      <c r="U546" s="1096">
        <f t="shared" si="35"/>
        <v>0</v>
      </c>
      <c r="V546" s="599">
        <v>0</v>
      </c>
      <c r="W546" s="620"/>
      <c r="X546" s="621"/>
      <c r="Y546" s="1096">
        <f t="shared" si="33"/>
        <v>0</v>
      </c>
      <c r="Z546" s="882">
        <f t="shared" si="34"/>
        <v>0</v>
      </c>
    </row>
    <row r="547" spans="1:26" ht="27" customHeight="1">
      <c r="A547" s="583"/>
      <c r="B547" s="583">
        <v>1018</v>
      </c>
      <c r="C547" s="581">
        <v>10</v>
      </c>
      <c r="D547" s="1137" t="s">
        <v>913</v>
      </c>
      <c r="E547" s="1138" t="s">
        <v>1006</v>
      </c>
      <c r="F547" s="599"/>
      <c r="G547" s="599"/>
      <c r="H547" s="599"/>
      <c r="I547" s="599"/>
      <c r="J547" s="599"/>
      <c r="K547" s="599"/>
      <c r="L547" s="599"/>
      <c r="M547" s="599"/>
      <c r="N547" s="599"/>
      <c r="O547" s="599"/>
      <c r="P547" s="599"/>
      <c r="Q547" s="599"/>
      <c r="R547" s="599"/>
      <c r="S547" s="1096">
        <f t="shared" si="32"/>
        <v>0</v>
      </c>
      <c r="T547" s="599">
        <v>0</v>
      </c>
      <c r="U547" s="1096">
        <f t="shared" si="35"/>
        <v>0</v>
      </c>
      <c r="V547" s="599">
        <v>0</v>
      </c>
      <c r="W547" s="620"/>
      <c r="X547" s="621"/>
      <c r="Y547" s="1096">
        <f t="shared" si="33"/>
        <v>0</v>
      </c>
      <c r="Z547" s="882">
        <f t="shared" si="34"/>
        <v>0</v>
      </c>
    </row>
    <row r="548" spans="1:26" ht="27" customHeight="1">
      <c r="A548" s="583"/>
      <c r="B548" s="583">
        <v>506</v>
      </c>
      <c r="C548" s="581">
        <v>5</v>
      </c>
      <c r="D548" s="1137" t="s">
        <v>1622</v>
      </c>
      <c r="E548" s="1138" t="s">
        <v>1628</v>
      </c>
      <c r="F548" s="599"/>
      <c r="G548" s="599"/>
      <c r="H548" s="599"/>
      <c r="I548" s="599"/>
      <c r="J548" s="599"/>
      <c r="K548" s="599"/>
      <c r="L548" s="599"/>
      <c r="M548" s="599"/>
      <c r="N548" s="599"/>
      <c r="O548" s="599"/>
      <c r="P548" s="599"/>
      <c r="Q548" s="599"/>
      <c r="R548" s="599"/>
      <c r="S548" s="1096">
        <f t="shared" si="32"/>
        <v>0</v>
      </c>
      <c r="T548" s="599">
        <v>0</v>
      </c>
      <c r="U548" s="1096">
        <f t="shared" si="35"/>
        <v>0</v>
      </c>
      <c r="V548" s="599">
        <v>0</v>
      </c>
      <c r="W548" s="620"/>
      <c r="X548" s="621"/>
      <c r="Y548" s="1096">
        <f t="shared" si="33"/>
        <v>0</v>
      </c>
      <c r="Z548" s="882">
        <f t="shared" si="34"/>
        <v>0</v>
      </c>
    </row>
    <row r="549" spans="1:26" ht="27" customHeight="1">
      <c r="A549" s="583"/>
      <c r="B549" s="583">
        <v>506</v>
      </c>
      <c r="C549" s="581">
        <v>5</v>
      </c>
      <c r="D549" s="1137" t="s">
        <v>1026</v>
      </c>
      <c r="E549" s="1138" t="s">
        <v>1030</v>
      </c>
      <c r="F549" s="599"/>
      <c r="G549" s="599"/>
      <c r="H549" s="599"/>
      <c r="I549" s="599"/>
      <c r="J549" s="599"/>
      <c r="K549" s="599"/>
      <c r="L549" s="599"/>
      <c r="M549" s="599"/>
      <c r="N549" s="599"/>
      <c r="O549" s="599"/>
      <c r="P549" s="599"/>
      <c r="Q549" s="599"/>
      <c r="R549" s="599"/>
      <c r="S549" s="1096">
        <f t="shared" si="32"/>
        <v>0</v>
      </c>
      <c r="T549" s="599">
        <v>0</v>
      </c>
      <c r="U549" s="1096">
        <f t="shared" si="35"/>
        <v>0</v>
      </c>
      <c r="V549" s="599">
        <v>0</v>
      </c>
      <c r="W549" s="620"/>
      <c r="X549" s="621"/>
      <c r="Y549" s="1096">
        <f t="shared" si="33"/>
        <v>0</v>
      </c>
      <c r="Z549" s="882">
        <f t="shared" si="34"/>
        <v>0</v>
      </c>
    </row>
    <row r="550" spans="1:26" ht="27" customHeight="1">
      <c r="A550" s="583"/>
      <c r="B550" s="583">
        <v>1018</v>
      </c>
      <c r="C550" s="581">
        <v>10</v>
      </c>
      <c r="D550" s="1137" t="s">
        <v>742</v>
      </c>
      <c r="E550" s="1138" t="s">
        <v>743</v>
      </c>
      <c r="F550" s="599"/>
      <c r="G550" s="599"/>
      <c r="H550" s="599"/>
      <c r="I550" s="599"/>
      <c r="J550" s="599"/>
      <c r="K550" s="599"/>
      <c r="L550" s="599"/>
      <c r="M550" s="599"/>
      <c r="N550" s="599"/>
      <c r="O550" s="599"/>
      <c r="P550" s="599"/>
      <c r="Q550" s="599"/>
      <c r="R550" s="599"/>
      <c r="S550" s="1096">
        <f t="shared" si="32"/>
        <v>0</v>
      </c>
      <c r="T550" s="599">
        <v>0</v>
      </c>
      <c r="U550" s="1096">
        <f t="shared" si="35"/>
        <v>0</v>
      </c>
      <c r="V550" s="599">
        <v>0</v>
      </c>
      <c r="W550" s="620"/>
      <c r="X550" s="621"/>
      <c r="Y550" s="1096">
        <f t="shared" si="33"/>
        <v>0</v>
      </c>
      <c r="Z550" s="882">
        <f t="shared" si="34"/>
        <v>0</v>
      </c>
    </row>
    <row r="551" spans="1:26" ht="27" customHeight="1">
      <c r="A551" s="583"/>
      <c r="B551" s="583">
        <v>606</v>
      </c>
      <c r="C551" s="581">
        <v>6</v>
      </c>
      <c r="D551" s="1137" t="s">
        <v>621</v>
      </c>
      <c r="E551" s="1138" t="s">
        <v>1643</v>
      </c>
      <c r="F551" s="599">
        <v>478973601764</v>
      </c>
      <c r="G551" s="599">
        <v>-2843500000</v>
      </c>
      <c r="H551" s="599">
        <v>-90000000</v>
      </c>
      <c r="I551" s="599"/>
      <c r="J551" s="599"/>
      <c r="K551" s="599"/>
      <c r="L551" s="599"/>
      <c r="M551" s="599"/>
      <c r="N551" s="599"/>
      <c r="O551" s="599"/>
      <c r="P551" s="599"/>
      <c r="Q551" s="599"/>
      <c r="R551" s="599"/>
      <c r="S551" s="1096">
        <f t="shared" si="32"/>
        <v>476040101764</v>
      </c>
      <c r="T551" s="599">
        <v>436382101764</v>
      </c>
      <c r="U551" s="1096">
        <f t="shared" si="35"/>
        <v>476040</v>
      </c>
      <c r="V551" s="599">
        <v>436382</v>
      </c>
      <c r="W551" s="620"/>
      <c r="X551" s="621"/>
      <c r="Y551" s="1096">
        <f t="shared" si="33"/>
        <v>476040101764</v>
      </c>
      <c r="Z551" s="882">
        <f t="shared" si="34"/>
        <v>476040</v>
      </c>
    </row>
    <row r="552" spans="1:26" ht="27" customHeight="1">
      <c r="A552" s="583"/>
      <c r="B552" s="583">
        <v>606</v>
      </c>
      <c r="C552" s="581">
        <v>6</v>
      </c>
      <c r="D552" s="1137" t="s">
        <v>623</v>
      </c>
      <c r="E552" s="1138" t="s">
        <v>1644</v>
      </c>
      <c r="F552" s="599">
        <v>-478973601764</v>
      </c>
      <c r="G552" s="599">
        <v>2843500000</v>
      </c>
      <c r="H552" s="599">
        <v>90000000</v>
      </c>
      <c r="I552" s="599"/>
      <c r="J552" s="599"/>
      <c r="K552" s="599"/>
      <c r="L552" s="599"/>
      <c r="M552" s="599"/>
      <c r="N552" s="599"/>
      <c r="O552" s="599"/>
      <c r="P552" s="599"/>
      <c r="Q552" s="599"/>
      <c r="R552" s="599"/>
      <c r="S552" s="1096">
        <f t="shared" si="32"/>
        <v>-476040101764</v>
      </c>
      <c r="T552" s="599">
        <v>-436382101764</v>
      </c>
      <c r="U552" s="1096">
        <f t="shared" si="35"/>
        <v>-476040</v>
      </c>
      <c r="V552" s="599">
        <v>-436382</v>
      </c>
      <c r="W552" s="620"/>
      <c r="X552" s="621"/>
      <c r="Y552" s="1096">
        <f t="shared" si="33"/>
        <v>-476040101764</v>
      </c>
      <c r="Z552" s="882">
        <f t="shared" si="34"/>
        <v>-476040</v>
      </c>
    </row>
    <row r="553" spans="1:26" ht="27" customHeight="1">
      <c r="A553" s="583">
        <v>3214</v>
      </c>
      <c r="B553" s="583">
        <v>606</v>
      </c>
      <c r="C553" s="581">
        <v>6</v>
      </c>
      <c r="D553" s="1137" t="s">
        <v>621</v>
      </c>
      <c r="E553" s="1138" t="s">
        <v>1664</v>
      </c>
      <c r="F553" s="599"/>
      <c r="G553" s="599"/>
      <c r="H553" s="599"/>
      <c r="I553" s="599"/>
      <c r="J553" s="599"/>
      <c r="K553" s="599"/>
      <c r="L553" s="599">
        <v>2078275697440</v>
      </c>
      <c r="M553" s="599"/>
      <c r="N553" s="599"/>
      <c r="O553" s="599"/>
      <c r="P553" s="599"/>
      <c r="Q553" s="599"/>
      <c r="R553" s="599"/>
      <c r="S553" s="1096">
        <f t="shared" si="32"/>
        <v>2078275697440</v>
      </c>
      <c r="T553" s="599">
        <v>1730105067110</v>
      </c>
      <c r="U553" s="1096">
        <f t="shared" si="35"/>
        <v>2078276</v>
      </c>
      <c r="V553" s="599">
        <v>1730105</v>
      </c>
      <c r="W553" s="620"/>
      <c r="X553" s="621"/>
      <c r="Y553" s="1096">
        <f t="shared" si="33"/>
        <v>2078275697440</v>
      </c>
      <c r="Z553" s="882">
        <f t="shared" si="34"/>
        <v>2078276</v>
      </c>
    </row>
    <row r="554" spans="1:26" ht="27" customHeight="1">
      <c r="A554" s="583">
        <v>3214</v>
      </c>
      <c r="B554" s="583">
        <v>606</v>
      </c>
      <c r="C554" s="581">
        <v>6</v>
      </c>
      <c r="D554" s="1137" t="s">
        <v>623</v>
      </c>
      <c r="E554" s="1138" t="s">
        <v>1665</v>
      </c>
      <c r="F554" s="599"/>
      <c r="G554" s="599"/>
      <c r="H554" s="599"/>
      <c r="I554" s="599"/>
      <c r="J554" s="599"/>
      <c r="K554" s="599"/>
      <c r="L554" s="599">
        <v>-2078275697440</v>
      </c>
      <c r="M554" s="599"/>
      <c r="N554" s="599"/>
      <c r="O554" s="599"/>
      <c r="P554" s="599"/>
      <c r="Q554" s="599"/>
      <c r="R554" s="599"/>
      <c r="S554" s="1096">
        <f t="shared" si="32"/>
        <v>-2078275697440</v>
      </c>
      <c r="T554" s="599">
        <v>-1730105067110</v>
      </c>
      <c r="U554" s="1096">
        <f t="shared" si="35"/>
        <v>-2078276</v>
      </c>
      <c r="V554" s="599">
        <v>-1730105</v>
      </c>
      <c r="W554" s="620"/>
      <c r="X554" s="621"/>
      <c r="Y554" s="1096">
        <f t="shared" si="33"/>
        <v>-2078275697440</v>
      </c>
      <c r="Z554" s="882">
        <f t="shared" si="34"/>
        <v>-2078276</v>
      </c>
    </row>
    <row r="555" spans="1:26" ht="27" customHeight="1">
      <c r="A555" s="583"/>
      <c r="B555" s="583"/>
      <c r="C555" s="581"/>
      <c r="D555" s="1137" t="s">
        <v>1629</v>
      </c>
      <c r="E555" s="1138" t="s">
        <v>1632</v>
      </c>
      <c r="F555" s="599"/>
      <c r="G555" s="599"/>
      <c r="H555" s="599"/>
      <c r="I555" s="599"/>
      <c r="J555" s="599"/>
      <c r="K555" s="599"/>
      <c r="L555" s="599"/>
      <c r="M555" s="599"/>
      <c r="N555" s="599"/>
      <c r="O555" s="599"/>
      <c r="P555" s="599"/>
      <c r="Q555" s="599"/>
      <c r="R555" s="599"/>
      <c r="S555" s="1096">
        <f t="shared" si="32"/>
        <v>0</v>
      </c>
      <c r="T555" s="599">
        <v>0</v>
      </c>
      <c r="U555" s="1096">
        <f t="shared" si="35"/>
        <v>0</v>
      </c>
      <c r="V555" s="599">
        <v>0</v>
      </c>
      <c r="W555" s="620"/>
      <c r="X555" s="621"/>
      <c r="Y555" s="1096">
        <f t="shared" si="33"/>
        <v>0</v>
      </c>
      <c r="Z555" s="882">
        <f t="shared" si="34"/>
        <v>0</v>
      </c>
    </row>
    <row r="556" spans="1:26" ht="27" customHeight="1">
      <c r="A556" s="583"/>
      <c r="B556" s="583">
        <v>506</v>
      </c>
      <c r="C556" s="581">
        <v>5</v>
      </c>
      <c r="D556" s="1137" t="s">
        <v>1630</v>
      </c>
      <c r="E556" s="1138" t="s">
        <v>1633</v>
      </c>
      <c r="F556" s="599"/>
      <c r="G556" s="599"/>
      <c r="H556" s="599"/>
      <c r="I556" s="599"/>
      <c r="J556" s="599"/>
      <c r="K556" s="599">
        <v>0</v>
      </c>
      <c r="L556" s="599"/>
      <c r="M556" s="599"/>
      <c r="N556" s="599"/>
      <c r="O556" s="599"/>
      <c r="P556" s="599"/>
      <c r="Q556" s="599"/>
      <c r="R556" s="599"/>
      <c r="S556" s="1096">
        <f t="shared" si="32"/>
        <v>0</v>
      </c>
      <c r="T556" s="599">
        <v>0</v>
      </c>
      <c r="U556" s="1096">
        <f t="shared" si="35"/>
        <v>0</v>
      </c>
      <c r="V556" s="599">
        <v>0</v>
      </c>
      <c r="W556" s="620"/>
      <c r="X556" s="621"/>
      <c r="Y556" s="1096">
        <f t="shared" si="33"/>
        <v>0</v>
      </c>
      <c r="Z556" s="882">
        <f t="shared" si="34"/>
        <v>0</v>
      </c>
    </row>
    <row r="557" spans="1:26" ht="27" customHeight="1">
      <c r="A557" s="583"/>
      <c r="B557" s="583">
        <v>506</v>
      </c>
      <c r="C557" s="581">
        <v>5</v>
      </c>
      <c r="D557" s="1137" t="s">
        <v>1631</v>
      </c>
      <c r="E557" s="1138" t="s">
        <v>1634</v>
      </c>
      <c r="F557" s="599"/>
      <c r="G557" s="599"/>
      <c r="H557" s="599"/>
      <c r="I557" s="599"/>
      <c r="J557" s="599"/>
      <c r="K557" s="599"/>
      <c r="L557" s="599"/>
      <c r="M557" s="599"/>
      <c r="N557" s="599"/>
      <c r="O557" s="599"/>
      <c r="P557" s="599"/>
      <c r="Q557" s="599"/>
      <c r="R557" s="599"/>
      <c r="S557" s="1096">
        <f t="shared" si="32"/>
        <v>0</v>
      </c>
      <c r="T557" s="599">
        <v>0</v>
      </c>
      <c r="U557" s="1096">
        <f t="shared" si="35"/>
        <v>0</v>
      </c>
      <c r="V557" s="1162">
        <v>0</v>
      </c>
      <c r="W557" s="620"/>
      <c r="X557" s="621"/>
      <c r="Y557" s="1096">
        <f t="shared" si="33"/>
        <v>0</v>
      </c>
      <c r="Z557" s="882">
        <f t="shared" si="34"/>
        <v>0</v>
      </c>
    </row>
    <row r="558" spans="1:26" ht="22.5" customHeight="1">
      <c r="A558" s="583"/>
      <c r="B558" s="583"/>
      <c r="C558" s="581"/>
      <c r="D558" s="1137"/>
      <c r="E558" s="1138"/>
      <c r="F558" s="596"/>
      <c r="G558" s="596">
        <f t="shared" ref="G558:P558" si="36">SUM(G3:G557)</f>
        <v>0</v>
      </c>
      <c r="H558" s="596">
        <f t="shared" si="36"/>
        <v>0</v>
      </c>
      <c r="I558" s="596">
        <f t="shared" si="36"/>
        <v>0</v>
      </c>
      <c r="J558" s="596">
        <f t="shared" si="36"/>
        <v>0</v>
      </c>
      <c r="K558" s="596">
        <f t="shared" si="36"/>
        <v>0</v>
      </c>
      <c r="L558" s="596">
        <f t="shared" si="36"/>
        <v>0</v>
      </c>
      <c r="M558" s="596">
        <f t="shared" si="36"/>
        <v>0</v>
      </c>
      <c r="N558" s="596">
        <f t="shared" si="36"/>
        <v>0</v>
      </c>
      <c r="O558" s="596">
        <f t="shared" si="36"/>
        <v>0</v>
      </c>
      <c r="P558" s="596">
        <f t="shared" si="36"/>
        <v>0</v>
      </c>
      <c r="Q558" s="596"/>
      <c r="R558" s="596"/>
      <c r="S558" s="1097">
        <f>SUBTOTAL(9,S3:S557)</f>
        <v>0</v>
      </c>
      <c r="T558" s="596">
        <f>SUBTOTAL(9,T3:T557)</f>
        <v>0</v>
      </c>
      <c r="U558" s="1098">
        <f>SUBTOTAL(9,U3:U557)</f>
        <v>0</v>
      </c>
      <c r="V558" s="596">
        <f>SUBTOTAL(9,V3:V557)</f>
        <v>-2</v>
      </c>
      <c r="W558" s="602"/>
      <c r="X558" s="602"/>
      <c r="Y558" s="1098">
        <f>SUBTOTAL(9,Y3:Y557)</f>
        <v>0</v>
      </c>
      <c r="Z558" s="602">
        <f>SUBTOTAL(9,Z3:Z557)</f>
        <v>-7</v>
      </c>
    </row>
    <row r="559" spans="1:26" ht="22.5">
      <c r="C559" s="597"/>
      <c r="D559" s="1144"/>
      <c r="F559" s="911">
        <f t="shared" ref="F559:P559" si="37">SUBTOTAL(9,F3:F557)</f>
        <v>0</v>
      </c>
      <c r="G559" s="911">
        <f t="shared" si="37"/>
        <v>0</v>
      </c>
      <c r="H559" s="911">
        <f t="shared" si="37"/>
        <v>0</v>
      </c>
      <c r="I559" s="911">
        <f t="shared" si="37"/>
        <v>0</v>
      </c>
      <c r="J559" s="911">
        <f t="shared" si="37"/>
        <v>0</v>
      </c>
      <c r="K559" s="911">
        <f t="shared" si="37"/>
        <v>0</v>
      </c>
      <c r="L559" s="911">
        <f t="shared" si="37"/>
        <v>0</v>
      </c>
      <c r="M559" s="911">
        <f t="shared" si="37"/>
        <v>0</v>
      </c>
      <c r="N559" s="911">
        <f t="shared" si="37"/>
        <v>0</v>
      </c>
      <c r="O559" s="911">
        <f t="shared" si="37"/>
        <v>0</v>
      </c>
      <c r="P559" s="911">
        <f t="shared" si="37"/>
        <v>0</v>
      </c>
      <c r="Q559" s="911"/>
      <c r="R559" s="911"/>
      <c r="S559" s="1115">
        <f>SUBTOTAL(9,S3:S557)</f>
        <v>0</v>
      </c>
      <c r="T559" s="602">
        <f>SUBTOTAL(9,T3:T557)</f>
        <v>0</v>
      </c>
      <c r="U559" s="1098">
        <f>SUBTOTAL(9,U3:U557)</f>
        <v>0</v>
      </c>
      <c r="V559" s="602">
        <f>SUBTOTAL(9,V3:V557)</f>
        <v>-2</v>
      </c>
      <c r="Y559" s="1099"/>
      <c r="Z559" s="598"/>
    </row>
    <row r="560" spans="1:26" ht="22.5">
      <c r="C560" s="597"/>
      <c r="D560" s="1144"/>
      <c r="F560" s="599"/>
      <c r="O560" s="910"/>
      <c r="S560" s="1116"/>
      <c r="T560" s="598"/>
      <c r="U560" s="1099"/>
      <c r="V560" s="598"/>
      <c r="Y560" s="1099"/>
      <c r="Z560" s="598"/>
    </row>
    <row r="561" spans="3:26" ht="22.5">
      <c r="C561" s="597"/>
      <c r="D561" s="1144"/>
      <c r="E561" s="1163"/>
      <c r="F561" s="599"/>
      <c r="S561" s="1116"/>
      <c r="T561" s="598"/>
      <c r="U561" s="1099"/>
      <c r="V561" s="598"/>
      <c r="W561" s="910"/>
      <c r="Y561" s="1099"/>
      <c r="Z561" s="598"/>
    </row>
    <row r="562" spans="3:26" ht="19.5" customHeight="1">
      <c r="C562" s="597"/>
      <c r="D562" s="1144"/>
      <c r="E562" s="1141"/>
      <c r="F562" s="598"/>
      <c r="G562" s="598"/>
      <c r="H562" s="598"/>
      <c r="I562" s="598"/>
      <c r="J562" s="598"/>
      <c r="K562" s="598"/>
      <c r="L562" s="598"/>
      <c r="M562" s="598"/>
      <c r="N562" s="598"/>
      <c r="O562" s="598"/>
      <c r="P562" s="598"/>
      <c r="Q562" s="598"/>
      <c r="R562" s="598"/>
      <c r="S562" s="1118"/>
      <c r="T562" s="613"/>
      <c r="U562" s="1101"/>
      <c r="V562" s="613"/>
      <c r="W562" s="598"/>
      <c r="X562" s="598"/>
      <c r="Y562" s="1101"/>
      <c r="Z562" s="613"/>
    </row>
    <row r="563" spans="3:26" ht="19.5" customHeight="1">
      <c r="C563" s="597"/>
      <c r="D563" s="1144"/>
      <c r="E563" s="1141"/>
      <c r="F563" s="598"/>
      <c r="G563" s="598"/>
      <c r="H563" s="598"/>
      <c r="I563" s="598"/>
      <c r="J563" s="598"/>
      <c r="K563" s="598"/>
      <c r="L563" s="598"/>
      <c r="M563" s="598"/>
      <c r="N563" s="598"/>
      <c r="O563" s="598"/>
      <c r="P563" s="598"/>
      <c r="Q563" s="598"/>
      <c r="R563" s="598"/>
      <c r="S563" s="1118"/>
      <c r="T563" s="613"/>
      <c r="U563" s="1101"/>
      <c r="V563" s="613"/>
      <c r="W563" s="598"/>
      <c r="X563" s="598"/>
      <c r="Y563" s="1101"/>
      <c r="Z563" s="613"/>
    </row>
    <row r="564" spans="3:26" ht="19.5" customHeight="1">
      <c r="C564" s="597"/>
      <c r="D564" s="1144"/>
      <c r="E564" s="1141"/>
      <c r="F564" s="598"/>
      <c r="G564" s="598"/>
      <c r="H564" s="598"/>
      <c r="I564" s="598"/>
      <c r="J564" s="598"/>
      <c r="K564" s="598"/>
      <c r="L564" s="598"/>
      <c r="M564" s="598"/>
      <c r="N564" s="598"/>
      <c r="O564" s="598"/>
      <c r="P564" s="598"/>
      <c r="Q564" s="598"/>
      <c r="R564" s="598"/>
      <c r="S564" s="1416"/>
      <c r="T564" s="612"/>
      <c r="U564" s="1100"/>
      <c r="V564" s="612"/>
      <c r="W564" s="598"/>
      <c r="X564" s="598"/>
      <c r="Y564" s="1100"/>
      <c r="Z564" s="612"/>
    </row>
    <row r="565" spans="3:26" ht="19.5" customHeight="1">
      <c r="C565" s="597"/>
      <c r="D565" s="1144"/>
      <c r="S565" s="1118"/>
      <c r="T565" s="613"/>
      <c r="U565" s="1101"/>
      <c r="V565" s="613"/>
      <c r="Y565" s="1101"/>
      <c r="Z565" s="613"/>
    </row>
    <row r="566" spans="3:26" ht="19.5" customHeight="1">
      <c r="C566" s="597"/>
      <c r="D566" s="1144"/>
      <c r="S566" s="1118"/>
      <c r="T566" s="613"/>
      <c r="U566" s="1101"/>
      <c r="V566" s="613"/>
      <c r="Y566" s="1101"/>
      <c r="Z566" s="613"/>
    </row>
    <row r="567" spans="3:26" ht="19.5" customHeight="1">
      <c r="C567" s="597"/>
      <c r="D567" s="1144"/>
      <c r="S567" s="1118"/>
      <c r="T567" s="613"/>
      <c r="U567" s="1101"/>
      <c r="V567" s="613"/>
      <c r="Y567" s="1101"/>
      <c r="Z567" s="613"/>
    </row>
    <row r="568" spans="3:26" ht="19.5" customHeight="1">
      <c r="C568" s="597"/>
      <c r="D568" s="1144"/>
      <c r="J568" s="597" t="s">
        <v>677</v>
      </c>
      <c r="S568" s="1118"/>
      <c r="T568" s="613"/>
      <c r="U568" s="1101"/>
      <c r="V568" s="613"/>
      <c r="Y568" s="1101"/>
      <c r="Z568" s="613"/>
    </row>
    <row r="569" spans="3:26" ht="19.5" customHeight="1">
      <c r="C569" s="597"/>
      <c r="D569" s="1144"/>
      <c r="S569" s="1118"/>
      <c r="T569" s="613"/>
      <c r="U569" s="1101"/>
      <c r="V569" s="613"/>
      <c r="Y569" s="1101"/>
      <c r="Z569" s="613"/>
    </row>
    <row r="570" spans="3:26" ht="19.5" customHeight="1">
      <c r="C570" s="597"/>
      <c r="D570" s="1144"/>
      <c r="S570" s="1118"/>
      <c r="T570" s="613"/>
      <c r="U570" s="1101"/>
      <c r="V570" s="613"/>
      <c r="Y570" s="1101"/>
      <c r="Z570" s="613"/>
    </row>
    <row r="571" spans="3:26" ht="19.5" customHeight="1">
      <c r="C571" s="597"/>
      <c r="D571" s="1144"/>
      <c r="S571" s="1118"/>
      <c r="T571" s="613"/>
      <c r="U571" s="1101"/>
      <c r="V571" s="613"/>
      <c r="Y571" s="1101"/>
      <c r="Z571" s="613"/>
    </row>
    <row r="572" spans="3:26" ht="19.5" customHeight="1">
      <c r="C572" s="597"/>
      <c r="D572" s="1144"/>
      <c r="S572" s="1118"/>
      <c r="T572" s="613"/>
      <c r="U572" s="1101"/>
      <c r="V572" s="613"/>
      <c r="Y572" s="1101"/>
      <c r="Z572" s="613"/>
    </row>
    <row r="573" spans="3:26" ht="19.5" customHeight="1">
      <c r="C573" s="597"/>
      <c r="D573" s="1144"/>
      <c r="S573" s="1118"/>
      <c r="T573" s="613"/>
      <c r="U573" s="1101"/>
      <c r="V573" s="613"/>
      <c r="Y573" s="1101"/>
      <c r="Z573" s="613"/>
    </row>
    <row r="574" spans="3:26" ht="19.5" customHeight="1">
      <c r="C574" s="597"/>
      <c r="D574" s="1144"/>
      <c r="S574" s="1116"/>
      <c r="T574" s="598"/>
      <c r="U574" s="1099"/>
      <c r="V574" s="598"/>
      <c r="Y574" s="1099"/>
      <c r="Z574" s="598"/>
    </row>
  </sheetData>
  <autoFilter ref="A1:Z558"/>
  <mergeCells count="23">
    <mergeCell ref="V1:V2"/>
    <mergeCell ref="W1:W2"/>
    <mergeCell ref="X1:X2"/>
    <mergeCell ref="Y1:Y2"/>
    <mergeCell ref="Z1:Z2"/>
    <mergeCell ref="U1:U2"/>
    <mergeCell ref="H1:H2"/>
    <mergeCell ref="I1:I2"/>
    <mergeCell ref="J1:J2"/>
    <mergeCell ref="K1:K2"/>
    <mergeCell ref="L1:L2"/>
    <mergeCell ref="M1:M2"/>
    <mergeCell ref="N1:N2"/>
    <mergeCell ref="O1:O2"/>
    <mergeCell ref="P1:P2"/>
    <mergeCell ref="S1:S2"/>
    <mergeCell ref="T1:T2"/>
    <mergeCell ref="G1:G2"/>
    <mergeCell ref="A1:A2"/>
    <mergeCell ref="B1:B2"/>
    <mergeCell ref="C1:C2"/>
    <mergeCell ref="E1:E2"/>
    <mergeCell ref="F1:F2"/>
  </mergeCells>
  <printOptions horizontalCentered="1" verticalCentered="1"/>
  <pageMargins left="0" right="0" top="0.15748031496062992" bottom="0" header="0" footer="0"/>
  <pageSetup paperSize="9" scale="75"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60" zoomScaleNormal="100" workbookViewId="0">
      <selection activeCell="B2" sqref="B2:I4"/>
    </sheetView>
  </sheetViews>
  <sheetFormatPr defaultRowHeight="14.25"/>
  <cols>
    <col min="1" max="1" width="5.75" customWidth="1"/>
    <col min="2" max="2" width="34.75" style="2270" customWidth="1"/>
    <col min="3" max="3" width="14.2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2378</v>
      </c>
      <c r="C3" s="3320"/>
      <c r="D3" s="3320"/>
      <c r="E3" s="3320"/>
      <c r="F3" s="3320"/>
      <c r="G3" s="3320"/>
      <c r="H3" s="3320"/>
      <c r="I3" s="3320"/>
    </row>
    <row r="4" spans="1:9" ht="30" customHeight="1">
      <c r="A4" s="2422"/>
      <c r="B4" s="3320" t="s">
        <v>2377</v>
      </c>
      <c r="C4" s="3320"/>
      <c r="D4" s="3320"/>
      <c r="E4" s="3320"/>
      <c r="F4" s="3320"/>
      <c r="G4" s="3320"/>
      <c r="H4" s="3320"/>
      <c r="I4" s="3320"/>
    </row>
    <row r="5" spans="1:9" ht="30" customHeight="1">
      <c r="A5" s="2422"/>
      <c r="B5" s="3331"/>
      <c r="C5" s="3331"/>
      <c r="D5" s="3331"/>
      <c r="E5" s="3331"/>
      <c r="F5" s="3331"/>
      <c r="G5" s="3331"/>
      <c r="H5" s="3331"/>
      <c r="I5" s="3331"/>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56" t="s">
        <v>1826</v>
      </c>
      <c r="C9" s="2430">
        <v>7309</v>
      </c>
      <c r="D9" s="2430">
        <v>7309</v>
      </c>
      <c r="E9" s="2430">
        <v>271231</v>
      </c>
      <c r="F9" s="2430">
        <f t="shared" ref="F9:F22" si="0">D9-E9</f>
        <v>-263922</v>
      </c>
      <c r="G9" s="2431">
        <f t="shared" ref="G9:G21" si="1">F9/D9*100</f>
        <v>-3610.918046244356</v>
      </c>
      <c r="H9" s="2457" t="s">
        <v>2317</v>
      </c>
      <c r="I9" s="2458">
        <v>6</v>
      </c>
    </row>
    <row r="10" spans="1:9" ht="30" customHeight="1">
      <c r="A10" s="2422"/>
      <c r="B10" s="2456" t="s">
        <v>2267</v>
      </c>
      <c r="C10" s="2430">
        <v>113698</v>
      </c>
      <c r="D10" s="2430">
        <v>113698</v>
      </c>
      <c r="E10" s="2430">
        <v>30418</v>
      </c>
      <c r="F10" s="2430">
        <f t="shared" si="0"/>
        <v>83280</v>
      </c>
      <c r="G10" s="2431">
        <f t="shared" si="1"/>
        <v>73.246671005646533</v>
      </c>
      <c r="H10" s="2457"/>
      <c r="I10" s="2458">
        <v>6</v>
      </c>
    </row>
    <row r="11" spans="1:9" ht="30" customHeight="1">
      <c r="A11" s="2422"/>
      <c r="B11" s="2434" t="s">
        <v>2283</v>
      </c>
      <c r="C11" s="2428">
        <v>1459</v>
      </c>
      <c r="D11" s="2428">
        <v>1459</v>
      </c>
      <c r="E11" s="2428">
        <v>2143</v>
      </c>
      <c r="F11" s="2428">
        <f t="shared" si="0"/>
        <v>-684</v>
      </c>
      <c r="G11" s="2429">
        <f t="shared" si="1"/>
        <v>-46.881425633995889</v>
      </c>
      <c r="H11" s="2457" t="s">
        <v>2317</v>
      </c>
      <c r="I11" s="2436">
        <v>6</v>
      </c>
    </row>
    <row r="12" spans="1:9" ht="30" customHeight="1">
      <c r="A12" s="2422"/>
      <c r="B12" s="2434" t="s">
        <v>2284</v>
      </c>
      <c r="C12" s="2428">
        <v>45280</v>
      </c>
      <c r="D12" s="2428">
        <v>45280</v>
      </c>
      <c r="E12" s="2428">
        <v>48502</v>
      </c>
      <c r="F12" s="2428">
        <f t="shared" si="0"/>
        <v>-3222</v>
      </c>
      <c r="G12" s="2429">
        <f t="shared" si="1"/>
        <v>-7.1157243816254416</v>
      </c>
      <c r="H12" s="2435"/>
      <c r="I12" s="2436">
        <v>6</v>
      </c>
    </row>
    <row r="13" spans="1:9" ht="30" customHeight="1">
      <c r="A13" s="2422"/>
      <c r="B13" s="2437" t="s">
        <v>2285</v>
      </c>
      <c r="C13" s="2432">
        <f>C14+C15</f>
        <v>6531000</v>
      </c>
      <c r="D13" s="2432">
        <f t="shared" ref="D13:E13" si="2">D14+D15</f>
        <v>6531000</v>
      </c>
      <c r="E13" s="2432">
        <f t="shared" si="2"/>
        <v>7744663</v>
      </c>
      <c r="F13" s="2432">
        <f t="shared" si="0"/>
        <v>-1213663</v>
      </c>
      <c r="G13" s="2433">
        <f t="shared" si="1"/>
        <v>-18.583111315265658</v>
      </c>
      <c r="H13" s="2438"/>
      <c r="I13" s="2439">
        <v>6</v>
      </c>
    </row>
    <row r="14" spans="1:9" ht="30" customHeight="1">
      <c r="A14" s="2422"/>
      <c r="B14" s="2434" t="s">
        <v>2286</v>
      </c>
      <c r="C14" s="2428">
        <v>2906373</v>
      </c>
      <c r="D14" s="2428">
        <v>2906373</v>
      </c>
      <c r="E14" s="2428">
        <v>1385732</v>
      </c>
      <c r="F14" s="2428">
        <f t="shared" si="0"/>
        <v>1520641</v>
      </c>
      <c r="G14" s="2429">
        <f t="shared" si="1"/>
        <v>52.320916826573885</v>
      </c>
      <c r="H14" s="3332" t="s">
        <v>2316</v>
      </c>
      <c r="I14" s="2436">
        <v>6</v>
      </c>
    </row>
    <row r="15" spans="1:9" ht="30" customHeight="1">
      <c r="A15" s="2422"/>
      <c r="B15" s="2456" t="s">
        <v>2287</v>
      </c>
      <c r="C15" s="2430">
        <v>3624627</v>
      </c>
      <c r="D15" s="2430">
        <v>3624627</v>
      </c>
      <c r="E15" s="2430">
        <v>6358931</v>
      </c>
      <c r="F15" s="2430">
        <f t="shared" si="0"/>
        <v>-2734304</v>
      </c>
      <c r="G15" s="2431">
        <f t="shared" si="1"/>
        <v>-75.436838052577542</v>
      </c>
      <c r="H15" s="3333"/>
      <c r="I15" s="2458">
        <v>6</v>
      </c>
    </row>
    <row r="16" spans="1:9" ht="30" customHeight="1">
      <c r="A16" s="2422"/>
      <c r="B16" s="2434" t="s">
        <v>2288</v>
      </c>
      <c r="C16" s="2428">
        <v>468637</v>
      </c>
      <c r="D16" s="2428">
        <v>468637</v>
      </c>
      <c r="E16" s="2428">
        <f>646091+1223+3</f>
        <v>647317</v>
      </c>
      <c r="F16" s="2428">
        <f t="shared" si="0"/>
        <v>-178680</v>
      </c>
      <c r="G16" s="2429">
        <f t="shared" si="1"/>
        <v>-38.127591291340636</v>
      </c>
      <c r="H16" s="2435"/>
      <c r="I16" s="2436">
        <v>6</v>
      </c>
    </row>
    <row r="17" spans="1:9" ht="30" customHeight="1">
      <c r="A17" s="2422"/>
      <c r="B17" s="2448" t="s">
        <v>2289</v>
      </c>
      <c r="C17" s="2428">
        <v>20000</v>
      </c>
      <c r="D17" s="2428">
        <v>20000</v>
      </c>
      <c r="E17" s="2428">
        <v>0</v>
      </c>
      <c r="F17" s="2428">
        <f t="shared" si="0"/>
        <v>20000</v>
      </c>
      <c r="G17" s="2429">
        <f t="shared" si="1"/>
        <v>100</v>
      </c>
      <c r="H17" s="2435"/>
      <c r="I17" s="2436">
        <v>6</v>
      </c>
    </row>
    <row r="18" spans="1:9" ht="30" customHeight="1">
      <c r="A18" s="2422"/>
      <c r="B18" s="2437" t="s">
        <v>2290</v>
      </c>
      <c r="C18" s="2432">
        <f>'34'!C15+'34'!C16+'34'!C17+'34'!C18+'34'!C19+'34'!C20+'34'!C21+'34'!C22+'35'!C9+'35'!C10+'35'!C11+'35'!C12+'35'!C16+C13</f>
        <v>11176910</v>
      </c>
      <c r="D18" s="2432">
        <f>'34'!D15+'34'!D16+'34'!D17+'34'!D18+'34'!D19+'34'!D20+'34'!D21+'34'!D22+'35'!D9+'35'!D10+'35'!D11+'35'!D12+'35'!D16+D13</f>
        <v>11176910</v>
      </c>
      <c r="E18" s="2432">
        <f>'34'!E15+'34'!E16+'34'!E17+'34'!E18+'34'!E19+'34'!E20+'34'!E21+'34'!E22+'35'!E9+'35'!E10+'35'!E11+'35'!E12+'35'!E16+E13</f>
        <v>12412400</v>
      </c>
      <c r="F18" s="2432">
        <f t="shared" si="0"/>
        <v>-1235490</v>
      </c>
      <c r="G18" s="2433">
        <f t="shared" si="1"/>
        <v>-11.053949615770369</v>
      </c>
      <c r="H18" s="2438"/>
      <c r="I18" s="2439">
        <v>6</v>
      </c>
    </row>
    <row r="19" spans="1:9" ht="30" customHeight="1">
      <c r="A19" s="2422"/>
      <c r="B19" s="2450" t="s">
        <v>2291</v>
      </c>
      <c r="C19" s="2432">
        <f>C18</f>
        <v>11176910</v>
      </c>
      <c r="D19" s="2432">
        <f t="shared" ref="D19:E19" si="3">D18</f>
        <v>11176910</v>
      </c>
      <c r="E19" s="2432">
        <f t="shared" si="3"/>
        <v>12412400</v>
      </c>
      <c r="F19" s="2432">
        <f t="shared" si="0"/>
        <v>-1235490</v>
      </c>
      <c r="G19" s="2433">
        <f t="shared" si="1"/>
        <v>-11.053949615770369</v>
      </c>
      <c r="H19" s="2438"/>
      <c r="I19" s="2439">
        <v>6</v>
      </c>
    </row>
    <row r="20" spans="1:9" ht="30" customHeight="1">
      <c r="A20" s="2422"/>
      <c r="B20" s="2437" t="s">
        <v>2196</v>
      </c>
      <c r="C20" s="2432">
        <f>'33'!C11+'35'!C19</f>
        <v>49738939</v>
      </c>
      <c r="D20" s="2432">
        <f>'33'!D11+'35'!D19</f>
        <v>49738939</v>
      </c>
      <c r="E20" s="2432">
        <f>'33'!E11+'35'!E19</f>
        <v>57013502</v>
      </c>
      <c r="F20" s="2432">
        <f t="shared" si="0"/>
        <v>-7274563</v>
      </c>
      <c r="G20" s="2433">
        <f t="shared" si="1"/>
        <v>-14.625488895129028</v>
      </c>
      <c r="H20" s="2438"/>
      <c r="I20" s="2439">
        <v>6</v>
      </c>
    </row>
    <row r="21" spans="1:9" ht="30" customHeight="1">
      <c r="A21" s="2422"/>
      <c r="B21" s="2437" t="s">
        <v>2292</v>
      </c>
      <c r="C21" s="2432">
        <f>'31'!C13-'35'!C20</f>
        <v>210000</v>
      </c>
      <c r="D21" s="2432">
        <f>'31'!D13-'35'!D20</f>
        <v>210000</v>
      </c>
      <c r="E21" s="2432">
        <f>'31'!E13-'35'!E20</f>
        <v>-2442529</v>
      </c>
      <c r="F21" s="2432">
        <f t="shared" si="0"/>
        <v>2652529</v>
      </c>
      <c r="G21" s="2433">
        <f t="shared" si="1"/>
        <v>1263.1090476190475</v>
      </c>
      <c r="H21" s="2438"/>
      <c r="I21" s="2439"/>
    </row>
    <row r="22" spans="1:9" ht="30" customHeight="1">
      <c r="A22" s="2422"/>
      <c r="B22" s="2456" t="s">
        <v>2293</v>
      </c>
      <c r="C22" s="2430">
        <v>10000</v>
      </c>
      <c r="D22" s="2430">
        <v>10000</v>
      </c>
      <c r="E22" s="2430"/>
      <c r="F22" s="2430">
        <f t="shared" si="0"/>
        <v>10000</v>
      </c>
      <c r="G22" s="2431"/>
      <c r="H22" s="2457"/>
      <c r="I22" s="2458"/>
    </row>
    <row r="23" spans="1:9" ht="30" customHeight="1">
      <c r="A23" s="2422"/>
      <c r="B23" s="2440"/>
      <c r="C23" s="2441"/>
      <c r="D23" s="2441"/>
      <c r="E23" s="2441"/>
      <c r="F23" s="2441"/>
      <c r="G23" s="2442"/>
      <c r="H23" s="2443"/>
      <c r="I23" s="2444"/>
    </row>
    <row r="24" spans="1:9" ht="30" customHeight="1">
      <c r="A24" s="3321">
        <v>35</v>
      </c>
      <c r="B24" s="3321"/>
      <c r="C24" s="3321"/>
      <c r="D24" s="3321"/>
      <c r="E24" s="3321"/>
      <c r="F24" s="3321"/>
      <c r="G24" s="3321"/>
      <c r="H24" s="3321"/>
      <c r="I24" s="3321"/>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3">
    <mergeCell ref="I7:I8"/>
    <mergeCell ref="A24:I24"/>
    <mergeCell ref="B2:I2"/>
    <mergeCell ref="B3:I3"/>
    <mergeCell ref="B4:I4"/>
    <mergeCell ref="B5:I5"/>
    <mergeCell ref="B7:B8"/>
    <mergeCell ref="C7:C8"/>
    <mergeCell ref="D7:D8"/>
    <mergeCell ref="E7:E8"/>
    <mergeCell ref="F7:G7"/>
    <mergeCell ref="H7:H8"/>
    <mergeCell ref="H14:H15"/>
  </mergeCells>
  <pageMargins left="0.7" right="0.7" top="0.75" bottom="0.75" header="0.3" footer="0.3"/>
  <pageSetup paperSize="9" scale="6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60" zoomScaleNormal="100" workbookViewId="0">
      <selection activeCell="B2" sqref="B2:I2"/>
    </sheetView>
  </sheetViews>
  <sheetFormatPr defaultRowHeight="14.25"/>
  <cols>
    <col min="1" max="1" width="5.75" customWidth="1"/>
    <col min="2" max="2" width="34.75" style="2270" customWidth="1"/>
    <col min="3" max="3" width="14.2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2378</v>
      </c>
      <c r="C3" s="3320"/>
      <c r="D3" s="3320"/>
      <c r="E3" s="3320"/>
      <c r="F3" s="3320"/>
      <c r="G3" s="3320"/>
      <c r="H3" s="3320"/>
      <c r="I3" s="3320"/>
    </row>
    <row r="4" spans="1:9" ht="30" customHeight="1">
      <c r="A4" s="2422"/>
      <c r="B4" s="3320" t="s">
        <v>2377</v>
      </c>
      <c r="C4" s="3320"/>
      <c r="D4" s="3320"/>
      <c r="E4" s="3320"/>
      <c r="F4" s="3320"/>
      <c r="G4" s="3320"/>
      <c r="H4" s="3320"/>
      <c r="I4" s="3320"/>
    </row>
    <row r="5" spans="1:9" ht="30" customHeight="1">
      <c r="A5" s="2422"/>
      <c r="B5" s="3331"/>
      <c r="C5" s="3331"/>
      <c r="D5" s="3331"/>
      <c r="E5" s="3331"/>
      <c r="F5" s="3331"/>
      <c r="G5" s="3331"/>
      <c r="H5" s="3331"/>
      <c r="I5" s="3331"/>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34" t="s">
        <v>2294</v>
      </c>
      <c r="C9" s="2428">
        <v>0</v>
      </c>
      <c r="D9" s="2428">
        <v>0</v>
      </c>
      <c r="E9" s="2428">
        <v>0</v>
      </c>
      <c r="F9" s="2428">
        <f t="shared" ref="F9:F17" si="0">D9-E9</f>
        <v>0</v>
      </c>
      <c r="G9" s="2429">
        <v>0</v>
      </c>
      <c r="H9" s="2435"/>
      <c r="I9" s="2436"/>
    </row>
    <row r="10" spans="1:9" ht="30" customHeight="1">
      <c r="A10" s="2422"/>
      <c r="B10" s="2437" t="s">
        <v>2315</v>
      </c>
      <c r="C10" s="2432">
        <f>'35'!C21-'35'!C22</f>
        <v>200000</v>
      </c>
      <c r="D10" s="2432">
        <f>'35'!D21-'35'!D22</f>
        <v>200000</v>
      </c>
      <c r="E10" s="2432">
        <f>'35'!E21-'35'!E22</f>
        <v>-2442529</v>
      </c>
      <c r="F10" s="2432">
        <f t="shared" si="0"/>
        <v>2642529</v>
      </c>
      <c r="G10" s="2433">
        <f>F10/D10*100</f>
        <v>1321.2645</v>
      </c>
      <c r="H10" s="2438"/>
      <c r="I10" s="2439"/>
    </row>
    <row r="11" spans="1:9" ht="30" customHeight="1">
      <c r="A11" s="2422"/>
      <c r="B11" s="2434" t="s">
        <v>2295</v>
      </c>
      <c r="C11" s="2428">
        <f>C10*0.25</f>
        <v>50000</v>
      </c>
      <c r="D11" s="2428">
        <f t="shared" ref="D11" si="1">D10*0.25</f>
        <v>50000</v>
      </c>
      <c r="E11" s="2428">
        <v>0</v>
      </c>
      <c r="F11" s="2428">
        <f t="shared" si="0"/>
        <v>50000</v>
      </c>
      <c r="G11" s="2429">
        <f>F11/D11*100</f>
        <v>100</v>
      </c>
      <c r="H11" s="2435"/>
      <c r="I11" s="2436"/>
    </row>
    <row r="12" spans="1:9" ht="30" customHeight="1">
      <c r="A12" s="2422"/>
      <c r="B12" s="2434" t="s">
        <v>2296</v>
      </c>
      <c r="C12" s="2428">
        <f>C10*0.5</f>
        <v>100000</v>
      </c>
      <c r="D12" s="2428">
        <f t="shared" ref="D12" si="2">D10*0.5</f>
        <v>100000</v>
      </c>
      <c r="E12" s="2428">
        <v>0</v>
      </c>
      <c r="F12" s="2428">
        <f t="shared" si="0"/>
        <v>100000</v>
      </c>
      <c r="G12" s="2429">
        <f>F12/D12*100</f>
        <v>100</v>
      </c>
      <c r="H12" s="2435"/>
      <c r="I12" s="2436"/>
    </row>
    <row r="13" spans="1:9" ht="30" customHeight="1">
      <c r="A13" s="2422"/>
      <c r="B13" s="2450" t="s">
        <v>2314</v>
      </c>
      <c r="C13" s="2432">
        <f>C10*0.25</f>
        <v>50000</v>
      </c>
      <c r="D13" s="2432">
        <f t="shared" ref="D13" si="3">D10*0.25</f>
        <v>50000</v>
      </c>
      <c r="E13" s="2432">
        <v>0</v>
      </c>
      <c r="F13" s="2432">
        <f t="shared" si="0"/>
        <v>50000</v>
      </c>
      <c r="G13" s="2433">
        <f>F13/D13*100</f>
        <v>100</v>
      </c>
      <c r="H13" s="2438"/>
      <c r="I13" s="2439"/>
    </row>
    <row r="14" spans="1:9" ht="30" customHeight="1">
      <c r="A14" s="2422"/>
      <c r="B14" s="2434" t="s">
        <v>2297</v>
      </c>
      <c r="C14" s="2428"/>
      <c r="D14" s="2428"/>
      <c r="E14" s="2428"/>
      <c r="F14" s="2428">
        <f t="shared" si="0"/>
        <v>0</v>
      </c>
      <c r="G14" s="2429"/>
      <c r="H14" s="2435"/>
      <c r="I14" s="2436"/>
    </row>
    <row r="15" spans="1:9" ht="30" customHeight="1">
      <c r="A15" s="2422"/>
      <c r="B15" s="2434" t="s">
        <v>1876</v>
      </c>
      <c r="C15" s="2428">
        <v>5000</v>
      </c>
      <c r="D15" s="2428">
        <v>5000</v>
      </c>
      <c r="E15" s="2428"/>
      <c r="F15" s="2428">
        <f t="shared" si="0"/>
        <v>5000</v>
      </c>
      <c r="G15" s="2429"/>
      <c r="H15" s="2435"/>
      <c r="I15" s="2436"/>
    </row>
    <row r="16" spans="1:9" ht="30" customHeight="1">
      <c r="A16" s="2422"/>
      <c r="B16" s="2434" t="s">
        <v>2298</v>
      </c>
      <c r="C16" s="2428">
        <v>45000</v>
      </c>
      <c r="D16" s="2428">
        <v>45000</v>
      </c>
      <c r="E16" s="2428"/>
      <c r="F16" s="2428">
        <f t="shared" si="0"/>
        <v>45000</v>
      </c>
      <c r="G16" s="2429"/>
      <c r="H16" s="2435"/>
      <c r="I16" s="2436"/>
    </row>
    <row r="17" spans="1:9" ht="30" customHeight="1">
      <c r="A17" s="2422"/>
      <c r="B17" s="2437" t="s">
        <v>2299</v>
      </c>
      <c r="C17" s="2500">
        <f>C15+C16</f>
        <v>50000</v>
      </c>
      <c r="D17" s="2500">
        <f t="shared" ref="D17:E17" si="4">D15+D16</f>
        <v>50000</v>
      </c>
      <c r="E17" s="2500">
        <f t="shared" si="4"/>
        <v>0</v>
      </c>
      <c r="F17" s="2464">
        <f t="shared" si="0"/>
        <v>50000</v>
      </c>
      <c r="G17" s="2464"/>
      <c r="H17" s="2463"/>
      <c r="I17" s="2465"/>
    </row>
    <row r="18" spans="1:9" ht="30" customHeight="1">
      <c r="A18" s="2422"/>
      <c r="B18" s="2440"/>
      <c r="C18" s="2445"/>
      <c r="D18" s="2445"/>
      <c r="E18" s="2445"/>
      <c r="F18" s="2445"/>
      <c r="G18" s="2445"/>
      <c r="H18" s="2445"/>
      <c r="I18" s="2446"/>
    </row>
    <row r="19" spans="1:9" ht="30" customHeight="1">
      <c r="A19" s="2422"/>
      <c r="B19" s="2440"/>
      <c r="C19" s="2445"/>
      <c r="D19" s="2445"/>
      <c r="E19" s="2445"/>
      <c r="F19" s="2445"/>
      <c r="G19" s="2445"/>
      <c r="H19" s="2445"/>
      <c r="I19" s="2446"/>
    </row>
    <row r="20" spans="1:9" ht="30" customHeight="1">
      <c r="A20" s="2422"/>
      <c r="B20" s="2440"/>
      <c r="C20" s="2445"/>
      <c r="D20" s="2445"/>
      <c r="E20" s="2445"/>
      <c r="F20" s="2445"/>
      <c r="G20" s="2445"/>
      <c r="H20" s="2445"/>
      <c r="I20" s="2446"/>
    </row>
    <row r="21" spans="1:9" ht="30" customHeight="1">
      <c r="A21" s="2422"/>
      <c r="B21" s="2440"/>
      <c r="C21" s="2445"/>
      <c r="D21" s="2445"/>
      <c r="E21" s="2445"/>
      <c r="F21" s="2445"/>
      <c r="G21" s="2445"/>
      <c r="H21" s="2445"/>
      <c r="I21" s="2446"/>
    </row>
    <row r="22" spans="1:9" ht="30" customHeight="1">
      <c r="A22" s="2422"/>
      <c r="B22" s="2440"/>
      <c r="C22" s="2445"/>
      <c r="D22" s="2445"/>
      <c r="E22" s="2445"/>
      <c r="F22" s="2445"/>
      <c r="G22" s="2445"/>
      <c r="H22" s="2445"/>
      <c r="I22" s="2446"/>
    </row>
    <row r="23" spans="1:9" ht="30" customHeight="1">
      <c r="A23" s="2422"/>
      <c r="B23" s="2440"/>
      <c r="C23" s="2441"/>
      <c r="D23" s="2441"/>
      <c r="E23" s="2441"/>
      <c r="F23" s="2441"/>
      <c r="G23" s="2442"/>
      <c r="H23" s="2443"/>
      <c r="I23" s="2444"/>
    </row>
    <row r="24" spans="1:9" ht="30" customHeight="1">
      <c r="A24" s="3321">
        <v>36</v>
      </c>
      <c r="B24" s="3321"/>
      <c r="C24" s="3321"/>
      <c r="D24" s="3321"/>
      <c r="E24" s="3321"/>
      <c r="F24" s="3321"/>
      <c r="G24" s="3321"/>
      <c r="H24" s="3321"/>
      <c r="I24" s="3321"/>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2">
    <mergeCell ref="I7:I8"/>
    <mergeCell ref="A24:I24"/>
    <mergeCell ref="B2:I2"/>
    <mergeCell ref="B3:I3"/>
    <mergeCell ref="B4:I4"/>
    <mergeCell ref="B5:I5"/>
    <mergeCell ref="B7:B8"/>
    <mergeCell ref="C7:C8"/>
    <mergeCell ref="D7:D8"/>
    <mergeCell ref="E7:E8"/>
    <mergeCell ref="F7:G7"/>
    <mergeCell ref="H7:H8"/>
  </mergeCells>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topLeftCell="A7" zoomScale="60" zoomScaleNormal="100" workbookViewId="0">
      <selection activeCell="B2" sqref="B2:I4"/>
    </sheetView>
  </sheetViews>
  <sheetFormatPr defaultRowHeight="14.25"/>
  <cols>
    <col min="1" max="1" width="5.75" customWidth="1"/>
    <col min="2" max="2" width="34.75" style="2270" customWidth="1"/>
    <col min="3" max="3" width="14.25" style="2270" customWidth="1"/>
    <col min="4" max="4" width="16.625" style="2270" customWidth="1"/>
    <col min="5" max="5" width="14" style="2270" customWidth="1"/>
    <col min="6" max="6" width="17.25" style="2270" customWidth="1"/>
    <col min="7" max="7" width="16.875" style="2426" customWidth="1"/>
    <col min="8" max="8" width="34.75" style="2270" customWidth="1"/>
    <col min="9" max="9" width="20.75" style="2270" customWidth="1"/>
  </cols>
  <sheetData>
    <row r="1" spans="1:9" ht="30" customHeight="1">
      <c r="A1" s="2422"/>
      <c r="B1" s="2421"/>
      <c r="C1" s="2421"/>
      <c r="D1" s="2421"/>
      <c r="E1" s="2421"/>
      <c r="F1" s="2421"/>
      <c r="G1" s="2425"/>
      <c r="H1" s="2421"/>
      <c r="I1" s="2421"/>
    </row>
    <row r="2" spans="1:9" ht="30" customHeight="1">
      <c r="A2" s="2422"/>
      <c r="B2" s="3320" t="s">
        <v>2242</v>
      </c>
      <c r="C2" s="3320"/>
      <c r="D2" s="3320"/>
      <c r="E2" s="3320"/>
      <c r="F2" s="3320"/>
      <c r="G2" s="3320"/>
      <c r="H2" s="3320"/>
      <c r="I2" s="3320"/>
    </row>
    <row r="3" spans="1:9" ht="30" customHeight="1">
      <c r="A3" s="2422"/>
      <c r="B3" s="3320" t="s">
        <v>2378</v>
      </c>
      <c r="C3" s="3320"/>
      <c r="D3" s="3320"/>
      <c r="E3" s="3320"/>
      <c r="F3" s="3320"/>
      <c r="G3" s="3320"/>
      <c r="H3" s="3320"/>
      <c r="I3" s="3320"/>
    </row>
    <row r="4" spans="1:9" ht="30" customHeight="1">
      <c r="A4" s="2422"/>
      <c r="B4" s="3320" t="s">
        <v>2379</v>
      </c>
      <c r="C4" s="3320"/>
      <c r="D4" s="3320"/>
      <c r="E4" s="3320"/>
      <c r="F4" s="3320"/>
      <c r="G4" s="3320"/>
      <c r="H4" s="3320"/>
      <c r="I4" s="3320"/>
    </row>
    <row r="5" spans="1:9" ht="30" customHeight="1">
      <c r="A5" s="2422"/>
      <c r="B5" s="3331"/>
      <c r="C5" s="3331"/>
      <c r="D5" s="3331"/>
      <c r="E5" s="3331"/>
      <c r="F5" s="3331"/>
      <c r="G5" s="3331"/>
      <c r="H5" s="3331"/>
      <c r="I5" s="3331"/>
    </row>
    <row r="6" spans="1:9" ht="30" customHeight="1">
      <c r="A6" s="2422"/>
      <c r="B6" s="2423"/>
      <c r="C6" s="2423"/>
      <c r="D6" s="2423"/>
      <c r="E6" s="2423"/>
      <c r="F6" s="2423"/>
      <c r="G6" s="2424"/>
      <c r="H6" s="2423"/>
      <c r="I6" s="2270" t="s">
        <v>1950</v>
      </c>
    </row>
    <row r="7" spans="1:9" ht="30" customHeight="1">
      <c r="A7" s="2422"/>
      <c r="B7" s="3325" t="s">
        <v>2188</v>
      </c>
      <c r="C7" s="3325" t="s">
        <v>2189</v>
      </c>
      <c r="D7" s="3325" t="s">
        <v>2190</v>
      </c>
      <c r="E7" s="3325" t="s">
        <v>2191</v>
      </c>
      <c r="F7" s="3327" t="s">
        <v>2243</v>
      </c>
      <c r="G7" s="3328"/>
      <c r="H7" s="3325" t="s">
        <v>2192</v>
      </c>
      <c r="I7" s="3329" t="s">
        <v>2244</v>
      </c>
    </row>
    <row r="8" spans="1:9" ht="30" customHeight="1">
      <c r="A8" s="2422"/>
      <c r="B8" s="3326"/>
      <c r="C8" s="3326"/>
      <c r="D8" s="3326"/>
      <c r="E8" s="3326"/>
      <c r="F8" s="2427" t="s">
        <v>2194</v>
      </c>
      <c r="G8" s="2429" t="s">
        <v>2195</v>
      </c>
      <c r="H8" s="3326"/>
      <c r="I8" s="3330"/>
    </row>
    <row r="9" spans="1:9" ht="30" customHeight="1">
      <c r="A9" s="2422"/>
      <c r="B9" s="2437" t="s">
        <v>2301</v>
      </c>
      <c r="C9" s="2432"/>
      <c r="D9" s="2432"/>
      <c r="E9" s="2432"/>
      <c r="F9" s="2432">
        <f t="shared" ref="F9:F24" si="0">D9-E9</f>
        <v>0</v>
      </c>
      <c r="G9" s="2433"/>
      <c r="H9" s="2438"/>
      <c r="I9" s="2439"/>
    </row>
    <row r="10" spans="1:9" ht="30" customHeight="1">
      <c r="A10" s="2422"/>
      <c r="B10" s="2434" t="s">
        <v>2302</v>
      </c>
      <c r="C10" s="2428">
        <v>50000</v>
      </c>
      <c r="D10" s="2428">
        <v>50000</v>
      </c>
      <c r="E10" s="2428"/>
      <c r="F10" s="2428">
        <f t="shared" si="0"/>
        <v>50000</v>
      </c>
      <c r="G10" s="2429">
        <f>F10/D10*100</f>
        <v>100</v>
      </c>
      <c r="H10" s="2435"/>
      <c r="I10" s="2436"/>
    </row>
    <row r="11" spans="1:9" ht="30" customHeight="1">
      <c r="A11" s="2422"/>
      <c r="B11" s="2434" t="s">
        <v>2300</v>
      </c>
      <c r="C11" s="2428">
        <v>3100000</v>
      </c>
      <c r="D11" s="2428">
        <v>3100000</v>
      </c>
      <c r="E11" s="2428">
        <f>'14'!O26</f>
        <v>3497118</v>
      </c>
      <c r="F11" s="2428">
        <f t="shared" si="0"/>
        <v>-397118</v>
      </c>
      <c r="G11" s="2429">
        <f>F11/D11*100</f>
        <v>-12.810258064516129</v>
      </c>
      <c r="H11" s="2435"/>
      <c r="I11" s="2436">
        <v>8</v>
      </c>
    </row>
    <row r="12" spans="1:9" ht="30" customHeight="1">
      <c r="A12" s="2422"/>
      <c r="B12" s="2434" t="s">
        <v>2303</v>
      </c>
      <c r="C12" s="2428">
        <v>5805000</v>
      </c>
      <c r="D12" s="2428">
        <v>5805000</v>
      </c>
      <c r="E12" s="2428">
        <v>8181325</v>
      </c>
      <c r="F12" s="2428">
        <f t="shared" si="0"/>
        <v>-2376325</v>
      </c>
      <c r="G12" s="2429">
        <f>F12/D12*100</f>
        <v>-40.935831180017232</v>
      </c>
      <c r="H12" s="2435"/>
      <c r="I12" s="2436"/>
    </row>
    <row r="13" spans="1:9" ht="30" customHeight="1">
      <c r="A13" s="2422"/>
      <c r="B13" s="2437" t="s">
        <v>2304</v>
      </c>
      <c r="C13" s="2432">
        <f>C10+C11+C12</f>
        <v>8955000</v>
      </c>
      <c r="D13" s="2432">
        <f t="shared" ref="D13:E13" si="1">D10+D11+D12</f>
        <v>8955000</v>
      </c>
      <c r="E13" s="2432">
        <f t="shared" si="1"/>
        <v>11678443</v>
      </c>
      <c r="F13" s="2432">
        <f t="shared" si="0"/>
        <v>-2723443</v>
      </c>
      <c r="G13" s="2433">
        <f>F13/D13*100</f>
        <v>-30.412540480178674</v>
      </c>
      <c r="H13" s="2438"/>
      <c r="I13" s="2439"/>
    </row>
    <row r="14" spans="1:9" ht="30" customHeight="1">
      <c r="A14" s="2422"/>
      <c r="B14" s="2437" t="s">
        <v>2305</v>
      </c>
      <c r="C14" s="2432">
        <v>0</v>
      </c>
      <c r="D14" s="2432"/>
      <c r="E14" s="2432"/>
      <c r="F14" s="2432">
        <f t="shared" si="0"/>
        <v>0</v>
      </c>
      <c r="G14" s="2433"/>
      <c r="H14" s="2438"/>
      <c r="I14" s="2439"/>
    </row>
    <row r="15" spans="1:9" ht="30" customHeight="1">
      <c r="A15" s="2422"/>
      <c r="B15" s="2434" t="s">
        <v>2306</v>
      </c>
      <c r="C15" s="2428">
        <v>150000</v>
      </c>
      <c r="D15" s="2428">
        <v>150000</v>
      </c>
      <c r="E15" s="2428">
        <f>'14'!E18</f>
        <v>408965</v>
      </c>
      <c r="F15" s="2428">
        <f t="shared" si="0"/>
        <v>-258965</v>
      </c>
      <c r="G15" s="2429">
        <f t="shared" ref="G15:G24" si="2">F15/D15*100</f>
        <v>-172.64333333333332</v>
      </c>
      <c r="H15" s="2466" t="s">
        <v>2316</v>
      </c>
      <c r="I15" s="2436">
        <v>8</v>
      </c>
    </row>
    <row r="16" spans="1:9" ht="30" customHeight="1">
      <c r="A16" s="2422"/>
      <c r="B16" s="2434" t="s">
        <v>2415</v>
      </c>
      <c r="C16" s="2428">
        <v>1500000</v>
      </c>
      <c r="D16" s="2428">
        <v>1500000</v>
      </c>
      <c r="E16" s="2428">
        <f>'14'!G18+'14'!G17+'14'!G15-E17</f>
        <v>2000003</v>
      </c>
      <c r="F16" s="2428">
        <f t="shared" si="0"/>
        <v>-500003</v>
      </c>
      <c r="G16" s="2429">
        <f t="shared" si="2"/>
        <v>-33.333533333333335</v>
      </c>
      <c r="H16" s="2435" t="s">
        <v>2316</v>
      </c>
      <c r="I16" s="2436">
        <v>8</v>
      </c>
    </row>
    <row r="17" spans="1:9" ht="30" customHeight="1">
      <c r="A17" s="2422"/>
      <c r="B17" s="2434" t="s">
        <v>2307</v>
      </c>
      <c r="C17" s="2428">
        <v>3600000</v>
      </c>
      <c r="D17" s="2428">
        <v>3600000</v>
      </c>
      <c r="E17" s="2428">
        <v>8626817</v>
      </c>
      <c r="F17" s="2428">
        <f t="shared" si="0"/>
        <v>-5026817</v>
      </c>
      <c r="G17" s="2429">
        <f t="shared" si="2"/>
        <v>-139.63380555555557</v>
      </c>
      <c r="H17" s="2435" t="s">
        <v>2316</v>
      </c>
      <c r="I17" s="2436">
        <v>8</v>
      </c>
    </row>
    <row r="18" spans="1:9" ht="30" customHeight="1">
      <c r="A18" s="2422"/>
      <c r="B18" s="2434" t="s">
        <v>2308</v>
      </c>
      <c r="C18" s="2428">
        <v>1000000</v>
      </c>
      <c r="D18" s="2428">
        <v>1000000</v>
      </c>
      <c r="E18" s="2428">
        <f>'14'!I15+'14'!I17+'14'!I18</f>
        <v>404684</v>
      </c>
      <c r="F18" s="2428">
        <f t="shared" si="0"/>
        <v>595316</v>
      </c>
      <c r="G18" s="2429">
        <f t="shared" si="2"/>
        <v>59.531599999999997</v>
      </c>
      <c r="H18" s="2435"/>
      <c r="I18" s="2436">
        <v>8</v>
      </c>
    </row>
    <row r="19" spans="1:9" ht="30" customHeight="1">
      <c r="A19" s="2422"/>
      <c r="B19" s="2456" t="s">
        <v>2309</v>
      </c>
      <c r="C19" s="2430">
        <v>800000</v>
      </c>
      <c r="D19" s="2430">
        <v>800000</v>
      </c>
      <c r="E19" s="2430">
        <f>'14'!K15+'14'!K18</f>
        <v>73998</v>
      </c>
      <c r="F19" s="2430">
        <f t="shared" si="0"/>
        <v>726002</v>
      </c>
      <c r="G19" s="2431">
        <f t="shared" si="2"/>
        <v>90.750249999999994</v>
      </c>
      <c r="H19" s="2457" t="s">
        <v>2322</v>
      </c>
      <c r="I19" s="2458">
        <v>8</v>
      </c>
    </row>
    <row r="20" spans="1:9" ht="30" customHeight="1">
      <c r="A20" s="2422"/>
      <c r="B20" s="2434" t="s">
        <v>2310</v>
      </c>
      <c r="C20" s="2428">
        <v>1500000</v>
      </c>
      <c r="D20" s="2428">
        <v>1500000</v>
      </c>
      <c r="E20" s="2428">
        <f>'14'!M15+'14'!M17+'14'!M18</f>
        <v>163976</v>
      </c>
      <c r="F20" s="2428">
        <f t="shared" si="0"/>
        <v>1336024</v>
      </c>
      <c r="G20" s="2429">
        <f t="shared" si="2"/>
        <v>89.068266666666659</v>
      </c>
      <c r="H20" s="2435"/>
      <c r="I20" s="2436">
        <v>8</v>
      </c>
    </row>
    <row r="21" spans="1:9" ht="30" customHeight="1">
      <c r="A21" s="2422"/>
      <c r="B21" s="2434" t="s">
        <v>2311</v>
      </c>
      <c r="C21" s="2428">
        <v>0</v>
      </c>
      <c r="D21" s="2428">
        <v>0</v>
      </c>
      <c r="E21" s="2428">
        <v>0</v>
      </c>
      <c r="F21" s="2428">
        <f t="shared" si="0"/>
        <v>0</v>
      </c>
      <c r="G21" s="2429">
        <v>0</v>
      </c>
      <c r="H21" s="2435"/>
      <c r="I21" s="2436">
        <v>8</v>
      </c>
    </row>
    <row r="22" spans="1:9" ht="30" customHeight="1">
      <c r="A22" s="2422"/>
      <c r="B22" s="2434" t="s">
        <v>1838</v>
      </c>
      <c r="C22" s="2428">
        <v>405000</v>
      </c>
      <c r="D22" s="2428">
        <v>405000</v>
      </c>
      <c r="E22" s="2428">
        <v>0</v>
      </c>
      <c r="F22" s="2428">
        <f t="shared" si="0"/>
        <v>405000</v>
      </c>
      <c r="G22" s="2429">
        <f t="shared" si="2"/>
        <v>100</v>
      </c>
      <c r="H22" s="2435"/>
      <c r="I22" s="2436">
        <v>8</v>
      </c>
    </row>
    <row r="23" spans="1:9" ht="30" customHeight="1">
      <c r="A23" s="2422"/>
      <c r="B23" s="2437" t="s">
        <v>2312</v>
      </c>
      <c r="C23" s="2432">
        <f>SUM(C15:C22)</f>
        <v>8955000</v>
      </c>
      <c r="D23" s="2432">
        <f t="shared" ref="D23:E23" si="3">SUM(D15:D22)</f>
        <v>8955000</v>
      </c>
      <c r="E23" s="2432">
        <f t="shared" si="3"/>
        <v>11678443</v>
      </c>
      <c r="F23" s="2432">
        <f t="shared" si="0"/>
        <v>-2723443</v>
      </c>
      <c r="G23" s="2433">
        <f t="shared" si="2"/>
        <v>-30.412540480178674</v>
      </c>
      <c r="H23" s="2438"/>
      <c r="I23" s="2439">
        <v>8</v>
      </c>
    </row>
    <row r="24" spans="1:9" ht="30" customHeight="1">
      <c r="A24" s="2447"/>
      <c r="B24" s="2437" t="s">
        <v>2313</v>
      </c>
      <c r="C24" s="2432">
        <f>C23</f>
        <v>8955000</v>
      </c>
      <c r="D24" s="2432">
        <f t="shared" ref="D24:E24" si="4">D23</f>
        <v>8955000</v>
      </c>
      <c r="E24" s="2432">
        <f t="shared" si="4"/>
        <v>11678443</v>
      </c>
      <c r="F24" s="2432">
        <f t="shared" si="0"/>
        <v>-2723443</v>
      </c>
      <c r="G24" s="2433">
        <f t="shared" si="2"/>
        <v>-30.412540480178674</v>
      </c>
      <c r="H24" s="2438"/>
      <c r="I24" s="2439">
        <v>8</v>
      </c>
    </row>
    <row r="25" spans="1:9" ht="39.950000000000003" customHeight="1"/>
    <row r="26" spans="1:9" ht="39.950000000000003" customHeight="1">
      <c r="A26" s="3321">
        <v>37</v>
      </c>
      <c r="B26" s="3321"/>
      <c r="C26" s="3321"/>
      <c r="D26" s="3321"/>
      <c r="E26" s="3321"/>
      <c r="F26" s="3321"/>
      <c r="G26" s="3321"/>
      <c r="H26" s="3321"/>
      <c r="I26" s="3321"/>
    </row>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2">
    <mergeCell ref="I7:I8"/>
    <mergeCell ref="A26:I26"/>
    <mergeCell ref="B2:I2"/>
    <mergeCell ref="B3:I3"/>
    <mergeCell ref="B4:I4"/>
    <mergeCell ref="B5:I5"/>
    <mergeCell ref="B7:B8"/>
    <mergeCell ref="C7:C8"/>
    <mergeCell ref="D7:D8"/>
    <mergeCell ref="E7:E8"/>
    <mergeCell ref="F7:G7"/>
    <mergeCell ref="H7:H8"/>
  </mergeCells>
  <pageMargins left="0.7" right="0.7" top="0.75" bottom="0.75" header="0.3" footer="0.3"/>
  <pageSetup paperSize="9" scale="6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P112"/>
  <sheetViews>
    <sheetView rightToLeft="1" view="pageBreakPreview" topLeftCell="C1" zoomScale="60" zoomScaleNormal="50" workbookViewId="0">
      <selection activeCell="C2" sqref="C2:N4"/>
    </sheetView>
  </sheetViews>
  <sheetFormatPr defaultColWidth="1.375" defaultRowHeight="21"/>
  <cols>
    <col min="1" max="1" width="1.375" style="232"/>
    <col min="2" max="2" width="4.25" style="232" customWidth="1"/>
    <col min="3" max="3" width="6.375" style="232" customWidth="1"/>
    <col min="4" max="4" width="21.75" style="232" customWidth="1"/>
    <col min="5" max="5" width="57.5" style="232" customWidth="1"/>
    <col min="6" max="6" width="15.625" style="232" customWidth="1"/>
    <col min="7" max="7" width="14.125" style="237" customWidth="1"/>
    <col min="8" max="8" width="13" style="237" customWidth="1"/>
    <col min="9" max="9" width="14.125" style="237" bestFit="1" customWidth="1"/>
    <col min="10" max="10" width="16" style="237" customWidth="1"/>
    <col min="11" max="11" width="9.25" style="232" hidden="1" customWidth="1"/>
    <col min="12" max="12" width="20.25" style="232" customWidth="1"/>
    <col min="13" max="13" width="22.5" style="232" customWidth="1"/>
    <col min="14" max="14" width="20.25" style="232" customWidth="1"/>
    <col min="15" max="15" width="4.75" style="232" customWidth="1"/>
    <col min="16" max="16" width="2.25" style="232" customWidth="1"/>
    <col min="17" max="17" width="1.625" style="232" customWidth="1"/>
    <col min="18" max="18" width="5.75" style="232" customWidth="1"/>
    <col min="19" max="19" width="2.125" style="232" customWidth="1"/>
    <col min="20" max="20" width="2.25" style="232" customWidth="1"/>
    <col min="21" max="21" width="2.625" style="232" customWidth="1"/>
    <col min="22" max="22" width="2.875" style="232" customWidth="1"/>
    <col min="23" max="41" width="1.375" style="232"/>
    <col min="42" max="42" width="3.25" style="232" bestFit="1" customWidth="1"/>
    <col min="43" max="16384" width="1.375" style="232"/>
  </cols>
  <sheetData>
    <row r="2" spans="2:21" ht="33.75" customHeight="1">
      <c r="B2" s="1604"/>
      <c r="C2" s="3351" t="s">
        <v>612</v>
      </c>
      <c r="D2" s="3351"/>
      <c r="E2" s="3351"/>
      <c r="F2" s="3351"/>
      <c r="G2" s="3351"/>
      <c r="H2" s="3351"/>
      <c r="I2" s="3351"/>
      <c r="J2" s="3351"/>
      <c r="K2" s="3351"/>
      <c r="L2" s="3351"/>
      <c r="M2" s="3351"/>
      <c r="N2" s="3351"/>
      <c r="O2" s="1604"/>
      <c r="P2" s="1604"/>
      <c r="Q2" s="1604"/>
      <c r="R2" s="1604"/>
      <c r="S2" s="1604"/>
      <c r="T2" s="1604"/>
      <c r="U2" s="1604"/>
    </row>
    <row r="3" spans="2:21" ht="33.75" customHeight="1">
      <c r="B3" s="1604"/>
      <c r="C3" s="3351" t="s">
        <v>1516</v>
      </c>
      <c r="D3" s="3351"/>
      <c r="E3" s="3351"/>
      <c r="F3" s="3351"/>
      <c r="G3" s="3351"/>
      <c r="H3" s="3351"/>
      <c r="I3" s="3351"/>
      <c r="J3" s="3351"/>
      <c r="K3" s="3351"/>
      <c r="L3" s="3351"/>
      <c r="M3" s="3351"/>
      <c r="N3" s="3351"/>
      <c r="O3" s="1604"/>
      <c r="P3" s="1604"/>
      <c r="Q3" s="1604"/>
      <c r="R3" s="1604"/>
      <c r="S3" s="1604"/>
      <c r="T3" s="1604"/>
      <c r="U3" s="1604"/>
    </row>
    <row r="4" spans="2:21" ht="33.75" customHeight="1">
      <c r="B4" s="1604"/>
      <c r="C4" s="3351" t="str">
        <f>مفروضات!A7</f>
        <v xml:space="preserve"> سال مالي منتهي به 29 اسفند 1401</v>
      </c>
      <c r="D4" s="3351"/>
      <c r="E4" s="3351"/>
      <c r="F4" s="3351"/>
      <c r="G4" s="3351"/>
      <c r="H4" s="3351"/>
      <c r="I4" s="3351"/>
      <c r="J4" s="3351"/>
      <c r="K4" s="3351"/>
      <c r="L4" s="3351"/>
      <c r="M4" s="3351"/>
      <c r="N4" s="3351"/>
      <c r="O4" s="1604"/>
      <c r="P4" s="1604"/>
      <c r="Q4" s="1604"/>
      <c r="R4" s="1604"/>
      <c r="S4" s="1604"/>
      <c r="T4" s="1604"/>
      <c r="U4" s="1604"/>
    </row>
    <row r="5" spans="2:21" ht="22.5" customHeight="1">
      <c r="B5" s="233"/>
      <c r="C5" s="631"/>
      <c r="D5" s="233"/>
      <c r="E5" s="233"/>
      <c r="F5" s="233"/>
      <c r="G5" s="233"/>
      <c r="H5" s="233"/>
      <c r="I5" s="233"/>
      <c r="J5" s="233"/>
      <c r="K5" s="231"/>
      <c r="L5" s="231"/>
      <c r="M5" s="231"/>
      <c r="N5" s="231"/>
      <c r="O5" s="231"/>
      <c r="P5" s="231"/>
    </row>
    <row r="6" spans="2:21" ht="43.5">
      <c r="B6" s="657"/>
      <c r="C6" s="3349" t="s">
        <v>2380</v>
      </c>
      <c r="D6" s="3349"/>
      <c r="E6" s="3349"/>
      <c r="F6" s="3349"/>
      <c r="G6" s="3349"/>
      <c r="H6" s="3349"/>
      <c r="I6" s="3349"/>
      <c r="J6" s="3349"/>
      <c r="K6" s="3349"/>
      <c r="L6" s="3349"/>
      <c r="M6" s="3349"/>
      <c r="N6" s="3349"/>
    </row>
    <row r="7" spans="2:21" ht="57.75" customHeight="1">
      <c r="C7" s="3350" t="s">
        <v>2528</v>
      </c>
      <c r="D7" s="3350"/>
      <c r="E7" s="3350"/>
      <c r="F7" s="3350"/>
      <c r="G7" s="3350"/>
      <c r="H7" s="3350"/>
      <c r="I7" s="3350"/>
      <c r="J7" s="3350"/>
      <c r="K7" s="3350"/>
      <c r="L7" s="3350"/>
      <c r="M7" s="3350"/>
      <c r="N7" s="3350"/>
    </row>
    <row r="8" spans="2:21" ht="25.5" customHeight="1" thickBot="1">
      <c r="D8" s="235" t="s">
        <v>1349</v>
      </c>
      <c r="E8" s="236"/>
      <c r="F8" s="236"/>
      <c r="G8" s="234"/>
      <c r="H8" s="234"/>
      <c r="J8" s="238"/>
      <c r="L8" s="238"/>
      <c r="N8" s="238" t="s">
        <v>1050</v>
      </c>
    </row>
    <row r="9" spans="2:21" ht="24.75" customHeight="1">
      <c r="D9" s="3337" t="s">
        <v>629</v>
      </c>
      <c r="E9" s="3339" t="s">
        <v>628</v>
      </c>
      <c r="F9" s="3341" t="s">
        <v>1843</v>
      </c>
      <c r="G9" s="3343" t="s">
        <v>1844</v>
      </c>
      <c r="H9" s="1005" t="s">
        <v>754</v>
      </c>
      <c r="I9" s="1005" t="s">
        <v>627</v>
      </c>
      <c r="J9" s="3345" t="s">
        <v>2197</v>
      </c>
      <c r="K9" s="3346"/>
      <c r="L9" s="3346"/>
      <c r="M9" s="3343" t="s">
        <v>2192</v>
      </c>
      <c r="N9" s="3347" t="s">
        <v>2193</v>
      </c>
    </row>
    <row r="10" spans="2:21" ht="31.5" customHeight="1" thickBot="1">
      <c r="D10" s="3338"/>
      <c r="E10" s="3340"/>
      <c r="F10" s="3342"/>
      <c r="G10" s="3344"/>
      <c r="H10" s="2205" t="s">
        <v>2357</v>
      </c>
      <c r="I10" s="2205" t="s">
        <v>2357</v>
      </c>
      <c r="J10" s="2205" t="s">
        <v>2194</v>
      </c>
      <c r="K10" s="2205"/>
      <c r="L10" s="2205" t="s">
        <v>2195</v>
      </c>
      <c r="M10" s="3344"/>
      <c r="N10" s="3348" t="s">
        <v>2195</v>
      </c>
    </row>
    <row r="11" spans="2:21" ht="33.75" customHeight="1">
      <c r="D11" s="2214">
        <v>90225</v>
      </c>
      <c r="E11" s="2266" t="s">
        <v>1350</v>
      </c>
      <c r="F11" s="2267">
        <v>6499927</v>
      </c>
      <c r="G11" s="2215">
        <v>1671925</v>
      </c>
      <c r="H11" s="2215">
        <v>550000</v>
      </c>
      <c r="I11" s="2215">
        <f>'15'!M11</f>
        <v>460773</v>
      </c>
      <c r="J11" s="2268">
        <f>I11-H11</f>
        <v>-89227</v>
      </c>
      <c r="K11" s="2255"/>
      <c r="L11" s="2256">
        <f>J11/H11*100</f>
        <v>-16.22309090909091</v>
      </c>
      <c r="M11" s="2256" t="s">
        <v>2198</v>
      </c>
      <c r="N11" s="2211" t="s">
        <v>2199</v>
      </c>
    </row>
    <row r="12" spans="2:21" ht="33.75" customHeight="1">
      <c r="D12" s="1006">
        <v>90226</v>
      </c>
      <c r="E12" s="2216" t="s">
        <v>1351</v>
      </c>
      <c r="F12" s="2217">
        <v>1156976</v>
      </c>
      <c r="G12" s="2218">
        <v>1963958</v>
      </c>
      <c r="H12" s="2218">
        <v>920000</v>
      </c>
      <c r="I12" s="2218">
        <f>'15'!M12</f>
        <v>497096</v>
      </c>
      <c r="J12" s="2219">
        <f t="shared" ref="J12:J17" si="0">I12-H12</f>
        <v>-422904</v>
      </c>
      <c r="K12" s="2220"/>
      <c r="L12" s="2221">
        <f t="shared" ref="L12:L58" si="1">J12/H12*100</f>
        <v>-45.967826086956521</v>
      </c>
      <c r="M12" s="2221" t="s">
        <v>2198</v>
      </c>
      <c r="N12" s="2212" t="s">
        <v>2199</v>
      </c>
    </row>
    <row r="13" spans="2:21" ht="33.75" customHeight="1">
      <c r="D13" s="1006">
        <v>90227</v>
      </c>
      <c r="E13" s="2216" t="s">
        <v>1352</v>
      </c>
      <c r="F13" s="2222">
        <v>114836</v>
      </c>
      <c r="G13" s="2218">
        <v>254669</v>
      </c>
      <c r="H13" s="2218">
        <v>146800</v>
      </c>
      <c r="I13" s="2218">
        <f>'15'!M13</f>
        <v>67446</v>
      </c>
      <c r="J13" s="2219">
        <f t="shared" si="0"/>
        <v>-79354</v>
      </c>
      <c r="K13" s="2220"/>
      <c r="L13" s="2221">
        <f t="shared" si="1"/>
        <v>-54.055858310626704</v>
      </c>
      <c r="M13" s="2221" t="s">
        <v>2198</v>
      </c>
      <c r="N13" s="2212" t="s">
        <v>2199</v>
      </c>
    </row>
    <row r="14" spans="2:21" ht="33.75" customHeight="1">
      <c r="D14" s="1006">
        <v>90228</v>
      </c>
      <c r="E14" s="2216" t="s">
        <v>1353</v>
      </c>
      <c r="F14" s="2217">
        <v>1627952</v>
      </c>
      <c r="G14" s="2218">
        <v>4238152</v>
      </c>
      <c r="H14" s="2218">
        <v>869000</v>
      </c>
      <c r="I14" s="2218">
        <f>'15'!M14</f>
        <v>839079</v>
      </c>
      <c r="J14" s="2219">
        <f t="shared" si="0"/>
        <v>-29921</v>
      </c>
      <c r="K14" s="2220"/>
      <c r="L14" s="2221">
        <f t="shared" si="1"/>
        <v>-3.4431530494821638</v>
      </c>
      <c r="M14" s="2221"/>
      <c r="N14" s="2212" t="s">
        <v>2199</v>
      </c>
    </row>
    <row r="15" spans="2:21" ht="33.75" customHeight="1">
      <c r="D15" s="1006">
        <v>90229</v>
      </c>
      <c r="E15" s="2216" t="s">
        <v>1711</v>
      </c>
      <c r="F15" s="2217">
        <v>19857</v>
      </c>
      <c r="G15" s="2218">
        <v>27442</v>
      </c>
      <c r="H15" s="2218">
        <v>23000</v>
      </c>
      <c r="I15" s="2218">
        <f>'15'!M15</f>
        <v>0</v>
      </c>
      <c r="J15" s="2219">
        <f t="shared" si="0"/>
        <v>-23000</v>
      </c>
      <c r="K15" s="2220"/>
      <c r="L15" s="2221">
        <f t="shared" si="1"/>
        <v>-100</v>
      </c>
      <c r="M15" s="2221" t="s">
        <v>2198</v>
      </c>
      <c r="N15" s="2212" t="s">
        <v>2199</v>
      </c>
    </row>
    <row r="16" spans="2:21" ht="33.75" customHeight="1">
      <c r="D16" s="1006">
        <v>90230</v>
      </c>
      <c r="E16" s="2216" t="s">
        <v>1039</v>
      </c>
      <c r="F16" s="2217">
        <v>1225056</v>
      </c>
      <c r="G16" s="2218">
        <v>137854</v>
      </c>
      <c r="H16" s="2218">
        <v>89000</v>
      </c>
      <c r="I16" s="2219">
        <f>'15'!M16</f>
        <v>24773</v>
      </c>
      <c r="J16" s="2219">
        <f t="shared" si="0"/>
        <v>-64227</v>
      </c>
      <c r="K16" s="2220"/>
      <c r="L16" s="2221">
        <f t="shared" si="1"/>
        <v>-72.165168539325848</v>
      </c>
      <c r="M16" s="2221" t="s">
        <v>2198</v>
      </c>
      <c r="N16" s="2212" t="s">
        <v>2199</v>
      </c>
    </row>
    <row r="17" spans="1:18" ht="33.75" customHeight="1" thickBot="1">
      <c r="D17" s="2265">
        <v>90231</v>
      </c>
      <c r="E17" s="2223" t="s">
        <v>1354</v>
      </c>
      <c r="F17" s="2224">
        <v>36197</v>
      </c>
      <c r="G17" s="1126">
        <v>42382</v>
      </c>
      <c r="H17" s="1126">
        <v>37000</v>
      </c>
      <c r="I17" s="1126">
        <f>'15'!M17</f>
        <v>0</v>
      </c>
      <c r="J17" s="2225">
        <f t="shared" si="0"/>
        <v>-37000</v>
      </c>
      <c r="K17" s="2226"/>
      <c r="L17" s="2227">
        <f t="shared" si="1"/>
        <v>-100</v>
      </c>
      <c r="M17" s="2227" t="s">
        <v>2198</v>
      </c>
      <c r="N17" s="2213" t="s">
        <v>2199</v>
      </c>
    </row>
    <row r="18" spans="1:18" ht="33.75" customHeight="1" thickBot="1">
      <c r="A18" s="2195" t="s">
        <v>728</v>
      </c>
      <c r="D18" s="3353" t="s">
        <v>1355</v>
      </c>
      <c r="E18" s="3354"/>
      <c r="F18" s="2228">
        <f>SUM('38-39'!F11:F17)</f>
        <v>10680801</v>
      </c>
      <c r="G18" s="2228">
        <f>SUM(G11:G17)</f>
        <v>8336382</v>
      </c>
      <c r="H18" s="2228">
        <f>SUM(H11:H17)</f>
        <v>2634800</v>
      </c>
      <c r="I18" s="2228">
        <f>SUM(I11:I17)</f>
        <v>1889167</v>
      </c>
      <c r="J18" s="2259">
        <f>SUM(J11:J17)</f>
        <v>-745633</v>
      </c>
      <c r="K18" s="2245"/>
      <c r="L18" s="2246">
        <f t="shared" si="1"/>
        <v>-28.299415515409137</v>
      </c>
      <c r="M18" s="2246"/>
      <c r="N18" s="2262"/>
    </row>
    <row r="19" spans="1:18" ht="43.5" customHeight="1" thickBot="1">
      <c r="D19" s="1603" t="s">
        <v>1356</v>
      </c>
      <c r="E19" s="239"/>
      <c r="F19" s="1008"/>
      <c r="G19" s="239"/>
      <c r="H19" s="239"/>
      <c r="I19" s="239"/>
      <c r="J19" s="1009"/>
      <c r="L19" s="2230"/>
      <c r="M19" s="2230"/>
      <c r="N19" s="2230"/>
    </row>
    <row r="20" spans="1:18" ht="33.75" customHeight="1">
      <c r="D20" s="1010">
        <v>90232</v>
      </c>
      <c r="E20" s="1596" t="s">
        <v>1357</v>
      </c>
      <c r="F20" s="1601">
        <v>2275021</v>
      </c>
      <c r="G20" s="1011">
        <v>2225494</v>
      </c>
      <c r="H20" s="1011">
        <v>720000</v>
      </c>
      <c r="I20" s="1011">
        <f>'15'!M20</f>
        <v>360396</v>
      </c>
      <c r="J20" s="1023">
        <f>I20-H20</f>
        <v>-359604</v>
      </c>
      <c r="K20" s="2233"/>
      <c r="L20" s="2234">
        <f t="shared" si="1"/>
        <v>-49.945</v>
      </c>
      <c r="M20" s="2234" t="s">
        <v>2198</v>
      </c>
      <c r="N20" s="2260" t="s">
        <v>2199</v>
      </c>
    </row>
    <row r="21" spans="1:18" ht="33.75" customHeight="1">
      <c r="D21" s="1012">
        <v>90233</v>
      </c>
      <c r="E21" s="2231" t="s">
        <v>1358</v>
      </c>
      <c r="F21" s="2217">
        <v>1789964</v>
      </c>
      <c r="G21" s="2232">
        <v>5392248</v>
      </c>
      <c r="H21" s="2232">
        <v>2311151</v>
      </c>
      <c r="I21" s="2218">
        <f>'15'!M21</f>
        <v>1698220</v>
      </c>
      <c r="J21" s="2222">
        <f t="shared" ref="J21:J27" si="2">I21-H21</f>
        <v>-612931</v>
      </c>
      <c r="K21" s="2220"/>
      <c r="L21" s="2221">
        <f t="shared" si="1"/>
        <v>-26.520595149343336</v>
      </c>
      <c r="M21" s="2221" t="s">
        <v>2198</v>
      </c>
      <c r="N21" s="2212" t="s">
        <v>2199</v>
      </c>
    </row>
    <row r="22" spans="1:18" ht="33.75" customHeight="1">
      <c r="D22" s="1012">
        <v>90234</v>
      </c>
      <c r="E22" s="2231" t="s">
        <v>1040</v>
      </c>
      <c r="F22" s="2217">
        <v>441163</v>
      </c>
      <c r="G22" s="2232">
        <v>684331</v>
      </c>
      <c r="H22" s="2232">
        <v>231633</v>
      </c>
      <c r="I22" s="2218">
        <f>'15'!M22</f>
        <v>219113</v>
      </c>
      <c r="J22" s="2222">
        <f t="shared" si="2"/>
        <v>-12520</v>
      </c>
      <c r="K22" s="2220"/>
      <c r="L22" s="2221">
        <f t="shared" si="1"/>
        <v>-5.4051020364110469</v>
      </c>
      <c r="M22" s="2221" t="s">
        <v>2198</v>
      </c>
      <c r="N22" s="2212" t="s">
        <v>2199</v>
      </c>
    </row>
    <row r="23" spans="1:18" ht="33.75" customHeight="1">
      <c r="C23" s="1090"/>
      <c r="D23" s="1012">
        <v>90235</v>
      </c>
      <c r="E23" s="2263" t="s">
        <v>1359</v>
      </c>
      <c r="F23" s="2258">
        <v>261595</v>
      </c>
      <c r="G23" s="2232">
        <v>779545</v>
      </c>
      <c r="H23" s="2232">
        <v>369000</v>
      </c>
      <c r="I23" s="2218">
        <f>'15'!M23</f>
        <v>327637</v>
      </c>
      <c r="J23" s="2222">
        <f t="shared" si="2"/>
        <v>-41363</v>
      </c>
      <c r="K23" s="2220"/>
      <c r="L23" s="2221">
        <f t="shared" si="1"/>
        <v>-11.209485094850949</v>
      </c>
      <c r="M23" s="2221" t="s">
        <v>2198</v>
      </c>
      <c r="N23" s="2212" t="s">
        <v>2199</v>
      </c>
    </row>
    <row r="24" spans="1:18" ht="33.75" customHeight="1">
      <c r="D24" s="1012">
        <v>90236</v>
      </c>
      <c r="E24" s="2231" t="s">
        <v>1360</v>
      </c>
      <c r="F24" s="2217">
        <v>99939</v>
      </c>
      <c r="G24" s="2232">
        <v>87734</v>
      </c>
      <c r="H24" s="2232">
        <v>62037</v>
      </c>
      <c r="I24" s="2222">
        <f>'15'!M24</f>
        <v>668</v>
      </c>
      <c r="J24" s="2222">
        <f t="shared" si="2"/>
        <v>-61369</v>
      </c>
      <c r="K24" s="2220"/>
      <c r="L24" s="2221">
        <f t="shared" si="1"/>
        <v>-98.923223237745219</v>
      </c>
      <c r="M24" s="2221" t="s">
        <v>2198</v>
      </c>
      <c r="N24" s="2212" t="s">
        <v>2199</v>
      </c>
    </row>
    <row r="25" spans="1:18" ht="37.5" customHeight="1">
      <c r="D25" s="1012">
        <v>90237</v>
      </c>
      <c r="E25" s="2264" t="s">
        <v>1361</v>
      </c>
      <c r="F25" s="2217">
        <v>466485</v>
      </c>
      <c r="G25" s="2232">
        <v>508903</v>
      </c>
      <c r="H25" s="2232">
        <v>320000</v>
      </c>
      <c r="I25" s="2218">
        <f>'15'!M25</f>
        <v>121173</v>
      </c>
      <c r="J25" s="2222">
        <f t="shared" si="2"/>
        <v>-198827</v>
      </c>
      <c r="K25" s="2220"/>
      <c r="L25" s="2221">
        <f t="shared" si="1"/>
        <v>-62.133437499999999</v>
      </c>
      <c r="M25" s="2221" t="s">
        <v>2198</v>
      </c>
      <c r="N25" s="2212" t="s">
        <v>2199</v>
      </c>
    </row>
    <row r="26" spans="1:18" ht="33.75" customHeight="1">
      <c r="D26" s="1012">
        <v>90238</v>
      </c>
      <c r="E26" s="2231" t="s">
        <v>1362</v>
      </c>
      <c r="F26" s="2217">
        <v>320782</v>
      </c>
      <c r="G26" s="2232">
        <v>1426231</v>
      </c>
      <c r="H26" s="2232">
        <v>531782</v>
      </c>
      <c r="I26" s="2218">
        <f>'15'!M26</f>
        <v>87957</v>
      </c>
      <c r="J26" s="2222">
        <f t="shared" si="2"/>
        <v>-443825</v>
      </c>
      <c r="K26" s="2220"/>
      <c r="L26" s="2221">
        <f t="shared" si="1"/>
        <v>-83.459951634316326</v>
      </c>
      <c r="M26" s="2221" t="s">
        <v>2198</v>
      </c>
      <c r="N26" s="2212" t="s">
        <v>2199</v>
      </c>
    </row>
    <row r="27" spans="1:18" ht="33.75" customHeight="1" thickBot="1">
      <c r="D27" s="2237">
        <v>90239</v>
      </c>
      <c r="E27" s="2238" t="s">
        <v>1363</v>
      </c>
      <c r="F27" s="1593">
        <v>3023</v>
      </c>
      <c r="G27" s="2239">
        <v>211602</v>
      </c>
      <c r="H27" s="2239">
        <v>180000</v>
      </c>
      <c r="I27" s="1126">
        <f>'15'!M27</f>
        <v>23177</v>
      </c>
      <c r="J27" s="1593">
        <f t="shared" si="2"/>
        <v>-156823</v>
      </c>
      <c r="K27" s="2226"/>
      <c r="L27" s="2227">
        <f t="shared" si="1"/>
        <v>-87.123888888888885</v>
      </c>
      <c r="M27" s="2227" t="s">
        <v>2198</v>
      </c>
      <c r="N27" s="2213" t="s">
        <v>2199</v>
      </c>
    </row>
    <row r="28" spans="1:18" ht="31.5" customHeight="1" thickBot="1">
      <c r="D28" s="3334" t="s">
        <v>1364</v>
      </c>
      <c r="E28" s="3335"/>
      <c r="F28" s="1602">
        <f>SUM(F20:F27)</f>
        <v>5657972</v>
      </c>
      <c r="G28" s="1125">
        <f>SUM(G20:G27)</f>
        <v>11316088</v>
      </c>
      <c r="H28" s="1125">
        <f>SUM(H20:H27)</f>
        <v>4725603</v>
      </c>
      <c r="I28" s="1125">
        <f>SUM(I20:I27)</f>
        <v>2838341</v>
      </c>
      <c r="J28" s="2269">
        <f>SUM(J20:J27)</f>
        <v>-1887262</v>
      </c>
      <c r="K28" s="2245"/>
      <c r="L28" s="2246">
        <f t="shared" si="1"/>
        <v>-39.936956193738659</v>
      </c>
      <c r="M28" s="2246"/>
      <c r="N28" s="2262"/>
      <c r="P28" s="951"/>
      <c r="Q28" s="951"/>
      <c r="R28" s="951"/>
    </row>
    <row r="29" spans="1:18" ht="51.75" customHeight="1">
      <c r="D29" s="1136"/>
      <c r="E29" s="1136"/>
      <c r="F29" s="1121"/>
      <c r="G29" s="1122"/>
      <c r="H29" s="1122"/>
      <c r="I29" s="1122"/>
      <c r="J29" s="1123"/>
      <c r="K29" s="1124"/>
      <c r="L29" s="2230"/>
      <c r="M29" s="2230"/>
      <c r="N29" s="2230"/>
      <c r="P29" s="951"/>
      <c r="Q29" s="951"/>
      <c r="R29" s="951"/>
    </row>
    <row r="30" spans="1:18" ht="51.75" customHeight="1">
      <c r="D30" s="1136"/>
      <c r="E30" s="1136"/>
      <c r="F30" s="1121"/>
      <c r="G30" s="1122"/>
      <c r="H30" s="1122"/>
      <c r="I30" s="1122"/>
      <c r="J30" s="1123"/>
      <c r="K30" s="1124"/>
      <c r="L30" s="2230"/>
      <c r="M30" s="2230"/>
      <c r="N30" s="2230"/>
      <c r="P30" s="951"/>
      <c r="Q30" s="951"/>
      <c r="R30" s="951"/>
    </row>
    <row r="31" spans="1:18" ht="51.75" customHeight="1">
      <c r="D31" s="1136"/>
      <c r="E31" s="1136"/>
      <c r="F31" s="1121"/>
      <c r="G31" s="1122"/>
      <c r="H31" s="1122"/>
      <c r="I31" s="1122"/>
      <c r="J31" s="1123"/>
      <c r="K31" s="1124"/>
      <c r="L31" s="2230"/>
      <c r="M31" s="2230"/>
      <c r="N31" s="2230"/>
      <c r="P31" s="951"/>
      <c r="Q31" s="951"/>
      <c r="R31" s="951"/>
    </row>
    <row r="32" spans="1:18" ht="31.5" customHeight="1">
      <c r="C32" s="3352">
        <v>38</v>
      </c>
      <c r="D32" s="3352"/>
      <c r="E32" s="3352"/>
      <c r="F32" s="3352"/>
      <c r="G32" s="3352"/>
      <c r="H32" s="3352"/>
      <c r="I32" s="3352"/>
      <c r="J32" s="3352"/>
      <c r="K32" s="3352"/>
      <c r="L32" s="3352"/>
      <c r="M32" s="3352"/>
      <c r="N32" s="3352"/>
      <c r="P32" s="951"/>
      <c r="Q32" s="951"/>
      <c r="R32" s="951"/>
    </row>
    <row r="33" spans="2:42" ht="33.75" customHeight="1">
      <c r="B33" s="1604"/>
      <c r="C33" s="3351" t="s">
        <v>612</v>
      </c>
      <c r="D33" s="3351"/>
      <c r="E33" s="3351"/>
      <c r="F33" s="3351"/>
      <c r="G33" s="3351"/>
      <c r="H33" s="3351"/>
      <c r="I33" s="3351"/>
      <c r="J33" s="3351"/>
      <c r="K33" s="3351"/>
      <c r="L33" s="3351"/>
      <c r="M33" s="3351"/>
      <c r="N33" s="3351"/>
      <c r="O33" s="1604"/>
      <c r="P33" s="1604"/>
      <c r="Q33" s="1604"/>
      <c r="R33" s="1604"/>
      <c r="S33" s="1604"/>
      <c r="T33" s="1604"/>
      <c r="U33" s="1604"/>
    </row>
    <row r="34" spans="2:42" ht="33.75" customHeight="1">
      <c r="B34" s="1604"/>
      <c r="C34" s="3351" t="s">
        <v>1516</v>
      </c>
      <c r="D34" s="3351"/>
      <c r="E34" s="3351"/>
      <c r="F34" s="3351"/>
      <c r="G34" s="3351"/>
      <c r="H34" s="3351"/>
      <c r="I34" s="3351"/>
      <c r="J34" s="3351"/>
      <c r="K34" s="3351"/>
      <c r="L34" s="3351"/>
      <c r="M34" s="3351"/>
      <c r="N34" s="3351"/>
      <c r="O34" s="1604"/>
      <c r="P34" s="1604"/>
      <c r="Q34" s="1604"/>
      <c r="R34" s="1604"/>
      <c r="S34" s="1604"/>
      <c r="T34" s="1604"/>
      <c r="U34" s="1604"/>
    </row>
    <row r="35" spans="2:42" ht="33.75" customHeight="1">
      <c r="B35" s="1604"/>
      <c r="C35" s="3351" t="str">
        <f>مفروضات!A7</f>
        <v xml:space="preserve"> سال مالي منتهي به 29 اسفند 1401</v>
      </c>
      <c r="D35" s="3351"/>
      <c r="E35" s="3351"/>
      <c r="F35" s="3351"/>
      <c r="G35" s="3351"/>
      <c r="H35" s="3351"/>
      <c r="I35" s="3351"/>
      <c r="J35" s="3351"/>
      <c r="K35" s="3351"/>
      <c r="L35" s="3351"/>
      <c r="M35" s="3351"/>
      <c r="N35" s="3351"/>
      <c r="O35" s="1604"/>
      <c r="P35" s="1604"/>
      <c r="Q35" s="1604"/>
      <c r="R35" s="1604"/>
      <c r="S35" s="1604"/>
      <c r="T35" s="1604"/>
      <c r="U35" s="1604"/>
    </row>
    <row r="36" spans="2:42" ht="33.75" customHeight="1">
      <c r="B36" s="1604"/>
      <c r="C36" s="2408"/>
      <c r="D36" s="2408"/>
      <c r="E36" s="2408"/>
      <c r="F36" s="2408"/>
      <c r="G36" s="2408"/>
      <c r="H36" s="2408"/>
      <c r="I36" s="2408"/>
      <c r="J36" s="2408"/>
      <c r="K36" s="2408"/>
      <c r="L36" s="2408"/>
      <c r="M36" s="2408"/>
      <c r="N36" s="2408"/>
      <c r="O36" s="1604"/>
      <c r="P36" s="1604"/>
      <c r="Q36" s="1604"/>
      <c r="R36" s="1604"/>
      <c r="S36" s="1604"/>
      <c r="T36" s="1604"/>
      <c r="U36" s="1604"/>
    </row>
    <row r="37" spans="2:42" ht="43.5">
      <c r="B37" s="657"/>
      <c r="C37" s="3349" t="s">
        <v>2380</v>
      </c>
      <c r="D37" s="3349"/>
      <c r="E37" s="3349"/>
      <c r="F37" s="3349"/>
      <c r="G37" s="3349"/>
      <c r="H37" s="3349"/>
      <c r="I37" s="3349"/>
      <c r="J37" s="3349"/>
      <c r="K37" s="3349"/>
      <c r="L37" s="3349"/>
      <c r="M37" s="3349"/>
      <c r="N37" s="3349"/>
    </row>
    <row r="38" spans="2:42" ht="57.75" customHeight="1">
      <c r="C38" s="3350" t="s">
        <v>2527</v>
      </c>
      <c r="D38" s="3350"/>
      <c r="E38" s="3350"/>
      <c r="F38" s="3350"/>
      <c r="G38" s="3350"/>
      <c r="H38" s="3350"/>
      <c r="I38" s="3350"/>
      <c r="J38" s="3350"/>
      <c r="K38" s="3350"/>
      <c r="L38" s="3350"/>
      <c r="M38" s="3350"/>
      <c r="N38" s="3350"/>
    </row>
    <row r="39" spans="2:42" ht="31.5" customHeight="1" thickBot="1">
      <c r="D39" s="239" t="s">
        <v>2519</v>
      </c>
      <c r="E39" s="1595"/>
      <c r="F39" s="1121"/>
      <c r="G39" s="1122"/>
      <c r="H39" s="1122"/>
      <c r="I39" s="1122"/>
      <c r="J39" s="1123"/>
      <c r="K39" s="1124"/>
      <c r="L39" s="2230"/>
      <c r="M39" s="2230"/>
      <c r="N39" s="238" t="s">
        <v>1050</v>
      </c>
      <c r="P39" s="951"/>
      <c r="Q39" s="951"/>
      <c r="R39" s="951"/>
    </row>
    <row r="40" spans="2:42" ht="24.75" customHeight="1">
      <c r="D40" s="3337" t="s">
        <v>629</v>
      </c>
      <c r="E40" s="3339" t="s">
        <v>628</v>
      </c>
      <c r="F40" s="3341" t="s">
        <v>1843</v>
      </c>
      <c r="G40" s="3343" t="s">
        <v>1844</v>
      </c>
      <c r="H40" s="1005" t="s">
        <v>754</v>
      </c>
      <c r="I40" s="1005" t="s">
        <v>627</v>
      </c>
      <c r="J40" s="3345" t="s">
        <v>2197</v>
      </c>
      <c r="K40" s="3346"/>
      <c r="L40" s="3346"/>
      <c r="M40" s="3343" t="s">
        <v>2192</v>
      </c>
      <c r="N40" s="3347" t="s">
        <v>2193</v>
      </c>
    </row>
    <row r="41" spans="2:42" ht="31.5" customHeight="1" thickBot="1">
      <c r="D41" s="3338"/>
      <c r="E41" s="3340"/>
      <c r="F41" s="3342"/>
      <c r="G41" s="3344"/>
      <c r="H41" s="2413" t="s">
        <v>2357</v>
      </c>
      <c r="I41" s="2413" t="s">
        <v>2357</v>
      </c>
      <c r="J41" s="2413" t="s">
        <v>2194</v>
      </c>
      <c r="K41" s="2413"/>
      <c r="L41" s="2413" t="s">
        <v>2195</v>
      </c>
      <c r="M41" s="3344"/>
      <c r="N41" s="3348" t="s">
        <v>2195</v>
      </c>
      <c r="AP41" s="232">
        <v>38</v>
      </c>
    </row>
    <row r="42" spans="2:42" ht="31.5" customHeight="1">
      <c r="D42" s="1010">
        <v>94240</v>
      </c>
      <c r="E42" s="1596" t="s">
        <v>1750</v>
      </c>
      <c r="F42" s="1023">
        <v>0</v>
      </c>
      <c r="G42" s="1011">
        <v>388800</v>
      </c>
      <c r="H42" s="1011">
        <v>27000</v>
      </c>
      <c r="I42" s="1023">
        <f>'15'!M30</f>
        <v>54034</v>
      </c>
      <c r="J42" s="1023">
        <f t="shared" ref="J42:J47" si="3">I42-H42</f>
        <v>27034</v>
      </c>
      <c r="K42" s="2233"/>
      <c r="L42" s="2234">
        <f t="shared" si="1"/>
        <v>100.12592592592593</v>
      </c>
      <c r="M42" s="2234" t="s">
        <v>2198</v>
      </c>
      <c r="N42" s="2260" t="s">
        <v>2199</v>
      </c>
      <c r="P42" s="951"/>
      <c r="Q42" s="951"/>
      <c r="R42" s="951"/>
    </row>
    <row r="43" spans="2:42" ht="31.5" customHeight="1">
      <c r="D43" s="1012">
        <v>94241</v>
      </c>
      <c r="E43" s="2231" t="s">
        <v>1751</v>
      </c>
      <c r="F43" s="2222">
        <v>12796</v>
      </c>
      <c r="G43" s="2232">
        <v>377530</v>
      </c>
      <c r="H43" s="2232">
        <v>40000</v>
      </c>
      <c r="I43" s="2222">
        <f>'15'!M31</f>
        <v>9019</v>
      </c>
      <c r="J43" s="2222">
        <f t="shared" si="3"/>
        <v>-30981</v>
      </c>
      <c r="K43" s="2220"/>
      <c r="L43" s="2221">
        <f t="shared" si="1"/>
        <v>-77.452500000000001</v>
      </c>
      <c r="M43" s="2221" t="s">
        <v>2198</v>
      </c>
      <c r="N43" s="2212" t="s">
        <v>2199</v>
      </c>
      <c r="P43" s="951"/>
      <c r="Q43" s="951"/>
      <c r="R43" s="951"/>
    </row>
    <row r="44" spans="2:42" ht="31.5" customHeight="1">
      <c r="D44" s="1012">
        <v>94242</v>
      </c>
      <c r="E44" s="2231" t="s">
        <v>1752</v>
      </c>
      <c r="F44" s="2222"/>
      <c r="G44" s="2232">
        <v>2009000</v>
      </c>
      <c r="H44" s="2232">
        <v>389818</v>
      </c>
      <c r="I44" s="2222">
        <f>'15'!M32</f>
        <v>1463196</v>
      </c>
      <c r="J44" s="2222">
        <f t="shared" si="3"/>
        <v>1073378</v>
      </c>
      <c r="K44" s="2220"/>
      <c r="L44" s="2221">
        <f t="shared" si="1"/>
        <v>275.35362656419153</v>
      </c>
      <c r="M44" s="2221" t="s">
        <v>2198</v>
      </c>
      <c r="N44" s="2212" t="s">
        <v>2199</v>
      </c>
      <c r="P44" s="951"/>
      <c r="Q44" s="951"/>
      <c r="R44" s="951"/>
    </row>
    <row r="45" spans="2:42" ht="31.5" customHeight="1">
      <c r="D45" s="1012">
        <v>94243</v>
      </c>
      <c r="E45" s="2231" t="s">
        <v>2186</v>
      </c>
      <c r="F45" s="2222"/>
      <c r="G45" s="2232">
        <v>118186</v>
      </c>
      <c r="H45" s="2232">
        <v>34000</v>
      </c>
      <c r="I45" s="2222">
        <f>'15'!M33</f>
        <v>42504</v>
      </c>
      <c r="J45" s="2222">
        <f t="shared" si="3"/>
        <v>8504</v>
      </c>
      <c r="K45" s="2220"/>
      <c r="L45" s="2221">
        <f t="shared" si="1"/>
        <v>25.011764705882356</v>
      </c>
      <c r="M45" s="2221" t="s">
        <v>2198</v>
      </c>
      <c r="N45" s="2212" t="s">
        <v>2199</v>
      </c>
      <c r="P45" s="951"/>
      <c r="Q45" s="951"/>
      <c r="R45" s="951"/>
    </row>
    <row r="46" spans="2:42" ht="31.5" customHeight="1">
      <c r="D46" s="1012">
        <v>94244</v>
      </c>
      <c r="E46" s="2231" t="s">
        <v>1754</v>
      </c>
      <c r="F46" s="2222"/>
      <c r="G46" s="2232">
        <v>30000</v>
      </c>
      <c r="H46" s="2232"/>
      <c r="I46" s="2222">
        <f>'15'!M34</f>
        <v>0</v>
      </c>
      <c r="J46" s="2222">
        <f t="shared" si="3"/>
        <v>0</v>
      </c>
      <c r="K46" s="2220"/>
      <c r="L46" s="2221"/>
      <c r="M46" s="2221" t="s">
        <v>2198</v>
      </c>
      <c r="N46" s="2212" t="s">
        <v>2199</v>
      </c>
      <c r="P46" s="951"/>
      <c r="Q46" s="951"/>
      <c r="R46" s="951"/>
    </row>
    <row r="47" spans="2:42" ht="31.5" customHeight="1" thickBot="1">
      <c r="D47" s="1597">
        <v>94245</v>
      </c>
      <c r="E47" s="1598" t="s">
        <v>2185</v>
      </c>
      <c r="F47" s="1599"/>
      <c r="G47" s="1600">
        <v>851262</v>
      </c>
      <c r="H47" s="1600">
        <v>276150</v>
      </c>
      <c r="I47" s="1599">
        <f>'15'!M35</f>
        <v>404428</v>
      </c>
      <c r="J47" s="1599">
        <f t="shared" si="3"/>
        <v>128278</v>
      </c>
      <c r="K47" s="2235"/>
      <c r="L47" s="2236">
        <f t="shared" si="1"/>
        <v>46.452290421872171</v>
      </c>
      <c r="M47" s="2236" t="s">
        <v>2198</v>
      </c>
      <c r="N47" s="2261" t="s">
        <v>2199</v>
      </c>
      <c r="P47" s="951"/>
      <c r="Q47" s="951"/>
      <c r="R47" s="951"/>
    </row>
    <row r="48" spans="2:42" ht="31.5" customHeight="1" thickBot="1">
      <c r="D48" s="3334" t="s">
        <v>1756</v>
      </c>
      <c r="E48" s="3335"/>
      <c r="F48" s="2254">
        <f>SUM(F42:F47)</f>
        <v>12796</v>
      </c>
      <c r="G48" s="2228">
        <f>SUM(G42:G47)</f>
        <v>3774778</v>
      </c>
      <c r="H48" s="2228">
        <f>SUM(H42:H47)</f>
        <v>766968</v>
      </c>
      <c r="I48" s="2228">
        <f>SUM(I42:I47)</f>
        <v>1973181</v>
      </c>
      <c r="J48" s="2259">
        <f>SUM(J42:J47)</f>
        <v>1206213</v>
      </c>
      <c r="K48" s="2245"/>
      <c r="L48" s="2246">
        <f t="shared" si="1"/>
        <v>157.27031636261225</v>
      </c>
      <c r="M48" s="2246"/>
      <c r="N48" s="2262"/>
    </row>
    <row r="49" spans="1:21" ht="48.75" customHeight="1" thickBot="1">
      <c r="D49" s="3357" t="s">
        <v>2520</v>
      </c>
      <c r="E49" s="3357"/>
      <c r="F49" s="3357"/>
      <c r="G49" s="3357"/>
      <c r="H49" s="3357"/>
      <c r="I49" s="3357"/>
      <c r="J49" s="3357"/>
      <c r="K49" s="3357"/>
      <c r="L49" s="3357"/>
      <c r="M49" s="3357"/>
      <c r="N49" s="3357"/>
    </row>
    <row r="50" spans="1:21" ht="31.5" customHeight="1">
      <c r="D50" s="3337" t="s">
        <v>629</v>
      </c>
      <c r="E50" s="3339" t="s">
        <v>628</v>
      </c>
      <c r="F50" s="3341" t="s">
        <v>1843</v>
      </c>
      <c r="G50" s="3343" t="s">
        <v>1844</v>
      </c>
      <c r="H50" s="1005" t="s">
        <v>754</v>
      </c>
      <c r="I50" s="1005" t="s">
        <v>627</v>
      </c>
      <c r="J50" s="3345" t="s">
        <v>2197</v>
      </c>
      <c r="K50" s="3346"/>
      <c r="L50" s="3346"/>
      <c r="M50" s="3343" t="s">
        <v>2192</v>
      </c>
      <c r="N50" s="3347" t="s">
        <v>2193</v>
      </c>
    </row>
    <row r="51" spans="1:21" ht="31.5" customHeight="1" thickBot="1">
      <c r="D51" s="3338"/>
      <c r="E51" s="3340"/>
      <c r="F51" s="3342"/>
      <c r="G51" s="3344"/>
      <c r="H51" s="2671" t="s">
        <v>2357</v>
      </c>
      <c r="I51" s="2671" t="s">
        <v>2357</v>
      </c>
      <c r="J51" s="2671" t="s">
        <v>2194</v>
      </c>
      <c r="K51" s="2671"/>
      <c r="L51" s="2671" t="s">
        <v>2195</v>
      </c>
      <c r="M51" s="3344"/>
      <c r="N51" s="3348" t="s">
        <v>2195</v>
      </c>
    </row>
    <row r="52" spans="1:21" ht="31.5" customHeight="1" thickBot="1">
      <c r="D52" s="1010">
        <v>1301034005</v>
      </c>
      <c r="E52" s="1596" t="s">
        <v>1750</v>
      </c>
      <c r="F52" s="1023">
        <v>0</v>
      </c>
      <c r="G52" s="1011">
        <v>0</v>
      </c>
      <c r="H52" s="1011">
        <v>810000</v>
      </c>
      <c r="I52" s="1023">
        <v>0</v>
      </c>
      <c r="J52" s="1023">
        <v>0</v>
      </c>
      <c r="K52" s="2233"/>
      <c r="L52" s="2234">
        <f t="shared" ref="L52:L53" si="4">J52/H52*100</f>
        <v>0</v>
      </c>
      <c r="M52" s="2234"/>
      <c r="N52" s="2260"/>
    </row>
    <row r="53" spans="1:21" ht="31.5" customHeight="1" thickBot="1">
      <c r="D53" s="3334" t="s">
        <v>2521</v>
      </c>
      <c r="E53" s="3335"/>
      <c r="F53" s="1599">
        <v>0</v>
      </c>
      <c r="G53" s="1600">
        <v>0</v>
      </c>
      <c r="H53" s="1600">
        <f>SUM(H52)</f>
        <v>810000</v>
      </c>
      <c r="I53" s="1599">
        <v>0</v>
      </c>
      <c r="J53" s="1599">
        <v>0</v>
      </c>
      <c r="K53" s="2235"/>
      <c r="L53" s="2236">
        <f t="shared" si="4"/>
        <v>0</v>
      </c>
      <c r="M53" s="2236"/>
      <c r="N53" s="2261"/>
    </row>
    <row r="54" spans="1:21" ht="31.5" customHeight="1" thickBot="1">
      <c r="D54" s="2674"/>
      <c r="E54" s="2675"/>
      <c r="F54" s="1123"/>
      <c r="G54" s="1122"/>
      <c r="H54" s="1122"/>
      <c r="I54" s="1123"/>
      <c r="J54" s="1123"/>
      <c r="K54" s="1124"/>
      <c r="L54" s="2230"/>
      <c r="M54" s="2230"/>
      <c r="N54" s="2673"/>
    </row>
    <row r="55" spans="1:21" ht="27" customHeight="1" thickBot="1">
      <c r="D55" s="1594"/>
      <c r="E55" s="2672" t="s">
        <v>1768</v>
      </c>
      <c r="F55" s="1651">
        <f>F48+F28+F18</f>
        <v>16351569</v>
      </c>
      <c r="G55" s="1651">
        <f>G48+G28+G18</f>
        <v>23427248</v>
      </c>
      <c r="H55" s="1651">
        <f>H48+H28+H18+H53</f>
        <v>8937371</v>
      </c>
      <c r="I55" s="1651">
        <f>I48+I28+I18</f>
        <v>6700689</v>
      </c>
      <c r="J55" s="2257">
        <f>J48+J28+J18</f>
        <v>-1426682</v>
      </c>
      <c r="K55" s="2245"/>
      <c r="L55" s="2246">
        <f t="shared" si="1"/>
        <v>-15.963105929025437</v>
      </c>
      <c r="M55" s="2246" t="s">
        <v>2198</v>
      </c>
      <c r="N55" s="2262" t="s">
        <v>2199</v>
      </c>
    </row>
    <row r="56" spans="1:21" ht="30.75" customHeight="1">
      <c r="D56" s="733">
        <v>3200</v>
      </c>
      <c r="E56" s="2247" t="s">
        <v>1365</v>
      </c>
      <c r="F56" s="734">
        <v>16846999</v>
      </c>
      <c r="G56" s="734">
        <v>59175028</v>
      </c>
      <c r="H56" s="734">
        <f>50000+187290+42491525+1029000+217603+12549313+8796000+160000+50000</f>
        <v>65530731</v>
      </c>
      <c r="I56" s="734">
        <f>'15'!M43</f>
        <v>30512621</v>
      </c>
      <c r="J56" s="2248">
        <f>I56-H56</f>
        <v>-35018110</v>
      </c>
      <c r="K56" s="2233"/>
      <c r="L56" s="2234">
        <f t="shared" si="1"/>
        <v>-53.437691699181563</v>
      </c>
      <c r="M56" s="2234" t="s">
        <v>2198</v>
      </c>
      <c r="N56" s="2260" t="s">
        <v>2199</v>
      </c>
    </row>
    <row r="57" spans="1:21" ht="27.75" customHeight="1" thickBot="1">
      <c r="D57" s="2249"/>
      <c r="E57" s="2250" t="s">
        <v>1771</v>
      </c>
      <c r="F57" s="2251"/>
      <c r="G57" s="2252"/>
      <c r="H57" s="1007"/>
      <c r="I57" s="1599">
        <v>2086024</v>
      </c>
      <c r="J57" s="2253"/>
      <c r="K57" s="2235"/>
      <c r="L57" s="2236"/>
      <c r="M57" s="2236"/>
      <c r="N57" s="2261"/>
    </row>
    <row r="58" spans="1:21" ht="25.5" customHeight="1" thickBot="1">
      <c r="D58" s="3355" t="s">
        <v>2048</v>
      </c>
      <c r="E58" s="3356"/>
      <c r="F58" s="2242">
        <f>F56+F55+F57</f>
        <v>33198568</v>
      </c>
      <c r="G58" s="2242">
        <f>G56+G55+G57</f>
        <v>82602276</v>
      </c>
      <c r="H58" s="2243">
        <f>H56+H55+H57</f>
        <v>74468102</v>
      </c>
      <c r="I58" s="2242">
        <f>I56+I55+I57</f>
        <v>39299334</v>
      </c>
      <c r="J58" s="2244">
        <f>J56+J55+J57</f>
        <v>-36444792</v>
      </c>
      <c r="K58" s="2245"/>
      <c r="L58" s="2246">
        <f t="shared" si="1"/>
        <v>-48.940138154722945</v>
      </c>
      <c r="M58" s="2246"/>
      <c r="N58" s="2229"/>
    </row>
    <row r="59" spans="1:21" ht="47.25" customHeight="1">
      <c r="C59" s="658"/>
      <c r="D59" s="3336" t="s">
        <v>2381</v>
      </c>
      <c r="E59" s="3336"/>
      <c r="F59" s="3336"/>
      <c r="G59" s="3336"/>
      <c r="H59" s="3336"/>
      <c r="I59" s="3336"/>
      <c r="J59" s="3336"/>
      <c r="K59" s="3336"/>
      <c r="L59" s="3336"/>
      <c r="M59" s="3336"/>
      <c r="N59" s="3336"/>
      <c r="U59" s="1338"/>
    </row>
    <row r="60" spans="1:21" s="1988" customFormat="1" ht="33" customHeight="1">
      <c r="A60" s="2240"/>
      <c r="B60" s="2240"/>
      <c r="C60" s="2240"/>
      <c r="D60" s="3336" t="s">
        <v>2529</v>
      </c>
      <c r="E60" s="3336"/>
      <c r="F60" s="3336"/>
      <c r="G60" s="3336"/>
      <c r="H60" s="3336"/>
      <c r="I60" s="3336"/>
      <c r="J60" s="3336"/>
      <c r="K60" s="3336"/>
      <c r="L60" s="3336"/>
      <c r="M60" s="3336"/>
      <c r="N60" s="3336"/>
    </row>
    <row r="61" spans="1:21" s="1988" customFormat="1" ht="29.25" customHeight="1">
      <c r="A61" s="2240"/>
      <c r="B61" s="2240"/>
      <c r="C61" s="2240"/>
      <c r="D61" s="2241"/>
      <c r="E61" s="2241"/>
      <c r="F61" s="2241"/>
      <c r="G61" s="2241"/>
      <c r="H61" s="2241"/>
      <c r="I61" s="2241"/>
      <c r="J61" s="2241"/>
      <c r="K61" s="2241"/>
      <c r="L61" s="2241"/>
      <c r="M61" s="2241"/>
      <c r="N61" s="2241"/>
    </row>
    <row r="62" spans="1:21" s="1988" customFormat="1" ht="77.25" hidden="1" customHeight="1">
      <c r="A62" s="2240"/>
      <c r="B62" s="2240"/>
      <c r="C62" s="2240"/>
      <c r="D62" s="2241"/>
      <c r="E62" s="2241"/>
      <c r="F62" s="2241"/>
      <c r="G62" s="2241"/>
      <c r="H62" s="2241"/>
      <c r="I62" s="2241"/>
      <c r="J62" s="2241"/>
      <c r="K62" s="2241"/>
      <c r="L62" s="2241"/>
      <c r="M62" s="2241"/>
      <c r="N62" s="2241"/>
    </row>
    <row r="63" spans="1:21" s="1988" customFormat="1" ht="20.25" customHeight="1">
      <c r="A63" s="2240"/>
      <c r="B63" s="2240"/>
      <c r="C63" s="2240"/>
      <c r="D63" s="2241"/>
      <c r="E63" s="2241"/>
      <c r="F63" s="2241"/>
      <c r="G63" s="2241"/>
      <c r="H63" s="2241"/>
      <c r="I63" s="2241"/>
      <c r="J63" s="2241"/>
      <c r="K63" s="2241"/>
      <c r="L63" s="2241"/>
      <c r="M63" s="2241"/>
      <c r="N63" s="2241"/>
    </row>
    <row r="64" spans="1:21" ht="42" customHeight="1"/>
    <row r="65" spans="4:14" ht="36" customHeight="1">
      <c r="D65" s="3352">
        <v>39</v>
      </c>
      <c r="E65" s="3352"/>
      <c r="F65" s="3352"/>
      <c r="G65" s="3352"/>
      <c r="H65" s="3352"/>
      <c r="I65" s="3352"/>
      <c r="J65" s="3352"/>
      <c r="K65" s="3352"/>
      <c r="L65" s="3352"/>
      <c r="M65" s="3352"/>
      <c r="N65" s="3352"/>
    </row>
    <row r="66" spans="4:14" ht="9.75" customHeight="1">
      <c r="D66" s="241"/>
      <c r="E66" s="242"/>
      <c r="F66" s="242"/>
      <c r="G66" s="243"/>
      <c r="H66" s="243"/>
      <c r="I66" s="243"/>
      <c r="J66" s="238"/>
      <c r="K66" s="240"/>
      <c r="M66" s="240"/>
    </row>
    <row r="68" spans="4:14">
      <c r="D68" s="240"/>
      <c r="G68" s="232"/>
      <c r="H68" s="232"/>
      <c r="I68" s="232"/>
      <c r="J68" s="232"/>
    </row>
    <row r="69" spans="4:14">
      <c r="D69" s="240"/>
      <c r="G69" s="232"/>
      <c r="H69" s="232"/>
      <c r="I69" s="232"/>
      <c r="J69" s="232"/>
    </row>
    <row r="70" spans="4:14">
      <c r="D70" s="240"/>
      <c r="G70" s="232"/>
      <c r="H70" s="232"/>
      <c r="I70" s="232"/>
      <c r="J70" s="232"/>
    </row>
    <row r="71" spans="4:14">
      <c r="D71" s="240"/>
      <c r="G71" s="232"/>
      <c r="H71" s="232"/>
      <c r="I71" s="232"/>
      <c r="J71" s="232"/>
    </row>
    <row r="72" spans="4:14">
      <c r="D72" s="240"/>
      <c r="G72" s="232"/>
      <c r="H72" s="232"/>
      <c r="I72" s="232"/>
      <c r="J72" s="232"/>
    </row>
    <row r="73" spans="4:14">
      <c r="D73" s="240"/>
      <c r="G73" s="232"/>
      <c r="H73" s="232"/>
      <c r="I73" s="232"/>
      <c r="J73" s="232"/>
    </row>
    <row r="74" spans="4:14">
      <c r="D74" s="240"/>
      <c r="G74" s="232"/>
      <c r="H74" s="232"/>
      <c r="I74" s="232"/>
      <c r="J74" s="232"/>
    </row>
    <row r="75" spans="4:14">
      <c r="D75" s="240"/>
      <c r="G75" s="232"/>
      <c r="H75" s="232"/>
      <c r="I75" s="232"/>
      <c r="J75" s="232"/>
    </row>
    <row r="76" spans="4:14">
      <c r="D76" s="240"/>
      <c r="G76" s="232"/>
      <c r="H76" s="232"/>
      <c r="I76" s="232"/>
      <c r="J76" s="232"/>
    </row>
    <row r="77" spans="4:14">
      <c r="D77" s="240"/>
      <c r="G77" s="232"/>
      <c r="H77" s="232"/>
      <c r="I77" s="232"/>
      <c r="J77" s="232"/>
    </row>
    <row r="78" spans="4:14">
      <c r="D78" s="240"/>
      <c r="G78" s="232"/>
      <c r="H78" s="232"/>
      <c r="I78" s="232"/>
      <c r="J78" s="232"/>
    </row>
    <row r="79" spans="4:14">
      <c r="D79" s="240"/>
      <c r="G79" s="232"/>
      <c r="H79" s="232"/>
      <c r="I79" s="232"/>
      <c r="J79" s="232"/>
    </row>
    <row r="80" spans="4:14">
      <c r="D80" s="240"/>
      <c r="G80" s="232"/>
      <c r="H80" s="232"/>
      <c r="I80" s="232"/>
      <c r="J80" s="232"/>
    </row>
    <row r="81" spans="4:10">
      <c r="D81" s="240"/>
      <c r="G81" s="232"/>
      <c r="H81" s="232"/>
      <c r="I81" s="232"/>
      <c r="J81" s="232"/>
    </row>
    <row r="82" spans="4:10">
      <c r="D82" s="240"/>
      <c r="G82" s="232"/>
      <c r="H82" s="232"/>
      <c r="I82" s="232"/>
      <c r="J82" s="232"/>
    </row>
    <row r="83" spans="4:10" s="245" customFormat="1">
      <c r="D83" s="244"/>
    </row>
    <row r="84" spans="4:10" s="245" customFormat="1">
      <c r="D84" s="240"/>
    </row>
    <row r="85" spans="4:10">
      <c r="G85" s="232"/>
      <c r="H85" s="232"/>
      <c r="I85" s="232"/>
      <c r="J85" s="232"/>
    </row>
    <row r="86" spans="4:10">
      <c r="G86" s="232"/>
      <c r="H86" s="232"/>
      <c r="I86" s="232"/>
      <c r="J86" s="232"/>
    </row>
    <row r="87" spans="4:10">
      <c r="G87" s="232"/>
      <c r="H87" s="232"/>
      <c r="I87" s="232"/>
      <c r="J87" s="232"/>
    </row>
    <row r="88" spans="4:10">
      <c r="G88" s="232"/>
      <c r="H88" s="232"/>
      <c r="I88" s="232"/>
      <c r="J88" s="232"/>
    </row>
    <row r="89" spans="4:10">
      <c r="G89" s="232"/>
      <c r="H89" s="232"/>
      <c r="I89" s="232"/>
      <c r="J89" s="232"/>
    </row>
    <row r="90" spans="4:10">
      <c r="G90" s="232"/>
      <c r="H90" s="232"/>
      <c r="I90" s="232"/>
      <c r="J90" s="232"/>
    </row>
    <row r="91" spans="4:10">
      <c r="G91" s="232"/>
      <c r="H91" s="232"/>
      <c r="I91" s="232"/>
      <c r="J91" s="232"/>
    </row>
    <row r="92" spans="4:10">
      <c r="G92" s="232"/>
      <c r="H92" s="232"/>
      <c r="I92" s="232"/>
      <c r="J92" s="232"/>
    </row>
    <row r="93" spans="4:10">
      <c r="G93" s="232"/>
      <c r="H93" s="232"/>
      <c r="I93" s="232"/>
      <c r="J93" s="232"/>
    </row>
    <row r="94" spans="4:10">
      <c r="G94" s="232"/>
      <c r="H94" s="232"/>
      <c r="I94" s="232"/>
      <c r="J94" s="232"/>
    </row>
    <row r="95" spans="4:10">
      <c r="G95" s="232"/>
      <c r="H95" s="232"/>
      <c r="I95" s="232"/>
      <c r="J95" s="232"/>
    </row>
    <row r="96" spans="4:10">
      <c r="G96" s="232"/>
      <c r="H96" s="232"/>
      <c r="I96" s="232"/>
      <c r="J96" s="232"/>
    </row>
    <row r="97" spans="7:10">
      <c r="G97" s="232"/>
      <c r="H97" s="232"/>
      <c r="I97" s="232"/>
      <c r="J97" s="232"/>
    </row>
    <row r="98" spans="7:10">
      <c r="G98" s="232"/>
      <c r="H98" s="232"/>
      <c r="I98" s="232"/>
      <c r="J98" s="232"/>
    </row>
    <row r="99" spans="7:10">
      <c r="G99" s="232"/>
      <c r="H99" s="232"/>
      <c r="I99" s="232"/>
      <c r="J99" s="232"/>
    </row>
    <row r="100" spans="7:10">
      <c r="G100" s="232"/>
      <c r="H100" s="232"/>
      <c r="I100" s="232"/>
      <c r="J100" s="232"/>
    </row>
    <row r="101" spans="7:10">
      <c r="G101" s="232"/>
      <c r="H101" s="232"/>
      <c r="I101" s="232"/>
      <c r="J101" s="232"/>
    </row>
    <row r="102" spans="7:10">
      <c r="G102" s="232"/>
      <c r="H102" s="232"/>
      <c r="I102" s="232"/>
      <c r="J102" s="232"/>
    </row>
    <row r="103" spans="7:10">
      <c r="G103" s="232"/>
      <c r="H103" s="232"/>
      <c r="I103" s="232"/>
      <c r="J103" s="232"/>
    </row>
    <row r="104" spans="7:10">
      <c r="G104" s="232"/>
      <c r="H104" s="232"/>
      <c r="I104" s="232"/>
      <c r="J104" s="232"/>
    </row>
    <row r="105" spans="7:10">
      <c r="G105" s="232"/>
      <c r="H105" s="232"/>
      <c r="I105" s="232"/>
      <c r="J105" s="232"/>
    </row>
    <row r="106" spans="7:10">
      <c r="G106" s="232"/>
      <c r="H106" s="232"/>
      <c r="I106" s="232"/>
      <c r="J106" s="232"/>
    </row>
    <row r="107" spans="7:10">
      <c r="G107" s="232"/>
      <c r="H107" s="232"/>
      <c r="I107" s="232"/>
      <c r="J107" s="232"/>
    </row>
    <row r="108" spans="7:10">
      <c r="G108" s="232"/>
      <c r="H108" s="232"/>
      <c r="I108" s="232"/>
      <c r="J108" s="232"/>
    </row>
    <row r="109" spans="7:10">
      <c r="G109" s="232"/>
      <c r="H109" s="232"/>
      <c r="I109" s="232"/>
      <c r="J109" s="232"/>
    </row>
    <row r="110" spans="7:10">
      <c r="G110" s="232"/>
      <c r="H110" s="232"/>
      <c r="I110" s="232"/>
      <c r="J110" s="232"/>
    </row>
    <row r="111" spans="7:10">
      <c r="G111" s="232"/>
      <c r="H111" s="232"/>
      <c r="I111" s="232"/>
      <c r="J111" s="232"/>
    </row>
    <row r="112" spans="7:10">
      <c r="G112" s="232"/>
      <c r="H112" s="232"/>
      <c r="I112" s="232"/>
      <c r="J112" s="232"/>
    </row>
  </sheetData>
  <mergeCells count="41">
    <mergeCell ref="D65:N65"/>
    <mergeCell ref="D9:D10"/>
    <mergeCell ref="E9:E10"/>
    <mergeCell ref="F9:F10"/>
    <mergeCell ref="G9:G10"/>
    <mergeCell ref="D18:E18"/>
    <mergeCell ref="D28:E28"/>
    <mergeCell ref="D48:E48"/>
    <mergeCell ref="D58:E58"/>
    <mergeCell ref="C33:N33"/>
    <mergeCell ref="J9:L9"/>
    <mergeCell ref="M9:M10"/>
    <mergeCell ref="N9:N10"/>
    <mergeCell ref="C34:N34"/>
    <mergeCell ref="C35:N35"/>
    <mergeCell ref="D49:N49"/>
    <mergeCell ref="C6:N6"/>
    <mergeCell ref="C7:N7"/>
    <mergeCell ref="D60:N60"/>
    <mergeCell ref="C2:N2"/>
    <mergeCell ref="C3:N3"/>
    <mergeCell ref="C4:N4"/>
    <mergeCell ref="C32:N32"/>
    <mergeCell ref="C38:N38"/>
    <mergeCell ref="C37:N37"/>
    <mergeCell ref="D40:D41"/>
    <mergeCell ref="E40:E41"/>
    <mergeCell ref="F40:F41"/>
    <mergeCell ref="G40:G41"/>
    <mergeCell ref="J40:L40"/>
    <mergeCell ref="M40:M41"/>
    <mergeCell ref="N40:N41"/>
    <mergeCell ref="D53:E53"/>
    <mergeCell ref="D59:N59"/>
    <mergeCell ref="D50:D51"/>
    <mergeCell ref="E50:E51"/>
    <mergeCell ref="F50:F51"/>
    <mergeCell ref="G50:G51"/>
    <mergeCell ref="J50:L50"/>
    <mergeCell ref="M50:M51"/>
    <mergeCell ref="N50:N51"/>
  </mergeCells>
  <printOptions horizontalCentered="1"/>
  <pageMargins left="0.17" right="0.15748031496063" top="0.31496062992126" bottom="0.18" header="0.31496062992126" footer="0.2"/>
  <pageSetup paperSize="9" scale="48" orientation="landscape" r:id="rId1"/>
  <rowBreaks count="1" manualBreakCount="1">
    <brk id="32" min="2"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Y77"/>
  <sheetViews>
    <sheetView rightToLeft="1" view="pageBreakPreview" zoomScale="33" zoomScaleNormal="100" zoomScaleSheetLayoutView="33" workbookViewId="0">
      <selection activeCell="C18" sqref="C18:L19"/>
    </sheetView>
  </sheetViews>
  <sheetFormatPr defaultColWidth="13.375" defaultRowHeight="61.5" customHeight="1"/>
  <cols>
    <col min="1" max="1" width="6.625" style="768" bestFit="1" customWidth="1"/>
    <col min="2" max="2" width="25" style="768" bestFit="1" customWidth="1"/>
    <col min="3" max="3" width="14.375" style="801" bestFit="1" customWidth="1"/>
    <col min="4" max="4" width="4.125" style="801" bestFit="1" customWidth="1"/>
    <col min="5" max="6" width="4.125" style="768" bestFit="1" customWidth="1"/>
    <col min="7" max="10" width="13.375" style="768"/>
    <col min="11" max="11" width="4.125" style="768" bestFit="1" customWidth="1"/>
    <col min="12" max="12" width="12.125" style="768" bestFit="1" customWidth="1"/>
    <col min="13" max="13" width="17.875" style="933" bestFit="1" customWidth="1"/>
    <col min="14" max="14" width="4.125" style="931" bestFit="1" customWidth="1"/>
    <col min="15" max="15" width="21.75" style="932" bestFit="1" customWidth="1"/>
    <col min="16" max="16" width="4.125" style="932" bestFit="1" customWidth="1"/>
    <col min="17" max="17" width="19.5" style="932" bestFit="1" customWidth="1"/>
    <col min="18" max="18" width="13.375" style="779" customWidth="1"/>
    <col min="19" max="19" width="24.375" style="802" bestFit="1" customWidth="1"/>
    <col min="20" max="20" width="4.125" style="768" bestFit="1" customWidth="1"/>
    <col min="21" max="21" width="21.75" style="779" bestFit="1" customWidth="1"/>
    <col min="22" max="22" width="4.125" style="779" bestFit="1" customWidth="1"/>
    <col min="23" max="23" width="19.5" style="779" bestFit="1" customWidth="1"/>
    <col min="24" max="25" width="13.375" style="779"/>
    <col min="26" max="26" width="15.75" style="779" bestFit="1" customWidth="1"/>
    <col min="27" max="27" width="4.125" style="779" bestFit="1" customWidth="1"/>
    <col min="28" max="28" width="16" style="779" bestFit="1" customWidth="1"/>
    <col min="29" max="29" width="4.125" style="779" bestFit="1" customWidth="1"/>
    <col min="30" max="30" width="19.5" style="779" bestFit="1" customWidth="1"/>
    <col min="31" max="31" width="13.375" style="779"/>
    <col min="32" max="32" width="11.75" style="779" bestFit="1" customWidth="1"/>
    <col min="33" max="33" width="4.125" style="779" bestFit="1" customWidth="1"/>
    <col min="34" max="34" width="16" style="779" bestFit="1" customWidth="1"/>
    <col min="35" max="35" width="4.125" style="779" bestFit="1" customWidth="1"/>
    <col min="36" max="36" width="19.5" style="779" bestFit="1" customWidth="1"/>
    <col min="37" max="38" width="13.375" style="779"/>
    <col min="39" max="39" width="13.375" style="768"/>
    <col min="40" max="40" width="45.75" style="768" bestFit="1" customWidth="1"/>
    <col min="41" max="41" width="31.75" style="931" customWidth="1"/>
    <col min="42" max="42" width="24.25" style="768" bestFit="1" customWidth="1"/>
    <col min="43" max="43" width="22.875" style="768" bestFit="1" customWidth="1"/>
    <col min="44" max="46" width="22.625" style="768" bestFit="1" customWidth="1"/>
    <col min="47" max="49" width="24.625" style="768" bestFit="1" customWidth="1"/>
    <col min="50" max="50" width="24.75" style="768" bestFit="1" customWidth="1"/>
    <col min="51" max="51" width="24.625" style="768" bestFit="1" customWidth="1"/>
    <col min="52" max="16384" width="13.375" style="768"/>
  </cols>
  <sheetData>
    <row r="1" spans="1:51" ht="61.5" customHeight="1">
      <c r="A1" s="803" t="s">
        <v>784</v>
      </c>
      <c r="B1" s="803"/>
      <c r="C1" s="803"/>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767"/>
      <c r="AN1" s="769" t="s">
        <v>858</v>
      </c>
      <c r="AO1" s="770" t="s">
        <v>1679</v>
      </c>
      <c r="AP1" s="770" t="s">
        <v>1469</v>
      </c>
      <c r="AQ1" s="770" t="s">
        <v>1272</v>
      </c>
      <c r="AR1" s="770" t="s">
        <v>1271</v>
      </c>
      <c r="AS1" s="770" t="s">
        <v>1273</v>
      </c>
      <c r="AT1" s="770" t="s">
        <v>1163</v>
      </c>
      <c r="AU1" s="770" t="s">
        <v>924</v>
      </c>
      <c r="AV1" s="770" t="s">
        <v>861</v>
      </c>
      <c r="AW1" s="770" t="s">
        <v>860</v>
      </c>
      <c r="AX1" s="770" t="s">
        <v>859</v>
      </c>
      <c r="AY1" s="770" t="s">
        <v>872</v>
      </c>
    </row>
    <row r="2" spans="1:51" s="774" customFormat="1" ht="61.5" customHeight="1">
      <c r="A2" s="771" t="s">
        <v>61</v>
      </c>
      <c r="B2" s="3367" t="s">
        <v>782</v>
      </c>
      <c r="C2" s="3367"/>
      <c r="D2" s="3367"/>
      <c r="E2" s="3367"/>
      <c r="F2" s="3367"/>
      <c r="G2" s="3367"/>
      <c r="H2" s="3367"/>
      <c r="I2" s="3367"/>
      <c r="J2" s="3367"/>
      <c r="K2" s="3367"/>
      <c r="L2" s="3367"/>
      <c r="M2" s="3378" t="s">
        <v>1680</v>
      </c>
      <c r="N2" s="3378"/>
      <c r="O2" s="3378"/>
      <c r="P2" s="3378"/>
      <c r="Q2" s="3378"/>
      <c r="R2" s="803"/>
      <c r="S2" s="3378" t="s">
        <v>1468</v>
      </c>
      <c r="T2" s="3378"/>
      <c r="U2" s="3378"/>
      <c r="V2" s="3378"/>
      <c r="W2" s="3378"/>
      <c r="X2" s="772"/>
      <c r="Y2" s="3378">
        <v>1393</v>
      </c>
      <c r="Z2" s="3378"/>
      <c r="AA2" s="3378"/>
      <c r="AB2" s="3378"/>
      <c r="AC2" s="3378"/>
      <c r="AD2" s="3378"/>
      <c r="AE2" s="773"/>
      <c r="AF2" s="3378">
        <v>1392</v>
      </c>
      <c r="AG2" s="3378"/>
      <c r="AH2" s="3378"/>
      <c r="AI2" s="3378"/>
      <c r="AJ2" s="3378"/>
      <c r="AK2" s="3378"/>
      <c r="AL2" s="772"/>
      <c r="AN2" s="775" t="s">
        <v>365</v>
      </c>
      <c r="AO2" s="937" t="s">
        <v>1681</v>
      </c>
      <c r="AP2" s="776">
        <f>'2'!F10</f>
        <v>1610503</v>
      </c>
      <c r="AQ2" s="776">
        <f>'2'!H10</f>
        <v>399069</v>
      </c>
      <c r="AR2" s="776">
        <v>385970</v>
      </c>
      <c r="AS2" s="776">
        <v>411058</v>
      </c>
      <c r="AT2" s="776">
        <v>349439</v>
      </c>
      <c r="AU2" s="776" t="e">
        <f>#REF!</f>
        <v>#REF!</v>
      </c>
      <c r="AV2" s="776">
        <v>384022</v>
      </c>
      <c r="AW2" s="777">
        <v>321084</v>
      </c>
      <c r="AX2" s="777">
        <v>365157</v>
      </c>
      <c r="AY2" s="776">
        <v>348166</v>
      </c>
    </row>
    <row r="3" spans="1:51" ht="61.5" customHeight="1">
      <c r="A3" s="3367">
        <v>1</v>
      </c>
      <c r="B3" s="778" t="s">
        <v>785</v>
      </c>
      <c r="C3" s="3374" t="s">
        <v>786</v>
      </c>
      <c r="D3" s="3360" t="s">
        <v>787</v>
      </c>
      <c r="E3" s="3377" t="s">
        <v>816</v>
      </c>
      <c r="F3" s="3377"/>
      <c r="G3" s="3377"/>
      <c r="H3" s="3377"/>
      <c r="I3" s="3377"/>
      <c r="J3" s="3377"/>
      <c r="K3" s="3377"/>
      <c r="L3" s="3377"/>
      <c r="M3" s="3361" t="e">
        <f>(Q3+O3)/O4</f>
        <v>#VALUE!</v>
      </c>
      <c r="N3" s="3360" t="s">
        <v>787</v>
      </c>
      <c r="O3" s="935">
        <f>AI2</f>
        <v>0</v>
      </c>
      <c r="P3" s="935" t="s">
        <v>817</v>
      </c>
      <c r="Q3" s="935" t="e">
        <f>AI2+AI3</f>
        <v>#VALUE!</v>
      </c>
      <c r="S3" s="3361">
        <f>(W3+U3)/U4</f>
        <v>1.0872495950758752</v>
      </c>
      <c r="T3" s="3360" t="s">
        <v>787</v>
      </c>
      <c r="U3" s="780">
        <f>AP2</f>
        <v>1610503</v>
      </c>
      <c r="V3" s="780" t="s">
        <v>817</v>
      </c>
      <c r="W3" s="780">
        <f>AP2+AP3</f>
        <v>11740336</v>
      </c>
      <c r="X3" s="781"/>
      <c r="Y3" s="781"/>
      <c r="Z3" s="3362">
        <f>(AD3+AB3)/AB4</f>
        <v>1.3364646855255982</v>
      </c>
      <c r="AA3" s="3359" t="s">
        <v>787</v>
      </c>
      <c r="AB3" s="785">
        <f>AQ2</f>
        <v>399069</v>
      </c>
      <c r="AC3" s="780" t="s">
        <v>817</v>
      </c>
      <c r="AD3" s="785">
        <f>AQ2+AQ3</f>
        <v>8835485</v>
      </c>
      <c r="AE3" s="781"/>
      <c r="AF3" s="3361">
        <f>(AJ3+AH3)/AH4</f>
        <v>0.90164103585202882</v>
      </c>
      <c r="AG3" s="3359" t="s">
        <v>787</v>
      </c>
      <c r="AH3" s="782">
        <f>AR2</f>
        <v>385970</v>
      </c>
      <c r="AI3" s="782" t="s">
        <v>817</v>
      </c>
      <c r="AJ3" s="782">
        <f>AR2+AR3</f>
        <v>4830577</v>
      </c>
      <c r="AN3" s="775" t="s">
        <v>519</v>
      </c>
      <c r="AO3" s="938"/>
      <c r="AP3" s="776">
        <f>'2'!F11</f>
        <v>10129833</v>
      </c>
      <c r="AQ3" s="776">
        <v>8436416</v>
      </c>
      <c r="AR3" s="776">
        <v>4444607</v>
      </c>
      <c r="AS3" s="776">
        <v>1882717</v>
      </c>
      <c r="AT3" s="776">
        <v>1357470</v>
      </c>
      <c r="AU3" s="776">
        <v>1368276</v>
      </c>
      <c r="AV3" s="776">
        <v>2121894</v>
      </c>
      <c r="AW3" s="777">
        <v>1059893</v>
      </c>
      <c r="AX3" s="777">
        <v>1093961</v>
      </c>
      <c r="AY3" s="776">
        <v>1445308</v>
      </c>
    </row>
    <row r="4" spans="1:51" ht="61.5" customHeight="1">
      <c r="A4" s="3367"/>
      <c r="B4" s="783" t="s">
        <v>788</v>
      </c>
      <c r="C4" s="3374"/>
      <c r="D4" s="3360"/>
      <c r="E4" s="3369" t="s">
        <v>814</v>
      </c>
      <c r="F4" s="3369"/>
      <c r="G4" s="3369"/>
      <c r="H4" s="3369"/>
      <c r="I4" s="3369"/>
      <c r="J4" s="3369"/>
      <c r="K4" s="3369"/>
      <c r="L4" s="3369"/>
      <c r="M4" s="3361"/>
      <c r="N4" s="3360"/>
      <c r="O4" s="3379">
        <f>AI23</f>
        <v>0</v>
      </c>
      <c r="P4" s="3379"/>
      <c r="Q4" s="3379"/>
      <c r="S4" s="3361"/>
      <c r="T4" s="3360"/>
      <c r="U4" s="3366">
        <f>AP23</f>
        <v>12279461</v>
      </c>
      <c r="V4" s="3366"/>
      <c r="W4" s="3366"/>
      <c r="X4" s="784"/>
      <c r="Y4" s="784"/>
      <c r="Z4" s="3362"/>
      <c r="AA4" s="3359"/>
      <c r="AB4" s="3366">
        <f>AQ23</f>
        <v>6909688</v>
      </c>
      <c r="AC4" s="3366"/>
      <c r="AD4" s="3366"/>
      <c r="AE4" s="784"/>
      <c r="AF4" s="3361"/>
      <c r="AG4" s="3359"/>
      <c r="AH4" s="3359">
        <f>AR23</f>
        <v>5785614</v>
      </c>
      <c r="AI4" s="3359"/>
      <c r="AJ4" s="3359"/>
      <c r="AN4" s="775" t="s">
        <v>94</v>
      </c>
      <c r="AO4" s="938"/>
      <c r="AP4" s="776">
        <f>'2'!F12</f>
        <v>4484864</v>
      </c>
      <c r="AQ4" s="776">
        <f>'2'!H12</f>
        <v>4280630</v>
      </c>
      <c r="AR4" s="776">
        <v>1302155</v>
      </c>
      <c r="AS4" s="776">
        <v>1685803</v>
      </c>
      <c r="AT4" s="776">
        <v>188431</v>
      </c>
      <c r="AU4" s="776">
        <v>162848</v>
      </c>
      <c r="AV4" s="776">
        <v>208375</v>
      </c>
      <c r="AW4" s="777">
        <v>175055</v>
      </c>
      <c r="AX4" s="777">
        <v>121995</v>
      </c>
      <c r="AY4" s="776">
        <v>164689</v>
      </c>
    </row>
    <row r="5" spans="1:51" ht="61.5" customHeight="1">
      <c r="A5" s="3367"/>
      <c r="B5" s="3371" t="s">
        <v>790</v>
      </c>
      <c r="C5" s="3374" t="s">
        <v>791</v>
      </c>
      <c r="D5" s="3360" t="s">
        <v>787</v>
      </c>
      <c r="E5" s="3375" t="s">
        <v>792</v>
      </c>
      <c r="F5" s="3375"/>
      <c r="G5" s="3375"/>
      <c r="H5" s="3375"/>
      <c r="I5" s="3375"/>
      <c r="J5" s="3375"/>
      <c r="K5" s="3375"/>
      <c r="L5" s="3375"/>
      <c r="M5" s="3361" t="e">
        <f>O5/O6</f>
        <v>#DIV/0!</v>
      </c>
      <c r="N5" s="3360" t="s">
        <v>787</v>
      </c>
      <c r="O5" s="935">
        <f>AI7</f>
        <v>0</v>
      </c>
      <c r="S5" s="3361">
        <f>U5/U6</f>
        <v>1.3585494509897462</v>
      </c>
      <c r="T5" s="3360" t="s">
        <v>787</v>
      </c>
      <c r="U5" s="780">
        <f>AP7</f>
        <v>16682255</v>
      </c>
      <c r="Z5" s="3362">
        <f>AB5/AB6</f>
        <v>2.0516680347940457</v>
      </c>
      <c r="AA5" s="3359" t="s">
        <v>787</v>
      </c>
      <c r="AB5" s="3358">
        <f>AQ7</f>
        <v>14176386</v>
      </c>
      <c r="AC5" s="3358"/>
      <c r="AD5" s="3358"/>
      <c r="AF5" s="3361">
        <f>AH5/AH6</f>
        <v>1.2597478850127228</v>
      </c>
      <c r="AG5" s="3359" t="s">
        <v>787</v>
      </c>
      <c r="AH5" s="3358">
        <f>AR7</f>
        <v>7288415</v>
      </c>
      <c r="AI5" s="3358"/>
      <c r="AJ5" s="3358"/>
      <c r="AN5" s="775" t="s">
        <v>367</v>
      </c>
      <c r="AO5" s="938"/>
      <c r="AP5" s="776">
        <f>'2'!F13</f>
        <v>457055</v>
      </c>
      <c r="AQ5" s="776">
        <v>1060271</v>
      </c>
      <c r="AR5" s="776">
        <v>1155683</v>
      </c>
      <c r="AS5" s="776">
        <v>544553</v>
      </c>
      <c r="AT5" s="776">
        <v>1584232</v>
      </c>
      <c r="AU5" s="776">
        <v>1877692</v>
      </c>
      <c r="AV5" s="776">
        <v>1536051</v>
      </c>
      <c r="AW5" s="777">
        <v>1250956</v>
      </c>
      <c r="AX5" s="777">
        <v>1412639</v>
      </c>
      <c r="AY5" s="776">
        <v>1133775</v>
      </c>
    </row>
    <row r="6" spans="1:51" ht="61.5" customHeight="1">
      <c r="A6" s="3367"/>
      <c r="B6" s="3371"/>
      <c r="C6" s="3374"/>
      <c r="D6" s="3360"/>
      <c r="E6" s="3381" t="s">
        <v>789</v>
      </c>
      <c r="F6" s="3381"/>
      <c r="G6" s="3381"/>
      <c r="H6" s="3381"/>
      <c r="I6" s="3381"/>
      <c r="J6" s="3381"/>
      <c r="K6" s="3381"/>
      <c r="L6" s="3381"/>
      <c r="M6" s="3361"/>
      <c r="N6" s="3360"/>
      <c r="O6" s="934">
        <f>AI23</f>
        <v>0</v>
      </c>
      <c r="S6" s="3361"/>
      <c r="T6" s="3360"/>
      <c r="U6" s="784">
        <f>AP23</f>
        <v>12279461</v>
      </c>
      <c r="Z6" s="3362"/>
      <c r="AA6" s="3359"/>
      <c r="AB6" s="3359">
        <f>AQ23</f>
        <v>6909688</v>
      </c>
      <c r="AC6" s="3359"/>
      <c r="AD6" s="3359"/>
      <c r="AF6" s="3361"/>
      <c r="AG6" s="3359"/>
      <c r="AH6" s="3359">
        <f>AR23</f>
        <v>5785614</v>
      </c>
      <c r="AI6" s="3359"/>
      <c r="AJ6" s="3359"/>
      <c r="AN6" s="775"/>
      <c r="AO6" s="938"/>
      <c r="AP6" s="776"/>
      <c r="AQ6" s="776"/>
      <c r="AR6" s="776">
        <v>0</v>
      </c>
      <c r="AS6" s="776"/>
      <c r="AT6" s="776">
        <v>372903</v>
      </c>
      <c r="AU6" s="776"/>
      <c r="AV6" s="776">
        <v>400601</v>
      </c>
      <c r="AW6" s="777">
        <v>219896</v>
      </c>
      <c r="AX6" s="777">
        <v>50561</v>
      </c>
      <c r="AY6" s="776">
        <f>561889+17843</f>
        <v>579732</v>
      </c>
    </row>
    <row r="7" spans="1:51" ht="61.5" customHeight="1">
      <c r="A7" s="3367">
        <v>2</v>
      </c>
      <c r="B7" s="786" t="s">
        <v>793</v>
      </c>
      <c r="C7" s="3374" t="s">
        <v>794</v>
      </c>
      <c r="D7" s="3360" t="s">
        <v>787</v>
      </c>
      <c r="E7" s="3368" t="s">
        <v>522</v>
      </c>
      <c r="F7" s="3368"/>
      <c r="G7" s="3368"/>
      <c r="H7" s="3368"/>
      <c r="I7" s="3368"/>
      <c r="J7" s="3368"/>
      <c r="K7" s="3368"/>
      <c r="L7" s="3368"/>
      <c r="M7" s="3361" t="e">
        <f>O7/O8</f>
        <v>#DIV/0!</v>
      </c>
      <c r="N7" s="3360" t="s">
        <v>787</v>
      </c>
      <c r="O7" s="935">
        <f>AI30</f>
        <v>0</v>
      </c>
      <c r="S7" s="3361" t="e">
        <f>U7/U8</f>
        <v>#REF!</v>
      </c>
      <c r="T7" s="3360" t="s">
        <v>787</v>
      </c>
      <c r="U7" s="780" t="e">
        <f>AP30</f>
        <v>#REF!</v>
      </c>
      <c r="Z7" s="3362" t="e">
        <f>AB7/AB8</f>
        <v>#REF!</v>
      </c>
      <c r="AA7" s="3359" t="s">
        <v>787</v>
      </c>
      <c r="AB7" s="3358" t="e">
        <f>AQ30</f>
        <v>#REF!</v>
      </c>
      <c r="AC7" s="3358"/>
      <c r="AD7" s="3358"/>
      <c r="AF7" s="3361">
        <f>AH7/AH8</f>
        <v>0.63067154362677813</v>
      </c>
      <c r="AG7" s="3359" t="s">
        <v>787</v>
      </c>
      <c r="AH7" s="3358">
        <f>AR30</f>
        <v>16658555</v>
      </c>
      <c r="AI7" s="3358"/>
      <c r="AJ7" s="3358"/>
      <c r="AN7" s="787" t="s">
        <v>531</v>
      </c>
      <c r="AO7" s="939"/>
      <c r="AP7" s="789">
        <f>'2'!F14</f>
        <v>16682255</v>
      </c>
      <c r="AQ7" s="789">
        <f>SUM(AQ2:AQ6)</f>
        <v>14176386</v>
      </c>
      <c r="AR7" s="789">
        <f>SUM(AR2:AR6)</f>
        <v>7288415</v>
      </c>
      <c r="AS7" s="789">
        <f>SUM(AS2:AS6)</f>
        <v>4524131</v>
      </c>
      <c r="AT7" s="789">
        <f t="shared" ref="AT7:AY7" si="0">SUM(AT2:AT6)</f>
        <v>3852475</v>
      </c>
      <c r="AU7" s="789" t="e">
        <f t="shared" si="0"/>
        <v>#REF!</v>
      </c>
      <c r="AV7" s="789">
        <f t="shared" si="0"/>
        <v>4650943</v>
      </c>
      <c r="AW7" s="789">
        <f t="shared" si="0"/>
        <v>3026884</v>
      </c>
      <c r="AX7" s="789">
        <f t="shared" si="0"/>
        <v>3044313</v>
      </c>
      <c r="AY7" s="789">
        <f t="shared" si="0"/>
        <v>3671670</v>
      </c>
    </row>
    <row r="8" spans="1:51" ht="61.5" customHeight="1">
      <c r="A8" s="3367"/>
      <c r="B8" s="783" t="s">
        <v>795</v>
      </c>
      <c r="C8" s="3374"/>
      <c r="D8" s="3360"/>
      <c r="E8" s="3369" t="s">
        <v>796</v>
      </c>
      <c r="F8" s="3369"/>
      <c r="G8" s="3369"/>
      <c r="H8" s="3369"/>
      <c r="I8" s="3369"/>
      <c r="J8" s="3369"/>
      <c r="K8" s="3369"/>
      <c r="L8" s="3369"/>
      <c r="M8" s="3361"/>
      <c r="N8" s="3360"/>
      <c r="O8" s="934">
        <f>AI15</f>
        <v>0</v>
      </c>
      <c r="S8" s="3361"/>
      <c r="T8" s="3360"/>
      <c r="U8" s="784">
        <f>AP15</f>
        <v>109323662</v>
      </c>
      <c r="Z8" s="3362"/>
      <c r="AA8" s="3359"/>
      <c r="AB8" s="3359">
        <f>AQ15</f>
        <v>35647361</v>
      </c>
      <c r="AC8" s="3359"/>
      <c r="AD8" s="3359"/>
      <c r="AF8" s="3361"/>
      <c r="AG8" s="3359"/>
      <c r="AH8" s="3359">
        <f>AR15</f>
        <v>26413995</v>
      </c>
      <c r="AI8" s="3359"/>
      <c r="AJ8" s="3359"/>
      <c r="AN8" s="769" t="s">
        <v>141</v>
      </c>
      <c r="AO8" s="940"/>
      <c r="AP8" s="776"/>
      <c r="AQ8" s="776"/>
      <c r="AR8" s="776"/>
      <c r="AS8" s="776"/>
      <c r="AT8" s="776"/>
      <c r="AU8" s="776"/>
      <c r="AV8" s="776"/>
      <c r="AW8" s="777"/>
      <c r="AX8" s="777"/>
      <c r="AY8" s="776"/>
    </row>
    <row r="9" spans="1:51" ht="61.5" customHeight="1">
      <c r="A9" s="3367"/>
      <c r="B9" s="3371" t="s">
        <v>797</v>
      </c>
      <c r="C9" s="3374" t="s">
        <v>798</v>
      </c>
      <c r="D9" s="3360" t="s">
        <v>787</v>
      </c>
      <c r="E9" s="3375" t="s">
        <v>371</v>
      </c>
      <c r="F9" s="3375"/>
      <c r="G9" s="3375"/>
      <c r="H9" s="3375"/>
      <c r="I9" s="3375"/>
      <c r="J9" s="3375"/>
      <c r="K9" s="3375"/>
      <c r="L9" s="3375"/>
      <c r="M9" s="3361" t="e">
        <f>O9/O10</f>
        <v>#DIV/0!</v>
      </c>
      <c r="N9" s="3360" t="s">
        <v>787</v>
      </c>
      <c r="O9" s="935">
        <f>AI37</f>
        <v>0</v>
      </c>
      <c r="S9" s="3361" t="e">
        <f>U9/U10</f>
        <v>#REF!</v>
      </c>
      <c r="T9" s="3360" t="s">
        <v>787</v>
      </c>
      <c r="U9" s="780" t="e">
        <f>AP37</f>
        <v>#REF!</v>
      </c>
      <c r="Z9" s="3362">
        <f>AB9/AB10</f>
        <v>0.27448853787521604</v>
      </c>
      <c r="AA9" s="3359" t="s">
        <v>787</v>
      </c>
      <c r="AB9" s="3358">
        <f>AQ37</f>
        <v>9784792</v>
      </c>
      <c r="AC9" s="3358"/>
      <c r="AD9" s="3358"/>
      <c r="AF9" s="3361">
        <f>AH9/AH10</f>
        <v>0.36932846861862439</v>
      </c>
      <c r="AG9" s="3359" t="s">
        <v>787</v>
      </c>
      <c r="AH9" s="3358">
        <f>AR37</f>
        <v>9755440.323450001</v>
      </c>
      <c r="AI9" s="3358"/>
      <c r="AJ9" s="3358"/>
      <c r="AN9" s="775" t="s">
        <v>1054</v>
      </c>
      <c r="AO9" s="938"/>
      <c r="AP9" s="776">
        <f>'2'!F17</f>
        <v>48</v>
      </c>
      <c r="AQ9" s="776">
        <f>'2'!H17</f>
        <v>48</v>
      </c>
      <c r="AR9" s="776">
        <v>53</v>
      </c>
      <c r="AS9" s="776">
        <v>53</v>
      </c>
      <c r="AT9" s="776">
        <v>18200709</v>
      </c>
      <c r="AU9" s="776">
        <v>17691110</v>
      </c>
      <c r="AV9" s="776">
        <v>17676136</v>
      </c>
      <c r="AW9" s="777">
        <v>17125737</v>
      </c>
      <c r="AX9" s="777">
        <v>15821849</v>
      </c>
      <c r="AY9" s="776">
        <v>15274205</v>
      </c>
    </row>
    <row r="10" spans="1:51" ht="61.5" customHeight="1">
      <c r="A10" s="3367"/>
      <c r="B10" s="3371"/>
      <c r="C10" s="3374"/>
      <c r="D10" s="3360"/>
      <c r="E10" s="3369" t="s">
        <v>796</v>
      </c>
      <c r="F10" s="3369"/>
      <c r="G10" s="3369"/>
      <c r="H10" s="3369"/>
      <c r="I10" s="3369"/>
      <c r="J10" s="3369"/>
      <c r="K10" s="3369"/>
      <c r="L10" s="3369"/>
      <c r="M10" s="3361"/>
      <c r="N10" s="3360"/>
      <c r="O10" s="934">
        <f>AI15</f>
        <v>0</v>
      </c>
      <c r="S10" s="3361"/>
      <c r="T10" s="3360"/>
      <c r="U10" s="784">
        <f>AP15</f>
        <v>109323662</v>
      </c>
      <c r="Z10" s="3362"/>
      <c r="AA10" s="3359"/>
      <c r="AB10" s="3359">
        <f>AQ15</f>
        <v>35647361</v>
      </c>
      <c r="AC10" s="3359"/>
      <c r="AD10" s="3359"/>
      <c r="AF10" s="3361"/>
      <c r="AG10" s="3359"/>
      <c r="AH10" s="3359">
        <f>AR15</f>
        <v>26413995</v>
      </c>
      <c r="AI10" s="3359"/>
      <c r="AJ10" s="3359"/>
      <c r="AN10" s="775" t="s">
        <v>350</v>
      </c>
      <c r="AO10" s="938"/>
      <c r="AP10" s="776">
        <f>'2'!F18</f>
        <v>0</v>
      </c>
      <c r="AQ10" s="776">
        <f>'2'!H18</f>
        <v>161</v>
      </c>
      <c r="AR10" s="776">
        <v>46854</v>
      </c>
      <c r="AS10" s="776">
        <v>42844</v>
      </c>
      <c r="AT10" s="776">
        <v>43281</v>
      </c>
      <c r="AU10" s="776" t="e">
        <f>#REF!</f>
        <v>#REF!</v>
      </c>
      <c r="AV10" s="776">
        <v>14813</v>
      </c>
      <c r="AW10" s="777">
        <v>14743</v>
      </c>
      <c r="AX10" s="777">
        <v>10443</v>
      </c>
      <c r="AY10" s="776">
        <v>5394</v>
      </c>
    </row>
    <row r="11" spans="1:51" ht="61.5" customHeight="1">
      <c r="A11" s="803" t="s">
        <v>1477</v>
      </c>
      <c r="B11" s="803"/>
      <c r="C11" s="803"/>
      <c r="D11" s="803"/>
      <c r="E11" s="803"/>
      <c r="F11" s="803"/>
      <c r="G11" s="803"/>
      <c r="H11" s="803"/>
      <c r="I11" s="803"/>
      <c r="J11" s="803"/>
      <c r="K11" s="803"/>
      <c r="L11" s="803"/>
      <c r="M11" s="803"/>
      <c r="N11" s="803"/>
      <c r="O11" s="803"/>
      <c r="P11" s="803"/>
      <c r="Q11" s="803"/>
      <c r="R11" s="803"/>
      <c r="S11" s="803"/>
      <c r="T11" s="803"/>
      <c r="U11" s="803"/>
      <c r="V11" s="803"/>
      <c r="W11" s="803"/>
      <c r="X11" s="803"/>
      <c r="Y11" s="803"/>
      <c r="Z11" s="803"/>
      <c r="AA11" s="803"/>
      <c r="AB11" s="803"/>
      <c r="AC11" s="803"/>
      <c r="AD11" s="803"/>
      <c r="AE11" s="803"/>
      <c r="AF11" s="803"/>
      <c r="AG11" s="803"/>
      <c r="AH11" s="803"/>
      <c r="AI11" s="803"/>
      <c r="AJ11" s="803"/>
      <c r="AK11" s="803"/>
      <c r="AN11" s="775" t="s">
        <v>369</v>
      </c>
      <c r="AO11" s="938"/>
      <c r="AP11" s="776">
        <f>'2'!F19</f>
        <v>92641359</v>
      </c>
      <c r="AQ11" s="776">
        <v>21470766</v>
      </c>
      <c r="AR11" s="776">
        <v>18923311</v>
      </c>
      <c r="AS11" s="776">
        <v>18042143</v>
      </c>
      <c r="AT11" s="776">
        <v>54</v>
      </c>
      <c r="AU11" s="776">
        <v>19</v>
      </c>
      <c r="AV11" s="776"/>
      <c r="AW11" s="777"/>
      <c r="AX11" s="777"/>
      <c r="AY11" s="776"/>
    </row>
    <row r="12" spans="1:51" ht="61.5" customHeight="1">
      <c r="A12" s="3367">
        <v>3</v>
      </c>
      <c r="B12" s="778" t="s">
        <v>799</v>
      </c>
      <c r="C12" s="3374" t="s">
        <v>800</v>
      </c>
      <c r="D12" s="3360" t="s">
        <v>787</v>
      </c>
      <c r="E12" s="3375" t="s">
        <v>801</v>
      </c>
      <c r="F12" s="3375"/>
      <c r="G12" s="3375"/>
      <c r="H12" s="3375"/>
      <c r="I12" s="3375"/>
      <c r="J12" s="3375"/>
      <c r="K12" s="3375"/>
      <c r="L12" s="3375"/>
      <c r="M12" s="3364" t="e">
        <f>O12/O13</f>
        <v>#VALUE!</v>
      </c>
      <c r="N12" s="3360" t="s">
        <v>787</v>
      </c>
      <c r="O12" s="935" t="str">
        <f>'3'!A17</f>
        <v xml:space="preserve">سود(زیان) خالص  </v>
      </c>
      <c r="P12" s="781"/>
      <c r="Q12" s="781"/>
      <c r="S12" s="3364">
        <f>U12/U13</f>
        <v>0.47361200466503145</v>
      </c>
      <c r="T12" s="3360" t="s">
        <v>787</v>
      </c>
      <c r="U12" s="780">
        <f>'3'!G17</f>
        <v>25422387</v>
      </c>
      <c r="V12" s="781"/>
      <c r="W12" s="781"/>
      <c r="X12" s="781"/>
      <c r="Y12" s="781"/>
      <c r="Z12" s="3362">
        <f>AB12/AB13</f>
        <v>0.48847773464879074</v>
      </c>
      <c r="AA12" s="3359" t="s">
        <v>787</v>
      </c>
      <c r="AB12" s="3363">
        <f>AQ50</f>
        <v>18048488.439551242</v>
      </c>
      <c r="AC12" s="3363"/>
      <c r="AD12" s="3363"/>
      <c r="AE12" s="781"/>
      <c r="AF12" s="3362">
        <f>AH12/AH13</f>
        <v>8.0663159974302401E-3</v>
      </c>
      <c r="AG12" s="3359" t="s">
        <v>787</v>
      </c>
      <c r="AH12" s="3358">
        <f>AR50</f>
        <v>69167.117587500717</v>
      </c>
      <c r="AI12" s="3358"/>
      <c r="AJ12" s="3358"/>
      <c r="AN12" s="790" t="s">
        <v>1300</v>
      </c>
      <c r="AO12" s="941"/>
      <c r="AP12" s="776">
        <f>'2'!F16</f>
        <v>0</v>
      </c>
      <c r="AQ12" s="776">
        <f>'2'!H16</f>
        <v>0</v>
      </c>
      <c r="AR12" s="776">
        <v>155362</v>
      </c>
      <c r="AS12" s="776">
        <v>147923</v>
      </c>
      <c r="AT12" s="776">
        <v>105039</v>
      </c>
      <c r="AU12" s="776">
        <v>126575</v>
      </c>
      <c r="AV12" s="776">
        <v>27240</v>
      </c>
      <c r="AW12" s="777">
        <v>22208</v>
      </c>
      <c r="AX12" s="777">
        <v>23503</v>
      </c>
      <c r="AY12" s="776"/>
    </row>
    <row r="13" spans="1:51" ht="61.5" customHeight="1">
      <c r="A13" s="3367"/>
      <c r="B13" s="783" t="s">
        <v>802</v>
      </c>
      <c r="C13" s="3374"/>
      <c r="D13" s="3360"/>
      <c r="E13" s="3369" t="s">
        <v>803</v>
      </c>
      <c r="F13" s="3369"/>
      <c r="G13" s="3369"/>
      <c r="H13" s="3369"/>
      <c r="I13" s="3369"/>
      <c r="J13" s="3369"/>
      <c r="K13" s="3369"/>
      <c r="L13" s="3369"/>
      <c r="M13" s="3364"/>
      <c r="N13" s="3360"/>
      <c r="O13" s="934">
        <f>AI42</f>
        <v>0</v>
      </c>
      <c r="P13" s="934"/>
      <c r="Q13" s="934"/>
      <c r="S13" s="3364"/>
      <c r="T13" s="3360"/>
      <c r="U13" s="784">
        <f>AP42</f>
        <v>53677666</v>
      </c>
      <c r="V13" s="784"/>
      <c r="W13" s="784"/>
      <c r="X13" s="784"/>
      <c r="Y13" s="784"/>
      <c r="Z13" s="3362"/>
      <c r="AA13" s="3359"/>
      <c r="AB13" s="3366">
        <f>AQ42</f>
        <v>36948436.252734989</v>
      </c>
      <c r="AC13" s="3366"/>
      <c r="AD13" s="3366"/>
      <c r="AE13" s="784"/>
      <c r="AF13" s="3362"/>
      <c r="AG13" s="3359"/>
      <c r="AH13" s="3359">
        <f>AR42</f>
        <v>8574808.823450001</v>
      </c>
      <c r="AI13" s="3359"/>
      <c r="AJ13" s="3359"/>
      <c r="AN13" s="814" t="s">
        <v>143</v>
      </c>
      <c r="AO13" s="942"/>
      <c r="AP13" s="789">
        <f>'2'!F20</f>
        <v>92641407</v>
      </c>
      <c r="AQ13" s="789">
        <f>SUM(AQ9:AQ12)</f>
        <v>21470975</v>
      </c>
      <c r="AR13" s="789">
        <f>SUM(AR9:AR12)</f>
        <v>19125580</v>
      </c>
      <c r="AS13" s="789">
        <f>SUM(AS9:AS12)</f>
        <v>18232963</v>
      </c>
      <c r="AT13" s="789">
        <f t="shared" ref="AT13:AY13" si="1">SUM(AT9:AT12)</f>
        <v>18349083</v>
      </c>
      <c r="AU13" s="789" t="e">
        <f t="shared" si="1"/>
        <v>#REF!</v>
      </c>
      <c r="AV13" s="789">
        <f t="shared" si="1"/>
        <v>17718189</v>
      </c>
      <c r="AW13" s="789">
        <f t="shared" si="1"/>
        <v>17162688</v>
      </c>
      <c r="AX13" s="789">
        <f t="shared" si="1"/>
        <v>15855795</v>
      </c>
      <c r="AY13" s="789">
        <f t="shared" si="1"/>
        <v>15279599</v>
      </c>
    </row>
    <row r="14" spans="1:51" ht="61.5" customHeight="1">
      <c r="A14" s="3367"/>
      <c r="B14" s="3376" t="s">
        <v>804</v>
      </c>
      <c r="C14" s="3374" t="s">
        <v>805</v>
      </c>
      <c r="D14" s="3360" t="s">
        <v>787</v>
      </c>
      <c r="E14" s="3375" t="s">
        <v>801</v>
      </c>
      <c r="F14" s="3375"/>
      <c r="G14" s="3375"/>
      <c r="H14" s="3375"/>
      <c r="I14" s="3375"/>
      <c r="J14" s="3375"/>
      <c r="K14" s="3375"/>
      <c r="L14" s="3375"/>
      <c r="M14" s="3364" t="e">
        <f>O14/O15</f>
        <v>#VALUE!</v>
      </c>
      <c r="N14" s="3360" t="s">
        <v>787</v>
      </c>
      <c r="O14" s="935" t="str">
        <f>O12</f>
        <v xml:space="preserve">سود(زیان) خالص  </v>
      </c>
      <c r="P14" s="781"/>
      <c r="Q14" s="781"/>
      <c r="S14" s="3364">
        <f>U14/U15</f>
        <v>0.23254240239409471</v>
      </c>
      <c r="T14" s="3360" t="s">
        <v>787</v>
      </c>
      <c r="U14" s="780">
        <f>U12</f>
        <v>25422387</v>
      </c>
      <c r="V14" s="781"/>
      <c r="W14" s="781"/>
      <c r="X14" s="781"/>
      <c r="Y14" s="781"/>
      <c r="Z14" s="3362">
        <f>AB14/AB15</f>
        <v>0.50630643989470192</v>
      </c>
      <c r="AA14" s="3359" t="s">
        <v>787</v>
      </c>
      <c r="AB14" s="3363">
        <f>AB12</f>
        <v>18048488.439551242</v>
      </c>
      <c r="AC14" s="3363"/>
      <c r="AD14" s="3363"/>
      <c r="AE14" s="781"/>
      <c r="AF14" s="3362">
        <f>AH14/AH15</f>
        <v>2.6185784311498778E-3</v>
      </c>
      <c r="AG14" s="3359" t="s">
        <v>787</v>
      </c>
      <c r="AH14" s="3358">
        <f>AR50</f>
        <v>69167.117587500717</v>
      </c>
      <c r="AI14" s="3358"/>
      <c r="AJ14" s="3358"/>
      <c r="AN14" s="769"/>
      <c r="AO14" s="940"/>
      <c r="AP14" s="776"/>
      <c r="AQ14" s="776"/>
      <c r="AR14" s="776"/>
      <c r="AS14" s="776"/>
      <c r="AT14" s="776"/>
      <c r="AU14" s="776"/>
      <c r="AV14" s="776"/>
      <c r="AW14" s="777"/>
      <c r="AX14" s="777"/>
      <c r="AY14" s="776"/>
    </row>
    <row r="15" spans="1:51" ht="61.5" customHeight="1">
      <c r="A15" s="3367"/>
      <c r="B15" s="3371"/>
      <c r="C15" s="3374"/>
      <c r="D15" s="3360"/>
      <c r="E15" s="3369" t="s">
        <v>806</v>
      </c>
      <c r="F15" s="3369"/>
      <c r="G15" s="3369"/>
      <c r="H15" s="3369"/>
      <c r="I15" s="3369"/>
      <c r="J15" s="3369"/>
      <c r="K15" s="3369"/>
      <c r="L15" s="3369"/>
      <c r="M15" s="3364"/>
      <c r="N15" s="3360"/>
      <c r="O15" s="934">
        <f>AI15</f>
        <v>0</v>
      </c>
      <c r="P15" s="934"/>
      <c r="Q15" s="934"/>
      <c r="S15" s="3364"/>
      <c r="T15" s="3360"/>
      <c r="U15" s="784">
        <f>AP15</f>
        <v>109323662</v>
      </c>
      <c r="V15" s="784"/>
      <c r="W15" s="784"/>
      <c r="X15" s="784"/>
      <c r="Y15" s="784"/>
      <c r="Z15" s="3362"/>
      <c r="AA15" s="3359"/>
      <c r="AB15" s="3366">
        <f>AQ15</f>
        <v>35647361</v>
      </c>
      <c r="AC15" s="3366"/>
      <c r="AD15" s="3366"/>
      <c r="AE15" s="784"/>
      <c r="AF15" s="3362"/>
      <c r="AG15" s="3359"/>
      <c r="AH15" s="3359">
        <f>AR15</f>
        <v>26413995</v>
      </c>
      <c r="AI15" s="3359"/>
      <c r="AJ15" s="3359"/>
      <c r="AN15" s="791" t="s">
        <v>525</v>
      </c>
      <c r="AO15" s="943"/>
      <c r="AP15" s="792">
        <f>AP7+AP13</f>
        <v>109323662</v>
      </c>
      <c r="AQ15" s="792">
        <f t="shared" ref="AQ15:AY15" si="2">AQ7+AQ13</f>
        <v>35647361</v>
      </c>
      <c r="AR15" s="792">
        <f>AR13+AR7</f>
        <v>26413995</v>
      </c>
      <c r="AS15" s="792">
        <f t="shared" si="2"/>
        <v>22757094</v>
      </c>
      <c r="AT15" s="792">
        <f t="shared" si="2"/>
        <v>22201558</v>
      </c>
      <c r="AU15" s="792" t="e">
        <f t="shared" si="2"/>
        <v>#REF!</v>
      </c>
      <c r="AV15" s="792">
        <f t="shared" si="2"/>
        <v>22369132</v>
      </c>
      <c r="AW15" s="792">
        <f t="shared" si="2"/>
        <v>20189572</v>
      </c>
      <c r="AX15" s="792">
        <f t="shared" si="2"/>
        <v>18900108</v>
      </c>
      <c r="AY15" s="792">
        <f t="shared" si="2"/>
        <v>18951269</v>
      </c>
    </row>
    <row r="16" spans="1:51" ht="61.5" customHeight="1">
      <c r="A16" s="3367"/>
      <c r="B16" s="3371" t="s">
        <v>807</v>
      </c>
      <c r="C16" s="3374" t="s">
        <v>808</v>
      </c>
      <c r="D16" s="3374"/>
      <c r="E16" s="3360" t="s">
        <v>787</v>
      </c>
      <c r="F16" s="3368" t="s">
        <v>801</v>
      </c>
      <c r="G16" s="3368"/>
      <c r="H16" s="3368"/>
      <c r="I16" s="3368"/>
      <c r="J16" s="3368"/>
      <c r="K16" s="3368"/>
      <c r="L16" s="3368"/>
      <c r="M16" s="3364" t="e">
        <f>O16/O17</f>
        <v>#VALUE!</v>
      </c>
      <c r="N16" s="3360" t="s">
        <v>787</v>
      </c>
      <c r="O16" s="935" t="str">
        <f>O12</f>
        <v xml:space="preserve">سود(زیان) خالص  </v>
      </c>
      <c r="Q16" s="781"/>
      <c r="S16" s="3364" t="e">
        <f>U16/U17</f>
        <v>#REF!</v>
      </c>
      <c r="T16" s="3360" t="s">
        <v>787</v>
      </c>
      <c r="U16" s="780">
        <f>U12</f>
        <v>25422387</v>
      </c>
      <c r="W16" s="781"/>
      <c r="X16" s="781"/>
      <c r="Y16" s="781"/>
      <c r="Z16" s="3362">
        <f>AB16/AB17</f>
        <v>1.8445449264073515</v>
      </c>
      <c r="AA16" s="3359" t="s">
        <v>787</v>
      </c>
      <c r="AB16" s="3363">
        <f>AB12</f>
        <v>18048488.439551242</v>
      </c>
      <c r="AC16" s="3363"/>
      <c r="AD16" s="3363"/>
      <c r="AE16" s="781"/>
      <c r="AF16" s="3362">
        <f>AH16/AH17</f>
        <v>7.0901071908807331E-3</v>
      </c>
      <c r="AG16" s="3359" t="s">
        <v>787</v>
      </c>
      <c r="AH16" s="3358">
        <f>AR50</f>
        <v>69167.117587500717</v>
      </c>
      <c r="AI16" s="3358"/>
      <c r="AJ16" s="3358"/>
      <c r="AN16" s="793"/>
      <c r="AO16" s="944"/>
      <c r="AP16" s="776"/>
      <c r="AQ16" s="776"/>
      <c r="AR16" s="776"/>
      <c r="AS16" s="776"/>
      <c r="AT16" s="776"/>
      <c r="AU16" s="776"/>
      <c r="AV16" s="776"/>
      <c r="AW16" s="777"/>
      <c r="AX16" s="777"/>
      <c r="AY16" s="776"/>
    </row>
    <row r="17" spans="1:51" ht="61.5" customHeight="1">
      <c r="A17" s="3367"/>
      <c r="B17" s="3371"/>
      <c r="C17" s="3374"/>
      <c r="D17" s="3374"/>
      <c r="E17" s="3360"/>
      <c r="F17" s="3369" t="s">
        <v>371</v>
      </c>
      <c r="G17" s="3369"/>
      <c r="H17" s="3369"/>
      <c r="I17" s="3369"/>
      <c r="J17" s="3369"/>
      <c r="K17" s="3369"/>
      <c r="L17" s="3369"/>
      <c r="M17" s="3364"/>
      <c r="N17" s="3360"/>
      <c r="O17" s="934">
        <f>AI37</f>
        <v>0</v>
      </c>
      <c r="Q17" s="934"/>
      <c r="S17" s="3364"/>
      <c r="T17" s="3360"/>
      <c r="U17" s="784" t="e">
        <f>AP37</f>
        <v>#REF!</v>
      </c>
      <c r="W17" s="784"/>
      <c r="X17" s="784"/>
      <c r="Y17" s="784"/>
      <c r="Z17" s="3362"/>
      <c r="AA17" s="3359"/>
      <c r="AB17" s="3366">
        <f>AQ37</f>
        <v>9784792</v>
      </c>
      <c r="AC17" s="3366"/>
      <c r="AD17" s="3366"/>
      <c r="AE17" s="784"/>
      <c r="AF17" s="3362"/>
      <c r="AG17" s="3359"/>
      <c r="AH17" s="3359">
        <f>AR37</f>
        <v>9755440.323450001</v>
      </c>
      <c r="AI17" s="3359"/>
      <c r="AJ17" s="3359"/>
      <c r="AN17" s="794" t="s">
        <v>862</v>
      </c>
      <c r="AO17" s="945"/>
      <c r="AP17" s="795"/>
      <c r="AQ17" s="795"/>
      <c r="AR17" s="795"/>
      <c r="AS17" s="795"/>
      <c r="AT17" s="795"/>
      <c r="AU17" s="795"/>
      <c r="AV17" s="795"/>
      <c r="AW17" s="795"/>
      <c r="AX17" s="795"/>
      <c r="AY17" s="795"/>
    </row>
    <row r="18" spans="1:51" ht="61.5" customHeight="1">
      <c r="A18" s="3367">
        <v>4</v>
      </c>
      <c r="B18" s="778" t="s">
        <v>809</v>
      </c>
      <c r="C18" s="3374" t="s">
        <v>810</v>
      </c>
      <c r="D18" s="3373"/>
      <c r="E18" s="3373"/>
      <c r="F18" s="3360" t="s">
        <v>787</v>
      </c>
      <c r="G18" s="3375" t="str">
        <f>E13</f>
        <v>فروش سالانه</v>
      </c>
      <c r="H18" s="3375"/>
      <c r="I18" s="3375"/>
      <c r="J18" s="3375"/>
      <c r="K18" s="3375"/>
      <c r="L18" s="3375"/>
      <c r="M18" s="3365" t="e">
        <f>O18/O19</f>
        <v>#DIV/0!</v>
      </c>
      <c r="N18" s="3370" t="s">
        <v>787</v>
      </c>
      <c r="O18" s="796">
        <f>AI42</f>
        <v>0</v>
      </c>
      <c r="S18" s="3365">
        <f>U18/U19</f>
        <v>0.49099769453386954</v>
      </c>
      <c r="T18" s="3370" t="s">
        <v>787</v>
      </c>
      <c r="U18" s="796">
        <f>AP42</f>
        <v>53677666</v>
      </c>
      <c r="Z18" s="3362">
        <f>AB18/AB19</f>
        <v>1.0364985013262269</v>
      </c>
      <c r="AA18" s="3359" t="s">
        <v>787</v>
      </c>
      <c r="AB18" s="3358">
        <f>AQ42</f>
        <v>36948436.252734989</v>
      </c>
      <c r="AC18" s="3358"/>
      <c r="AD18" s="3358"/>
      <c r="AF18" s="3362">
        <f>AH18/AH19</f>
        <v>0.32463127305998207</v>
      </c>
      <c r="AG18" s="3359" t="s">
        <v>787</v>
      </c>
      <c r="AH18" s="3358">
        <f>AR42</f>
        <v>8574808.823450001</v>
      </c>
      <c r="AI18" s="3358"/>
      <c r="AJ18" s="3358"/>
      <c r="AN18" s="775" t="s">
        <v>819</v>
      </c>
      <c r="AO18" s="938"/>
      <c r="AP18" s="776"/>
      <c r="AQ18" s="776"/>
      <c r="AR18" s="776"/>
      <c r="AS18" s="776"/>
      <c r="AT18" s="776"/>
      <c r="AU18" s="776"/>
      <c r="AV18" s="776">
        <v>12731</v>
      </c>
      <c r="AW18" s="776">
        <v>13519</v>
      </c>
      <c r="AX18" s="776">
        <v>32988</v>
      </c>
      <c r="AY18" s="776">
        <v>0</v>
      </c>
    </row>
    <row r="19" spans="1:51" ht="61.5" customHeight="1">
      <c r="A19" s="3367"/>
      <c r="B19" s="783" t="s">
        <v>284</v>
      </c>
      <c r="C19" s="3373"/>
      <c r="D19" s="3373"/>
      <c r="E19" s="3373"/>
      <c r="F19" s="3360"/>
      <c r="G19" s="3381" t="str">
        <f>E8</f>
        <v xml:space="preserve">جمع دارائيها </v>
      </c>
      <c r="H19" s="3381"/>
      <c r="I19" s="3381"/>
      <c r="J19" s="3381"/>
      <c r="K19" s="3381"/>
      <c r="L19" s="3381"/>
      <c r="M19" s="3365"/>
      <c r="N19" s="3370"/>
      <c r="O19" s="797">
        <f>AI15</f>
        <v>0</v>
      </c>
      <c r="Q19" s="934"/>
      <c r="S19" s="3365"/>
      <c r="T19" s="3370"/>
      <c r="U19" s="797">
        <f>AP15</f>
        <v>109323662</v>
      </c>
      <c r="W19" s="784"/>
      <c r="X19" s="784"/>
      <c r="Y19" s="784"/>
      <c r="Z19" s="3362"/>
      <c r="AA19" s="3359"/>
      <c r="AB19" s="3366">
        <f>AQ15</f>
        <v>35647361</v>
      </c>
      <c r="AC19" s="3366"/>
      <c r="AD19" s="3366"/>
      <c r="AE19" s="784"/>
      <c r="AF19" s="3362"/>
      <c r="AG19" s="3359"/>
      <c r="AH19" s="3359">
        <f>AR15</f>
        <v>26413995</v>
      </c>
      <c r="AI19" s="3359"/>
      <c r="AJ19" s="3359"/>
      <c r="AN19" s="775" t="s">
        <v>518</v>
      </c>
      <c r="AO19" s="938"/>
      <c r="AP19" s="776">
        <f>'2'!N10</f>
        <v>12279461</v>
      </c>
      <c r="AQ19" s="776">
        <v>6909688</v>
      </c>
      <c r="AR19" s="776">
        <v>5745753</v>
      </c>
      <c r="AS19" s="776">
        <v>3492899</v>
      </c>
      <c r="AT19" s="776">
        <v>1685890</v>
      </c>
      <c r="AU19" s="776">
        <v>2013661</v>
      </c>
      <c r="AV19" s="776">
        <v>1679286</v>
      </c>
      <c r="AW19" s="776">
        <v>7329284</v>
      </c>
      <c r="AX19" s="776">
        <v>6857862</v>
      </c>
      <c r="AY19" s="776">
        <v>6087909</v>
      </c>
    </row>
    <row r="20" spans="1:51" ht="61.5" customHeight="1">
      <c r="A20" s="3367"/>
      <c r="B20" s="3371" t="s">
        <v>811</v>
      </c>
      <c r="C20" s="3374" t="s">
        <v>812</v>
      </c>
      <c r="D20" s="3374"/>
      <c r="E20" s="3374"/>
      <c r="F20" s="3360" t="s">
        <v>787</v>
      </c>
      <c r="G20" s="3375" t="s">
        <v>225</v>
      </c>
      <c r="H20" s="3375"/>
      <c r="I20" s="3375"/>
      <c r="J20" s="3375"/>
      <c r="K20" s="3375"/>
      <c r="L20" s="3375"/>
      <c r="M20" s="3361" t="e">
        <f>O20/O21</f>
        <v>#DIV/0!</v>
      </c>
      <c r="N20" s="3360" t="s">
        <v>787</v>
      </c>
      <c r="O20" s="935">
        <f>AI44</f>
        <v>0</v>
      </c>
      <c r="P20" s="781"/>
      <c r="Q20" s="781"/>
      <c r="S20" s="3361">
        <f>U20/U21</f>
        <v>0.61484061173598714</v>
      </c>
      <c r="T20" s="3360" t="s">
        <v>787</v>
      </c>
      <c r="U20" s="780">
        <f>AP44</f>
        <v>33003209</v>
      </c>
      <c r="V20" s="781"/>
      <c r="W20" s="781"/>
      <c r="X20" s="781"/>
      <c r="Y20" s="781"/>
      <c r="Z20" s="3362">
        <f>AB20/AB21</f>
        <v>0.74733087657237585</v>
      </c>
      <c r="AA20" s="3359" t="s">
        <v>787</v>
      </c>
      <c r="AB20" s="3363">
        <f>AQ44</f>
        <v>27612707.252734989</v>
      </c>
      <c r="AC20" s="3363"/>
      <c r="AD20" s="3363"/>
      <c r="AE20" s="781"/>
      <c r="AF20" s="3362">
        <f>AH20/AH21</f>
        <v>0.10716866607415149</v>
      </c>
      <c r="AG20" s="3359" t="s">
        <v>787</v>
      </c>
      <c r="AH20" s="3358">
        <f>AR44</f>
        <v>918950.82345000096</v>
      </c>
      <c r="AI20" s="3358"/>
      <c r="AJ20" s="3358"/>
      <c r="AN20" s="775" t="s">
        <v>366</v>
      </c>
      <c r="AO20" s="938"/>
      <c r="AP20" s="776">
        <f>'2'!N11</f>
        <v>0</v>
      </c>
      <c r="AQ20" s="776">
        <f>'2'!P11</f>
        <v>0</v>
      </c>
      <c r="AR20" s="798">
        <v>0</v>
      </c>
      <c r="AS20" s="798"/>
      <c r="AT20" s="798"/>
      <c r="AU20" s="798">
        <v>144998</v>
      </c>
      <c r="AV20" s="798">
        <v>331210</v>
      </c>
      <c r="AW20" s="798">
        <v>166073</v>
      </c>
      <c r="AX20" s="798">
        <v>2075</v>
      </c>
      <c r="AY20" s="798">
        <v>0</v>
      </c>
    </row>
    <row r="21" spans="1:51" ht="61.5" customHeight="1">
      <c r="A21" s="3367"/>
      <c r="B21" s="3371"/>
      <c r="C21" s="3374"/>
      <c r="D21" s="3374"/>
      <c r="E21" s="3374"/>
      <c r="F21" s="3360"/>
      <c r="G21" s="3369" t="str">
        <f>E13</f>
        <v>فروش سالانه</v>
      </c>
      <c r="H21" s="3369"/>
      <c r="I21" s="3369"/>
      <c r="J21" s="3369"/>
      <c r="K21" s="3369"/>
      <c r="L21" s="3369"/>
      <c r="M21" s="3361"/>
      <c r="N21" s="3360"/>
      <c r="O21" s="934">
        <f>AI42</f>
        <v>0</v>
      </c>
      <c r="P21" s="934"/>
      <c r="Q21" s="934"/>
      <c r="S21" s="3361"/>
      <c r="T21" s="3360"/>
      <c r="U21" s="784">
        <f>AP42</f>
        <v>53677666</v>
      </c>
      <c r="V21" s="784"/>
      <c r="W21" s="784"/>
      <c r="X21" s="784"/>
      <c r="Y21" s="784"/>
      <c r="Z21" s="3362"/>
      <c r="AA21" s="3359"/>
      <c r="AB21" s="3366">
        <f>AQ42</f>
        <v>36948436.252734989</v>
      </c>
      <c r="AC21" s="3366"/>
      <c r="AD21" s="3366"/>
      <c r="AE21" s="784"/>
      <c r="AF21" s="3362"/>
      <c r="AG21" s="3359"/>
      <c r="AH21" s="3359">
        <f>AR42</f>
        <v>8574808.823450001</v>
      </c>
      <c r="AI21" s="3359"/>
      <c r="AJ21" s="3359"/>
      <c r="AN21" s="775" t="s">
        <v>1165</v>
      </c>
      <c r="AO21" s="938"/>
      <c r="AP21" s="776">
        <f>'2'!N12</f>
        <v>0</v>
      </c>
      <c r="AQ21" s="776">
        <f>'2'!P12</f>
        <v>0</v>
      </c>
      <c r="AR21" s="798">
        <v>18750</v>
      </c>
      <c r="AS21" s="798">
        <v>6666</v>
      </c>
      <c r="AT21" s="798"/>
      <c r="AU21" s="798"/>
      <c r="AV21" s="798"/>
      <c r="AW21" s="798"/>
      <c r="AX21" s="798"/>
      <c r="AY21" s="798"/>
    </row>
    <row r="22" spans="1:51" ht="61.5" customHeight="1">
      <c r="A22" s="3367"/>
      <c r="B22" s="3371" t="s">
        <v>813</v>
      </c>
      <c r="C22" s="3372" t="s">
        <v>815</v>
      </c>
      <c r="D22" s="3373"/>
      <c r="E22" s="3373"/>
      <c r="F22" s="3373"/>
      <c r="G22" s="3373"/>
      <c r="H22" s="3373"/>
      <c r="I22" s="3373"/>
      <c r="J22" s="3373"/>
      <c r="K22" s="3360" t="s">
        <v>787</v>
      </c>
      <c r="L22" s="799" t="s">
        <v>225</v>
      </c>
      <c r="M22" s="3361" t="e">
        <f>O22/O23</f>
        <v>#DIV/0!</v>
      </c>
      <c r="N22" s="3360" t="s">
        <v>787</v>
      </c>
      <c r="O22" s="935">
        <f>AI44</f>
        <v>0</v>
      </c>
      <c r="P22" s="781"/>
      <c r="Q22" s="781"/>
      <c r="S22" s="3361">
        <f>U22/U23</f>
        <v>0.30188532286816372</v>
      </c>
      <c r="T22" s="3360" t="s">
        <v>787</v>
      </c>
      <c r="U22" s="780">
        <f>AP44</f>
        <v>33003209</v>
      </c>
      <c r="V22" s="781"/>
      <c r="W22" s="781"/>
      <c r="X22" s="781"/>
      <c r="Y22" s="781"/>
      <c r="Z22" s="3362">
        <f>AB22/AB23</f>
        <v>0.774607333562083</v>
      </c>
      <c r="AA22" s="3359" t="s">
        <v>787</v>
      </c>
      <c r="AB22" s="3363">
        <f>AQ44</f>
        <v>27612707.252734989</v>
      </c>
      <c r="AC22" s="3363"/>
      <c r="AD22" s="3363"/>
      <c r="AE22" s="781"/>
      <c r="AF22" s="3362">
        <f>AH22/AH23</f>
        <v>3.4790300499791905E-2</v>
      </c>
      <c r="AG22" s="3359" t="s">
        <v>787</v>
      </c>
      <c r="AH22" s="3358">
        <f>AR44</f>
        <v>918950.82345000096</v>
      </c>
      <c r="AI22" s="3358"/>
      <c r="AJ22" s="3358"/>
      <c r="AN22" s="775" t="s">
        <v>243</v>
      </c>
      <c r="AO22" s="938"/>
      <c r="AP22" s="776">
        <f>'2'!N13</f>
        <v>0</v>
      </c>
      <c r="AQ22" s="776">
        <f>'2'!P13</f>
        <v>0</v>
      </c>
      <c r="AR22" s="776">
        <v>21111</v>
      </c>
      <c r="AS22" s="776">
        <v>162570</v>
      </c>
      <c r="AT22" s="776">
        <v>123571</v>
      </c>
      <c r="AU22" s="776" t="e">
        <f>#REF!</f>
        <v>#REF!</v>
      </c>
      <c r="AV22" s="776">
        <v>283376</v>
      </c>
      <c r="AW22" s="776">
        <v>239601</v>
      </c>
      <c r="AX22" s="776">
        <v>48950</v>
      </c>
      <c r="AY22" s="776">
        <v>0</v>
      </c>
    </row>
    <row r="23" spans="1:51" ht="61.5" customHeight="1">
      <c r="A23" s="3367"/>
      <c r="B23" s="3371"/>
      <c r="C23" s="3373"/>
      <c r="D23" s="3373"/>
      <c r="E23" s="3373"/>
      <c r="F23" s="3373"/>
      <c r="G23" s="3373"/>
      <c r="H23" s="3373"/>
      <c r="I23" s="3373"/>
      <c r="J23" s="3373"/>
      <c r="K23" s="3360"/>
      <c r="L23" s="800" t="str">
        <f>G19</f>
        <v xml:space="preserve">جمع دارائيها </v>
      </c>
      <c r="M23" s="3361"/>
      <c r="N23" s="3360"/>
      <c r="O23" s="934">
        <f>AI15</f>
        <v>0</v>
      </c>
      <c r="P23" s="934"/>
      <c r="Q23" s="934"/>
      <c r="S23" s="3361"/>
      <c r="T23" s="3360"/>
      <c r="U23" s="784">
        <f>AP15</f>
        <v>109323662</v>
      </c>
      <c r="V23" s="784"/>
      <c r="W23" s="784"/>
      <c r="X23" s="784"/>
      <c r="Y23" s="784"/>
      <c r="Z23" s="3362"/>
      <c r="AA23" s="3359"/>
      <c r="AB23" s="3366">
        <f>AQ15</f>
        <v>35647361</v>
      </c>
      <c r="AC23" s="3366"/>
      <c r="AD23" s="3366"/>
      <c r="AE23" s="784"/>
      <c r="AF23" s="3362"/>
      <c r="AG23" s="3359"/>
      <c r="AH23" s="3359">
        <f>AR15</f>
        <v>26413995</v>
      </c>
      <c r="AI23" s="3359"/>
      <c r="AJ23" s="3359"/>
      <c r="AN23" s="787" t="s">
        <v>142</v>
      </c>
      <c r="AO23" s="939"/>
      <c r="AP23" s="813">
        <f>'2'!N14</f>
        <v>12279461</v>
      </c>
      <c r="AQ23" s="789">
        <f t="shared" ref="AQ23:AY23" si="3">SUM(AQ18:AQ22)</f>
        <v>6909688</v>
      </c>
      <c r="AR23" s="789">
        <v>5785614</v>
      </c>
      <c r="AS23" s="789">
        <f>SUM(AS19:AS22)</f>
        <v>3662135</v>
      </c>
      <c r="AT23" s="789">
        <f t="shared" si="3"/>
        <v>1809461</v>
      </c>
      <c r="AU23" s="789" t="e">
        <f t="shared" si="3"/>
        <v>#REF!</v>
      </c>
      <c r="AV23" s="789">
        <f t="shared" si="3"/>
        <v>2306603</v>
      </c>
      <c r="AW23" s="789">
        <f t="shared" si="3"/>
        <v>7748477</v>
      </c>
      <c r="AX23" s="789">
        <f t="shared" si="3"/>
        <v>6941875</v>
      </c>
      <c r="AY23" s="789">
        <f t="shared" si="3"/>
        <v>6087909</v>
      </c>
    </row>
    <row r="24" spans="1:51" ht="61.5" customHeight="1">
      <c r="AN24" s="794" t="s">
        <v>368</v>
      </c>
      <c r="AO24" s="945"/>
      <c r="AP24" s="776">
        <f>'2'!N15</f>
        <v>0</v>
      </c>
      <c r="AQ24" s="776"/>
      <c r="AR24" s="776"/>
      <c r="AS24" s="776"/>
      <c r="AT24" s="776"/>
      <c r="AU24" s="776"/>
      <c r="AV24" s="776"/>
      <c r="AW24" s="777"/>
      <c r="AX24" s="777"/>
      <c r="AY24" s="776"/>
    </row>
    <row r="25" spans="1:51" ht="61.5" customHeight="1">
      <c r="A25" s="3367">
        <v>25</v>
      </c>
      <c r="B25" s="3367"/>
      <c r="C25" s="3367"/>
      <c r="D25" s="3367"/>
      <c r="E25" s="3367"/>
      <c r="F25" s="3367"/>
      <c r="G25" s="3367"/>
      <c r="H25" s="3367"/>
      <c r="I25" s="3367"/>
      <c r="J25" s="3367"/>
      <c r="K25" s="3367"/>
      <c r="L25" s="3367"/>
      <c r="M25" s="3367"/>
      <c r="N25" s="3367"/>
      <c r="O25" s="3367"/>
      <c r="P25" s="3367"/>
      <c r="Q25" s="3367"/>
      <c r="R25" s="3367"/>
      <c r="S25" s="3367"/>
      <c r="T25" s="3367"/>
      <c r="U25" s="3367"/>
      <c r="V25" s="3367"/>
      <c r="W25" s="3367"/>
      <c r="X25" s="3367"/>
      <c r="Y25" s="3367"/>
      <c r="Z25" s="3367"/>
      <c r="AA25" s="3367"/>
      <c r="AB25" s="3367"/>
      <c r="AC25" s="3367"/>
      <c r="AD25" s="3367"/>
      <c r="AE25" s="3367"/>
      <c r="AF25" s="3367"/>
      <c r="AG25" s="3367"/>
      <c r="AH25" s="3367"/>
      <c r="AI25" s="3367"/>
      <c r="AJ25" s="3367"/>
      <c r="AK25" s="3367"/>
      <c r="AL25" s="3367"/>
      <c r="AM25" s="3367"/>
      <c r="AN25" s="775" t="s">
        <v>820</v>
      </c>
      <c r="AO25" s="938"/>
      <c r="AP25" s="776">
        <f>'2'!N16</f>
        <v>71634887</v>
      </c>
      <c r="AQ25" s="776">
        <f>'2'!P16</f>
        <v>24870598</v>
      </c>
      <c r="AR25" s="776">
        <v>9435086</v>
      </c>
      <c r="AS25" s="776">
        <v>8349597</v>
      </c>
      <c r="AT25" s="776">
        <v>9384748</v>
      </c>
      <c r="AU25" s="776" t="e">
        <f>#REF!</f>
        <v>#REF!</v>
      </c>
      <c r="AV25" s="776">
        <v>8524561</v>
      </c>
      <c r="AW25" s="776">
        <v>621478</v>
      </c>
      <c r="AX25" s="776">
        <v>325281</v>
      </c>
      <c r="AY25" s="776">
        <v>3089411</v>
      </c>
    </row>
    <row r="26" spans="1:51" ht="61.5" customHeight="1">
      <c r="A26" s="803"/>
      <c r="B26" s="803"/>
      <c r="C26" s="803"/>
      <c r="D26" s="803"/>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N26" s="775" t="s">
        <v>1165</v>
      </c>
      <c r="AO26" s="938"/>
      <c r="AP26" s="776" t="e">
        <f>'2'!#REF!</f>
        <v>#REF!</v>
      </c>
      <c r="AQ26" s="776" t="e">
        <f>'2'!#REF!</f>
        <v>#REF!</v>
      </c>
      <c r="AR26" s="776">
        <v>19070</v>
      </c>
      <c r="AS26" s="776">
        <v>10304</v>
      </c>
      <c r="AT26" s="776">
        <v>0</v>
      </c>
      <c r="AU26" s="776"/>
      <c r="AV26" s="776"/>
      <c r="AW26" s="776"/>
      <c r="AX26" s="776"/>
      <c r="AY26" s="776"/>
    </row>
    <row r="27" spans="1:51" ht="61.5" customHeight="1">
      <c r="AN27" s="775" t="s">
        <v>16</v>
      </c>
      <c r="AO27" s="938"/>
      <c r="AP27" s="776" t="e">
        <f>'2'!N17</f>
        <v>#REF!</v>
      </c>
      <c r="AQ27" s="776" t="e">
        <f>'2'!P17</f>
        <v>#REF!</v>
      </c>
      <c r="AR27" s="798">
        <v>1418785</v>
      </c>
      <c r="AS27" s="798">
        <v>1002673</v>
      </c>
      <c r="AT27" s="798">
        <v>814331</v>
      </c>
      <c r="AU27" s="798" t="e">
        <f>#REF!</f>
        <v>#REF!</v>
      </c>
      <c r="AV27" s="798">
        <v>599647</v>
      </c>
      <c r="AW27" s="798">
        <v>464972</v>
      </c>
      <c r="AX27" s="798">
        <v>391152</v>
      </c>
      <c r="AY27" s="798">
        <v>839581</v>
      </c>
    </row>
    <row r="28" spans="1:51" ht="61.5" customHeight="1">
      <c r="AN28" s="787" t="s">
        <v>144</v>
      </c>
      <c r="AO28" s="939"/>
      <c r="AP28" s="813" t="e">
        <f>'2'!N19</f>
        <v>#REF!</v>
      </c>
      <c r="AQ28" s="789" t="e">
        <f>SUM(AQ24:AQ27)</f>
        <v>#REF!</v>
      </c>
      <c r="AR28" s="789">
        <v>10872941</v>
      </c>
      <c r="AS28" s="789">
        <f>SUM(AS25:AS27)</f>
        <v>9362574</v>
      </c>
      <c r="AT28" s="789">
        <f>SUM(AT24:AT27)</f>
        <v>10199079</v>
      </c>
      <c r="AU28" s="789" t="e">
        <f>SUM(AU24:AU27)</f>
        <v>#REF!</v>
      </c>
      <c r="AV28" s="789">
        <f>SUM(AV24:AV27)</f>
        <v>9124208</v>
      </c>
      <c r="AW28" s="789">
        <f>SUM(AW25:AW27)</f>
        <v>1086450</v>
      </c>
      <c r="AX28" s="789">
        <v>716433</v>
      </c>
      <c r="AY28" s="789">
        <f>SUM(AY25:AY27)</f>
        <v>3928992</v>
      </c>
    </row>
    <row r="29" spans="1:51" ht="61.5" customHeight="1">
      <c r="AN29" s="775"/>
      <c r="AO29" s="938"/>
      <c r="AP29" s="776"/>
      <c r="AQ29" s="798"/>
      <c r="AR29" s="798"/>
      <c r="AS29" s="798"/>
      <c r="AT29" s="798"/>
      <c r="AU29" s="798"/>
      <c r="AV29" s="798"/>
      <c r="AW29" s="777"/>
      <c r="AX29" s="777"/>
      <c r="AY29" s="798"/>
    </row>
    <row r="30" spans="1:51" ht="61.5" customHeight="1">
      <c r="AN30" s="787" t="s">
        <v>522</v>
      </c>
      <c r="AO30" s="939"/>
      <c r="AP30" s="813" t="e">
        <f>'2'!N20</f>
        <v>#REF!</v>
      </c>
      <c r="AQ30" s="792" t="e">
        <f t="shared" ref="AQ30:AY30" si="4">AQ23+AQ28</f>
        <v>#REF!</v>
      </c>
      <c r="AR30" s="792">
        <v>16658555</v>
      </c>
      <c r="AS30" s="792">
        <f t="shared" si="4"/>
        <v>13024709</v>
      </c>
      <c r="AT30" s="792">
        <f t="shared" si="4"/>
        <v>12008540</v>
      </c>
      <c r="AU30" s="792" t="e">
        <f t="shared" si="4"/>
        <v>#REF!</v>
      </c>
      <c r="AV30" s="792">
        <f t="shared" si="4"/>
        <v>11430811</v>
      </c>
      <c r="AW30" s="792">
        <f t="shared" si="4"/>
        <v>8834927</v>
      </c>
      <c r="AX30" s="792">
        <f t="shared" si="4"/>
        <v>7658308</v>
      </c>
      <c r="AY30" s="792">
        <f t="shared" si="4"/>
        <v>10016901</v>
      </c>
    </row>
    <row r="31" spans="1:51" ht="61.5" customHeight="1">
      <c r="AN31" s="775" t="s">
        <v>370</v>
      </c>
      <c r="AO31" s="938"/>
      <c r="AP31" s="776">
        <f>'2'!N21</f>
        <v>0</v>
      </c>
      <c r="AQ31" s="776"/>
      <c r="AR31" s="776"/>
      <c r="AS31" s="776"/>
      <c r="AT31" s="776"/>
      <c r="AU31" s="776"/>
      <c r="AV31" s="776"/>
      <c r="AW31" s="777"/>
      <c r="AX31" s="777"/>
      <c r="AY31" s="776"/>
    </row>
    <row r="32" spans="1:51" ht="61.5" customHeight="1">
      <c r="AN32" s="804" t="s">
        <v>1478</v>
      </c>
      <c r="AO32" s="946"/>
      <c r="AP32" s="776">
        <f>'2'!N22</f>
        <v>12000000</v>
      </c>
      <c r="AQ32" s="793">
        <f>'2'!P22</f>
        <v>12000000</v>
      </c>
      <c r="AR32" s="793">
        <v>12000000</v>
      </c>
      <c r="AS32" s="793">
        <v>12000000</v>
      </c>
      <c r="AT32" s="793">
        <v>12000000</v>
      </c>
      <c r="AU32" s="793" t="e">
        <f>#REF!</f>
        <v>#REF!</v>
      </c>
      <c r="AV32" s="793">
        <v>12000000</v>
      </c>
      <c r="AW32" s="793">
        <v>12000000</v>
      </c>
      <c r="AX32" s="793">
        <v>12000000</v>
      </c>
      <c r="AY32" s="793">
        <v>9507722</v>
      </c>
    </row>
    <row r="33" spans="15:51" ht="61.5" customHeight="1">
      <c r="AN33" s="775" t="s">
        <v>523</v>
      </c>
      <c r="AO33" s="938"/>
      <c r="AP33" s="776">
        <f>'2'!N24</f>
        <v>2736</v>
      </c>
      <c r="AQ33" s="793">
        <f>'2'!P24</f>
        <v>2736</v>
      </c>
      <c r="AR33" s="776">
        <v>2735</v>
      </c>
      <c r="AS33" s="776">
        <v>2735</v>
      </c>
      <c r="AT33" s="776">
        <v>2735</v>
      </c>
      <c r="AU33" s="776" t="e">
        <f>#REF!</f>
        <v>#REF!</v>
      </c>
      <c r="AV33" s="776">
        <v>2735</v>
      </c>
      <c r="AW33" s="776">
        <v>2735</v>
      </c>
      <c r="AX33" s="776">
        <v>2735</v>
      </c>
      <c r="AY33" s="776">
        <v>2735</v>
      </c>
    </row>
    <row r="34" spans="15:51" ht="61.5" customHeight="1">
      <c r="AN34" s="775" t="s">
        <v>146</v>
      </c>
      <c r="AO34" s="938"/>
      <c r="AP34" s="776">
        <v>1</v>
      </c>
      <c r="AQ34" s="793">
        <v>1</v>
      </c>
      <c r="AR34" s="776">
        <v>1</v>
      </c>
      <c r="AS34" s="776">
        <v>1</v>
      </c>
      <c r="AT34" s="776">
        <v>1</v>
      </c>
      <c r="AU34" s="776" t="e">
        <f>#REF!</f>
        <v>#REF!</v>
      </c>
      <c r="AV34" s="805">
        <v>0.5</v>
      </c>
      <c r="AW34" s="805">
        <v>0.5</v>
      </c>
      <c r="AX34" s="805">
        <v>0.5</v>
      </c>
      <c r="AY34" s="805">
        <v>0.5</v>
      </c>
    </row>
    <row r="35" spans="15:51" ht="61.5" customHeight="1">
      <c r="AN35" s="775" t="s">
        <v>147</v>
      </c>
      <c r="AO35" s="938"/>
      <c r="AP35" s="776"/>
      <c r="AQ35" s="776"/>
      <c r="AR35" s="776"/>
      <c r="AS35" s="776"/>
      <c r="AT35" s="776"/>
      <c r="AU35" s="776" t="e">
        <f>#REF!</f>
        <v>#REF!</v>
      </c>
      <c r="AV35" s="805">
        <v>6141.5</v>
      </c>
      <c r="AW35" s="805">
        <v>6141.5</v>
      </c>
      <c r="AX35" s="806">
        <v>6141.5</v>
      </c>
      <c r="AY35" s="805">
        <v>6141.5</v>
      </c>
    </row>
    <row r="36" spans="15:51" ht="61.5" customHeight="1">
      <c r="O36" s="1200"/>
      <c r="P36" s="1200"/>
      <c r="Q36" s="1200"/>
      <c r="R36" s="3380" t="s">
        <v>1805</v>
      </c>
      <c r="S36" s="3380"/>
      <c r="T36" s="3380"/>
      <c r="U36" s="3380"/>
      <c r="V36" s="1200"/>
      <c r="W36" s="1200"/>
      <c r="X36" s="1200"/>
      <c r="Y36" s="1200"/>
      <c r="AN36" s="775" t="s">
        <v>524</v>
      </c>
      <c r="AO36" s="938"/>
      <c r="AP36" s="776" t="e">
        <f>'2'!N25</f>
        <v>#REF!</v>
      </c>
      <c r="AQ36" s="793">
        <v>-2217945</v>
      </c>
      <c r="AR36" s="776">
        <v>-2247295.176549999</v>
      </c>
      <c r="AS36" s="776">
        <v>-2270351</v>
      </c>
      <c r="AT36" s="776">
        <v>-1809717</v>
      </c>
      <c r="AU36" s="776">
        <v>-1902291</v>
      </c>
      <c r="AV36" s="798">
        <v>-1070556</v>
      </c>
      <c r="AW36" s="798">
        <v>-654232</v>
      </c>
      <c r="AX36" s="798">
        <v>-767077</v>
      </c>
      <c r="AY36" s="798">
        <v>-582231</v>
      </c>
    </row>
    <row r="37" spans="15:51" ht="61.5" customHeight="1">
      <c r="O37" s="1200"/>
      <c r="P37" s="1200"/>
      <c r="Q37" s="1200" t="s">
        <v>1808</v>
      </c>
      <c r="R37" s="1200"/>
      <c r="S37" s="1201" t="s">
        <v>1787</v>
      </c>
      <c r="T37" s="1202"/>
      <c r="U37" s="1200" t="s">
        <v>1809</v>
      </c>
      <c r="V37" s="1200"/>
      <c r="W37" s="1200" t="s">
        <v>1810</v>
      </c>
      <c r="X37" s="1200"/>
      <c r="Y37" s="1200"/>
      <c r="AN37" s="787" t="s">
        <v>371</v>
      </c>
      <c r="AO37" s="939"/>
      <c r="AP37" s="813" t="e">
        <f>'2'!N26</f>
        <v>#REF!</v>
      </c>
      <c r="AQ37" s="789">
        <f t="shared" ref="AQ37:AY37" si="5">SUM(AQ32:AQ36)</f>
        <v>9784792</v>
      </c>
      <c r="AR37" s="789">
        <v>9755440.323450001</v>
      </c>
      <c r="AS37" s="789">
        <f t="shared" si="5"/>
        <v>9732385</v>
      </c>
      <c r="AT37" s="789">
        <f t="shared" si="5"/>
        <v>10193019</v>
      </c>
      <c r="AU37" s="789" t="e">
        <f t="shared" si="5"/>
        <v>#REF!</v>
      </c>
      <c r="AV37" s="789">
        <f t="shared" si="5"/>
        <v>10938321</v>
      </c>
      <c r="AW37" s="789">
        <f t="shared" si="5"/>
        <v>11354645</v>
      </c>
      <c r="AX37" s="789">
        <f t="shared" si="5"/>
        <v>11241800</v>
      </c>
      <c r="AY37" s="789">
        <f t="shared" si="5"/>
        <v>8934368</v>
      </c>
    </row>
    <row r="38" spans="15:51" ht="61.5" customHeight="1">
      <c r="O38" s="1200" t="s">
        <v>1806</v>
      </c>
      <c r="P38" s="1200"/>
      <c r="Q38" s="1200">
        <v>12826249</v>
      </c>
      <c r="R38" s="1200"/>
      <c r="S38" s="1200">
        <v>10695894</v>
      </c>
      <c r="T38" s="1202"/>
      <c r="U38" s="1200">
        <f>Q38-S38</f>
        <v>2130355</v>
      </c>
      <c r="V38" s="1200"/>
      <c r="W38" s="1200">
        <f>U38/Q38*100</f>
        <v>16.609337616944753</v>
      </c>
      <c r="X38" s="1200"/>
      <c r="Y38" s="1200"/>
      <c r="AN38" s="775"/>
      <c r="AO38" s="938"/>
      <c r="AP38" s="776"/>
      <c r="AQ38" s="798"/>
      <c r="AR38" s="798"/>
      <c r="AS38" s="798"/>
      <c r="AT38" s="798"/>
      <c r="AU38" s="798"/>
      <c r="AV38" s="798"/>
      <c r="AW38" s="798"/>
      <c r="AX38" s="798"/>
      <c r="AY38" s="798"/>
    </row>
    <row r="39" spans="15:51" ht="61.5" customHeight="1">
      <c r="O39" s="1200" t="s">
        <v>1807</v>
      </c>
      <c r="P39" s="1200"/>
      <c r="Q39" s="1200">
        <v>40032</v>
      </c>
      <c r="R39" s="1200"/>
      <c r="S39" s="1200">
        <v>34403</v>
      </c>
      <c r="T39" s="1202"/>
      <c r="U39" s="1200">
        <f>Q39-S39</f>
        <v>5629</v>
      </c>
      <c r="V39" s="1200"/>
      <c r="W39" s="1200">
        <f>U39/Q39*100</f>
        <v>14.06125099920064</v>
      </c>
      <c r="X39" s="1200"/>
      <c r="Y39" s="1200"/>
      <c r="AN39" s="787" t="s">
        <v>372</v>
      </c>
      <c r="AO39" s="939"/>
      <c r="AP39" s="813" t="e">
        <f>'2'!N27</f>
        <v>#REF!</v>
      </c>
      <c r="AQ39" s="792" t="e">
        <f t="shared" ref="AQ39:AV39" si="6">AQ37+AQ30</f>
        <v>#REF!</v>
      </c>
      <c r="AR39" s="792">
        <v>26413995.323449999</v>
      </c>
      <c r="AS39" s="792">
        <f t="shared" si="6"/>
        <v>22757094</v>
      </c>
      <c r="AT39" s="792">
        <f t="shared" si="6"/>
        <v>22201559</v>
      </c>
      <c r="AU39" s="792" t="e">
        <f t="shared" si="6"/>
        <v>#REF!</v>
      </c>
      <c r="AV39" s="792">
        <f t="shared" si="6"/>
        <v>22369132</v>
      </c>
      <c r="AW39" s="792">
        <f>AW30+AW37</f>
        <v>20189572</v>
      </c>
      <c r="AX39" s="792">
        <f>AX30+AX37</f>
        <v>18900108</v>
      </c>
      <c r="AY39" s="792">
        <f>AY30+AY37</f>
        <v>18951269</v>
      </c>
    </row>
    <row r="40" spans="15:51" ht="61.5" customHeight="1">
      <c r="O40" s="1200" t="s">
        <v>679</v>
      </c>
      <c r="P40" s="1200"/>
      <c r="Q40" s="1200">
        <f>SUM(Q38:Q39)</f>
        <v>12866281</v>
      </c>
      <c r="R40" s="1200"/>
      <c r="S40" s="1200">
        <f>SUM(S38:S39)</f>
        <v>10730297</v>
      </c>
      <c r="T40" s="1202"/>
      <c r="U40" s="1200">
        <f>SUM(U38:U39)</f>
        <v>2135984</v>
      </c>
      <c r="V40" s="1200"/>
      <c r="W40" s="1204">
        <f>U40/Q40*100</f>
        <v>16.601409529295992</v>
      </c>
      <c r="X40" s="1200"/>
      <c r="Y40" s="1200"/>
      <c r="AN40" s="807" t="s">
        <v>1479</v>
      </c>
      <c r="AO40" s="947"/>
      <c r="AP40" s="776" t="e">
        <f>AP39-AP15</f>
        <v>#REF!</v>
      </c>
      <c r="AQ40" s="776" t="e">
        <f t="shared" ref="AQ40:AY40" si="7">AQ39-AQ15</f>
        <v>#REF!</v>
      </c>
      <c r="AR40" s="776">
        <f t="shared" si="7"/>
        <v>0.3234499990940094</v>
      </c>
      <c r="AS40" s="776">
        <f t="shared" si="7"/>
        <v>0</v>
      </c>
      <c r="AT40" s="776">
        <f t="shared" si="7"/>
        <v>1</v>
      </c>
      <c r="AU40" s="776" t="e">
        <f t="shared" si="7"/>
        <v>#REF!</v>
      </c>
      <c r="AV40" s="776">
        <f t="shared" si="7"/>
        <v>0</v>
      </c>
      <c r="AW40" s="776">
        <f t="shared" si="7"/>
        <v>0</v>
      </c>
      <c r="AX40" s="776">
        <f t="shared" si="7"/>
        <v>0</v>
      </c>
      <c r="AY40" s="776">
        <f t="shared" si="7"/>
        <v>0</v>
      </c>
    </row>
    <row r="41" spans="15:51" ht="61.5" customHeight="1">
      <c r="O41" s="1200"/>
      <c r="P41" s="1200"/>
      <c r="Q41" s="1200"/>
      <c r="R41" s="1200"/>
      <c r="S41" s="1201"/>
      <c r="T41" s="1202"/>
      <c r="U41" s="1200"/>
      <c r="V41" s="1200"/>
      <c r="W41" s="1200"/>
      <c r="X41" s="1200"/>
      <c r="Y41" s="1200"/>
      <c r="AN41" s="808" t="s">
        <v>62</v>
      </c>
      <c r="AO41" s="945"/>
      <c r="AP41" s="776" t="str">
        <f>مفروضات!C10</f>
        <v>سال 1400</v>
      </c>
      <c r="AQ41" s="809" t="str">
        <f>AQ1</f>
        <v>سال مالي 93</v>
      </c>
      <c r="AR41" s="809" t="s">
        <v>1271</v>
      </c>
      <c r="AS41" s="809" t="s">
        <v>1273</v>
      </c>
      <c r="AT41" s="770" t="s">
        <v>1163</v>
      </c>
      <c r="AU41" s="770" t="s">
        <v>924</v>
      </c>
      <c r="AV41" s="809" t="str">
        <f>AV1</f>
        <v>سال مالي 1388</v>
      </c>
      <c r="AW41" s="809" t="str">
        <f>AW1</f>
        <v>سال مالي 1387</v>
      </c>
      <c r="AX41" s="809" t="str">
        <f>AX1</f>
        <v>سال مالي 1386</v>
      </c>
      <c r="AY41" s="809" t="str">
        <f>AY1</f>
        <v>سال مالي 1385</v>
      </c>
    </row>
    <row r="42" spans="15:51" ht="61.5" customHeight="1">
      <c r="O42" s="1197"/>
      <c r="P42" s="1197"/>
      <c r="Q42" s="1197"/>
      <c r="R42" s="1197"/>
      <c r="S42" s="1198"/>
      <c r="T42" s="1199"/>
      <c r="U42" s="1197"/>
      <c r="V42" s="1197"/>
      <c r="W42" s="1197"/>
      <c r="X42" s="1197"/>
      <c r="Y42" s="1197"/>
      <c r="AN42" s="810" t="s">
        <v>863</v>
      </c>
      <c r="AO42" s="948"/>
      <c r="AP42" s="776">
        <f>'3'!G9</f>
        <v>53677666</v>
      </c>
      <c r="AQ42" s="798">
        <f>'3'!I9</f>
        <v>36948436.252734989</v>
      </c>
      <c r="AR42" s="798">
        <v>8574808.823450001</v>
      </c>
      <c r="AS42" s="798">
        <v>6426998</v>
      </c>
      <c r="AT42" s="798">
        <v>5453575</v>
      </c>
      <c r="AU42" s="798" t="e">
        <f>#REF!</f>
        <v>#REF!</v>
      </c>
      <c r="AV42" s="798">
        <v>4373580</v>
      </c>
      <c r="AW42" s="798">
        <v>3997969</v>
      </c>
      <c r="AX42" s="811">
        <v>3192651</v>
      </c>
      <c r="AY42" s="798">
        <v>2611494</v>
      </c>
    </row>
    <row r="43" spans="15:51" ht="61.5" customHeight="1">
      <c r="O43" s="1197"/>
      <c r="P43" s="1197"/>
      <c r="Q43" s="1197"/>
      <c r="R43" s="1197"/>
      <c r="S43" s="1198"/>
      <c r="T43" s="1199"/>
      <c r="U43" s="1197"/>
      <c r="V43" s="1197"/>
      <c r="W43" s="1197"/>
      <c r="X43" s="1197"/>
      <c r="Y43" s="1197"/>
      <c r="AN43" s="810" t="s">
        <v>864</v>
      </c>
      <c r="AO43" s="948"/>
      <c r="AP43" s="776">
        <f>'3'!G10</f>
        <v>-20674457</v>
      </c>
      <c r="AQ43" s="798">
        <v>-9335729</v>
      </c>
      <c r="AR43" s="798">
        <v>-7655858</v>
      </c>
      <c r="AS43" s="798">
        <v>-5852007</v>
      </c>
      <c r="AT43" s="798">
        <v>-4974196</v>
      </c>
      <c r="AU43" s="798">
        <v>-4095037</v>
      </c>
      <c r="AV43" s="798">
        <v>-3508619</v>
      </c>
      <c r="AW43" s="798">
        <v>-3041089</v>
      </c>
      <c r="AX43" s="812">
        <v>-2700938</v>
      </c>
      <c r="AY43" s="798">
        <v>-2301629</v>
      </c>
    </row>
    <row r="44" spans="15:51" ht="61.5" customHeight="1">
      <c r="AN44" s="810" t="s">
        <v>865</v>
      </c>
      <c r="AO44" s="948"/>
      <c r="AP44" s="788">
        <f t="shared" ref="AP44:AY44" si="8">SUM(AP42:AP43)</f>
        <v>33003209</v>
      </c>
      <c r="AQ44" s="788">
        <f t="shared" si="8"/>
        <v>27612707.252734989</v>
      </c>
      <c r="AR44" s="788">
        <v>918950.82345000096</v>
      </c>
      <c r="AS44" s="788">
        <f t="shared" si="8"/>
        <v>574991</v>
      </c>
      <c r="AT44" s="788">
        <f t="shared" si="8"/>
        <v>479379</v>
      </c>
      <c r="AU44" s="788" t="e">
        <f t="shared" si="8"/>
        <v>#REF!</v>
      </c>
      <c r="AV44" s="788">
        <f t="shared" si="8"/>
        <v>864961</v>
      </c>
      <c r="AW44" s="788">
        <f t="shared" si="8"/>
        <v>956880</v>
      </c>
      <c r="AX44" s="788">
        <f t="shared" si="8"/>
        <v>491713</v>
      </c>
      <c r="AY44" s="788">
        <f t="shared" si="8"/>
        <v>309865</v>
      </c>
    </row>
    <row r="45" spans="15:51" ht="61.5" customHeight="1">
      <c r="AN45" s="810" t="s">
        <v>866</v>
      </c>
      <c r="AO45" s="948"/>
      <c r="AP45" s="798">
        <f>'3'!G12</f>
        <v>0</v>
      </c>
      <c r="AQ45" s="798">
        <f>'3'!I12</f>
        <v>-4283964</v>
      </c>
      <c r="AR45" s="798">
        <v>-1105639</v>
      </c>
      <c r="AS45" s="798">
        <v>-847419</v>
      </c>
      <c r="AT45" s="798">
        <v>-624775</v>
      </c>
      <c r="AU45" s="798">
        <v>-657779</v>
      </c>
      <c r="AV45" s="798">
        <v>-433718</v>
      </c>
      <c r="AW45" s="798">
        <v>-370985</v>
      </c>
      <c r="AX45" s="812">
        <v>-380948</v>
      </c>
      <c r="AY45" s="798">
        <v>-465048</v>
      </c>
    </row>
    <row r="46" spans="15:51" ht="61.5" customHeight="1">
      <c r="AN46" s="810" t="s">
        <v>867</v>
      </c>
      <c r="AO46" s="948"/>
      <c r="AP46" s="788">
        <f t="shared" ref="AP46:AY46" si="9">SUM(AP44:AP45)</f>
        <v>33003209</v>
      </c>
      <c r="AQ46" s="788">
        <f t="shared" si="9"/>
        <v>23328743.252734989</v>
      </c>
      <c r="AR46" s="788">
        <v>-186688.17654999904</v>
      </c>
      <c r="AS46" s="788">
        <f t="shared" si="9"/>
        <v>-272428</v>
      </c>
      <c r="AT46" s="788">
        <f t="shared" si="9"/>
        <v>-145396</v>
      </c>
      <c r="AU46" s="788" t="e">
        <f t="shared" si="9"/>
        <v>#REF!</v>
      </c>
      <c r="AV46" s="788">
        <f t="shared" si="9"/>
        <v>431243</v>
      </c>
      <c r="AW46" s="788">
        <f t="shared" si="9"/>
        <v>585895</v>
      </c>
      <c r="AX46" s="788">
        <f t="shared" si="9"/>
        <v>110765</v>
      </c>
      <c r="AY46" s="788">
        <f t="shared" si="9"/>
        <v>-155183</v>
      </c>
    </row>
    <row r="47" spans="15:51" ht="61.5" customHeight="1">
      <c r="AN47" s="810" t="s">
        <v>868</v>
      </c>
      <c r="AO47" s="948"/>
      <c r="AP47" s="798">
        <f>'3'!G14</f>
        <v>893307</v>
      </c>
      <c r="AQ47" s="798">
        <f>'3'!I14</f>
        <v>735908</v>
      </c>
      <c r="AR47" s="798">
        <v>278911</v>
      </c>
      <c r="AS47" s="798">
        <v>244011</v>
      </c>
      <c r="AT47" s="798">
        <v>42277</v>
      </c>
      <c r="AU47" s="798" t="e">
        <f>#REF!</f>
        <v>#REF!</v>
      </c>
      <c r="AV47" s="798">
        <v>52559</v>
      </c>
      <c r="AW47" s="798">
        <v>13107</v>
      </c>
      <c r="AX47" s="812">
        <v>11610</v>
      </c>
      <c r="AY47" s="798">
        <v>7151</v>
      </c>
    </row>
    <row r="48" spans="15:51" ht="61.5" customHeight="1">
      <c r="AN48" s="810" t="s">
        <v>869</v>
      </c>
      <c r="AO48" s="948"/>
      <c r="AP48" s="788">
        <f t="shared" ref="AP48:AY48" si="10">SUM(AP46:AP47)</f>
        <v>33896516</v>
      </c>
      <c r="AQ48" s="788">
        <f t="shared" si="10"/>
        <v>24064651.252734989</v>
      </c>
      <c r="AR48" s="788">
        <v>92222.823450000957</v>
      </c>
      <c r="AS48" s="788">
        <f t="shared" si="10"/>
        <v>-28417</v>
      </c>
      <c r="AT48" s="788">
        <f t="shared" si="10"/>
        <v>-103119</v>
      </c>
      <c r="AU48" s="788" t="e">
        <f t="shared" si="10"/>
        <v>#REF!</v>
      </c>
      <c r="AV48" s="788">
        <f t="shared" si="10"/>
        <v>483802</v>
      </c>
      <c r="AW48" s="788">
        <f t="shared" si="10"/>
        <v>599002</v>
      </c>
      <c r="AX48" s="788">
        <f t="shared" si="10"/>
        <v>122375</v>
      </c>
      <c r="AY48" s="788">
        <f t="shared" si="10"/>
        <v>-148032</v>
      </c>
    </row>
    <row r="49" spans="3:51" ht="61.5" customHeight="1">
      <c r="AN49" s="810" t="s">
        <v>870</v>
      </c>
      <c r="AO49" s="948"/>
      <c r="AP49" s="798">
        <f>-AP48*25/100</f>
        <v>-8474129</v>
      </c>
      <c r="AQ49" s="798">
        <f>-AQ48*25/100</f>
        <v>-6016162.8131837472</v>
      </c>
      <c r="AR49" s="798">
        <v>-23055.705862500239</v>
      </c>
      <c r="AS49" s="798">
        <v>-24375</v>
      </c>
      <c r="AT49" s="798">
        <v>-25396</v>
      </c>
      <c r="AU49" s="798">
        <f>'3'!H16</f>
        <v>0</v>
      </c>
      <c r="AV49" s="798">
        <v>-120950</v>
      </c>
      <c r="AW49" s="798">
        <v>-149750</v>
      </c>
      <c r="AX49" s="812">
        <v>-30594</v>
      </c>
      <c r="AY49" s="798">
        <v>0</v>
      </c>
    </row>
    <row r="50" spans="3:51" ht="61.5" customHeight="1">
      <c r="AN50" s="810" t="s">
        <v>871</v>
      </c>
      <c r="AO50" s="948"/>
      <c r="AP50" s="788">
        <f t="shared" ref="AP50:AY50" si="11">SUM(AP48:AP49)</f>
        <v>25422387</v>
      </c>
      <c r="AQ50" s="788">
        <f t="shared" si="11"/>
        <v>18048488.439551242</v>
      </c>
      <c r="AR50" s="788">
        <v>69167.117587500717</v>
      </c>
      <c r="AS50" s="788">
        <f t="shared" si="11"/>
        <v>-52792</v>
      </c>
      <c r="AT50" s="788">
        <f t="shared" si="11"/>
        <v>-128515</v>
      </c>
      <c r="AU50" s="788" t="e">
        <f t="shared" si="11"/>
        <v>#REF!</v>
      </c>
      <c r="AV50" s="788">
        <f t="shared" si="11"/>
        <v>362852</v>
      </c>
      <c r="AW50" s="788">
        <f t="shared" si="11"/>
        <v>449252</v>
      </c>
      <c r="AX50" s="788">
        <f t="shared" si="11"/>
        <v>91781</v>
      </c>
      <c r="AY50" s="788">
        <f t="shared" si="11"/>
        <v>-148032</v>
      </c>
    </row>
    <row r="51" spans="3:51" ht="61.5" customHeight="1">
      <c r="AN51" s="810" t="s">
        <v>1480</v>
      </c>
      <c r="AO51" s="948"/>
      <c r="AP51" s="788">
        <f>SUM(AP49:AP50)</f>
        <v>16948258</v>
      </c>
      <c r="AQ51" s="788">
        <f>SUM(AQ49:AQ50)</f>
        <v>12032325.626367494</v>
      </c>
    </row>
    <row r="52" spans="3:51" ht="61.5" customHeight="1">
      <c r="AN52" s="810" t="s">
        <v>1481</v>
      </c>
      <c r="AO52" s="948"/>
      <c r="AP52" s="798">
        <f>AP50-AP51</f>
        <v>8474129</v>
      </c>
      <c r="AQ52" s="798">
        <f>AQ50-AQ51</f>
        <v>6016162.8131837472</v>
      </c>
    </row>
    <row r="53" spans="3:51" ht="61.5" customHeight="1">
      <c r="AO53" s="936"/>
      <c r="AP53" s="788">
        <f>SUM(AP51:AP52)</f>
        <v>25422387</v>
      </c>
      <c r="AQ53" s="788">
        <f>SUM(AQ51:AQ52)</f>
        <v>18048488.439551242</v>
      </c>
    </row>
    <row r="61" spans="3:51" ht="61.5" customHeight="1">
      <c r="C61" s="768"/>
      <c r="D61" s="768"/>
      <c r="M61" s="931"/>
      <c r="O61" s="931"/>
      <c r="P61" s="931"/>
      <c r="Q61" s="931"/>
      <c r="R61" s="768"/>
      <c r="S61" s="768"/>
      <c r="U61" s="768"/>
      <c r="V61" s="768"/>
      <c r="W61" s="768"/>
      <c r="X61" s="768"/>
      <c r="Y61" s="768"/>
      <c r="Z61" s="768"/>
      <c r="AA61" s="768"/>
      <c r="AB61" s="768"/>
      <c r="AC61" s="768"/>
      <c r="AD61" s="768"/>
      <c r="AE61" s="768"/>
      <c r="AF61" s="768"/>
      <c r="AG61" s="768"/>
      <c r="AH61" s="768"/>
      <c r="AI61" s="768"/>
      <c r="AJ61" s="768"/>
      <c r="AK61" s="768"/>
    </row>
    <row r="62" spans="3:51" ht="61.5" customHeight="1">
      <c r="C62" s="768"/>
      <c r="D62" s="768"/>
      <c r="M62" s="931"/>
      <c r="O62" s="931"/>
      <c r="P62" s="931"/>
      <c r="Q62" s="931"/>
      <c r="R62" s="768"/>
      <c r="S62" s="768"/>
      <c r="U62" s="768"/>
      <c r="V62" s="768"/>
      <c r="W62" s="768"/>
      <c r="X62" s="768"/>
      <c r="Y62" s="768"/>
      <c r="Z62" s="768"/>
      <c r="AA62" s="768"/>
      <c r="AB62" s="768"/>
      <c r="AC62" s="768"/>
      <c r="AD62" s="768"/>
      <c r="AE62" s="768"/>
      <c r="AF62" s="768"/>
      <c r="AG62" s="768"/>
      <c r="AH62" s="768"/>
      <c r="AI62" s="768"/>
      <c r="AJ62" s="768"/>
      <c r="AK62" s="768"/>
    </row>
    <row r="65" spans="3:37" ht="61.5" customHeight="1">
      <c r="C65" s="768"/>
      <c r="D65" s="768"/>
      <c r="M65" s="931"/>
      <c r="O65" s="931"/>
      <c r="P65" s="931"/>
      <c r="Q65" s="931"/>
      <c r="R65" s="768"/>
      <c r="S65" s="768"/>
      <c r="U65" s="768"/>
      <c r="V65" s="768"/>
      <c r="W65" s="768"/>
      <c r="X65" s="768"/>
      <c r="Y65" s="768"/>
      <c r="Z65" s="768"/>
      <c r="AA65" s="768"/>
      <c r="AB65" s="768"/>
      <c r="AC65" s="768"/>
      <c r="AD65" s="768"/>
      <c r="AE65" s="768"/>
      <c r="AF65" s="768"/>
      <c r="AG65" s="768"/>
      <c r="AH65" s="768"/>
      <c r="AI65" s="768"/>
      <c r="AJ65" s="768"/>
      <c r="AK65" s="768"/>
    </row>
    <row r="66" spans="3:37" ht="61.5" customHeight="1">
      <c r="C66" s="768"/>
      <c r="D66" s="768"/>
      <c r="M66" s="931"/>
      <c r="O66" s="931"/>
      <c r="P66" s="931"/>
      <c r="Q66" s="931"/>
      <c r="R66" s="768"/>
      <c r="S66" s="768"/>
      <c r="U66" s="768"/>
      <c r="V66" s="768"/>
      <c r="W66" s="768"/>
      <c r="X66" s="768"/>
      <c r="Y66" s="768"/>
      <c r="Z66" s="768"/>
      <c r="AA66" s="768"/>
      <c r="AB66" s="768"/>
      <c r="AC66" s="768"/>
      <c r="AD66" s="768"/>
      <c r="AE66" s="768"/>
      <c r="AF66" s="768"/>
      <c r="AG66" s="768"/>
      <c r="AH66" s="768"/>
      <c r="AI66" s="768"/>
      <c r="AJ66" s="768"/>
      <c r="AK66" s="768"/>
    </row>
    <row r="67" spans="3:37" ht="61.5" customHeight="1">
      <c r="C67" s="768"/>
      <c r="D67" s="768"/>
      <c r="M67" s="931"/>
      <c r="O67" s="931"/>
      <c r="P67" s="931"/>
      <c r="Q67" s="931"/>
      <c r="R67" s="768"/>
      <c r="S67" s="768"/>
      <c r="U67" s="768"/>
      <c r="V67" s="768"/>
      <c r="W67" s="768"/>
      <c r="X67" s="768"/>
      <c r="Y67" s="768"/>
      <c r="Z67" s="768"/>
      <c r="AA67" s="768"/>
      <c r="AB67" s="768"/>
      <c r="AC67" s="768"/>
      <c r="AD67" s="768"/>
      <c r="AE67" s="768"/>
      <c r="AF67" s="768"/>
      <c r="AG67" s="768"/>
      <c r="AH67" s="768"/>
      <c r="AI67" s="768"/>
      <c r="AJ67" s="768"/>
      <c r="AK67" s="768"/>
    </row>
    <row r="68" spans="3:37" ht="61.5" customHeight="1">
      <c r="C68" s="768"/>
      <c r="D68" s="768"/>
      <c r="M68" s="931"/>
      <c r="O68" s="931"/>
      <c r="P68" s="931"/>
      <c r="Q68" s="931"/>
      <c r="R68" s="768"/>
      <c r="S68" s="768"/>
      <c r="U68" s="768"/>
      <c r="V68" s="768"/>
      <c r="W68" s="768"/>
      <c r="X68" s="768"/>
      <c r="Y68" s="768"/>
      <c r="Z68" s="768"/>
      <c r="AA68" s="768"/>
      <c r="AB68" s="768"/>
      <c r="AC68" s="768"/>
      <c r="AD68" s="768"/>
      <c r="AE68" s="768"/>
      <c r="AF68" s="768"/>
      <c r="AG68" s="768"/>
      <c r="AH68" s="768"/>
      <c r="AI68" s="768"/>
      <c r="AJ68" s="768"/>
      <c r="AK68" s="768"/>
    </row>
    <row r="69" spans="3:37" ht="61.5" customHeight="1">
      <c r="C69" s="768"/>
      <c r="D69" s="768"/>
      <c r="M69" s="931"/>
      <c r="O69" s="931"/>
      <c r="P69" s="931"/>
      <c r="Q69" s="931"/>
      <c r="R69" s="768"/>
      <c r="S69" s="768"/>
      <c r="U69" s="768"/>
      <c r="V69" s="768"/>
      <c r="W69" s="768"/>
      <c r="X69" s="768"/>
      <c r="Y69" s="768"/>
      <c r="Z69" s="768"/>
      <c r="AA69" s="768"/>
      <c r="AB69" s="768"/>
      <c r="AC69" s="768"/>
      <c r="AD69" s="768"/>
      <c r="AE69" s="768"/>
      <c r="AF69" s="768"/>
      <c r="AG69" s="768"/>
      <c r="AH69" s="768"/>
      <c r="AI69" s="768"/>
      <c r="AJ69" s="768"/>
      <c r="AK69" s="768"/>
    </row>
    <row r="70" spans="3:37" ht="61.5" customHeight="1">
      <c r="C70" s="768"/>
      <c r="D70" s="768"/>
      <c r="M70" s="931"/>
      <c r="O70" s="931"/>
      <c r="P70" s="931"/>
      <c r="Q70" s="931"/>
      <c r="R70" s="768"/>
      <c r="S70" s="768"/>
      <c r="U70" s="768"/>
      <c r="V70" s="768"/>
      <c r="W70" s="768"/>
      <c r="X70" s="768"/>
      <c r="Y70" s="768"/>
      <c r="Z70" s="768"/>
      <c r="AA70" s="768"/>
      <c r="AB70" s="768"/>
      <c r="AC70" s="768"/>
      <c r="AD70" s="768"/>
      <c r="AE70" s="768"/>
      <c r="AF70" s="768"/>
      <c r="AG70" s="768"/>
      <c r="AH70" s="768"/>
      <c r="AI70" s="768"/>
      <c r="AJ70" s="768"/>
      <c r="AK70" s="768"/>
    </row>
    <row r="71" spans="3:37" ht="61.5" customHeight="1">
      <c r="C71" s="768"/>
      <c r="D71" s="768"/>
      <c r="M71" s="931"/>
      <c r="O71" s="931"/>
      <c r="P71" s="931"/>
      <c r="Q71" s="931"/>
      <c r="R71" s="768"/>
      <c r="S71" s="768"/>
      <c r="U71" s="768"/>
      <c r="V71" s="768"/>
      <c r="W71" s="768"/>
      <c r="X71" s="768"/>
      <c r="Y71" s="768"/>
      <c r="Z71" s="768"/>
      <c r="AA71" s="768"/>
      <c r="AB71" s="768"/>
      <c r="AC71" s="768"/>
      <c r="AD71" s="768"/>
      <c r="AE71" s="768"/>
      <c r="AF71" s="768"/>
      <c r="AG71" s="768"/>
      <c r="AH71" s="768"/>
      <c r="AI71" s="768"/>
      <c r="AJ71" s="768"/>
      <c r="AK71" s="768"/>
    </row>
    <row r="72" spans="3:37" ht="61.5" customHeight="1">
      <c r="C72" s="768"/>
      <c r="D72" s="768"/>
      <c r="M72" s="931"/>
      <c r="O72" s="931"/>
      <c r="P72" s="931"/>
      <c r="Q72" s="931"/>
      <c r="R72" s="768"/>
      <c r="S72" s="768"/>
      <c r="U72" s="768"/>
      <c r="V72" s="768"/>
      <c r="W72" s="768"/>
      <c r="X72" s="768"/>
      <c r="Y72" s="768"/>
      <c r="Z72" s="768"/>
      <c r="AA72" s="768"/>
      <c r="AB72" s="768"/>
      <c r="AC72" s="768"/>
      <c r="AD72" s="768"/>
      <c r="AE72" s="768"/>
      <c r="AF72" s="768"/>
      <c r="AG72" s="768"/>
      <c r="AH72" s="768"/>
      <c r="AI72" s="768"/>
      <c r="AJ72" s="768"/>
      <c r="AK72" s="768"/>
    </row>
    <row r="73" spans="3:37" ht="61.5" customHeight="1">
      <c r="C73" s="768"/>
      <c r="D73" s="768"/>
      <c r="M73" s="931"/>
      <c r="O73" s="931"/>
      <c r="P73" s="931"/>
      <c r="Q73" s="931"/>
      <c r="R73" s="768"/>
      <c r="S73" s="768"/>
      <c r="U73" s="768"/>
      <c r="V73" s="768"/>
      <c r="W73" s="768"/>
      <c r="X73" s="768"/>
      <c r="Y73" s="768"/>
      <c r="Z73" s="768"/>
      <c r="AA73" s="768"/>
      <c r="AB73" s="768"/>
      <c r="AC73" s="768"/>
      <c r="AD73" s="768"/>
      <c r="AE73" s="768"/>
      <c r="AF73" s="768"/>
      <c r="AG73" s="768"/>
      <c r="AH73" s="768"/>
      <c r="AI73" s="768"/>
      <c r="AJ73" s="768"/>
      <c r="AK73" s="768"/>
    </row>
    <row r="74" spans="3:37" ht="61.5" customHeight="1">
      <c r="C74" s="768"/>
      <c r="D74" s="768"/>
      <c r="M74" s="931"/>
      <c r="O74" s="931"/>
      <c r="P74" s="931"/>
      <c r="Q74" s="931"/>
      <c r="R74" s="768"/>
      <c r="S74" s="768"/>
      <c r="U74" s="768"/>
      <c r="V74" s="768"/>
      <c r="W74" s="768"/>
      <c r="X74" s="768"/>
      <c r="Y74" s="768"/>
      <c r="Z74" s="768"/>
      <c r="AA74" s="768"/>
      <c r="AB74" s="768"/>
      <c r="AC74" s="768"/>
      <c r="AD74" s="768"/>
      <c r="AE74" s="768"/>
      <c r="AF74" s="768"/>
      <c r="AG74" s="768"/>
      <c r="AH74" s="768"/>
      <c r="AI74" s="768"/>
      <c r="AJ74" s="768"/>
      <c r="AK74" s="768"/>
    </row>
    <row r="75" spans="3:37" ht="61.5" customHeight="1">
      <c r="C75" s="768"/>
      <c r="D75" s="768"/>
      <c r="M75" s="931"/>
      <c r="O75" s="931"/>
      <c r="P75" s="931"/>
      <c r="Q75" s="931"/>
      <c r="R75" s="768"/>
      <c r="S75" s="768"/>
      <c r="U75" s="768"/>
      <c r="V75" s="768"/>
      <c r="W75" s="768"/>
      <c r="X75" s="768"/>
      <c r="Y75" s="768"/>
      <c r="Z75" s="768"/>
      <c r="AA75" s="768"/>
      <c r="AB75" s="768"/>
      <c r="AC75" s="768"/>
      <c r="AD75" s="768"/>
      <c r="AE75" s="768"/>
      <c r="AF75" s="768"/>
      <c r="AG75" s="768"/>
      <c r="AH75" s="768"/>
      <c r="AI75" s="768"/>
      <c r="AJ75" s="768"/>
      <c r="AK75" s="768"/>
    </row>
    <row r="76" spans="3:37" ht="61.5" customHeight="1">
      <c r="C76" s="768"/>
      <c r="D76" s="768"/>
      <c r="M76" s="931"/>
      <c r="O76" s="931"/>
      <c r="P76" s="931"/>
      <c r="Q76" s="931"/>
      <c r="R76" s="768"/>
      <c r="S76" s="768"/>
      <c r="U76" s="768"/>
      <c r="V76" s="768"/>
      <c r="W76" s="768"/>
      <c r="X76" s="768"/>
      <c r="Y76" s="768"/>
      <c r="Z76" s="768"/>
      <c r="AA76" s="768"/>
      <c r="AB76" s="768"/>
      <c r="AC76" s="768"/>
      <c r="AD76" s="768"/>
      <c r="AE76" s="768"/>
      <c r="AF76" s="768"/>
      <c r="AG76" s="768"/>
      <c r="AH76" s="768"/>
      <c r="AI76" s="768"/>
      <c r="AJ76" s="768"/>
      <c r="AK76" s="768"/>
    </row>
    <row r="77" spans="3:37" ht="61.5" customHeight="1">
      <c r="C77" s="768"/>
      <c r="D77" s="768"/>
      <c r="M77" s="931"/>
      <c r="O77" s="931"/>
      <c r="P77" s="931"/>
      <c r="Q77" s="931"/>
      <c r="R77" s="768"/>
      <c r="S77" s="768"/>
      <c r="U77" s="768"/>
      <c r="V77" s="768"/>
      <c r="W77" s="768"/>
      <c r="X77" s="768"/>
      <c r="Y77" s="768"/>
      <c r="Z77" s="768"/>
      <c r="AA77" s="768"/>
      <c r="AB77" s="768"/>
      <c r="AC77" s="768"/>
      <c r="AD77" s="768"/>
      <c r="AE77" s="768"/>
      <c r="AF77" s="768"/>
      <c r="AG77" s="768"/>
      <c r="AH77" s="768"/>
      <c r="AI77" s="768"/>
      <c r="AJ77" s="768"/>
      <c r="AK77" s="768"/>
    </row>
  </sheetData>
  <mergeCells count="175">
    <mergeCell ref="R36:U36"/>
    <mergeCell ref="D5:D6"/>
    <mergeCell ref="C7:C8"/>
    <mergeCell ref="G19:L19"/>
    <mergeCell ref="M18:M19"/>
    <mergeCell ref="N18:N19"/>
    <mergeCell ref="G20:L20"/>
    <mergeCell ref="G21:L21"/>
    <mergeCell ref="E14:L14"/>
    <mergeCell ref="E5:L5"/>
    <mergeCell ref="E6:L6"/>
    <mergeCell ref="E15:L15"/>
    <mergeCell ref="G18:L18"/>
    <mergeCell ref="C12:C13"/>
    <mergeCell ref="D12:D13"/>
    <mergeCell ref="AH5:AJ5"/>
    <mergeCell ref="AH6:AJ6"/>
    <mergeCell ref="AG5:AG6"/>
    <mergeCell ref="AF5:AF6"/>
    <mergeCell ref="M3:M4"/>
    <mergeCell ref="M22:M23"/>
    <mergeCell ref="N22:N23"/>
    <mergeCell ref="N3:N4"/>
    <mergeCell ref="O4:Q4"/>
    <mergeCell ref="M5:M6"/>
    <mergeCell ref="N5:N6"/>
    <mergeCell ref="M7:M8"/>
    <mergeCell ref="N7:N8"/>
    <mergeCell ref="M9:M10"/>
    <mergeCell ref="N9:N10"/>
    <mergeCell ref="M12:M13"/>
    <mergeCell ref="N12:N13"/>
    <mergeCell ref="Z22:Z23"/>
    <mergeCell ref="AB5:AD5"/>
    <mergeCell ref="AB6:AD6"/>
    <mergeCell ref="AA5:AA6"/>
    <mergeCell ref="AB7:AD7"/>
    <mergeCell ref="AB8:AD8"/>
    <mergeCell ref="AA7:AA8"/>
    <mergeCell ref="AG3:AG4"/>
    <mergeCell ref="AF3:AF4"/>
    <mergeCell ref="AH4:AJ4"/>
    <mergeCell ref="AF2:AK2"/>
    <mergeCell ref="S3:S4"/>
    <mergeCell ref="T3:T4"/>
    <mergeCell ref="U4:W4"/>
    <mergeCell ref="B2:L2"/>
    <mergeCell ref="M2:Q2"/>
    <mergeCell ref="AB4:AD4"/>
    <mergeCell ref="AA3:AA4"/>
    <mergeCell ref="Z3:Z4"/>
    <mergeCell ref="E4:L4"/>
    <mergeCell ref="S2:W2"/>
    <mergeCell ref="Y2:AD2"/>
    <mergeCell ref="A3:A6"/>
    <mergeCell ref="C3:C4"/>
    <mergeCell ref="B20:B21"/>
    <mergeCell ref="C20:E21"/>
    <mergeCell ref="AA14:AA15"/>
    <mergeCell ref="AB16:AD16"/>
    <mergeCell ref="AB17:AD17"/>
    <mergeCell ref="AA16:AA17"/>
    <mergeCell ref="AB18:AD18"/>
    <mergeCell ref="AB19:AD19"/>
    <mergeCell ref="B16:B17"/>
    <mergeCell ref="C16:D17"/>
    <mergeCell ref="E16:E17"/>
    <mergeCell ref="B14:B15"/>
    <mergeCell ref="C14:C15"/>
    <mergeCell ref="D14:D15"/>
    <mergeCell ref="T12:T13"/>
    <mergeCell ref="T16:T17"/>
    <mergeCell ref="D3:D4"/>
    <mergeCell ref="E3:L3"/>
    <mergeCell ref="B5:B6"/>
    <mergeCell ref="C5:C6"/>
    <mergeCell ref="C18:E19"/>
    <mergeCell ref="F18:F19"/>
    <mergeCell ref="B22:B23"/>
    <mergeCell ref="C22:J23"/>
    <mergeCell ref="A7:A10"/>
    <mergeCell ref="D7:D8"/>
    <mergeCell ref="B9:B10"/>
    <mergeCell ref="C9:C10"/>
    <mergeCell ref="D9:D10"/>
    <mergeCell ref="E7:L7"/>
    <mergeCell ref="E8:L8"/>
    <mergeCell ref="E9:L9"/>
    <mergeCell ref="E10:L10"/>
    <mergeCell ref="E12:L12"/>
    <mergeCell ref="E13:L13"/>
    <mergeCell ref="A18:A23"/>
    <mergeCell ref="Z12:Z13"/>
    <mergeCell ref="Z14:Z15"/>
    <mergeCell ref="Z16:Z17"/>
    <mergeCell ref="Z18:Z19"/>
    <mergeCell ref="A25:AM25"/>
    <mergeCell ref="F16:L16"/>
    <mergeCell ref="F17:L17"/>
    <mergeCell ref="S22:S23"/>
    <mergeCell ref="T22:T23"/>
    <mergeCell ref="S20:S21"/>
    <mergeCell ref="T20:T21"/>
    <mergeCell ref="F20:F21"/>
    <mergeCell ref="AF20:AF21"/>
    <mergeCell ref="AG22:AG23"/>
    <mergeCell ref="AF22:AF23"/>
    <mergeCell ref="AG20:AG21"/>
    <mergeCell ref="AH21:AJ21"/>
    <mergeCell ref="AH22:AJ22"/>
    <mergeCell ref="AH23:AJ23"/>
    <mergeCell ref="T18:T19"/>
    <mergeCell ref="AB22:AD22"/>
    <mergeCell ref="AB23:AD23"/>
    <mergeCell ref="K22:K23"/>
    <mergeCell ref="A12:A17"/>
    <mergeCell ref="AB15:AD15"/>
    <mergeCell ref="AA18:AA19"/>
    <mergeCell ref="AB20:AD20"/>
    <mergeCell ref="AB21:AD21"/>
    <mergeCell ref="S5:S6"/>
    <mergeCell ref="T5:T6"/>
    <mergeCell ref="AG7:AG8"/>
    <mergeCell ref="AF7:AF8"/>
    <mergeCell ref="AG9:AG10"/>
    <mergeCell ref="AB9:AD9"/>
    <mergeCell ref="AB10:AD10"/>
    <mergeCell ref="AB12:AD12"/>
    <mergeCell ref="AB13:AD13"/>
    <mergeCell ref="AG12:AG13"/>
    <mergeCell ref="AF12:AF13"/>
    <mergeCell ref="AA9:AA10"/>
    <mergeCell ref="AA12:AA13"/>
    <mergeCell ref="Z5:Z6"/>
    <mergeCell ref="S7:S8"/>
    <mergeCell ref="T7:T8"/>
    <mergeCell ref="S12:S13"/>
    <mergeCell ref="AF9:AF10"/>
    <mergeCell ref="Z7:Z8"/>
    <mergeCell ref="Z9:Z10"/>
    <mergeCell ref="AA22:AA23"/>
    <mergeCell ref="M14:M15"/>
    <mergeCell ref="N14:N15"/>
    <mergeCell ref="M16:M17"/>
    <mergeCell ref="N16:N17"/>
    <mergeCell ref="S18:S19"/>
    <mergeCell ref="AA20:AA21"/>
    <mergeCell ref="Z20:Z21"/>
    <mergeCell ref="S14:S15"/>
    <mergeCell ref="T14:T15"/>
    <mergeCell ref="S16:S17"/>
    <mergeCell ref="AH7:AJ7"/>
    <mergeCell ref="AH8:AJ8"/>
    <mergeCell ref="AH9:AJ9"/>
    <mergeCell ref="AH12:AJ12"/>
    <mergeCell ref="AH13:AJ13"/>
    <mergeCell ref="AH10:AJ10"/>
    <mergeCell ref="AH14:AJ14"/>
    <mergeCell ref="T9:T10"/>
    <mergeCell ref="M20:M21"/>
    <mergeCell ref="N20:N21"/>
    <mergeCell ref="AH15:AJ15"/>
    <mergeCell ref="AH16:AJ16"/>
    <mergeCell ref="AH17:AJ17"/>
    <mergeCell ref="AH18:AJ18"/>
    <mergeCell ref="AH19:AJ19"/>
    <mergeCell ref="AH20:AJ20"/>
    <mergeCell ref="S9:S10"/>
    <mergeCell ref="AG16:AG17"/>
    <mergeCell ref="AF16:AF17"/>
    <mergeCell ref="AG18:AG19"/>
    <mergeCell ref="AF18:AF19"/>
    <mergeCell ref="AG14:AG15"/>
    <mergeCell ref="AF14:AF15"/>
    <mergeCell ref="AB14:AD14"/>
  </mergeCells>
  <printOptions horizontalCentered="1"/>
  <pageMargins left="0.15748031496062992" right="0.15748031496062992" top="0" bottom="0.15748031496062992" header="0.23622047244094491" footer="0.39370078740157483"/>
  <pageSetup paperSize="9" orientation="landscape" r:id="rId1"/>
  <headerFooter alignWithMargins="0">
    <oddHeader xml:space="preserve">&amp;C&amp;"Nazanin,Bold"&amp;25 </oddHeader>
    <oddFooter xml:space="preserve">&amp;C&amp;16
</oddFooter>
  </headerFooter>
  <colBreaks count="3" manualBreakCount="3">
    <brk id="36" max="22" man="1"/>
    <brk id="37" max="23" man="1"/>
    <brk id="38" max="2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rightToLeft="1" view="pageBreakPreview" topLeftCell="A10" zoomScale="70" zoomScaleNormal="100" zoomScaleSheetLayoutView="70" workbookViewId="0">
      <selection activeCell="I15" sqref="I15:I17"/>
    </sheetView>
  </sheetViews>
  <sheetFormatPr defaultColWidth="16.375" defaultRowHeight="24" customHeight="1"/>
  <cols>
    <col min="1" max="1" width="3.5" style="1988" customWidth="1"/>
    <col min="2" max="2" width="6" style="1988" customWidth="1"/>
    <col min="3" max="3" width="25.625" style="1988" customWidth="1"/>
    <col min="4" max="4" width="12" style="1988" customWidth="1"/>
    <col min="5" max="5" width="24.375" style="1988" customWidth="1"/>
    <col min="6" max="6" width="19" style="1988" customWidth="1"/>
    <col min="7" max="7" width="12.375" style="1988" customWidth="1"/>
    <col min="8" max="8" width="16.5" style="1988" bestFit="1" customWidth="1"/>
    <col min="9" max="9" width="16.75" style="1988" customWidth="1"/>
    <col min="10" max="10" width="43.625" style="1988" customWidth="1"/>
    <col min="11" max="16384" width="16.375" style="1988"/>
  </cols>
  <sheetData>
    <row r="1" spans="1:16" s="255" customFormat="1" ht="33" customHeight="1">
      <c r="A1" s="3320" t="s">
        <v>612</v>
      </c>
      <c r="B1" s="3320"/>
      <c r="C1" s="3320"/>
      <c r="D1" s="3320"/>
      <c r="E1" s="3320"/>
      <c r="F1" s="3320"/>
      <c r="G1" s="3320"/>
      <c r="H1" s="3320"/>
      <c r="I1" s="3320"/>
      <c r="J1" s="3320"/>
      <c r="K1" s="2204"/>
      <c r="L1" s="2204"/>
      <c r="M1" s="2204"/>
      <c r="N1" s="2204"/>
      <c r="O1" s="534"/>
      <c r="P1" s="534"/>
    </row>
    <row r="2" spans="1:16" s="255" customFormat="1" ht="35.25" customHeight="1">
      <c r="A2" s="3320" t="s">
        <v>1515</v>
      </c>
      <c r="B2" s="3320"/>
      <c r="C2" s="3320"/>
      <c r="D2" s="3320"/>
      <c r="E2" s="3320"/>
      <c r="F2" s="3320"/>
      <c r="G2" s="3320"/>
      <c r="H2" s="3320"/>
      <c r="I2" s="3320"/>
      <c r="J2" s="3320"/>
      <c r="K2" s="2204"/>
      <c r="L2" s="2204"/>
      <c r="M2" s="2204"/>
      <c r="N2" s="2204"/>
      <c r="O2" s="534"/>
      <c r="P2" s="534"/>
    </row>
    <row r="3" spans="1:16" s="255" customFormat="1" ht="35.25" customHeight="1">
      <c r="A3" s="3320" t="str">
        <f>مفروضات!A7</f>
        <v xml:space="preserve"> سال مالي منتهي به 29 اسفند 1401</v>
      </c>
      <c r="B3" s="3320"/>
      <c r="C3" s="3320"/>
      <c r="D3" s="3320"/>
      <c r="E3" s="3320"/>
      <c r="F3" s="3320"/>
      <c r="G3" s="3320"/>
      <c r="H3" s="3320"/>
      <c r="I3" s="3320"/>
      <c r="J3" s="3320"/>
      <c r="K3" s="2204"/>
      <c r="L3" s="2204"/>
      <c r="M3" s="2204"/>
      <c r="N3" s="2204"/>
      <c r="O3" s="534"/>
      <c r="P3" s="534"/>
    </row>
    <row r="4" spans="1:16" customFormat="1" ht="24" customHeight="1">
      <c r="B4" s="3387" t="s">
        <v>2382</v>
      </c>
      <c r="C4" s="3387"/>
      <c r="D4" s="3387"/>
      <c r="E4" s="3387"/>
      <c r="F4" s="3387"/>
      <c r="G4" s="3387"/>
      <c r="H4" s="3387"/>
      <c r="I4" s="3387"/>
      <c r="J4" s="3387"/>
    </row>
    <row r="5" spans="1:16" customFormat="1" ht="18.75" customHeight="1" thickBot="1">
      <c r="E5" s="1475"/>
      <c r="J5" s="2270" t="s">
        <v>1950</v>
      </c>
    </row>
    <row r="6" spans="1:16" customFormat="1" ht="46.5" customHeight="1">
      <c r="A6" s="2206"/>
      <c r="B6" s="3388" t="s">
        <v>2187</v>
      </c>
      <c r="C6" s="3390" t="s">
        <v>2222</v>
      </c>
      <c r="D6" s="3390" t="s">
        <v>2200</v>
      </c>
      <c r="E6" s="3390" t="s">
        <v>2201</v>
      </c>
      <c r="F6" s="3390" t="s">
        <v>2202</v>
      </c>
      <c r="G6" s="3390" t="s">
        <v>2203</v>
      </c>
      <c r="H6" s="3392" t="s">
        <v>2204</v>
      </c>
      <c r="I6" s="3393"/>
      <c r="J6" s="3394" t="s">
        <v>2192</v>
      </c>
    </row>
    <row r="7" spans="1:16" customFormat="1" ht="24.75" customHeight="1" thickBot="1">
      <c r="A7" s="2206"/>
      <c r="B7" s="3389"/>
      <c r="C7" s="3391"/>
      <c r="D7" s="3391"/>
      <c r="E7" s="3391"/>
      <c r="F7" s="3391"/>
      <c r="G7" s="3391"/>
      <c r="H7" s="2210" t="s">
        <v>2205</v>
      </c>
      <c r="I7" s="2210" t="s">
        <v>2195</v>
      </c>
      <c r="J7" s="3395"/>
    </row>
    <row r="8" spans="1:16" s="1452" customFormat="1" ht="33.75" customHeight="1">
      <c r="A8" s="487"/>
      <c r="B8" s="2271">
        <v>1</v>
      </c>
      <c r="C8" s="2272" t="s">
        <v>2206</v>
      </c>
      <c r="D8" s="2272" t="s">
        <v>2207</v>
      </c>
      <c r="E8" s="2273">
        <v>70000</v>
      </c>
      <c r="F8" s="2273">
        <f>E8</f>
        <v>70000</v>
      </c>
      <c r="G8" s="2273">
        <f>'10'!G17/1000</f>
        <v>68193.282000000007</v>
      </c>
      <c r="H8" s="2273">
        <f>G8-F8</f>
        <v>-1806.7179999999935</v>
      </c>
      <c r="I8" s="2274">
        <f>H8/F8*100</f>
        <v>-2.5810257142857047</v>
      </c>
      <c r="J8" s="2275" t="s">
        <v>2208</v>
      </c>
    </row>
    <row r="9" spans="1:16" s="1452" customFormat="1" ht="35.25" customHeight="1" thickBot="1">
      <c r="A9" s="487"/>
      <c r="B9" s="2276">
        <v>2</v>
      </c>
      <c r="C9" s="2277" t="s">
        <v>2209</v>
      </c>
      <c r="D9" s="2277" t="s">
        <v>2207</v>
      </c>
      <c r="E9" s="2278">
        <v>57000</v>
      </c>
      <c r="F9" s="2278">
        <v>57000</v>
      </c>
      <c r="G9" s="2278">
        <f>'10'!G30/1000</f>
        <v>62705.602166000004</v>
      </c>
      <c r="H9" s="2278">
        <f>G9-F9</f>
        <v>5705.6021660000042</v>
      </c>
      <c r="I9" s="2279">
        <f>H9/F9*100</f>
        <v>10.009828361403518</v>
      </c>
      <c r="J9" s="2280" t="s">
        <v>2210</v>
      </c>
    </row>
    <row r="10" spans="1:16" s="1452" customFormat="1" ht="37.5" customHeight="1" thickBot="1">
      <c r="A10" s="487"/>
      <c r="B10" s="3385" t="s">
        <v>679</v>
      </c>
      <c r="C10" s="3386"/>
      <c r="D10" s="2281"/>
      <c r="E10" s="2282">
        <f>SUM(E8:E9)</f>
        <v>127000</v>
      </c>
      <c r="F10" s="2282">
        <f>SUM(F8:F9)</f>
        <v>127000</v>
      </c>
      <c r="G10" s="2282">
        <f>SUM(G8:G9)</f>
        <v>130898.884166</v>
      </c>
      <c r="H10" s="2282"/>
      <c r="I10" s="2281"/>
      <c r="J10" s="2283"/>
    </row>
    <row r="11" spans="1:16" customFormat="1" ht="15" customHeight="1">
      <c r="A11" s="2206"/>
      <c r="B11" s="2206"/>
      <c r="C11" s="2206"/>
      <c r="D11" s="2206"/>
      <c r="E11" s="2206"/>
      <c r="F11" s="2206"/>
      <c r="G11" s="2206"/>
      <c r="H11" s="2206"/>
      <c r="I11" s="2206"/>
      <c r="J11" s="2206"/>
    </row>
    <row r="12" spans="1:16" customFormat="1" ht="32.25" customHeight="1">
      <c r="A12" s="2206"/>
      <c r="B12" s="3382" t="s">
        <v>2384</v>
      </c>
      <c r="C12" s="3382"/>
      <c r="D12" s="3382"/>
      <c r="E12" s="3382"/>
      <c r="F12" s="3382"/>
      <c r="G12" s="3382"/>
      <c r="H12" s="3382"/>
      <c r="I12" s="3382"/>
      <c r="J12" s="3382"/>
    </row>
    <row r="13" spans="1:16" customFormat="1" ht="18.75" customHeight="1" thickBot="1">
      <c r="A13" s="2206"/>
      <c r="B13" s="2206"/>
      <c r="C13" s="2206"/>
      <c r="D13" s="2206"/>
      <c r="E13" s="761"/>
      <c r="F13" s="2206"/>
      <c r="G13" s="2206"/>
      <c r="H13" s="2206"/>
      <c r="I13" s="2206"/>
      <c r="J13" s="487" t="s">
        <v>1950</v>
      </c>
    </row>
    <row r="14" spans="1:16" customFormat="1" ht="116.25" customHeight="1" thickBot="1">
      <c r="A14" s="2206"/>
      <c r="B14" s="2284" t="s">
        <v>2187</v>
      </c>
      <c r="C14" s="2281" t="s">
        <v>2211</v>
      </c>
      <c r="D14" s="2281" t="s">
        <v>2212</v>
      </c>
      <c r="E14" s="2281" t="s">
        <v>2213</v>
      </c>
      <c r="F14" s="2281" t="s">
        <v>2214</v>
      </c>
      <c r="G14" s="2281" t="s">
        <v>2215</v>
      </c>
      <c r="H14" s="2281" t="s">
        <v>2216</v>
      </c>
      <c r="I14" s="2281" t="s">
        <v>2217</v>
      </c>
      <c r="J14" s="2283" t="s">
        <v>2192</v>
      </c>
    </row>
    <row r="15" spans="1:16" s="1452" customFormat="1" ht="37.5" customHeight="1" thickBot="1">
      <c r="A15" s="487"/>
      <c r="B15" s="2207">
        <v>1</v>
      </c>
      <c r="C15" s="2208" t="s">
        <v>2206</v>
      </c>
      <c r="D15" s="2285">
        <f>G8</f>
        <v>68193.282000000007</v>
      </c>
      <c r="E15" s="2286">
        <v>388</v>
      </c>
      <c r="F15" s="2286">
        <v>417.85</v>
      </c>
      <c r="G15" s="2286">
        <f>F15</f>
        <v>417.85</v>
      </c>
      <c r="H15" s="2530">
        <f>E15*E8</f>
        <v>27160000</v>
      </c>
      <c r="I15" s="2530">
        <f>D15*G15-1</f>
        <v>28494561.883700006</v>
      </c>
      <c r="J15" s="2209" t="s">
        <v>2220</v>
      </c>
    </row>
    <row r="16" spans="1:16" s="1452" customFormat="1" ht="31.5" customHeight="1">
      <c r="A16" s="487"/>
      <c r="B16" s="2276">
        <v>2</v>
      </c>
      <c r="C16" s="2277" t="s">
        <v>2209</v>
      </c>
      <c r="D16" s="2278">
        <f>G9</f>
        <v>62705.602166000004</v>
      </c>
      <c r="E16" s="2293">
        <v>395</v>
      </c>
      <c r="F16" s="2286">
        <f t="shared" ref="F16:H18" si="0">E16</f>
        <v>395</v>
      </c>
      <c r="G16" s="2286">
        <f t="shared" si="0"/>
        <v>395</v>
      </c>
      <c r="H16" s="2278">
        <f>E16*E9</f>
        <v>22515000</v>
      </c>
      <c r="I16" s="2285">
        <f>'10'!K30</f>
        <v>25087015</v>
      </c>
      <c r="J16" s="2280" t="s">
        <v>2220</v>
      </c>
    </row>
    <row r="17" spans="1:10" s="1452" customFormat="1" ht="42" customHeight="1">
      <c r="A17" s="487"/>
      <c r="B17" s="2276">
        <v>3</v>
      </c>
      <c r="C17" s="2277" t="s">
        <v>2218</v>
      </c>
      <c r="D17" s="2278">
        <v>1</v>
      </c>
      <c r="E17" s="2294">
        <v>70000</v>
      </c>
      <c r="F17" s="2294">
        <f t="shared" si="0"/>
        <v>70000</v>
      </c>
      <c r="G17" s="2294">
        <f t="shared" si="0"/>
        <v>70000</v>
      </c>
      <c r="H17" s="2294">
        <f t="shared" si="0"/>
        <v>70000</v>
      </c>
      <c r="I17" s="2278">
        <f>'10'!K32</f>
        <v>96089</v>
      </c>
      <c r="J17" s="2280"/>
    </row>
    <row r="18" spans="1:10" s="1452" customFormat="1" ht="36" customHeight="1" thickBot="1">
      <c r="A18" s="487"/>
      <c r="B18" s="2289"/>
      <c r="C18" s="2291" t="s">
        <v>2219</v>
      </c>
      <c r="D18" s="2287">
        <v>1</v>
      </c>
      <c r="E18" s="2292">
        <v>200000</v>
      </c>
      <c r="F18" s="2292">
        <f t="shared" si="0"/>
        <v>200000</v>
      </c>
      <c r="G18" s="2294">
        <f t="shared" si="0"/>
        <v>200000</v>
      </c>
      <c r="H18" s="2287">
        <f>E18*D18</f>
        <v>200000</v>
      </c>
      <c r="I18" s="2287">
        <f>'12-13'!H106</f>
        <v>893307</v>
      </c>
      <c r="J18" s="2288" t="s">
        <v>2221</v>
      </c>
    </row>
    <row r="19" spans="1:10" s="1452" customFormat="1" ht="34.5" customHeight="1" thickBot="1">
      <c r="A19" s="487"/>
      <c r="B19" s="3385" t="s">
        <v>1492</v>
      </c>
      <c r="C19" s="3386"/>
      <c r="D19" s="2290"/>
      <c r="E19" s="2281"/>
      <c r="F19" s="2281"/>
      <c r="G19" s="2281"/>
      <c r="H19" s="2282">
        <f>SUM(H15:H18)</f>
        <v>49945000</v>
      </c>
      <c r="I19" s="2282">
        <f>SUM(I15:I18)-1</f>
        <v>54570971.883700006</v>
      </c>
      <c r="J19" s="2283"/>
    </row>
    <row r="20" spans="1:10" s="1452" customFormat="1" ht="31.5" customHeight="1">
      <c r="A20" s="487"/>
      <c r="B20" s="3384" t="s">
        <v>2383</v>
      </c>
      <c r="C20" s="3384"/>
      <c r="D20" s="3384"/>
      <c r="E20" s="3384"/>
      <c r="F20" s="3384"/>
      <c r="G20" s="3384"/>
      <c r="H20" s="3384"/>
      <c r="I20" s="3384"/>
      <c r="J20" s="3384"/>
    </row>
    <row r="21" spans="1:10" ht="24.75" customHeight="1">
      <c r="A21" s="3383">
        <v>40</v>
      </c>
      <c r="B21" s="3383"/>
      <c r="C21" s="3383"/>
      <c r="D21" s="3383"/>
      <c r="E21" s="3383"/>
      <c r="F21" s="3383"/>
      <c r="G21" s="3383"/>
      <c r="H21" s="3383"/>
      <c r="I21" s="3383"/>
      <c r="J21" s="3383"/>
    </row>
  </sheetData>
  <mergeCells count="17">
    <mergeCell ref="B10:C10"/>
    <mergeCell ref="B12:J12"/>
    <mergeCell ref="A21:J21"/>
    <mergeCell ref="A1:J1"/>
    <mergeCell ref="A2:J2"/>
    <mergeCell ref="A3:J3"/>
    <mergeCell ref="B20:J20"/>
    <mergeCell ref="B19:C19"/>
    <mergeCell ref="B4:J4"/>
    <mergeCell ref="B6:B7"/>
    <mergeCell ref="C6:C7"/>
    <mergeCell ref="D6:D7"/>
    <mergeCell ref="E6:E7"/>
    <mergeCell ref="F6:F7"/>
    <mergeCell ref="G6:G7"/>
    <mergeCell ref="H6:I6"/>
    <mergeCell ref="J6:J7"/>
  </mergeCells>
  <pageMargins left="0.7" right="0.7" top="0.75" bottom="0.75" header="0.3" footer="0.3"/>
  <pageSetup paperSize="9" scale="6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CC"/>
  </sheetPr>
  <dimension ref="A1:N15"/>
  <sheetViews>
    <sheetView rightToLeft="1" zoomScaleNormal="100" workbookViewId="0">
      <selection activeCell="I10" sqref="I10"/>
    </sheetView>
  </sheetViews>
  <sheetFormatPr defaultRowHeight="14.25"/>
  <sheetData>
    <row r="1" spans="1:14" ht="20.25">
      <c r="A1" s="1" t="s">
        <v>612</v>
      </c>
      <c r="B1" s="2"/>
      <c r="C1" s="2"/>
      <c r="D1" s="2"/>
      <c r="E1" s="2"/>
      <c r="F1" s="3"/>
      <c r="G1" s="3"/>
      <c r="H1" s="3"/>
      <c r="I1" s="3"/>
    </row>
    <row r="2" spans="1:14">
      <c r="A2" s="11" t="s">
        <v>1515</v>
      </c>
      <c r="B2" s="12"/>
      <c r="C2" s="12"/>
      <c r="D2" s="5"/>
      <c r="E2" s="5"/>
      <c r="F2" s="6"/>
      <c r="G2" s="6"/>
      <c r="H2" s="6"/>
      <c r="I2" s="14"/>
    </row>
    <row r="3" spans="1:14">
      <c r="A3" s="3396" t="s">
        <v>2353</v>
      </c>
      <c r="B3" s="3396"/>
      <c r="C3" s="3396"/>
      <c r="D3" s="5"/>
      <c r="E3" s="5"/>
      <c r="F3" s="13"/>
      <c r="G3" s="6"/>
      <c r="H3" s="6"/>
      <c r="I3" s="14"/>
    </row>
    <row r="4" spans="1:14">
      <c r="A4" s="4" t="s">
        <v>2354</v>
      </c>
      <c r="B4" s="5"/>
      <c r="C4" s="5"/>
      <c r="D4" s="5"/>
      <c r="E4" s="5"/>
      <c r="F4" s="6"/>
      <c r="G4" s="6"/>
      <c r="H4" s="6"/>
      <c r="I4" s="6"/>
    </row>
    <row r="5" spans="1:14">
      <c r="A5" s="7" t="s">
        <v>2355</v>
      </c>
      <c r="B5" s="8"/>
      <c r="C5" s="9" t="s">
        <v>2105</v>
      </c>
      <c r="D5" s="10"/>
      <c r="E5" s="5"/>
      <c r="F5" s="6"/>
      <c r="G5" s="6"/>
      <c r="H5" s="6"/>
      <c r="I5" s="6"/>
    </row>
    <row r="6" spans="1:14">
      <c r="A6" s="11" t="s">
        <v>2353</v>
      </c>
      <c r="B6" s="12"/>
      <c r="C6" s="12"/>
      <c r="D6" s="5"/>
      <c r="E6" s="5"/>
      <c r="F6" s="6"/>
      <c r="G6" s="6"/>
      <c r="H6" s="6"/>
      <c r="I6" s="6"/>
    </row>
    <row r="7" spans="1:14">
      <c r="A7" s="11" t="s">
        <v>2353</v>
      </c>
      <c r="B7" s="12"/>
      <c r="C7" s="12"/>
      <c r="D7" s="5"/>
      <c r="E7" s="5"/>
      <c r="F7" s="13"/>
      <c r="G7" s="6"/>
      <c r="H7" s="6"/>
      <c r="I7" s="14"/>
    </row>
    <row r="8" spans="1:14">
      <c r="A8" s="3397" t="s">
        <v>2355</v>
      </c>
      <c r="B8" s="3397"/>
      <c r="C8" s="1802" t="s">
        <v>2356</v>
      </c>
      <c r="D8" s="15"/>
      <c r="E8" s="5"/>
      <c r="F8" s="16"/>
      <c r="G8" s="6"/>
      <c r="H8" s="6"/>
      <c r="I8" s="14"/>
    </row>
    <row r="9" spans="1:14">
      <c r="A9" s="11" t="s">
        <v>1514</v>
      </c>
      <c r="B9" s="12"/>
      <c r="C9" s="12"/>
      <c r="D9" s="5"/>
      <c r="E9" s="5"/>
      <c r="F9" s="6"/>
      <c r="G9" s="6"/>
      <c r="H9" s="6"/>
      <c r="I9" s="14"/>
    </row>
    <row r="10" spans="1:14">
      <c r="A10" s="3397" t="s">
        <v>2357</v>
      </c>
      <c r="B10" s="3397"/>
      <c r="C10" s="17" t="s">
        <v>2106</v>
      </c>
      <c r="D10" s="17"/>
      <c r="E10" s="5"/>
      <c r="F10" s="6"/>
      <c r="G10" s="6"/>
      <c r="H10" s="6"/>
      <c r="I10" s="14"/>
    </row>
    <row r="11" spans="1:14">
      <c r="A11" s="4" t="s">
        <v>1429</v>
      </c>
      <c r="B11" s="5"/>
      <c r="C11" s="5"/>
      <c r="D11" s="5"/>
      <c r="E11" s="5"/>
      <c r="F11" s="6"/>
      <c r="G11" s="6"/>
      <c r="H11" s="6"/>
      <c r="I11" s="6"/>
    </row>
    <row r="12" spans="1:14" ht="26.25">
      <c r="A12" s="4"/>
      <c r="B12" s="5"/>
      <c r="C12" s="883" t="s">
        <v>2107</v>
      </c>
      <c r="D12" s="5"/>
      <c r="E12" s="5"/>
      <c r="F12" s="885" t="s">
        <v>2108</v>
      </c>
      <c r="G12" s="884"/>
      <c r="H12" s="884"/>
      <c r="I12" s="884"/>
      <c r="J12" s="884"/>
      <c r="K12" s="884"/>
      <c r="L12" s="884"/>
      <c r="M12" s="884"/>
      <c r="N12" s="884"/>
    </row>
    <row r="13" spans="1:14">
      <c r="A13" s="4"/>
      <c r="B13" s="5"/>
      <c r="C13" s="5"/>
      <c r="D13" s="5"/>
      <c r="E13" s="5"/>
      <c r="F13" s="6"/>
      <c r="G13" s="6"/>
      <c r="H13" s="6"/>
      <c r="I13" s="6"/>
    </row>
    <row r="14" spans="1:14" ht="26.25">
      <c r="A14" s="436" t="s">
        <v>2358</v>
      </c>
      <c r="B14" s="437"/>
      <c r="C14" s="436">
        <v>1400</v>
      </c>
    </row>
    <row r="15" spans="1:14" ht="19.5">
      <c r="A15" s="439" t="s">
        <v>675</v>
      </c>
      <c r="B15" s="439"/>
      <c r="C15" s="439" t="s">
        <v>675</v>
      </c>
    </row>
  </sheetData>
  <mergeCells count="3">
    <mergeCell ref="A3:C3"/>
    <mergeCell ref="A8:B8"/>
    <mergeCell ref="A10:B10"/>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249977111117893"/>
  </sheetPr>
  <dimension ref="A1:X247"/>
  <sheetViews>
    <sheetView rightToLeft="1" workbookViewId="0">
      <pane ySplit="3" topLeftCell="A31" activePane="bottomLeft" state="frozen"/>
      <selection pane="bottomLeft" activeCell="F50" sqref="F50"/>
    </sheetView>
  </sheetViews>
  <sheetFormatPr defaultRowHeight="14.25"/>
  <cols>
    <col min="1" max="2" width="1.25" customWidth="1"/>
    <col min="3" max="3" width="0.75" bestFit="1" customWidth="1"/>
    <col min="4" max="4" width="1.625" bestFit="1" customWidth="1"/>
    <col min="5" max="5" width="6.25" bestFit="1" customWidth="1"/>
    <col min="6" max="23" width="3" customWidth="1"/>
    <col min="24" max="24" width="1.375" bestFit="1" customWidth="1"/>
  </cols>
  <sheetData>
    <row r="1" spans="1:24" s="93" customFormat="1" ht="18.75" customHeight="1">
      <c r="A1" s="3402" t="s">
        <v>379</v>
      </c>
      <c r="B1" s="3404" t="s">
        <v>380</v>
      </c>
      <c r="C1" s="3406" t="s">
        <v>61</v>
      </c>
      <c r="D1" s="3400" t="s">
        <v>381</v>
      </c>
      <c r="E1" s="3409" t="s">
        <v>62</v>
      </c>
      <c r="F1" s="3398" t="s">
        <v>591</v>
      </c>
      <c r="G1" s="88" t="s">
        <v>383</v>
      </c>
      <c r="H1" s="89" t="s">
        <v>384</v>
      </c>
      <c r="I1" s="90" t="s">
        <v>385</v>
      </c>
      <c r="J1" s="91" t="s">
        <v>386</v>
      </c>
      <c r="K1" s="90" t="s">
        <v>387</v>
      </c>
      <c r="L1" s="90" t="s">
        <v>388</v>
      </c>
      <c r="M1" s="89" t="s">
        <v>520</v>
      </c>
      <c r="N1" s="89" t="s">
        <v>389</v>
      </c>
      <c r="O1" s="90" t="s">
        <v>96</v>
      </c>
      <c r="P1" s="90" t="s">
        <v>390</v>
      </c>
      <c r="Q1" s="90" t="s">
        <v>103</v>
      </c>
      <c r="R1" s="90" t="s">
        <v>404</v>
      </c>
      <c r="S1" s="89" t="s">
        <v>194</v>
      </c>
      <c r="T1" s="89" t="s">
        <v>530</v>
      </c>
      <c r="U1" s="89" t="s">
        <v>195</v>
      </c>
      <c r="V1" s="89" t="s">
        <v>202</v>
      </c>
      <c r="W1" s="92" t="s">
        <v>373</v>
      </c>
      <c r="X1" s="3398" t="s">
        <v>548</v>
      </c>
    </row>
    <row r="2" spans="1:24" s="93" customFormat="1" ht="18.75" customHeight="1">
      <c r="A2" s="3403"/>
      <c r="B2" s="3405"/>
      <c r="C2" s="3407"/>
      <c r="D2" s="3401"/>
      <c r="E2" s="3410"/>
      <c r="F2" s="3399"/>
      <c r="G2" s="94" t="s">
        <v>591</v>
      </c>
      <c r="H2" s="95" t="s">
        <v>591</v>
      </c>
      <c r="I2" s="95" t="s">
        <v>591</v>
      </c>
      <c r="J2" s="95" t="s">
        <v>591</v>
      </c>
      <c r="K2" s="95" t="s">
        <v>591</v>
      </c>
      <c r="L2" s="95" t="s">
        <v>591</v>
      </c>
      <c r="M2" s="95" t="s">
        <v>591</v>
      </c>
      <c r="N2" s="95" t="s">
        <v>591</v>
      </c>
      <c r="O2" s="95" t="s">
        <v>591</v>
      </c>
      <c r="P2" s="95" t="s">
        <v>591</v>
      </c>
      <c r="Q2" s="95" t="s">
        <v>591</v>
      </c>
      <c r="R2" s="95" t="s">
        <v>405</v>
      </c>
      <c r="S2" s="95" t="s">
        <v>591</v>
      </c>
      <c r="T2" s="95" t="s">
        <v>591</v>
      </c>
      <c r="U2" s="95" t="s">
        <v>591</v>
      </c>
      <c r="V2" s="95" t="s">
        <v>591</v>
      </c>
      <c r="W2" s="96" t="s">
        <v>591</v>
      </c>
      <c r="X2" s="3399"/>
    </row>
    <row r="3" spans="1:24" s="93" customFormat="1" ht="18.75" customHeight="1">
      <c r="A3" s="3403"/>
      <c r="B3" s="3405"/>
      <c r="C3" s="3408"/>
      <c r="D3" s="3401"/>
      <c r="E3" s="3410"/>
      <c r="F3" s="3399"/>
      <c r="G3" s="97">
        <v>4</v>
      </c>
      <c r="H3" s="98">
        <v>5</v>
      </c>
      <c r="I3" s="99">
        <v>6</v>
      </c>
      <c r="J3" s="100">
        <v>7</v>
      </c>
      <c r="K3" s="99">
        <v>8</v>
      </c>
      <c r="L3" s="101">
        <v>9</v>
      </c>
      <c r="M3" s="98">
        <v>10</v>
      </c>
      <c r="N3" s="98">
        <v>11</v>
      </c>
      <c r="O3" s="99">
        <v>13</v>
      </c>
      <c r="P3" s="98">
        <v>12</v>
      </c>
      <c r="Q3" s="98">
        <v>14</v>
      </c>
      <c r="R3" s="99">
        <v>15</v>
      </c>
      <c r="S3" s="98">
        <v>16</v>
      </c>
      <c r="T3" s="98">
        <v>17</v>
      </c>
      <c r="U3" s="98">
        <v>18</v>
      </c>
      <c r="V3" s="98">
        <v>19</v>
      </c>
      <c r="W3" s="102">
        <v>20</v>
      </c>
      <c r="X3" s="3399"/>
    </row>
    <row r="4" spans="1:24" ht="21.75" hidden="1">
      <c r="A4" s="69">
        <v>906</v>
      </c>
      <c r="B4" s="70">
        <v>9</v>
      </c>
      <c r="C4" s="71">
        <v>1</v>
      </c>
      <c r="D4" s="46" t="s">
        <v>374</v>
      </c>
      <c r="E4" s="72" t="s">
        <v>534</v>
      </c>
      <c r="F4" s="73">
        <v>649652766</v>
      </c>
      <c r="G4" s="73">
        <f>IF($B4=$G$3,$F4,0)</f>
        <v>0</v>
      </c>
      <c r="H4" s="73">
        <f>IF($B4=$H$3,$F4,0)</f>
        <v>0</v>
      </c>
      <c r="I4" s="73">
        <f>IF($B4=$I$3,$F4,0)</f>
        <v>0</v>
      </c>
      <c r="J4" s="73">
        <f>IF($B4=$J$3,$F4,0)</f>
        <v>0</v>
      </c>
      <c r="K4" s="73">
        <f>IF($B4=$K$3,$F4,0)</f>
        <v>0</v>
      </c>
      <c r="L4" s="73">
        <f>IF($B4=$L$3,$F4,0)</f>
        <v>649652766</v>
      </c>
      <c r="M4" s="73">
        <f>IF($B4=$M$3,$F4,0)</f>
        <v>0</v>
      </c>
      <c r="N4" s="73">
        <f>IF($B4=$N$3,$F4,0)</f>
        <v>0</v>
      </c>
      <c r="O4" s="73">
        <f>IF($B4=$O$3,$F4,0)</f>
        <v>0</v>
      </c>
      <c r="P4" s="73">
        <f>IF($B4=$P$3,$F4,0)</f>
        <v>0</v>
      </c>
      <c r="Q4" s="73">
        <f>IF($B4=$Q$3,$F4,0)</f>
        <v>0</v>
      </c>
      <c r="R4" s="73">
        <f>IF($B4=$R$3,$F4,0)</f>
        <v>0</v>
      </c>
      <c r="S4" s="73">
        <f>IF($B4=$S$3,$F4,0)</f>
        <v>0</v>
      </c>
      <c r="T4" s="73">
        <f>IF($B4=$T$3,$F4,0)</f>
        <v>0</v>
      </c>
      <c r="U4" s="73">
        <f>IF($B4=$U$3,$F4,0)</f>
        <v>0</v>
      </c>
      <c r="V4" s="73">
        <f>IF($B4=$V$3,$F4,0)</f>
        <v>0</v>
      </c>
      <c r="W4" s="73">
        <f>IF($B4=$W$3,$F4,0)</f>
        <v>0</v>
      </c>
      <c r="X4" s="74"/>
    </row>
    <row r="5" spans="1:24" ht="21.75" hidden="1">
      <c r="A5" s="75">
        <v>906</v>
      </c>
      <c r="B5" s="76">
        <v>9</v>
      </c>
      <c r="C5" s="77">
        <v>2</v>
      </c>
      <c r="D5" s="78" t="s">
        <v>375</v>
      </c>
      <c r="E5" s="79" t="s">
        <v>514</v>
      </c>
      <c r="F5" s="80">
        <v>34275121548</v>
      </c>
      <c r="G5" s="73">
        <f t="shared" ref="G5:G68" si="0">IF($B5=$G$3,$F5,0)</f>
        <v>0</v>
      </c>
      <c r="H5" s="73">
        <f t="shared" ref="H5:H68" si="1">IF($B5=$H$3,$F5,0)</f>
        <v>0</v>
      </c>
      <c r="I5" s="73">
        <f t="shared" ref="I5:I68" si="2">IF($B5=$I$3,$F5,0)</f>
        <v>0</v>
      </c>
      <c r="J5" s="73">
        <f t="shared" ref="J5:J68" si="3">IF($B5=$J$3,$F5,0)</f>
        <v>0</v>
      </c>
      <c r="K5" s="73">
        <f t="shared" ref="K5:K68" si="4">IF($B5=$K$3,$F5,0)</f>
        <v>0</v>
      </c>
      <c r="L5" s="73">
        <f t="shared" ref="L5:L68" si="5">IF($B5=$L$3,$F5,0)</f>
        <v>34275121548</v>
      </c>
      <c r="M5" s="73">
        <f t="shared" ref="M5:M68" si="6">IF($B5=$M$3,$F5,0)</f>
        <v>0</v>
      </c>
      <c r="N5" s="73">
        <f t="shared" ref="N5:N68" si="7">IF($B5=$N$3,$F5,0)</f>
        <v>0</v>
      </c>
      <c r="O5" s="73">
        <f t="shared" ref="O5:O68" si="8">IF($B5=$O$3,$F5,0)</f>
        <v>0</v>
      </c>
      <c r="P5" s="73">
        <f t="shared" ref="P5:P68" si="9">IF($B5=$P$3,$F5,0)</f>
        <v>0</v>
      </c>
      <c r="Q5" s="73">
        <f t="shared" ref="Q5:Q68" si="10">IF($B5=$Q$3,$F5,0)</f>
        <v>0</v>
      </c>
      <c r="R5" s="73">
        <f t="shared" ref="R5:R68" si="11">IF($B5=$R$3,$F5,0)</f>
        <v>0</v>
      </c>
      <c r="S5" s="73">
        <f t="shared" ref="S5:S68" si="12">IF($B5=$S$3,$F5,0)</f>
        <v>0</v>
      </c>
      <c r="T5" s="73">
        <f t="shared" ref="T5:T68" si="13">IF($B5=$T$3,$F5,0)</f>
        <v>0</v>
      </c>
      <c r="U5" s="73">
        <f t="shared" ref="U5:U68" si="14">IF($B5=$U$3,$F5,0)</f>
        <v>0</v>
      </c>
      <c r="V5" s="73">
        <f t="shared" ref="V5:V68" si="15">IF($B5=$V$3,$F5,0)</f>
        <v>0</v>
      </c>
      <c r="W5" s="73">
        <f t="shared" ref="W5:W68" si="16">IF($B5=$W$3,$F5,0)</f>
        <v>0</v>
      </c>
      <c r="X5" s="81"/>
    </row>
    <row r="6" spans="1:24" ht="21.75" hidden="1">
      <c r="A6" s="69">
        <v>906</v>
      </c>
      <c r="B6" s="70">
        <v>9</v>
      </c>
      <c r="C6" s="71">
        <v>3</v>
      </c>
      <c r="D6" s="46" t="s">
        <v>377</v>
      </c>
      <c r="E6" s="72" t="s">
        <v>233</v>
      </c>
      <c r="F6" s="73">
        <v>352832167325</v>
      </c>
      <c r="G6" s="73">
        <f t="shared" si="0"/>
        <v>0</v>
      </c>
      <c r="H6" s="73">
        <f t="shared" si="1"/>
        <v>0</v>
      </c>
      <c r="I6" s="73">
        <f t="shared" si="2"/>
        <v>0</v>
      </c>
      <c r="J6" s="73">
        <f t="shared" si="3"/>
        <v>0</v>
      </c>
      <c r="K6" s="73">
        <f t="shared" si="4"/>
        <v>0</v>
      </c>
      <c r="L6" s="73">
        <f t="shared" si="5"/>
        <v>352832167325</v>
      </c>
      <c r="M6" s="73">
        <f t="shared" si="6"/>
        <v>0</v>
      </c>
      <c r="N6" s="73">
        <f t="shared" si="7"/>
        <v>0</v>
      </c>
      <c r="O6" s="73">
        <f t="shared" si="8"/>
        <v>0</v>
      </c>
      <c r="P6" s="73">
        <f t="shared" si="9"/>
        <v>0</v>
      </c>
      <c r="Q6" s="73">
        <f t="shared" si="10"/>
        <v>0</v>
      </c>
      <c r="R6" s="73">
        <f t="shared" si="11"/>
        <v>0</v>
      </c>
      <c r="S6" s="73">
        <f t="shared" si="12"/>
        <v>0</v>
      </c>
      <c r="T6" s="73">
        <f t="shared" si="13"/>
        <v>0</v>
      </c>
      <c r="U6" s="73">
        <f t="shared" si="14"/>
        <v>0</v>
      </c>
      <c r="V6" s="73">
        <f t="shared" si="15"/>
        <v>0</v>
      </c>
      <c r="W6" s="73">
        <f t="shared" si="16"/>
        <v>0</v>
      </c>
      <c r="X6" s="74"/>
    </row>
    <row r="7" spans="1:24" ht="21.75" hidden="1">
      <c r="A7" s="75">
        <v>906</v>
      </c>
      <c r="B7" s="76">
        <v>9</v>
      </c>
      <c r="C7" s="77">
        <v>4</v>
      </c>
      <c r="D7" s="78" t="s">
        <v>250</v>
      </c>
      <c r="E7" s="79" t="s">
        <v>251</v>
      </c>
      <c r="F7" s="80">
        <v>1790934537</v>
      </c>
      <c r="G7" s="73">
        <f t="shared" si="0"/>
        <v>0</v>
      </c>
      <c r="H7" s="73">
        <f t="shared" si="1"/>
        <v>0</v>
      </c>
      <c r="I7" s="73">
        <f t="shared" si="2"/>
        <v>0</v>
      </c>
      <c r="J7" s="73">
        <f t="shared" si="3"/>
        <v>0</v>
      </c>
      <c r="K7" s="73">
        <f t="shared" si="4"/>
        <v>0</v>
      </c>
      <c r="L7" s="73">
        <f t="shared" si="5"/>
        <v>1790934537</v>
      </c>
      <c r="M7" s="73">
        <f t="shared" si="6"/>
        <v>0</v>
      </c>
      <c r="N7" s="73">
        <f t="shared" si="7"/>
        <v>0</v>
      </c>
      <c r="O7" s="73">
        <f t="shared" si="8"/>
        <v>0</v>
      </c>
      <c r="P7" s="73">
        <f t="shared" si="9"/>
        <v>0</v>
      </c>
      <c r="Q7" s="73">
        <f t="shared" si="10"/>
        <v>0</v>
      </c>
      <c r="R7" s="73">
        <f t="shared" si="11"/>
        <v>0</v>
      </c>
      <c r="S7" s="73">
        <f t="shared" si="12"/>
        <v>0</v>
      </c>
      <c r="T7" s="73">
        <f t="shared" si="13"/>
        <v>0</v>
      </c>
      <c r="U7" s="73">
        <f t="shared" si="14"/>
        <v>0</v>
      </c>
      <c r="V7" s="73">
        <f t="shared" si="15"/>
        <v>0</v>
      </c>
      <c r="W7" s="73">
        <f t="shared" si="16"/>
        <v>0</v>
      </c>
      <c r="X7" s="81"/>
    </row>
    <row r="8" spans="1:24" ht="21.75" hidden="1">
      <c r="A8" s="69">
        <v>906</v>
      </c>
      <c r="B8" s="70">
        <v>9</v>
      </c>
      <c r="C8" s="71">
        <v>5</v>
      </c>
      <c r="D8" s="46" t="s">
        <v>252</v>
      </c>
      <c r="E8" s="72" t="s">
        <v>533</v>
      </c>
      <c r="F8" s="73">
        <v>2579800000</v>
      </c>
      <c r="G8" s="73">
        <f t="shared" si="0"/>
        <v>0</v>
      </c>
      <c r="H8" s="73">
        <f t="shared" si="1"/>
        <v>0</v>
      </c>
      <c r="I8" s="73">
        <f t="shared" si="2"/>
        <v>0</v>
      </c>
      <c r="J8" s="73">
        <f t="shared" si="3"/>
        <v>0</v>
      </c>
      <c r="K8" s="73">
        <f t="shared" si="4"/>
        <v>0</v>
      </c>
      <c r="L8" s="73">
        <f t="shared" si="5"/>
        <v>2579800000</v>
      </c>
      <c r="M8" s="73">
        <f t="shared" si="6"/>
        <v>0</v>
      </c>
      <c r="N8" s="73">
        <f t="shared" si="7"/>
        <v>0</v>
      </c>
      <c r="O8" s="73">
        <f t="shared" si="8"/>
        <v>0</v>
      </c>
      <c r="P8" s="73">
        <f t="shared" si="9"/>
        <v>0</v>
      </c>
      <c r="Q8" s="73">
        <f t="shared" si="10"/>
        <v>0</v>
      </c>
      <c r="R8" s="73">
        <f t="shared" si="11"/>
        <v>0</v>
      </c>
      <c r="S8" s="73">
        <f t="shared" si="12"/>
        <v>0</v>
      </c>
      <c r="T8" s="73">
        <f t="shared" si="13"/>
        <v>0</v>
      </c>
      <c r="U8" s="73">
        <f t="shared" si="14"/>
        <v>0</v>
      </c>
      <c r="V8" s="73">
        <f t="shared" si="15"/>
        <v>0</v>
      </c>
      <c r="W8" s="73">
        <f t="shared" si="16"/>
        <v>0</v>
      </c>
      <c r="X8" s="74"/>
    </row>
    <row r="9" spans="1:24" ht="21.75" hidden="1">
      <c r="A9" s="75">
        <v>906</v>
      </c>
      <c r="B9" s="76">
        <v>9</v>
      </c>
      <c r="C9" s="77">
        <v>6</v>
      </c>
      <c r="D9" s="78" t="s">
        <v>339</v>
      </c>
      <c r="E9" s="79" t="s">
        <v>340</v>
      </c>
      <c r="F9" s="80">
        <v>1394250000</v>
      </c>
      <c r="G9" s="73">
        <f t="shared" si="0"/>
        <v>0</v>
      </c>
      <c r="H9" s="73">
        <f t="shared" si="1"/>
        <v>0</v>
      </c>
      <c r="I9" s="73">
        <f t="shared" si="2"/>
        <v>0</v>
      </c>
      <c r="J9" s="73">
        <f t="shared" si="3"/>
        <v>0</v>
      </c>
      <c r="K9" s="73">
        <f t="shared" si="4"/>
        <v>0</v>
      </c>
      <c r="L9" s="73">
        <f t="shared" si="5"/>
        <v>1394250000</v>
      </c>
      <c r="M9" s="73">
        <f t="shared" si="6"/>
        <v>0</v>
      </c>
      <c r="N9" s="73">
        <f t="shared" si="7"/>
        <v>0</v>
      </c>
      <c r="O9" s="73">
        <f t="shared" si="8"/>
        <v>0</v>
      </c>
      <c r="P9" s="73">
        <f t="shared" si="9"/>
        <v>0</v>
      </c>
      <c r="Q9" s="73">
        <f t="shared" si="10"/>
        <v>0</v>
      </c>
      <c r="R9" s="73">
        <f t="shared" si="11"/>
        <v>0</v>
      </c>
      <c r="S9" s="73">
        <f t="shared" si="12"/>
        <v>0</v>
      </c>
      <c r="T9" s="73">
        <f t="shared" si="13"/>
        <v>0</v>
      </c>
      <c r="U9" s="73">
        <f t="shared" si="14"/>
        <v>0</v>
      </c>
      <c r="V9" s="73">
        <f t="shared" si="15"/>
        <v>0</v>
      </c>
      <c r="W9" s="73">
        <f t="shared" si="16"/>
        <v>0</v>
      </c>
      <c r="X9" s="81"/>
    </row>
    <row r="10" spans="1:24" ht="21.75" hidden="1">
      <c r="A10" s="69">
        <v>906</v>
      </c>
      <c r="B10" s="70">
        <v>9</v>
      </c>
      <c r="C10" s="71">
        <v>7</v>
      </c>
      <c r="D10" s="46" t="s">
        <v>341</v>
      </c>
      <c r="E10" s="72" t="s">
        <v>398</v>
      </c>
      <c r="F10" s="73">
        <v>984971287403</v>
      </c>
      <c r="G10" s="73">
        <f t="shared" si="0"/>
        <v>0</v>
      </c>
      <c r="H10" s="73">
        <f t="shared" si="1"/>
        <v>0</v>
      </c>
      <c r="I10" s="73">
        <f t="shared" si="2"/>
        <v>0</v>
      </c>
      <c r="J10" s="73">
        <f t="shared" si="3"/>
        <v>0</v>
      </c>
      <c r="K10" s="73">
        <f t="shared" si="4"/>
        <v>0</v>
      </c>
      <c r="L10" s="73">
        <f t="shared" si="5"/>
        <v>984971287403</v>
      </c>
      <c r="M10" s="73">
        <f t="shared" si="6"/>
        <v>0</v>
      </c>
      <c r="N10" s="73">
        <f t="shared" si="7"/>
        <v>0</v>
      </c>
      <c r="O10" s="73">
        <f t="shared" si="8"/>
        <v>0</v>
      </c>
      <c r="P10" s="73">
        <f t="shared" si="9"/>
        <v>0</v>
      </c>
      <c r="Q10" s="73">
        <f t="shared" si="10"/>
        <v>0</v>
      </c>
      <c r="R10" s="73">
        <f t="shared" si="11"/>
        <v>0</v>
      </c>
      <c r="S10" s="73">
        <f t="shared" si="12"/>
        <v>0</v>
      </c>
      <c r="T10" s="73">
        <f t="shared" si="13"/>
        <v>0</v>
      </c>
      <c r="U10" s="73">
        <f t="shared" si="14"/>
        <v>0</v>
      </c>
      <c r="V10" s="73">
        <f t="shared" si="15"/>
        <v>0</v>
      </c>
      <c r="W10" s="73">
        <f t="shared" si="16"/>
        <v>0</v>
      </c>
      <c r="X10" s="74"/>
    </row>
    <row r="11" spans="1:24" ht="21.75" hidden="1">
      <c r="A11" s="75">
        <v>906</v>
      </c>
      <c r="B11" s="76">
        <v>9</v>
      </c>
      <c r="C11" s="77">
        <v>8</v>
      </c>
      <c r="D11" s="78" t="s">
        <v>399</v>
      </c>
      <c r="E11" s="79" t="s">
        <v>413</v>
      </c>
      <c r="F11" s="80">
        <v>347954281167</v>
      </c>
      <c r="G11" s="73">
        <f t="shared" si="0"/>
        <v>0</v>
      </c>
      <c r="H11" s="73">
        <f t="shared" si="1"/>
        <v>0</v>
      </c>
      <c r="I11" s="73">
        <f t="shared" si="2"/>
        <v>0</v>
      </c>
      <c r="J11" s="73">
        <f t="shared" si="3"/>
        <v>0</v>
      </c>
      <c r="K11" s="73">
        <f t="shared" si="4"/>
        <v>0</v>
      </c>
      <c r="L11" s="73">
        <f t="shared" si="5"/>
        <v>347954281167</v>
      </c>
      <c r="M11" s="73">
        <f t="shared" si="6"/>
        <v>0</v>
      </c>
      <c r="N11" s="73">
        <f t="shared" si="7"/>
        <v>0</v>
      </c>
      <c r="O11" s="73">
        <f t="shared" si="8"/>
        <v>0</v>
      </c>
      <c r="P11" s="73">
        <f t="shared" si="9"/>
        <v>0</v>
      </c>
      <c r="Q11" s="73">
        <f t="shared" si="10"/>
        <v>0</v>
      </c>
      <c r="R11" s="73">
        <f t="shared" si="11"/>
        <v>0</v>
      </c>
      <c r="S11" s="73">
        <f t="shared" si="12"/>
        <v>0</v>
      </c>
      <c r="T11" s="73">
        <f t="shared" si="13"/>
        <v>0</v>
      </c>
      <c r="U11" s="73">
        <f t="shared" si="14"/>
        <v>0</v>
      </c>
      <c r="V11" s="73">
        <f t="shared" si="15"/>
        <v>0</v>
      </c>
      <c r="W11" s="73">
        <f t="shared" si="16"/>
        <v>0</v>
      </c>
      <c r="X11" s="81"/>
    </row>
    <row r="12" spans="1:24" ht="21.75" hidden="1">
      <c r="A12" s="69">
        <v>906</v>
      </c>
      <c r="B12" s="70">
        <v>9</v>
      </c>
      <c r="C12" s="71">
        <v>9</v>
      </c>
      <c r="D12" s="46" t="s">
        <v>414</v>
      </c>
      <c r="E12" s="72" t="s">
        <v>234</v>
      </c>
      <c r="F12" s="73">
        <v>1929676128</v>
      </c>
      <c r="G12" s="73">
        <f t="shared" si="0"/>
        <v>0</v>
      </c>
      <c r="H12" s="73">
        <f t="shared" si="1"/>
        <v>0</v>
      </c>
      <c r="I12" s="73">
        <f t="shared" si="2"/>
        <v>0</v>
      </c>
      <c r="J12" s="73">
        <f t="shared" si="3"/>
        <v>0</v>
      </c>
      <c r="K12" s="73">
        <f t="shared" si="4"/>
        <v>0</v>
      </c>
      <c r="L12" s="73">
        <f t="shared" si="5"/>
        <v>1929676128</v>
      </c>
      <c r="M12" s="73">
        <f t="shared" si="6"/>
        <v>0</v>
      </c>
      <c r="N12" s="73">
        <f t="shared" si="7"/>
        <v>0</v>
      </c>
      <c r="O12" s="73">
        <f t="shared" si="8"/>
        <v>0</v>
      </c>
      <c r="P12" s="73">
        <f t="shared" si="9"/>
        <v>0</v>
      </c>
      <c r="Q12" s="73">
        <f t="shared" si="10"/>
        <v>0</v>
      </c>
      <c r="R12" s="73">
        <f t="shared" si="11"/>
        <v>0</v>
      </c>
      <c r="S12" s="73">
        <f t="shared" si="12"/>
        <v>0</v>
      </c>
      <c r="T12" s="73">
        <f t="shared" si="13"/>
        <v>0</v>
      </c>
      <c r="U12" s="73">
        <f t="shared" si="14"/>
        <v>0</v>
      </c>
      <c r="V12" s="73">
        <f t="shared" si="15"/>
        <v>0</v>
      </c>
      <c r="W12" s="73">
        <f t="shared" si="16"/>
        <v>0</v>
      </c>
      <c r="X12" s="74"/>
    </row>
    <row r="13" spans="1:24" ht="21.75" hidden="1">
      <c r="A13" s="75">
        <v>906</v>
      </c>
      <c r="B13" s="76">
        <v>9</v>
      </c>
      <c r="C13" s="77">
        <v>10</v>
      </c>
      <c r="D13" s="78" t="s">
        <v>415</v>
      </c>
      <c r="E13" s="79" t="s">
        <v>416</v>
      </c>
      <c r="F13" s="80">
        <v>9018898137</v>
      </c>
      <c r="G13" s="73">
        <f t="shared" si="0"/>
        <v>0</v>
      </c>
      <c r="H13" s="73">
        <f t="shared" si="1"/>
        <v>0</v>
      </c>
      <c r="I13" s="73">
        <f t="shared" si="2"/>
        <v>0</v>
      </c>
      <c r="J13" s="73">
        <f t="shared" si="3"/>
        <v>0</v>
      </c>
      <c r="K13" s="73">
        <f t="shared" si="4"/>
        <v>0</v>
      </c>
      <c r="L13" s="73">
        <f t="shared" si="5"/>
        <v>9018898137</v>
      </c>
      <c r="M13" s="73">
        <f t="shared" si="6"/>
        <v>0</v>
      </c>
      <c r="N13" s="73">
        <f t="shared" si="7"/>
        <v>0</v>
      </c>
      <c r="O13" s="73">
        <f t="shared" si="8"/>
        <v>0</v>
      </c>
      <c r="P13" s="73">
        <f t="shared" si="9"/>
        <v>0</v>
      </c>
      <c r="Q13" s="73">
        <f t="shared" si="10"/>
        <v>0</v>
      </c>
      <c r="R13" s="73">
        <f t="shared" si="11"/>
        <v>0</v>
      </c>
      <c r="S13" s="73">
        <f t="shared" si="12"/>
        <v>0</v>
      </c>
      <c r="T13" s="73">
        <f t="shared" si="13"/>
        <v>0</v>
      </c>
      <c r="U13" s="73">
        <f t="shared" si="14"/>
        <v>0</v>
      </c>
      <c r="V13" s="73">
        <f t="shared" si="15"/>
        <v>0</v>
      </c>
      <c r="W13" s="73">
        <f t="shared" si="16"/>
        <v>0</v>
      </c>
      <c r="X13" s="81"/>
    </row>
    <row r="14" spans="1:24" ht="21.75" hidden="1">
      <c r="A14" s="69">
        <v>906</v>
      </c>
      <c r="B14" s="70">
        <v>9</v>
      </c>
      <c r="C14" s="71">
        <v>11</v>
      </c>
      <c r="D14" s="46" t="s">
        <v>417</v>
      </c>
      <c r="E14" s="72" t="s">
        <v>231</v>
      </c>
      <c r="F14" s="73">
        <v>663668989</v>
      </c>
      <c r="G14" s="73">
        <f t="shared" si="0"/>
        <v>0</v>
      </c>
      <c r="H14" s="73">
        <f t="shared" si="1"/>
        <v>0</v>
      </c>
      <c r="I14" s="73">
        <f t="shared" si="2"/>
        <v>0</v>
      </c>
      <c r="J14" s="73">
        <f t="shared" si="3"/>
        <v>0</v>
      </c>
      <c r="K14" s="73">
        <f t="shared" si="4"/>
        <v>0</v>
      </c>
      <c r="L14" s="73">
        <f t="shared" si="5"/>
        <v>663668989</v>
      </c>
      <c r="M14" s="73">
        <f t="shared" si="6"/>
        <v>0</v>
      </c>
      <c r="N14" s="73">
        <f t="shared" si="7"/>
        <v>0</v>
      </c>
      <c r="O14" s="73">
        <f t="shared" si="8"/>
        <v>0</v>
      </c>
      <c r="P14" s="73">
        <f t="shared" si="9"/>
        <v>0</v>
      </c>
      <c r="Q14" s="73">
        <f t="shared" si="10"/>
        <v>0</v>
      </c>
      <c r="R14" s="73">
        <f t="shared" si="11"/>
        <v>0</v>
      </c>
      <c r="S14" s="73">
        <f t="shared" si="12"/>
        <v>0</v>
      </c>
      <c r="T14" s="73">
        <f t="shared" si="13"/>
        <v>0</v>
      </c>
      <c r="U14" s="73">
        <f t="shared" si="14"/>
        <v>0</v>
      </c>
      <c r="V14" s="73">
        <f t="shared" si="15"/>
        <v>0</v>
      </c>
      <c r="W14" s="73">
        <f t="shared" si="16"/>
        <v>0</v>
      </c>
      <c r="X14" s="74"/>
    </row>
    <row r="15" spans="1:24" ht="21.75" hidden="1">
      <c r="A15" s="75">
        <v>906</v>
      </c>
      <c r="B15" s="76">
        <v>9</v>
      </c>
      <c r="C15" s="77">
        <v>11</v>
      </c>
      <c r="D15" s="78" t="s">
        <v>402</v>
      </c>
      <c r="E15" s="79" t="s">
        <v>403</v>
      </c>
      <c r="F15" s="80">
        <v>-4926000000</v>
      </c>
      <c r="G15" s="73">
        <f t="shared" si="0"/>
        <v>0</v>
      </c>
      <c r="H15" s="73">
        <f t="shared" si="1"/>
        <v>0</v>
      </c>
      <c r="I15" s="73">
        <f t="shared" si="2"/>
        <v>0</v>
      </c>
      <c r="J15" s="73">
        <f t="shared" si="3"/>
        <v>0</v>
      </c>
      <c r="K15" s="73">
        <f t="shared" si="4"/>
        <v>0</v>
      </c>
      <c r="L15" s="73">
        <f t="shared" si="5"/>
        <v>-4926000000</v>
      </c>
      <c r="M15" s="73">
        <f t="shared" si="6"/>
        <v>0</v>
      </c>
      <c r="N15" s="73">
        <f t="shared" si="7"/>
        <v>0</v>
      </c>
      <c r="O15" s="73">
        <f t="shared" si="8"/>
        <v>0</v>
      </c>
      <c r="P15" s="73">
        <f t="shared" si="9"/>
        <v>0</v>
      </c>
      <c r="Q15" s="73">
        <f t="shared" si="10"/>
        <v>0</v>
      </c>
      <c r="R15" s="73">
        <f t="shared" si="11"/>
        <v>0</v>
      </c>
      <c r="S15" s="73">
        <f t="shared" si="12"/>
        <v>0</v>
      </c>
      <c r="T15" s="73">
        <f t="shared" si="13"/>
        <v>0</v>
      </c>
      <c r="U15" s="73">
        <f t="shared" si="14"/>
        <v>0</v>
      </c>
      <c r="V15" s="73">
        <f t="shared" si="15"/>
        <v>0</v>
      </c>
      <c r="W15" s="73">
        <f t="shared" si="16"/>
        <v>0</v>
      </c>
      <c r="X15" s="81"/>
    </row>
    <row r="16" spans="1:24" ht="21.75" hidden="1">
      <c r="A16" s="69">
        <v>906</v>
      </c>
      <c r="B16" s="70">
        <v>9</v>
      </c>
      <c r="C16" s="71">
        <v>12</v>
      </c>
      <c r="D16" s="46" t="s">
        <v>196</v>
      </c>
      <c r="E16" s="72" t="s">
        <v>24</v>
      </c>
      <c r="F16" s="73">
        <v>1135818750</v>
      </c>
      <c r="G16" s="73">
        <f t="shared" si="0"/>
        <v>0</v>
      </c>
      <c r="H16" s="73">
        <f t="shared" si="1"/>
        <v>0</v>
      </c>
      <c r="I16" s="73">
        <f t="shared" si="2"/>
        <v>0</v>
      </c>
      <c r="J16" s="73">
        <f t="shared" si="3"/>
        <v>0</v>
      </c>
      <c r="K16" s="73">
        <f t="shared" si="4"/>
        <v>0</v>
      </c>
      <c r="L16" s="73">
        <f t="shared" si="5"/>
        <v>1135818750</v>
      </c>
      <c r="M16" s="73">
        <f t="shared" si="6"/>
        <v>0</v>
      </c>
      <c r="N16" s="73">
        <f t="shared" si="7"/>
        <v>0</v>
      </c>
      <c r="O16" s="73">
        <f t="shared" si="8"/>
        <v>0</v>
      </c>
      <c r="P16" s="73">
        <f t="shared" si="9"/>
        <v>0</v>
      </c>
      <c r="Q16" s="73">
        <f t="shared" si="10"/>
        <v>0</v>
      </c>
      <c r="R16" s="73">
        <f t="shared" si="11"/>
        <v>0</v>
      </c>
      <c r="S16" s="73">
        <f t="shared" si="12"/>
        <v>0</v>
      </c>
      <c r="T16" s="73">
        <f t="shared" si="13"/>
        <v>0</v>
      </c>
      <c r="U16" s="73">
        <f t="shared" si="14"/>
        <v>0</v>
      </c>
      <c r="V16" s="73">
        <f t="shared" si="15"/>
        <v>0</v>
      </c>
      <c r="W16" s="73">
        <f t="shared" si="16"/>
        <v>0</v>
      </c>
      <c r="X16" s="74"/>
    </row>
    <row r="17" spans="1:24" ht="21.75" hidden="1">
      <c r="A17" s="75">
        <v>906</v>
      </c>
      <c r="B17" s="76">
        <v>9</v>
      </c>
      <c r="C17" s="77">
        <v>13</v>
      </c>
      <c r="D17" s="78" t="s">
        <v>199</v>
      </c>
      <c r="E17" s="79" t="s">
        <v>200</v>
      </c>
      <c r="F17" s="80">
        <v>3173060785879</v>
      </c>
      <c r="G17" s="73">
        <f t="shared" si="0"/>
        <v>0</v>
      </c>
      <c r="H17" s="73">
        <f t="shared" si="1"/>
        <v>0</v>
      </c>
      <c r="I17" s="73">
        <f t="shared" si="2"/>
        <v>0</v>
      </c>
      <c r="J17" s="73">
        <f t="shared" si="3"/>
        <v>0</v>
      </c>
      <c r="K17" s="73">
        <f t="shared" si="4"/>
        <v>0</v>
      </c>
      <c r="L17" s="73">
        <f t="shared" si="5"/>
        <v>3173060785879</v>
      </c>
      <c r="M17" s="73">
        <f t="shared" si="6"/>
        <v>0</v>
      </c>
      <c r="N17" s="73">
        <f t="shared" si="7"/>
        <v>0</v>
      </c>
      <c r="O17" s="73">
        <f t="shared" si="8"/>
        <v>0</v>
      </c>
      <c r="P17" s="73">
        <f t="shared" si="9"/>
        <v>0</v>
      </c>
      <c r="Q17" s="73">
        <f t="shared" si="10"/>
        <v>0</v>
      </c>
      <c r="R17" s="73">
        <f t="shared" si="11"/>
        <v>0</v>
      </c>
      <c r="S17" s="73">
        <f t="shared" si="12"/>
        <v>0</v>
      </c>
      <c r="T17" s="73">
        <f t="shared" si="13"/>
        <v>0</v>
      </c>
      <c r="U17" s="73">
        <f t="shared" si="14"/>
        <v>0</v>
      </c>
      <c r="V17" s="73">
        <f t="shared" si="15"/>
        <v>0</v>
      </c>
      <c r="W17" s="73">
        <f t="shared" si="16"/>
        <v>0</v>
      </c>
      <c r="X17" s="81"/>
    </row>
    <row r="18" spans="1:24" ht="21.75" hidden="1">
      <c r="A18" s="69">
        <v>906</v>
      </c>
      <c r="B18" s="70">
        <v>9</v>
      </c>
      <c r="C18" s="71">
        <v>13</v>
      </c>
      <c r="D18" s="46" t="s">
        <v>419</v>
      </c>
      <c r="E18" s="72" t="s">
        <v>420</v>
      </c>
      <c r="F18" s="73">
        <v>278664257</v>
      </c>
      <c r="G18" s="73">
        <f t="shared" si="0"/>
        <v>0</v>
      </c>
      <c r="H18" s="73">
        <f t="shared" si="1"/>
        <v>0</v>
      </c>
      <c r="I18" s="73">
        <f t="shared" si="2"/>
        <v>0</v>
      </c>
      <c r="J18" s="73">
        <f t="shared" si="3"/>
        <v>0</v>
      </c>
      <c r="K18" s="73">
        <f t="shared" si="4"/>
        <v>0</v>
      </c>
      <c r="L18" s="73">
        <f t="shared" si="5"/>
        <v>278664257</v>
      </c>
      <c r="M18" s="73">
        <f t="shared" si="6"/>
        <v>0</v>
      </c>
      <c r="N18" s="73">
        <f t="shared" si="7"/>
        <v>0</v>
      </c>
      <c r="O18" s="73">
        <f t="shared" si="8"/>
        <v>0</v>
      </c>
      <c r="P18" s="73">
        <f t="shared" si="9"/>
        <v>0</v>
      </c>
      <c r="Q18" s="73">
        <f t="shared" si="10"/>
        <v>0</v>
      </c>
      <c r="R18" s="73">
        <f t="shared" si="11"/>
        <v>0</v>
      </c>
      <c r="S18" s="73">
        <f t="shared" si="12"/>
        <v>0</v>
      </c>
      <c r="T18" s="73">
        <f t="shared" si="13"/>
        <v>0</v>
      </c>
      <c r="U18" s="73">
        <f t="shared" si="14"/>
        <v>0</v>
      </c>
      <c r="V18" s="73">
        <f t="shared" si="15"/>
        <v>0</v>
      </c>
      <c r="W18" s="73">
        <f t="shared" si="16"/>
        <v>0</v>
      </c>
      <c r="X18" s="74"/>
    </row>
    <row r="19" spans="1:24" ht="21.75" hidden="1">
      <c r="A19" s="75">
        <v>906</v>
      </c>
      <c r="B19" s="76">
        <v>9</v>
      </c>
      <c r="C19" s="77">
        <v>14</v>
      </c>
      <c r="D19" s="78" t="s">
        <v>421</v>
      </c>
      <c r="E19" s="79" t="s">
        <v>423</v>
      </c>
      <c r="F19" s="80">
        <v>51665188966</v>
      </c>
      <c r="G19" s="73">
        <f t="shared" si="0"/>
        <v>0</v>
      </c>
      <c r="H19" s="73">
        <f t="shared" si="1"/>
        <v>0</v>
      </c>
      <c r="I19" s="73">
        <f t="shared" si="2"/>
        <v>0</v>
      </c>
      <c r="J19" s="73">
        <f t="shared" si="3"/>
        <v>0</v>
      </c>
      <c r="K19" s="73">
        <f t="shared" si="4"/>
        <v>0</v>
      </c>
      <c r="L19" s="73">
        <f t="shared" si="5"/>
        <v>51665188966</v>
      </c>
      <c r="M19" s="73">
        <f t="shared" si="6"/>
        <v>0</v>
      </c>
      <c r="N19" s="73">
        <f t="shared" si="7"/>
        <v>0</v>
      </c>
      <c r="O19" s="73">
        <f t="shared" si="8"/>
        <v>0</v>
      </c>
      <c r="P19" s="73">
        <f t="shared" si="9"/>
        <v>0</v>
      </c>
      <c r="Q19" s="73">
        <f t="shared" si="10"/>
        <v>0</v>
      </c>
      <c r="R19" s="73">
        <f t="shared" si="11"/>
        <v>0</v>
      </c>
      <c r="S19" s="73">
        <f t="shared" si="12"/>
        <v>0</v>
      </c>
      <c r="T19" s="73">
        <f t="shared" si="13"/>
        <v>0</v>
      </c>
      <c r="U19" s="73">
        <f t="shared" si="14"/>
        <v>0</v>
      </c>
      <c r="V19" s="73">
        <f t="shared" si="15"/>
        <v>0</v>
      </c>
      <c r="W19" s="73">
        <f t="shared" si="16"/>
        <v>0</v>
      </c>
      <c r="X19" s="81"/>
    </row>
    <row r="20" spans="1:24" ht="21.75" hidden="1">
      <c r="A20" s="69">
        <v>906</v>
      </c>
      <c r="B20" s="70">
        <v>9</v>
      </c>
      <c r="C20" s="71">
        <v>15</v>
      </c>
      <c r="D20" s="46" t="s">
        <v>424</v>
      </c>
      <c r="E20" s="72" t="s">
        <v>198</v>
      </c>
      <c r="F20" s="73">
        <v>1044921042</v>
      </c>
      <c r="G20" s="73">
        <f t="shared" si="0"/>
        <v>0</v>
      </c>
      <c r="H20" s="73">
        <f t="shared" si="1"/>
        <v>0</v>
      </c>
      <c r="I20" s="73">
        <f t="shared" si="2"/>
        <v>0</v>
      </c>
      <c r="J20" s="73">
        <f t="shared" si="3"/>
        <v>0</v>
      </c>
      <c r="K20" s="73">
        <f t="shared" si="4"/>
        <v>0</v>
      </c>
      <c r="L20" s="73">
        <f t="shared" si="5"/>
        <v>1044921042</v>
      </c>
      <c r="M20" s="73">
        <f t="shared" si="6"/>
        <v>0</v>
      </c>
      <c r="N20" s="73">
        <f t="shared" si="7"/>
        <v>0</v>
      </c>
      <c r="O20" s="73">
        <f t="shared" si="8"/>
        <v>0</v>
      </c>
      <c r="P20" s="73">
        <f t="shared" si="9"/>
        <v>0</v>
      </c>
      <c r="Q20" s="73">
        <f t="shared" si="10"/>
        <v>0</v>
      </c>
      <c r="R20" s="73">
        <f t="shared" si="11"/>
        <v>0</v>
      </c>
      <c r="S20" s="73">
        <f t="shared" si="12"/>
        <v>0</v>
      </c>
      <c r="T20" s="73">
        <f t="shared" si="13"/>
        <v>0</v>
      </c>
      <c r="U20" s="73">
        <f t="shared" si="14"/>
        <v>0</v>
      </c>
      <c r="V20" s="73">
        <f t="shared" si="15"/>
        <v>0</v>
      </c>
      <c r="W20" s="73">
        <f t="shared" si="16"/>
        <v>0</v>
      </c>
      <c r="X20" s="74"/>
    </row>
    <row r="21" spans="1:24" ht="21.75" hidden="1">
      <c r="A21" s="69">
        <v>1212</v>
      </c>
      <c r="B21" s="76">
        <v>12</v>
      </c>
      <c r="C21" s="77">
        <v>16</v>
      </c>
      <c r="D21" s="78" t="s">
        <v>425</v>
      </c>
      <c r="E21" s="79" t="s">
        <v>426</v>
      </c>
      <c r="F21" s="80">
        <v>-4673516</v>
      </c>
      <c r="G21" s="73">
        <f t="shared" si="0"/>
        <v>0</v>
      </c>
      <c r="H21" s="73">
        <f t="shared" si="1"/>
        <v>0</v>
      </c>
      <c r="I21" s="73">
        <f t="shared" si="2"/>
        <v>0</v>
      </c>
      <c r="J21" s="73">
        <f t="shared" si="3"/>
        <v>0</v>
      </c>
      <c r="K21" s="73">
        <f t="shared" si="4"/>
        <v>0</v>
      </c>
      <c r="L21" s="73">
        <f t="shared" si="5"/>
        <v>0</v>
      </c>
      <c r="M21" s="73">
        <f t="shared" si="6"/>
        <v>0</v>
      </c>
      <c r="N21" s="73">
        <f t="shared" si="7"/>
        <v>0</v>
      </c>
      <c r="O21" s="73">
        <f t="shared" si="8"/>
        <v>0</v>
      </c>
      <c r="P21" s="73">
        <f t="shared" si="9"/>
        <v>-4673516</v>
      </c>
      <c r="Q21" s="73">
        <f t="shared" si="10"/>
        <v>0</v>
      </c>
      <c r="R21" s="73">
        <f t="shared" si="11"/>
        <v>0</v>
      </c>
      <c r="S21" s="73">
        <f t="shared" si="12"/>
        <v>0</v>
      </c>
      <c r="T21" s="73">
        <f t="shared" si="13"/>
        <v>0</v>
      </c>
      <c r="U21" s="73">
        <f t="shared" si="14"/>
        <v>0</v>
      </c>
      <c r="V21" s="73">
        <f t="shared" si="15"/>
        <v>0</v>
      </c>
      <c r="W21" s="73">
        <f t="shared" si="16"/>
        <v>0</v>
      </c>
      <c r="X21" s="81"/>
    </row>
    <row r="22" spans="1:24" ht="21.75">
      <c r="A22" s="69">
        <v>614</v>
      </c>
      <c r="B22" s="70">
        <v>6</v>
      </c>
      <c r="C22" s="71">
        <v>17</v>
      </c>
      <c r="D22" s="46" t="s">
        <v>607</v>
      </c>
      <c r="E22" s="72" t="s">
        <v>606</v>
      </c>
      <c r="F22" s="73">
        <v>89392812</v>
      </c>
      <c r="G22" s="73">
        <f t="shared" si="0"/>
        <v>0</v>
      </c>
      <c r="H22" s="73">
        <f t="shared" si="1"/>
        <v>0</v>
      </c>
      <c r="I22" s="73">
        <f t="shared" si="2"/>
        <v>89392812</v>
      </c>
      <c r="J22" s="73">
        <f t="shared" si="3"/>
        <v>0</v>
      </c>
      <c r="K22" s="73">
        <f t="shared" si="4"/>
        <v>0</v>
      </c>
      <c r="L22" s="73">
        <f t="shared" si="5"/>
        <v>0</v>
      </c>
      <c r="M22" s="73">
        <f t="shared" si="6"/>
        <v>0</v>
      </c>
      <c r="N22" s="73">
        <f t="shared" si="7"/>
        <v>0</v>
      </c>
      <c r="O22" s="73">
        <f t="shared" si="8"/>
        <v>0</v>
      </c>
      <c r="P22" s="73">
        <f t="shared" si="9"/>
        <v>0</v>
      </c>
      <c r="Q22" s="73">
        <f t="shared" si="10"/>
        <v>0</v>
      </c>
      <c r="R22" s="73">
        <f t="shared" si="11"/>
        <v>0</v>
      </c>
      <c r="S22" s="73">
        <f t="shared" si="12"/>
        <v>0</v>
      </c>
      <c r="T22" s="73">
        <f t="shared" si="13"/>
        <v>0</v>
      </c>
      <c r="U22" s="73">
        <f t="shared" si="14"/>
        <v>0</v>
      </c>
      <c r="V22" s="73">
        <f t="shared" si="15"/>
        <v>0</v>
      </c>
      <c r="W22" s="73">
        <f t="shared" si="16"/>
        <v>0</v>
      </c>
      <c r="X22" s="74"/>
    </row>
    <row r="23" spans="1:24" ht="21.75" hidden="1">
      <c r="A23" s="69">
        <v>1212</v>
      </c>
      <c r="B23" s="76">
        <v>12</v>
      </c>
      <c r="C23" s="77">
        <v>18</v>
      </c>
      <c r="D23" s="78" t="s">
        <v>427</v>
      </c>
      <c r="E23" s="79" t="s">
        <v>428</v>
      </c>
      <c r="F23" s="80">
        <v>-43352070</v>
      </c>
      <c r="G23" s="73">
        <f t="shared" si="0"/>
        <v>0</v>
      </c>
      <c r="H23" s="73">
        <f t="shared" si="1"/>
        <v>0</v>
      </c>
      <c r="I23" s="73">
        <f t="shared" si="2"/>
        <v>0</v>
      </c>
      <c r="J23" s="73">
        <f t="shared" si="3"/>
        <v>0</v>
      </c>
      <c r="K23" s="73">
        <f t="shared" si="4"/>
        <v>0</v>
      </c>
      <c r="L23" s="73">
        <f t="shared" si="5"/>
        <v>0</v>
      </c>
      <c r="M23" s="73">
        <f t="shared" si="6"/>
        <v>0</v>
      </c>
      <c r="N23" s="73">
        <f t="shared" si="7"/>
        <v>0</v>
      </c>
      <c r="O23" s="73">
        <f t="shared" si="8"/>
        <v>0</v>
      </c>
      <c r="P23" s="73">
        <f t="shared" si="9"/>
        <v>-43352070</v>
      </c>
      <c r="Q23" s="73">
        <f t="shared" si="10"/>
        <v>0</v>
      </c>
      <c r="R23" s="73">
        <f t="shared" si="11"/>
        <v>0</v>
      </c>
      <c r="S23" s="73">
        <f t="shared" si="12"/>
        <v>0</v>
      </c>
      <c r="T23" s="73">
        <f t="shared" si="13"/>
        <v>0</v>
      </c>
      <c r="U23" s="73">
        <f t="shared" si="14"/>
        <v>0</v>
      </c>
      <c r="V23" s="73">
        <f t="shared" si="15"/>
        <v>0</v>
      </c>
      <c r="W23" s="73">
        <f t="shared" si="16"/>
        <v>0</v>
      </c>
      <c r="X23" s="81"/>
    </row>
    <row r="24" spans="1:24" ht="21.75" hidden="1">
      <c r="A24" s="69">
        <v>1212</v>
      </c>
      <c r="B24" s="70">
        <v>12</v>
      </c>
      <c r="C24" s="71">
        <v>19</v>
      </c>
      <c r="D24" s="46" t="s">
        <v>429</v>
      </c>
      <c r="E24" s="72" t="s">
        <v>193</v>
      </c>
      <c r="F24" s="73">
        <v>-841000</v>
      </c>
      <c r="G24" s="73">
        <f t="shared" si="0"/>
        <v>0</v>
      </c>
      <c r="H24" s="73">
        <f t="shared" si="1"/>
        <v>0</v>
      </c>
      <c r="I24" s="73">
        <f t="shared" si="2"/>
        <v>0</v>
      </c>
      <c r="J24" s="73">
        <f t="shared" si="3"/>
        <v>0</v>
      </c>
      <c r="K24" s="73">
        <f t="shared" si="4"/>
        <v>0</v>
      </c>
      <c r="L24" s="73">
        <f t="shared" si="5"/>
        <v>0</v>
      </c>
      <c r="M24" s="73">
        <f t="shared" si="6"/>
        <v>0</v>
      </c>
      <c r="N24" s="73">
        <f t="shared" si="7"/>
        <v>0</v>
      </c>
      <c r="O24" s="73">
        <f t="shared" si="8"/>
        <v>0</v>
      </c>
      <c r="P24" s="73">
        <f t="shared" si="9"/>
        <v>-841000</v>
      </c>
      <c r="Q24" s="73">
        <f t="shared" si="10"/>
        <v>0</v>
      </c>
      <c r="R24" s="73">
        <f t="shared" si="11"/>
        <v>0</v>
      </c>
      <c r="S24" s="73">
        <f t="shared" si="12"/>
        <v>0</v>
      </c>
      <c r="T24" s="73">
        <f t="shared" si="13"/>
        <v>0</v>
      </c>
      <c r="U24" s="73">
        <f t="shared" si="14"/>
        <v>0</v>
      </c>
      <c r="V24" s="73">
        <f t="shared" si="15"/>
        <v>0</v>
      </c>
      <c r="W24" s="73">
        <f t="shared" si="16"/>
        <v>0</v>
      </c>
      <c r="X24" s="74"/>
    </row>
    <row r="25" spans="1:24" ht="21.75">
      <c r="A25" s="75">
        <v>614</v>
      </c>
      <c r="B25" s="76">
        <v>6</v>
      </c>
      <c r="C25" s="77">
        <v>20</v>
      </c>
      <c r="D25" s="78" t="s">
        <v>430</v>
      </c>
      <c r="E25" s="79" t="s">
        <v>431</v>
      </c>
      <c r="F25" s="80">
        <v>7520000</v>
      </c>
      <c r="G25" s="73">
        <f t="shared" si="0"/>
        <v>0</v>
      </c>
      <c r="H25" s="73">
        <f t="shared" si="1"/>
        <v>0</v>
      </c>
      <c r="I25" s="73">
        <f t="shared" si="2"/>
        <v>7520000</v>
      </c>
      <c r="J25" s="73">
        <f t="shared" si="3"/>
        <v>0</v>
      </c>
      <c r="K25" s="73">
        <f t="shared" si="4"/>
        <v>0</v>
      </c>
      <c r="L25" s="73">
        <f t="shared" si="5"/>
        <v>0</v>
      </c>
      <c r="M25" s="73">
        <f t="shared" si="6"/>
        <v>0</v>
      </c>
      <c r="N25" s="73">
        <f t="shared" si="7"/>
        <v>0</v>
      </c>
      <c r="O25" s="73">
        <f t="shared" si="8"/>
        <v>0</v>
      </c>
      <c r="P25" s="73">
        <f t="shared" si="9"/>
        <v>0</v>
      </c>
      <c r="Q25" s="73">
        <f t="shared" si="10"/>
        <v>0</v>
      </c>
      <c r="R25" s="73">
        <f t="shared" si="11"/>
        <v>0</v>
      </c>
      <c r="S25" s="73">
        <f t="shared" si="12"/>
        <v>0</v>
      </c>
      <c r="T25" s="73">
        <f t="shared" si="13"/>
        <v>0</v>
      </c>
      <c r="U25" s="73">
        <f t="shared" si="14"/>
        <v>0</v>
      </c>
      <c r="V25" s="73">
        <f t="shared" si="15"/>
        <v>0</v>
      </c>
      <c r="W25" s="73">
        <f t="shared" si="16"/>
        <v>0</v>
      </c>
      <c r="X25" s="81"/>
    </row>
    <row r="26" spans="1:24" ht="21.75">
      <c r="A26" s="69">
        <v>614</v>
      </c>
      <c r="B26" s="70">
        <v>6</v>
      </c>
      <c r="C26" s="71">
        <v>21</v>
      </c>
      <c r="D26" s="46" t="s">
        <v>432</v>
      </c>
      <c r="E26" s="72" t="s">
        <v>433</v>
      </c>
      <c r="F26" s="73">
        <v>77120000</v>
      </c>
      <c r="G26" s="73">
        <f t="shared" si="0"/>
        <v>0</v>
      </c>
      <c r="H26" s="73">
        <f t="shared" si="1"/>
        <v>0</v>
      </c>
      <c r="I26" s="73">
        <f t="shared" si="2"/>
        <v>77120000</v>
      </c>
      <c r="J26" s="73">
        <f t="shared" si="3"/>
        <v>0</v>
      </c>
      <c r="K26" s="73">
        <f t="shared" si="4"/>
        <v>0</v>
      </c>
      <c r="L26" s="73">
        <f t="shared" si="5"/>
        <v>0</v>
      </c>
      <c r="M26" s="73">
        <f t="shared" si="6"/>
        <v>0</v>
      </c>
      <c r="N26" s="73">
        <f t="shared" si="7"/>
        <v>0</v>
      </c>
      <c r="O26" s="73">
        <f t="shared" si="8"/>
        <v>0</v>
      </c>
      <c r="P26" s="73">
        <f t="shared" si="9"/>
        <v>0</v>
      </c>
      <c r="Q26" s="73">
        <f t="shared" si="10"/>
        <v>0</v>
      </c>
      <c r="R26" s="73">
        <f t="shared" si="11"/>
        <v>0</v>
      </c>
      <c r="S26" s="73">
        <f t="shared" si="12"/>
        <v>0</v>
      </c>
      <c r="T26" s="73">
        <f t="shared" si="13"/>
        <v>0</v>
      </c>
      <c r="U26" s="73">
        <f t="shared" si="14"/>
        <v>0</v>
      </c>
      <c r="V26" s="73">
        <f t="shared" si="15"/>
        <v>0</v>
      </c>
      <c r="W26" s="73">
        <f t="shared" si="16"/>
        <v>0</v>
      </c>
      <c r="X26" s="74"/>
    </row>
    <row r="27" spans="1:24" ht="21.75">
      <c r="A27" s="75">
        <v>614</v>
      </c>
      <c r="B27" s="76">
        <v>6</v>
      </c>
      <c r="C27" s="77">
        <v>22</v>
      </c>
      <c r="D27" s="78" t="s">
        <v>434</v>
      </c>
      <c r="E27" s="79" t="s">
        <v>435</v>
      </c>
      <c r="F27" s="80">
        <v>8173437</v>
      </c>
      <c r="G27" s="73">
        <f t="shared" si="0"/>
        <v>0</v>
      </c>
      <c r="H27" s="73">
        <f t="shared" si="1"/>
        <v>0</v>
      </c>
      <c r="I27" s="73">
        <f t="shared" si="2"/>
        <v>8173437</v>
      </c>
      <c r="J27" s="73">
        <f t="shared" si="3"/>
        <v>0</v>
      </c>
      <c r="K27" s="73">
        <f t="shared" si="4"/>
        <v>0</v>
      </c>
      <c r="L27" s="73">
        <f t="shared" si="5"/>
        <v>0</v>
      </c>
      <c r="M27" s="73">
        <f t="shared" si="6"/>
        <v>0</v>
      </c>
      <c r="N27" s="73">
        <f t="shared" si="7"/>
        <v>0</v>
      </c>
      <c r="O27" s="73">
        <f t="shared" si="8"/>
        <v>0</v>
      </c>
      <c r="P27" s="73">
        <f t="shared" si="9"/>
        <v>0</v>
      </c>
      <c r="Q27" s="73">
        <f t="shared" si="10"/>
        <v>0</v>
      </c>
      <c r="R27" s="73">
        <f t="shared" si="11"/>
        <v>0</v>
      </c>
      <c r="S27" s="73">
        <f t="shared" si="12"/>
        <v>0</v>
      </c>
      <c r="T27" s="73">
        <f t="shared" si="13"/>
        <v>0</v>
      </c>
      <c r="U27" s="73">
        <f t="shared" si="14"/>
        <v>0</v>
      </c>
      <c r="V27" s="73">
        <f t="shared" si="15"/>
        <v>0</v>
      </c>
      <c r="W27" s="73">
        <f t="shared" si="16"/>
        <v>0</v>
      </c>
      <c r="X27" s="81"/>
    </row>
    <row r="28" spans="1:24" ht="21.75">
      <c r="A28" s="69">
        <v>614</v>
      </c>
      <c r="B28" s="70">
        <v>6</v>
      </c>
      <c r="C28" s="71">
        <v>23</v>
      </c>
      <c r="D28" s="46" t="s">
        <v>436</v>
      </c>
      <c r="E28" s="72" t="s">
        <v>437</v>
      </c>
      <c r="F28" s="73">
        <v>41838</v>
      </c>
      <c r="G28" s="73">
        <f t="shared" si="0"/>
        <v>0</v>
      </c>
      <c r="H28" s="73">
        <f t="shared" si="1"/>
        <v>0</v>
      </c>
      <c r="I28" s="73">
        <f t="shared" si="2"/>
        <v>41838</v>
      </c>
      <c r="J28" s="73">
        <f t="shared" si="3"/>
        <v>0</v>
      </c>
      <c r="K28" s="73">
        <f t="shared" si="4"/>
        <v>0</v>
      </c>
      <c r="L28" s="73">
        <f t="shared" si="5"/>
        <v>0</v>
      </c>
      <c r="M28" s="73">
        <f t="shared" si="6"/>
        <v>0</v>
      </c>
      <c r="N28" s="73">
        <f t="shared" si="7"/>
        <v>0</v>
      </c>
      <c r="O28" s="73">
        <f t="shared" si="8"/>
        <v>0</v>
      </c>
      <c r="P28" s="73">
        <f t="shared" si="9"/>
        <v>0</v>
      </c>
      <c r="Q28" s="73">
        <f t="shared" si="10"/>
        <v>0</v>
      </c>
      <c r="R28" s="73">
        <f t="shared" si="11"/>
        <v>0</v>
      </c>
      <c r="S28" s="73">
        <f t="shared" si="12"/>
        <v>0</v>
      </c>
      <c r="T28" s="73">
        <f t="shared" si="13"/>
        <v>0</v>
      </c>
      <c r="U28" s="73">
        <f t="shared" si="14"/>
        <v>0</v>
      </c>
      <c r="V28" s="73">
        <f t="shared" si="15"/>
        <v>0</v>
      </c>
      <c r="W28" s="73">
        <f t="shared" si="16"/>
        <v>0</v>
      </c>
      <c r="X28" s="74"/>
    </row>
    <row r="29" spans="1:24" ht="21.75">
      <c r="A29" s="75">
        <v>614</v>
      </c>
      <c r="B29" s="76">
        <v>6</v>
      </c>
      <c r="C29" s="77">
        <v>24</v>
      </c>
      <c r="D29" s="78" t="s">
        <v>438</v>
      </c>
      <c r="E29" s="79" t="s">
        <v>176</v>
      </c>
      <c r="F29" s="80">
        <v>28594071</v>
      </c>
      <c r="G29" s="73">
        <f t="shared" si="0"/>
        <v>0</v>
      </c>
      <c r="H29" s="73">
        <f t="shared" si="1"/>
        <v>0</v>
      </c>
      <c r="I29" s="73">
        <f t="shared" si="2"/>
        <v>28594071</v>
      </c>
      <c r="J29" s="73">
        <f t="shared" si="3"/>
        <v>0</v>
      </c>
      <c r="K29" s="73">
        <f t="shared" si="4"/>
        <v>0</v>
      </c>
      <c r="L29" s="73">
        <f t="shared" si="5"/>
        <v>0</v>
      </c>
      <c r="M29" s="73">
        <f t="shared" si="6"/>
        <v>0</v>
      </c>
      <c r="N29" s="73">
        <f t="shared" si="7"/>
        <v>0</v>
      </c>
      <c r="O29" s="73">
        <f t="shared" si="8"/>
        <v>0</v>
      </c>
      <c r="P29" s="73">
        <f t="shared" si="9"/>
        <v>0</v>
      </c>
      <c r="Q29" s="73">
        <f t="shared" si="10"/>
        <v>0</v>
      </c>
      <c r="R29" s="73">
        <f t="shared" si="11"/>
        <v>0</v>
      </c>
      <c r="S29" s="73">
        <f t="shared" si="12"/>
        <v>0</v>
      </c>
      <c r="T29" s="73">
        <f t="shared" si="13"/>
        <v>0</v>
      </c>
      <c r="U29" s="73">
        <f t="shared" si="14"/>
        <v>0</v>
      </c>
      <c r="V29" s="73">
        <f t="shared" si="15"/>
        <v>0</v>
      </c>
      <c r="W29" s="73">
        <f t="shared" si="16"/>
        <v>0</v>
      </c>
      <c r="X29" s="81"/>
    </row>
    <row r="30" spans="1:24" ht="21.75">
      <c r="A30" s="69">
        <v>614</v>
      </c>
      <c r="B30" s="70">
        <v>6</v>
      </c>
      <c r="C30" s="71">
        <v>25</v>
      </c>
      <c r="D30" s="46" t="s">
        <v>472</v>
      </c>
      <c r="E30" s="72" t="s">
        <v>473</v>
      </c>
      <c r="F30" s="73">
        <v>1476158412</v>
      </c>
      <c r="G30" s="73">
        <f t="shared" si="0"/>
        <v>0</v>
      </c>
      <c r="H30" s="73">
        <f t="shared" si="1"/>
        <v>0</v>
      </c>
      <c r="I30" s="73">
        <f t="shared" si="2"/>
        <v>1476158412</v>
      </c>
      <c r="J30" s="73">
        <f t="shared" si="3"/>
        <v>0</v>
      </c>
      <c r="K30" s="73">
        <f t="shared" si="4"/>
        <v>0</v>
      </c>
      <c r="L30" s="73">
        <f t="shared" si="5"/>
        <v>0</v>
      </c>
      <c r="M30" s="73">
        <f t="shared" si="6"/>
        <v>0</v>
      </c>
      <c r="N30" s="73">
        <f t="shared" si="7"/>
        <v>0</v>
      </c>
      <c r="O30" s="73">
        <f t="shared" si="8"/>
        <v>0</v>
      </c>
      <c r="P30" s="73">
        <f t="shared" si="9"/>
        <v>0</v>
      </c>
      <c r="Q30" s="73">
        <f t="shared" si="10"/>
        <v>0</v>
      </c>
      <c r="R30" s="73">
        <f t="shared" si="11"/>
        <v>0</v>
      </c>
      <c r="S30" s="73">
        <f t="shared" si="12"/>
        <v>0</v>
      </c>
      <c r="T30" s="73">
        <f t="shared" si="13"/>
        <v>0</v>
      </c>
      <c r="U30" s="73">
        <f t="shared" si="14"/>
        <v>0</v>
      </c>
      <c r="V30" s="73">
        <f t="shared" si="15"/>
        <v>0</v>
      </c>
      <c r="W30" s="73">
        <f t="shared" si="16"/>
        <v>0</v>
      </c>
      <c r="X30" s="74"/>
    </row>
    <row r="31" spans="1:24" ht="21.75">
      <c r="A31" s="75">
        <v>614</v>
      </c>
      <c r="B31" s="76">
        <v>6</v>
      </c>
      <c r="C31" s="77">
        <v>26</v>
      </c>
      <c r="D31" s="78" t="s">
        <v>214</v>
      </c>
      <c r="E31" s="79" t="s">
        <v>473</v>
      </c>
      <c r="F31" s="80">
        <v>-24031239</v>
      </c>
      <c r="G31" s="73">
        <f t="shared" si="0"/>
        <v>0</v>
      </c>
      <c r="H31" s="73">
        <f t="shared" si="1"/>
        <v>0</v>
      </c>
      <c r="I31" s="73">
        <f t="shared" si="2"/>
        <v>-24031239</v>
      </c>
      <c r="J31" s="73">
        <f t="shared" si="3"/>
        <v>0</v>
      </c>
      <c r="K31" s="73">
        <f t="shared" si="4"/>
        <v>0</v>
      </c>
      <c r="L31" s="73">
        <f t="shared" si="5"/>
        <v>0</v>
      </c>
      <c r="M31" s="73">
        <f t="shared" si="6"/>
        <v>0</v>
      </c>
      <c r="N31" s="73">
        <f t="shared" si="7"/>
        <v>0</v>
      </c>
      <c r="O31" s="73">
        <f t="shared" si="8"/>
        <v>0</v>
      </c>
      <c r="P31" s="73">
        <f t="shared" si="9"/>
        <v>0</v>
      </c>
      <c r="Q31" s="73">
        <f t="shared" si="10"/>
        <v>0</v>
      </c>
      <c r="R31" s="73">
        <f t="shared" si="11"/>
        <v>0</v>
      </c>
      <c r="S31" s="73">
        <f t="shared" si="12"/>
        <v>0</v>
      </c>
      <c r="T31" s="73">
        <f t="shared" si="13"/>
        <v>0</v>
      </c>
      <c r="U31" s="73">
        <f t="shared" si="14"/>
        <v>0</v>
      </c>
      <c r="V31" s="73">
        <f t="shared" si="15"/>
        <v>0</v>
      </c>
      <c r="W31" s="73">
        <f t="shared" si="16"/>
        <v>0</v>
      </c>
      <c r="X31" s="81"/>
    </row>
    <row r="32" spans="1:24" ht="21.75">
      <c r="A32" s="69">
        <v>614</v>
      </c>
      <c r="B32" s="70">
        <v>6</v>
      </c>
      <c r="C32" s="71">
        <v>27</v>
      </c>
      <c r="D32" s="46" t="s">
        <v>214</v>
      </c>
      <c r="E32" s="72" t="s">
        <v>473</v>
      </c>
      <c r="F32" s="73">
        <v>24031239</v>
      </c>
      <c r="G32" s="73">
        <f t="shared" si="0"/>
        <v>0</v>
      </c>
      <c r="H32" s="73">
        <f t="shared" si="1"/>
        <v>0</v>
      </c>
      <c r="I32" s="73">
        <f t="shared" si="2"/>
        <v>24031239</v>
      </c>
      <c r="J32" s="73">
        <f t="shared" si="3"/>
        <v>0</v>
      </c>
      <c r="K32" s="73">
        <f t="shared" si="4"/>
        <v>0</v>
      </c>
      <c r="L32" s="73">
        <f t="shared" si="5"/>
        <v>0</v>
      </c>
      <c r="M32" s="73">
        <f t="shared" si="6"/>
        <v>0</v>
      </c>
      <c r="N32" s="73">
        <f t="shared" si="7"/>
        <v>0</v>
      </c>
      <c r="O32" s="73">
        <f t="shared" si="8"/>
        <v>0</v>
      </c>
      <c r="P32" s="73">
        <f t="shared" si="9"/>
        <v>0</v>
      </c>
      <c r="Q32" s="73">
        <f t="shared" si="10"/>
        <v>0</v>
      </c>
      <c r="R32" s="73">
        <f t="shared" si="11"/>
        <v>0</v>
      </c>
      <c r="S32" s="73">
        <f t="shared" si="12"/>
        <v>0</v>
      </c>
      <c r="T32" s="73">
        <f t="shared" si="13"/>
        <v>0</v>
      </c>
      <c r="U32" s="73">
        <f t="shared" si="14"/>
        <v>0</v>
      </c>
      <c r="V32" s="73">
        <f t="shared" si="15"/>
        <v>0</v>
      </c>
      <c r="W32" s="73">
        <f t="shared" si="16"/>
        <v>0</v>
      </c>
      <c r="X32" s="74"/>
    </row>
    <row r="33" spans="1:24" ht="21.75" hidden="1">
      <c r="A33" s="69">
        <v>1212</v>
      </c>
      <c r="B33" s="76">
        <v>12</v>
      </c>
      <c r="C33" s="77">
        <v>28</v>
      </c>
      <c r="D33" s="78" t="s">
        <v>127</v>
      </c>
      <c r="E33" s="79" t="s">
        <v>230</v>
      </c>
      <c r="F33" s="80">
        <v>-797708</v>
      </c>
      <c r="G33" s="73">
        <f t="shared" si="0"/>
        <v>0</v>
      </c>
      <c r="H33" s="73">
        <f t="shared" si="1"/>
        <v>0</v>
      </c>
      <c r="I33" s="73">
        <f t="shared" si="2"/>
        <v>0</v>
      </c>
      <c r="J33" s="73">
        <f t="shared" si="3"/>
        <v>0</v>
      </c>
      <c r="K33" s="73">
        <f t="shared" si="4"/>
        <v>0</v>
      </c>
      <c r="L33" s="73">
        <f t="shared" si="5"/>
        <v>0</v>
      </c>
      <c r="M33" s="73">
        <f t="shared" si="6"/>
        <v>0</v>
      </c>
      <c r="N33" s="73">
        <f t="shared" si="7"/>
        <v>0</v>
      </c>
      <c r="O33" s="73">
        <f t="shared" si="8"/>
        <v>0</v>
      </c>
      <c r="P33" s="73">
        <f t="shared" si="9"/>
        <v>-797708</v>
      </c>
      <c r="Q33" s="73">
        <f t="shared" si="10"/>
        <v>0</v>
      </c>
      <c r="R33" s="73">
        <f t="shared" si="11"/>
        <v>0</v>
      </c>
      <c r="S33" s="73">
        <f t="shared" si="12"/>
        <v>0</v>
      </c>
      <c r="T33" s="73">
        <f t="shared" si="13"/>
        <v>0</v>
      </c>
      <c r="U33" s="73">
        <f t="shared" si="14"/>
        <v>0</v>
      </c>
      <c r="V33" s="73">
        <f t="shared" si="15"/>
        <v>0</v>
      </c>
      <c r="W33" s="73">
        <f t="shared" si="16"/>
        <v>0</v>
      </c>
      <c r="X33" s="81"/>
    </row>
    <row r="34" spans="1:24" ht="21.75" hidden="1">
      <c r="A34" s="69">
        <v>1212</v>
      </c>
      <c r="B34" s="70">
        <v>12</v>
      </c>
      <c r="C34" s="71">
        <v>29</v>
      </c>
      <c r="D34" s="46" t="s">
        <v>128</v>
      </c>
      <c r="E34" s="72" t="s">
        <v>129</v>
      </c>
      <c r="F34" s="73">
        <v>-79358071</v>
      </c>
      <c r="G34" s="73">
        <f t="shared" si="0"/>
        <v>0</v>
      </c>
      <c r="H34" s="73">
        <f t="shared" si="1"/>
        <v>0</v>
      </c>
      <c r="I34" s="73">
        <f t="shared" si="2"/>
        <v>0</v>
      </c>
      <c r="J34" s="73">
        <f t="shared" si="3"/>
        <v>0</v>
      </c>
      <c r="K34" s="73">
        <f t="shared" si="4"/>
        <v>0</v>
      </c>
      <c r="L34" s="73">
        <f t="shared" si="5"/>
        <v>0</v>
      </c>
      <c r="M34" s="73">
        <f t="shared" si="6"/>
        <v>0</v>
      </c>
      <c r="N34" s="73">
        <f t="shared" si="7"/>
        <v>0</v>
      </c>
      <c r="O34" s="73">
        <f t="shared" si="8"/>
        <v>0</v>
      </c>
      <c r="P34" s="73">
        <f t="shared" si="9"/>
        <v>-79358071</v>
      </c>
      <c r="Q34" s="73">
        <f t="shared" si="10"/>
        <v>0</v>
      </c>
      <c r="R34" s="73">
        <f t="shared" si="11"/>
        <v>0</v>
      </c>
      <c r="S34" s="73">
        <f t="shared" si="12"/>
        <v>0</v>
      </c>
      <c r="T34" s="73">
        <f t="shared" si="13"/>
        <v>0</v>
      </c>
      <c r="U34" s="73">
        <f t="shared" si="14"/>
        <v>0</v>
      </c>
      <c r="V34" s="73">
        <f t="shared" si="15"/>
        <v>0</v>
      </c>
      <c r="W34" s="73">
        <f t="shared" si="16"/>
        <v>0</v>
      </c>
      <c r="X34" s="74"/>
    </row>
    <row r="35" spans="1:24" ht="21.75" hidden="1">
      <c r="A35" s="69">
        <v>1212</v>
      </c>
      <c r="B35" s="76">
        <v>12</v>
      </c>
      <c r="C35" s="77">
        <v>30</v>
      </c>
      <c r="D35" s="78" t="s">
        <v>130</v>
      </c>
      <c r="E35" s="79" t="s">
        <v>131</v>
      </c>
      <c r="F35" s="80">
        <v>-445357783</v>
      </c>
      <c r="G35" s="73">
        <f t="shared" si="0"/>
        <v>0</v>
      </c>
      <c r="H35" s="73">
        <f t="shared" si="1"/>
        <v>0</v>
      </c>
      <c r="I35" s="73">
        <f t="shared" si="2"/>
        <v>0</v>
      </c>
      <c r="J35" s="73">
        <f t="shared" si="3"/>
        <v>0</v>
      </c>
      <c r="K35" s="73">
        <f t="shared" si="4"/>
        <v>0</v>
      </c>
      <c r="L35" s="73">
        <f t="shared" si="5"/>
        <v>0</v>
      </c>
      <c r="M35" s="73">
        <f t="shared" si="6"/>
        <v>0</v>
      </c>
      <c r="N35" s="73">
        <f t="shared" si="7"/>
        <v>0</v>
      </c>
      <c r="O35" s="73">
        <f t="shared" si="8"/>
        <v>0</v>
      </c>
      <c r="P35" s="73">
        <f t="shared" si="9"/>
        <v>-445357783</v>
      </c>
      <c r="Q35" s="73">
        <f t="shared" si="10"/>
        <v>0</v>
      </c>
      <c r="R35" s="73">
        <f t="shared" si="11"/>
        <v>0</v>
      </c>
      <c r="S35" s="73">
        <f t="shared" si="12"/>
        <v>0</v>
      </c>
      <c r="T35" s="73">
        <f t="shared" si="13"/>
        <v>0</v>
      </c>
      <c r="U35" s="73">
        <f t="shared" si="14"/>
        <v>0</v>
      </c>
      <c r="V35" s="73">
        <f t="shared" si="15"/>
        <v>0</v>
      </c>
      <c r="W35" s="73">
        <f t="shared" si="16"/>
        <v>0</v>
      </c>
      <c r="X35" s="81"/>
    </row>
    <row r="36" spans="1:24" ht="21.75" hidden="1">
      <c r="A36" s="69">
        <v>1202</v>
      </c>
      <c r="B36" s="70">
        <v>12</v>
      </c>
      <c r="C36" s="71">
        <v>31</v>
      </c>
      <c r="D36" s="46" t="s">
        <v>132</v>
      </c>
      <c r="E36" s="72" t="s">
        <v>133</v>
      </c>
      <c r="F36" s="73">
        <v>-1499034102</v>
      </c>
      <c r="G36" s="73">
        <f t="shared" si="0"/>
        <v>0</v>
      </c>
      <c r="H36" s="73">
        <f t="shared" si="1"/>
        <v>0</v>
      </c>
      <c r="I36" s="73">
        <f t="shared" si="2"/>
        <v>0</v>
      </c>
      <c r="J36" s="73">
        <f t="shared" si="3"/>
        <v>0</v>
      </c>
      <c r="K36" s="73">
        <f t="shared" si="4"/>
        <v>0</v>
      </c>
      <c r="L36" s="73">
        <f t="shared" si="5"/>
        <v>0</v>
      </c>
      <c r="M36" s="73">
        <f t="shared" si="6"/>
        <v>0</v>
      </c>
      <c r="N36" s="73">
        <f t="shared" si="7"/>
        <v>0</v>
      </c>
      <c r="O36" s="73">
        <f t="shared" si="8"/>
        <v>0</v>
      </c>
      <c r="P36" s="73">
        <f t="shared" si="9"/>
        <v>-1499034102</v>
      </c>
      <c r="Q36" s="73">
        <f t="shared" si="10"/>
        <v>0</v>
      </c>
      <c r="R36" s="73">
        <f t="shared" si="11"/>
        <v>0</v>
      </c>
      <c r="S36" s="73">
        <f t="shared" si="12"/>
        <v>0</v>
      </c>
      <c r="T36" s="73">
        <f t="shared" si="13"/>
        <v>0</v>
      </c>
      <c r="U36" s="73">
        <f t="shared" si="14"/>
        <v>0</v>
      </c>
      <c r="V36" s="73">
        <f t="shared" si="15"/>
        <v>0</v>
      </c>
      <c r="W36" s="73">
        <f t="shared" si="16"/>
        <v>0</v>
      </c>
      <c r="X36" s="74"/>
    </row>
    <row r="37" spans="1:24" ht="21.75" hidden="1">
      <c r="A37" s="75">
        <v>1701</v>
      </c>
      <c r="B37" s="76">
        <v>17</v>
      </c>
      <c r="C37" s="77">
        <v>32</v>
      </c>
      <c r="D37" s="78" t="s">
        <v>134</v>
      </c>
      <c r="E37" s="79" t="s">
        <v>135</v>
      </c>
      <c r="F37" s="80">
        <v>-6704613423</v>
      </c>
      <c r="G37" s="73">
        <f t="shared" si="0"/>
        <v>0</v>
      </c>
      <c r="H37" s="73">
        <f t="shared" si="1"/>
        <v>0</v>
      </c>
      <c r="I37" s="73">
        <f t="shared" si="2"/>
        <v>0</v>
      </c>
      <c r="J37" s="73">
        <f t="shared" si="3"/>
        <v>0</v>
      </c>
      <c r="K37" s="73">
        <f t="shared" si="4"/>
        <v>0</v>
      </c>
      <c r="L37" s="73">
        <f t="shared" si="5"/>
        <v>0</v>
      </c>
      <c r="M37" s="73">
        <f t="shared" si="6"/>
        <v>0</v>
      </c>
      <c r="N37" s="73">
        <f t="shared" si="7"/>
        <v>0</v>
      </c>
      <c r="O37" s="73">
        <f t="shared" si="8"/>
        <v>0</v>
      </c>
      <c r="P37" s="73">
        <f t="shared" si="9"/>
        <v>0</v>
      </c>
      <c r="Q37" s="73">
        <f t="shared" si="10"/>
        <v>0</v>
      </c>
      <c r="R37" s="73">
        <f t="shared" si="11"/>
        <v>0</v>
      </c>
      <c r="S37" s="73">
        <f t="shared" si="12"/>
        <v>0</v>
      </c>
      <c r="T37" s="73">
        <f t="shared" si="13"/>
        <v>-6704613423</v>
      </c>
      <c r="U37" s="73">
        <f t="shared" si="14"/>
        <v>0</v>
      </c>
      <c r="V37" s="73">
        <f t="shared" si="15"/>
        <v>0</v>
      </c>
      <c r="W37" s="73">
        <f t="shared" si="16"/>
        <v>0</v>
      </c>
      <c r="X37" s="81"/>
    </row>
    <row r="38" spans="1:24" ht="21.75" hidden="1">
      <c r="A38" s="69">
        <v>1212</v>
      </c>
      <c r="B38" s="70">
        <v>12</v>
      </c>
      <c r="C38" s="71">
        <v>33</v>
      </c>
      <c r="D38" s="46" t="s">
        <v>136</v>
      </c>
      <c r="E38" s="72" t="s">
        <v>82</v>
      </c>
      <c r="F38" s="73">
        <v>-134820841</v>
      </c>
      <c r="G38" s="73">
        <f t="shared" si="0"/>
        <v>0</v>
      </c>
      <c r="H38" s="73">
        <f t="shared" si="1"/>
        <v>0</v>
      </c>
      <c r="I38" s="73">
        <f t="shared" si="2"/>
        <v>0</v>
      </c>
      <c r="J38" s="73">
        <f t="shared" si="3"/>
        <v>0</v>
      </c>
      <c r="K38" s="73">
        <f t="shared" si="4"/>
        <v>0</v>
      </c>
      <c r="L38" s="73">
        <f t="shared" si="5"/>
        <v>0</v>
      </c>
      <c r="M38" s="73">
        <f t="shared" si="6"/>
        <v>0</v>
      </c>
      <c r="N38" s="73">
        <f t="shared" si="7"/>
        <v>0</v>
      </c>
      <c r="O38" s="73">
        <f t="shared" si="8"/>
        <v>0</v>
      </c>
      <c r="P38" s="73">
        <f t="shared" si="9"/>
        <v>-134820841</v>
      </c>
      <c r="Q38" s="73">
        <f t="shared" si="10"/>
        <v>0</v>
      </c>
      <c r="R38" s="73">
        <f t="shared" si="11"/>
        <v>0</v>
      </c>
      <c r="S38" s="73">
        <f t="shared" si="12"/>
        <v>0</v>
      </c>
      <c r="T38" s="73">
        <f t="shared" si="13"/>
        <v>0</v>
      </c>
      <c r="U38" s="73">
        <f t="shared" si="14"/>
        <v>0</v>
      </c>
      <c r="V38" s="73">
        <f t="shared" si="15"/>
        <v>0</v>
      </c>
      <c r="W38" s="73">
        <f t="shared" si="16"/>
        <v>0</v>
      </c>
      <c r="X38" s="74"/>
    </row>
    <row r="39" spans="1:24" ht="21.75">
      <c r="A39" s="75">
        <v>614</v>
      </c>
      <c r="B39" s="76">
        <v>6</v>
      </c>
      <c r="C39" s="77">
        <v>35</v>
      </c>
      <c r="D39" s="78" t="s">
        <v>212</v>
      </c>
      <c r="E39" s="79" t="s">
        <v>213</v>
      </c>
      <c r="F39" s="80">
        <v>1002333</v>
      </c>
      <c r="G39" s="73">
        <f t="shared" si="0"/>
        <v>0</v>
      </c>
      <c r="H39" s="73">
        <f t="shared" si="1"/>
        <v>0</v>
      </c>
      <c r="I39" s="73">
        <f t="shared" si="2"/>
        <v>1002333</v>
      </c>
      <c r="J39" s="73">
        <f t="shared" si="3"/>
        <v>0</v>
      </c>
      <c r="K39" s="73">
        <f t="shared" si="4"/>
        <v>0</v>
      </c>
      <c r="L39" s="73">
        <f t="shared" si="5"/>
        <v>0</v>
      </c>
      <c r="M39" s="73">
        <f t="shared" si="6"/>
        <v>0</v>
      </c>
      <c r="N39" s="73">
        <f t="shared" si="7"/>
        <v>0</v>
      </c>
      <c r="O39" s="73">
        <f t="shared" si="8"/>
        <v>0</v>
      </c>
      <c r="P39" s="73">
        <f t="shared" si="9"/>
        <v>0</v>
      </c>
      <c r="Q39" s="73">
        <f t="shared" si="10"/>
        <v>0</v>
      </c>
      <c r="R39" s="73">
        <f t="shared" si="11"/>
        <v>0</v>
      </c>
      <c r="S39" s="73">
        <f t="shared" si="12"/>
        <v>0</v>
      </c>
      <c r="T39" s="73">
        <f t="shared" si="13"/>
        <v>0</v>
      </c>
      <c r="U39" s="73">
        <f t="shared" si="14"/>
        <v>0</v>
      </c>
      <c r="V39" s="73">
        <f t="shared" si="15"/>
        <v>0</v>
      </c>
      <c r="W39" s="73">
        <f t="shared" si="16"/>
        <v>0</v>
      </c>
      <c r="X39" s="81"/>
    </row>
    <row r="40" spans="1:24" ht="21.75">
      <c r="A40" s="69">
        <v>614</v>
      </c>
      <c r="B40" s="70">
        <v>6</v>
      </c>
      <c r="C40" s="71">
        <v>36</v>
      </c>
      <c r="D40" s="46" t="s">
        <v>84</v>
      </c>
      <c r="E40" s="72" t="s">
        <v>85</v>
      </c>
      <c r="F40" s="73">
        <v>71570477</v>
      </c>
      <c r="G40" s="73">
        <f t="shared" si="0"/>
        <v>0</v>
      </c>
      <c r="H40" s="73">
        <f t="shared" si="1"/>
        <v>0</v>
      </c>
      <c r="I40" s="73">
        <f t="shared" si="2"/>
        <v>71570477</v>
      </c>
      <c r="J40" s="73">
        <f t="shared" si="3"/>
        <v>0</v>
      </c>
      <c r="K40" s="73">
        <f t="shared" si="4"/>
        <v>0</v>
      </c>
      <c r="L40" s="73">
        <f t="shared" si="5"/>
        <v>0</v>
      </c>
      <c r="M40" s="73">
        <f t="shared" si="6"/>
        <v>0</v>
      </c>
      <c r="N40" s="73">
        <f t="shared" si="7"/>
        <v>0</v>
      </c>
      <c r="O40" s="73">
        <f t="shared" si="8"/>
        <v>0</v>
      </c>
      <c r="P40" s="73">
        <f t="shared" si="9"/>
        <v>0</v>
      </c>
      <c r="Q40" s="73">
        <f t="shared" si="10"/>
        <v>0</v>
      </c>
      <c r="R40" s="73">
        <f t="shared" si="11"/>
        <v>0</v>
      </c>
      <c r="S40" s="73">
        <f t="shared" si="12"/>
        <v>0</v>
      </c>
      <c r="T40" s="73">
        <f t="shared" si="13"/>
        <v>0</v>
      </c>
      <c r="U40" s="73">
        <f t="shared" si="14"/>
        <v>0</v>
      </c>
      <c r="V40" s="73">
        <f t="shared" si="15"/>
        <v>0</v>
      </c>
      <c r="W40" s="73">
        <f t="shared" si="16"/>
        <v>0</v>
      </c>
      <c r="X40" s="74"/>
    </row>
    <row r="41" spans="1:24" ht="21.75">
      <c r="A41" s="75">
        <v>605</v>
      </c>
      <c r="B41" s="76">
        <v>6</v>
      </c>
      <c r="C41" s="77">
        <v>37</v>
      </c>
      <c r="D41" s="78" t="s">
        <v>92</v>
      </c>
      <c r="E41" s="79" t="s">
        <v>179</v>
      </c>
      <c r="F41" s="80">
        <v>5333348</v>
      </c>
      <c r="G41" s="73">
        <f t="shared" si="0"/>
        <v>0</v>
      </c>
      <c r="H41" s="73">
        <f t="shared" si="1"/>
        <v>0</v>
      </c>
      <c r="I41" s="73">
        <f t="shared" si="2"/>
        <v>5333348</v>
      </c>
      <c r="J41" s="73">
        <f t="shared" si="3"/>
        <v>0</v>
      </c>
      <c r="K41" s="73">
        <f t="shared" si="4"/>
        <v>0</v>
      </c>
      <c r="L41" s="73">
        <f t="shared" si="5"/>
        <v>0</v>
      </c>
      <c r="M41" s="73">
        <f t="shared" si="6"/>
        <v>0</v>
      </c>
      <c r="N41" s="73">
        <f t="shared" si="7"/>
        <v>0</v>
      </c>
      <c r="O41" s="73">
        <f t="shared" si="8"/>
        <v>0</v>
      </c>
      <c r="P41" s="73">
        <f t="shared" si="9"/>
        <v>0</v>
      </c>
      <c r="Q41" s="73">
        <f t="shared" si="10"/>
        <v>0</v>
      </c>
      <c r="R41" s="73">
        <f t="shared" si="11"/>
        <v>0</v>
      </c>
      <c r="S41" s="73">
        <f t="shared" si="12"/>
        <v>0</v>
      </c>
      <c r="T41" s="73">
        <f t="shared" si="13"/>
        <v>0</v>
      </c>
      <c r="U41" s="73">
        <f t="shared" si="14"/>
        <v>0</v>
      </c>
      <c r="V41" s="73">
        <f t="shared" si="15"/>
        <v>0</v>
      </c>
      <c r="W41" s="73">
        <f t="shared" si="16"/>
        <v>0</v>
      </c>
      <c r="X41" s="81"/>
    </row>
    <row r="42" spans="1:24" ht="21.75">
      <c r="A42" s="69">
        <v>605</v>
      </c>
      <c r="B42" s="70">
        <v>6</v>
      </c>
      <c r="C42" s="71">
        <v>38</v>
      </c>
      <c r="D42" s="46" t="s">
        <v>216</v>
      </c>
      <c r="E42" s="72" t="s">
        <v>217</v>
      </c>
      <c r="F42" s="73">
        <v>12500007</v>
      </c>
      <c r="G42" s="73">
        <f t="shared" si="0"/>
        <v>0</v>
      </c>
      <c r="H42" s="73">
        <f t="shared" si="1"/>
        <v>0</v>
      </c>
      <c r="I42" s="73">
        <f t="shared" si="2"/>
        <v>12500007</v>
      </c>
      <c r="J42" s="73">
        <f t="shared" si="3"/>
        <v>0</v>
      </c>
      <c r="K42" s="73">
        <f t="shared" si="4"/>
        <v>0</v>
      </c>
      <c r="L42" s="73">
        <f t="shared" si="5"/>
        <v>0</v>
      </c>
      <c r="M42" s="73">
        <f t="shared" si="6"/>
        <v>0</v>
      </c>
      <c r="N42" s="73">
        <f t="shared" si="7"/>
        <v>0</v>
      </c>
      <c r="O42" s="73">
        <f t="shared" si="8"/>
        <v>0</v>
      </c>
      <c r="P42" s="73">
        <f t="shared" si="9"/>
        <v>0</v>
      </c>
      <c r="Q42" s="73">
        <f t="shared" si="10"/>
        <v>0</v>
      </c>
      <c r="R42" s="73">
        <f t="shared" si="11"/>
        <v>0</v>
      </c>
      <c r="S42" s="73">
        <f t="shared" si="12"/>
        <v>0</v>
      </c>
      <c r="T42" s="73">
        <f t="shared" si="13"/>
        <v>0</v>
      </c>
      <c r="U42" s="73">
        <f t="shared" si="14"/>
        <v>0</v>
      </c>
      <c r="V42" s="73">
        <f t="shared" si="15"/>
        <v>0</v>
      </c>
      <c r="W42" s="73">
        <f t="shared" si="16"/>
        <v>0</v>
      </c>
      <c r="X42" s="74"/>
    </row>
    <row r="43" spans="1:24" ht="21.75" hidden="1">
      <c r="A43" s="69">
        <v>1212</v>
      </c>
      <c r="B43" s="76">
        <v>12</v>
      </c>
      <c r="C43" s="77">
        <v>39</v>
      </c>
      <c r="D43" s="78" t="s">
        <v>562</v>
      </c>
      <c r="E43" s="79" t="s">
        <v>563</v>
      </c>
      <c r="F43" s="80">
        <v>-390608</v>
      </c>
      <c r="G43" s="73">
        <f t="shared" si="0"/>
        <v>0</v>
      </c>
      <c r="H43" s="73">
        <f t="shared" si="1"/>
        <v>0</v>
      </c>
      <c r="I43" s="73">
        <f t="shared" si="2"/>
        <v>0</v>
      </c>
      <c r="J43" s="73">
        <f t="shared" si="3"/>
        <v>0</v>
      </c>
      <c r="K43" s="73">
        <f t="shared" si="4"/>
        <v>0</v>
      </c>
      <c r="L43" s="73">
        <f t="shared" si="5"/>
        <v>0</v>
      </c>
      <c r="M43" s="73">
        <f t="shared" si="6"/>
        <v>0</v>
      </c>
      <c r="N43" s="73">
        <f t="shared" si="7"/>
        <v>0</v>
      </c>
      <c r="O43" s="73">
        <f t="shared" si="8"/>
        <v>0</v>
      </c>
      <c r="P43" s="73">
        <f t="shared" si="9"/>
        <v>-390608</v>
      </c>
      <c r="Q43" s="73">
        <f t="shared" si="10"/>
        <v>0</v>
      </c>
      <c r="R43" s="73">
        <f t="shared" si="11"/>
        <v>0</v>
      </c>
      <c r="S43" s="73">
        <f t="shared" si="12"/>
        <v>0</v>
      </c>
      <c r="T43" s="73">
        <f t="shared" si="13"/>
        <v>0</v>
      </c>
      <c r="U43" s="73">
        <f t="shared" si="14"/>
        <v>0</v>
      </c>
      <c r="V43" s="73">
        <f t="shared" si="15"/>
        <v>0</v>
      </c>
      <c r="W43" s="73">
        <f t="shared" si="16"/>
        <v>0</v>
      </c>
      <c r="X43" s="81"/>
    </row>
    <row r="44" spans="1:24" ht="21.75">
      <c r="A44" s="69">
        <v>605</v>
      </c>
      <c r="B44" s="70">
        <v>6</v>
      </c>
      <c r="C44" s="71">
        <v>40</v>
      </c>
      <c r="D44" s="46" t="s">
        <v>564</v>
      </c>
      <c r="E44" s="72" t="s">
        <v>183</v>
      </c>
      <c r="F44" s="73">
        <v>1163903515</v>
      </c>
      <c r="G44" s="73">
        <f t="shared" si="0"/>
        <v>0</v>
      </c>
      <c r="H44" s="73">
        <f t="shared" si="1"/>
        <v>0</v>
      </c>
      <c r="I44" s="73">
        <f t="shared" si="2"/>
        <v>1163903515</v>
      </c>
      <c r="J44" s="73">
        <f t="shared" si="3"/>
        <v>0</v>
      </c>
      <c r="K44" s="73">
        <f t="shared" si="4"/>
        <v>0</v>
      </c>
      <c r="L44" s="73">
        <f t="shared" si="5"/>
        <v>0</v>
      </c>
      <c r="M44" s="73">
        <f t="shared" si="6"/>
        <v>0</v>
      </c>
      <c r="N44" s="73">
        <f t="shared" si="7"/>
        <v>0</v>
      </c>
      <c r="O44" s="73">
        <f t="shared" si="8"/>
        <v>0</v>
      </c>
      <c r="P44" s="73">
        <f t="shared" si="9"/>
        <v>0</v>
      </c>
      <c r="Q44" s="73">
        <f t="shared" si="10"/>
        <v>0</v>
      </c>
      <c r="R44" s="73">
        <f t="shared" si="11"/>
        <v>0</v>
      </c>
      <c r="S44" s="73">
        <f t="shared" si="12"/>
        <v>0</v>
      </c>
      <c r="T44" s="73">
        <f t="shared" si="13"/>
        <v>0</v>
      </c>
      <c r="U44" s="73">
        <f t="shared" si="14"/>
        <v>0</v>
      </c>
      <c r="V44" s="73">
        <f t="shared" si="15"/>
        <v>0</v>
      </c>
      <c r="W44" s="73">
        <f t="shared" si="16"/>
        <v>0</v>
      </c>
      <c r="X44" s="74"/>
    </row>
    <row r="45" spans="1:24" ht="21.75">
      <c r="A45" s="75">
        <v>605</v>
      </c>
      <c r="B45" s="76">
        <v>6</v>
      </c>
      <c r="C45" s="77">
        <v>41</v>
      </c>
      <c r="D45" s="78" t="s">
        <v>184</v>
      </c>
      <c r="E45" s="79" t="s">
        <v>161</v>
      </c>
      <c r="F45" s="80">
        <v>4466742</v>
      </c>
      <c r="G45" s="73">
        <f t="shared" si="0"/>
        <v>0</v>
      </c>
      <c r="H45" s="73">
        <f t="shared" si="1"/>
        <v>0</v>
      </c>
      <c r="I45" s="73">
        <f t="shared" si="2"/>
        <v>4466742</v>
      </c>
      <c r="J45" s="73">
        <f t="shared" si="3"/>
        <v>0</v>
      </c>
      <c r="K45" s="73">
        <f t="shared" si="4"/>
        <v>0</v>
      </c>
      <c r="L45" s="73">
        <f t="shared" si="5"/>
        <v>0</v>
      </c>
      <c r="M45" s="73">
        <f t="shared" si="6"/>
        <v>0</v>
      </c>
      <c r="N45" s="73">
        <f t="shared" si="7"/>
        <v>0</v>
      </c>
      <c r="O45" s="73">
        <f t="shared" si="8"/>
        <v>0</v>
      </c>
      <c r="P45" s="73">
        <f t="shared" si="9"/>
        <v>0</v>
      </c>
      <c r="Q45" s="73">
        <f t="shared" si="10"/>
        <v>0</v>
      </c>
      <c r="R45" s="73">
        <f t="shared" si="11"/>
        <v>0</v>
      </c>
      <c r="S45" s="73">
        <f t="shared" si="12"/>
        <v>0</v>
      </c>
      <c r="T45" s="73">
        <f t="shared" si="13"/>
        <v>0</v>
      </c>
      <c r="U45" s="73">
        <f t="shared" si="14"/>
        <v>0</v>
      </c>
      <c r="V45" s="73">
        <f t="shared" si="15"/>
        <v>0</v>
      </c>
      <c r="W45" s="73">
        <f t="shared" si="16"/>
        <v>0</v>
      </c>
      <c r="X45" s="81"/>
    </row>
    <row r="46" spans="1:24" ht="21.75" hidden="1">
      <c r="A46" s="69">
        <v>1212</v>
      </c>
      <c r="B46" s="70">
        <v>12</v>
      </c>
      <c r="C46" s="71">
        <v>42</v>
      </c>
      <c r="D46" s="46" t="s">
        <v>479</v>
      </c>
      <c r="E46" s="72" t="s">
        <v>218</v>
      </c>
      <c r="F46" s="73">
        <v>-38861487</v>
      </c>
      <c r="G46" s="73">
        <f t="shared" si="0"/>
        <v>0</v>
      </c>
      <c r="H46" s="73">
        <f t="shared" si="1"/>
        <v>0</v>
      </c>
      <c r="I46" s="73">
        <f t="shared" si="2"/>
        <v>0</v>
      </c>
      <c r="J46" s="73">
        <f t="shared" si="3"/>
        <v>0</v>
      </c>
      <c r="K46" s="73">
        <f t="shared" si="4"/>
        <v>0</v>
      </c>
      <c r="L46" s="73">
        <f t="shared" si="5"/>
        <v>0</v>
      </c>
      <c r="M46" s="73">
        <f t="shared" si="6"/>
        <v>0</v>
      </c>
      <c r="N46" s="73">
        <f t="shared" si="7"/>
        <v>0</v>
      </c>
      <c r="O46" s="73">
        <f t="shared" si="8"/>
        <v>0</v>
      </c>
      <c r="P46" s="73">
        <f t="shared" si="9"/>
        <v>-38861487</v>
      </c>
      <c r="Q46" s="73">
        <f t="shared" si="10"/>
        <v>0</v>
      </c>
      <c r="R46" s="73">
        <f t="shared" si="11"/>
        <v>0</v>
      </c>
      <c r="S46" s="73">
        <f t="shared" si="12"/>
        <v>0</v>
      </c>
      <c r="T46" s="73">
        <f t="shared" si="13"/>
        <v>0</v>
      </c>
      <c r="U46" s="73">
        <f t="shared" si="14"/>
        <v>0</v>
      </c>
      <c r="V46" s="73">
        <f t="shared" si="15"/>
        <v>0</v>
      </c>
      <c r="W46" s="73">
        <f t="shared" si="16"/>
        <v>0</v>
      </c>
      <c r="X46" s="74"/>
    </row>
    <row r="47" spans="1:24" ht="21.75">
      <c r="A47" s="75">
        <v>605</v>
      </c>
      <c r="B47" s="76">
        <v>6</v>
      </c>
      <c r="C47" s="77">
        <v>43</v>
      </c>
      <c r="D47" s="78" t="s">
        <v>480</v>
      </c>
      <c r="E47" s="79" t="s">
        <v>219</v>
      </c>
      <c r="F47" s="80">
        <v>87756903</v>
      </c>
      <c r="G47" s="73">
        <f t="shared" si="0"/>
        <v>0</v>
      </c>
      <c r="H47" s="73">
        <f t="shared" si="1"/>
        <v>0</v>
      </c>
      <c r="I47" s="73">
        <f t="shared" si="2"/>
        <v>87756903</v>
      </c>
      <c r="J47" s="73">
        <f t="shared" si="3"/>
        <v>0</v>
      </c>
      <c r="K47" s="73">
        <f t="shared" si="4"/>
        <v>0</v>
      </c>
      <c r="L47" s="73">
        <f t="shared" si="5"/>
        <v>0</v>
      </c>
      <c r="M47" s="73">
        <f t="shared" si="6"/>
        <v>0</v>
      </c>
      <c r="N47" s="73">
        <f t="shared" si="7"/>
        <v>0</v>
      </c>
      <c r="O47" s="73">
        <f t="shared" si="8"/>
        <v>0</v>
      </c>
      <c r="P47" s="73">
        <f t="shared" si="9"/>
        <v>0</v>
      </c>
      <c r="Q47" s="73">
        <f t="shared" si="10"/>
        <v>0</v>
      </c>
      <c r="R47" s="73">
        <f t="shared" si="11"/>
        <v>0</v>
      </c>
      <c r="S47" s="73">
        <f t="shared" si="12"/>
        <v>0</v>
      </c>
      <c r="T47" s="73">
        <f t="shared" si="13"/>
        <v>0</v>
      </c>
      <c r="U47" s="73">
        <f t="shared" si="14"/>
        <v>0</v>
      </c>
      <c r="V47" s="73">
        <f t="shared" si="15"/>
        <v>0</v>
      </c>
      <c r="W47" s="73">
        <f t="shared" si="16"/>
        <v>0</v>
      </c>
      <c r="X47" s="81"/>
    </row>
    <row r="48" spans="1:24" ht="21.75">
      <c r="A48" s="69">
        <v>605</v>
      </c>
      <c r="B48" s="70">
        <v>6</v>
      </c>
      <c r="C48" s="71">
        <v>44</v>
      </c>
      <c r="D48" s="46" t="s">
        <v>220</v>
      </c>
      <c r="E48" s="72" t="s">
        <v>221</v>
      </c>
      <c r="F48" s="73">
        <v>24478984</v>
      </c>
      <c r="G48" s="73">
        <f t="shared" si="0"/>
        <v>0</v>
      </c>
      <c r="H48" s="73">
        <f t="shared" si="1"/>
        <v>0</v>
      </c>
      <c r="I48" s="73">
        <f t="shared" si="2"/>
        <v>24478984</v>
      </c>
      <c r="J48" s="73">
        <f t="shared" si="3"/>
        <v>0</v>
      </c>
      <c r="K48" s="73">
        <f t="shared" si="4"/>
        <v>0</v>
      </c>
      <c r="L48" s="73">
        <f t="shared" si="5"/>
        <v>0</v>
      </c>
      <c r="M48" s="73">
        <f t="shared" si="6"/>
        <v>0</v>
      </c>
      <c r="N48" s="73">
        <f t="shared" si="7"/>
        <v>0</v>
      </c>
      <c r="O48" s="73">
        <f t="shared" si="8"/>
        <v>0</v>
      </c>
      <c r="P48" s="73">
        <f t="shared" si="9"/>
        <v>0</v>
      </c>
      <c r="Q48" s="73">
        <f t="shared" si="10"/>
        <v>0</v>
      </c>
      <c r="R48" s="73">
        <f t="shared" si="11"/>
        <v>0</v>
      </c>
      <c r="S48" s="73">
        <f t="shared" si="12"/>
        <v>0</v>
      </c>
      <c r="T48" s="73">
        <f t="shared" si="13"/>
        <v>0</v>
      </c>
      <c r="U48" s="73">
        <f t="shared" si="14"/>
        <v>0</v>
      </c>
      <c r="V48" s="73">
        <f t="shared" si="15"/>
        <v>0</v>
      </c>
      <c r="W48" s="73">
        <f t="shared" si="16"/>
        <v>0</v>
      </c>
      <c r="X48" s="74"/>
    </row>
    <row r="49" spans="1:24" ht="21.75">
      <c r="A49" s="75">
        <v>605</v>
      </c>
      <c r="B49" s="76">
        <v>6</v>
      </c>
      <c r="C49" s="77">
        <v>45</v>
      </c>
      <c r="D49" s="78" t="s">
        <v>222</v>
      </c>
      <c r="E49" s="79" t="s">
        <v>223</v>
      </c>
      <c r="F49" s="80">
        <v>700000</v>
      </c>
      <c r="G49" s="73">
        <f t="shared" si="0"/>
        <v>0</v>
      </c>
      <c r="H49" s="73">
        <f t="shared" si="1"/>
        <v>0</v>
      </c>
      <c r="I49" s="73">
        <f t="shared" si="2"/>
        <v>700000</v>
      </c>
      <c r="J49" s="73">
        <f t="shared" si="3"/>
        <v>0</v>
      </c>
      <c r="K49" s="73">
        <f t="shared" si="4"/>
        <v>0</v>
      </c>
      <c r="L49" s="73">
        <f t="shared" si="5"/>
        <v>0</v>
      </c>
      <c r="M49" s="73">
        <f t="shared" si="6"/>
        <v>0</v>
      </c>
      <c r="N49" s="73">
        <f t="shared" si="7"/>
        <v>0</v>
      </c>
      <c r="O49" s="73">
        <f t="shared" si="8"/>
        <v>0</v>
      </c>
      <c r="P49" s="73">
        <f t="shared" si="9"/>
        <v>0</v>
      </c>
      <c r="Q49" s="73">
        <f t="shared" si="10"/>
        <v>0</v>
      </c>
      <c r="R49" s="73">
        <f t="shared" si="11"/>
        <v>0</v>
      </c>
      <c r="S49" s="73">
        <f t="shared" si="12"/>
        <v>0</v>
      </c>
      <c r="T49" s="73">
        <f t="shared" si="13"/>
        <v>0</v>
      </c>
      <c r="U49" s="73">
        <f t="shared" si="14"/>
        <v>0</v>
      </c>
      <c r="V49" s="73">
        <f t="shared" si="15"/>
        <v>0</v>
      </c>
      <c r="W49" s="73">
        <f t="shared" si="16"/>
        <v>0</v>
      </c>
      <c r="X49" s="81"/>
    </row>
    <row r="50" spans="1:24" ht="21.75">
      <c r="A50" s="69">
        <v>605</v>
      </c>
      <c r="B50" s="70">
        <v>6</v>
      </c>
      <c r="C50" s="71">
        <v>46</v>
      </c>
      <c r="D50" s="46" t="s">
        <v>483</v>
      </c>
      <c r="E50" s="72" t="s">
        <v>484</v>
      </c>
      <c r="F50" s="73">
        <v>35385000000</v>
      </c>
      <c r="G50" s="73">
        <f t="shared" si="0"/>
        <v>0</v>
      </c>
      <c r="H50" s="73">
        <f t="shared" si="1"/>
        <v>0</v>
      </c>
      <c r="I50" s="73">
        <f t="shared" si="2"/>
        <v>35385000000</v>
      </c>
      <c r="J50" s="73">
        <f t="shared" si="3"/>
        <v>0</v>
      </c>
      <c r="K50" s="73">
        <f t="shared" si="4"/>
        <v>0</v>
      </c>
      <c r="L50" s="73">
        <f t="shared" si="5"/>
        <v>0</v>
      </c>
      <c r="M50" s="73">
        <f t="shared" si="6"/>
        <v>0</v>
      </c>
      <c r="N50" s="73">
        <f t="shared" si="7"/>
        <v>0</v>
      </c>
      <c r="O50" s="73">
        <f t="shared" si="8"/>
        <v>0</v>
      </c>
      <c r="P50" s="73">
        <f t="shared" si="9"/>
        <v>0</v>
      </c>
      <c r="Q50" s="73">
        <f t="shared" si="10"/>
        <v>0</v>
      </c>
      <c r="R50" s="73">
        <f t="shared" si="11"/>
        <v>0</v>
      </c>
      <c r="S50" s="73">
        <f t="shared" si="12"/>
        <v>0</v>
      </c>
      <c r="T50" s="73">
        <f t="shared" si="13"/>
        <v>0</v>
      </c>
      <c r="U50" s="73">
        <f t="shared" si="14"/>
        <v>0</v>
      </c>
      <c r="V50" s="73">
        <f t="shared" si="15"/>
        <v>0</v>
      </c>
      <c r="W50" s="73">
        <f t="shared" si="16"/>
        <v>0</v>
      </c>
      <c r="X50" s="74"/>
    </row>
    <row r="51" spans="1:24" ht="21.75">
      <c r="A51" s="75">
        <v>605</v>
      </c>
      <c r="B51" s="76">
        <v>6</v>
      </c>
      <c r="C51" s="77">
        <v>47</v>
      </c>
      <c r="D51" s="78" t="s">
        <v>224</v>
      </c>
      <c r="E51" s="79" t="s">
        <v>474</v>
      </c>
      <c r="F51" s="80">
        <v>23978475</v>
      </c>
      <c r="G51" s="73">
        <f t="shared" si="0"/>
        <v>0</v>
      </c>
      <c r="H51" s="73">
        <f t="shared" si="1"/>
        <v>0</v>
      </c>
      <c r="I51" s="73">
        <f t="shared" si="2"/>
        <v>23978475</v>
      </c>
      <c r="J51" s="73">
        <f t="shared" si="3"/>
        <v>0</v>
      </c>
      <c r="K51" s="73">
        <f t="shared" si="4"/>
        <v>0</v>
      </c>
      <c r="L51" s="73">
        <f t="shared" si="5"/>
        <v>0</v>
      </c>
      <c r="M51" s="73">
        <f t="shared" si="6"/>
        <v>0</v>
      </c>
      <c r="N51" s="73">
        <f t="shared" si="7"/>
        <v>0</v>
      </c>
      <c r="O51" s="73">
        <f t="shared" si="8"/>
        <v>0</v>
      </c>
      <c r="P51" s="73">
        <f t="shared" si="9"/>
        <v>0</v>
      </c>
      <c r="Q51" s="73">
        <f t="shared" si="10"/>
        <v>0</v>
      </c>
      <c r="R51" s="73">
        <f t="shared" si="11"/>
        <v>0</v>
      </c>
      <c r="S51" s="73">
        <f t="shared" si="12"/>
        <v>0</v>
      </c>
      <c r="T51" s="73">
        <f t="shared" si="13"/>
        <v>0</v>
      </c>
      <c r="U51" s="73">
        <f t="shared" si="14"/>
        <v>0</v>
      </c>
      <c r="V51" s="73">
        <f t="shared" si="15"/>
        <v>0</v>
      </c>
      <c r="W51" s="73">
        <f t="shared" si="16"/>
        <v>0</v>
      </c>
      <c r="X51" s="81"/>
    </row>
    <row r="52" spans="1:24" ht="21.75">
      <c r="A52" s="69">
        <v>605</v>
      </c>
      <c r="B52" s="70">
        <v>6</v>
      </c>
      <c r="C52" s="71">
        <v>48</v>
      </c>
      <c r="D52" s="46" t="s">
        <v>2</v>
      </c>
      <c r="E52" s="72" t="s">
        <v>475</v>
      </c>
      <c r="F52" s="73">
        <v>118188793</v>
      </c>
      <c r="G52" s="73">
        <f t="shared" si="0"/>
        <v>0</v>
      </c>
      <c r="H52" s="73">
        <f t="shared" si="1"/>
        <v>0</v>
      </c>
      <c r="I52" s="73">
        <f t="shared" si="2"/>
        <v>118188793</v>
      </c>
      <c r="J52" s="73">
        <f t="shared" si="3"/>
        <v>0</v>
      </c>
      <c r="K52" s="73">
        <f t="shared" si="4"/>
        <v>0</v>
      </c>
      <c r="L52" s="73">
        <f t="shared" si="5"/>
        <v>0</v>
      </c>
      <c r="M52" s="73">
        <f t="shared" si="6"/>
        <v>0</v>
      </c>
      <c r="N52" s="73">
        <f t="shared" si="7"/>
        <v>0</v>
      </c>
      <c r="O52" s="73">
        <f t="shared" si="8"/>
        <v>0</v>
      </c>
      <c r="P52" s="73">
        <f t="shared" si="9"/>
        <v>0</v>
      </c>
      <c r="Q52" s="73">
        <f t="shared" si="10"/>
        <v>0</v>
      </c>
      <c r="R52" s="73">
        <f t="shared" si="11"/>
        <v>0</v>
      </c>
      <c r="S52" s="73">
        <f t="shared" si="12"/>
        <v>0</v>
      </c>
      <c r="T52" s="73">
        <f t="shared" si="13"/>
        <v>0</v>
      </c>
      <c r="U52" s="73">
        <f t="shared" si="14"/>
        <v>0</v>
      </c>
      <c r="V52" s="73">
        <f t="shared" si="15"/>
        <v>0</v>
      </c>
      <c r="W52" s="73">
        <f t="shared" si="16"/>
        <v>0</v>
      </c>
      <c r="X52" s="74"/>
    </row>
    <row r="53" spans="1:24" ht="21.75" hidden="1">
      <c r="A53" s="69">
        <v>1212</v>
      </c>
      <c r="B53" s="76">
        <v>12</v>
      </c>
      <c r="C53" s="77">
        <v>49</v>
      </c>
      <c r="D53" s="78" t="s">
        <v>476</v>
      </c>
      <c r="E53" s="79" t="s">
        <v>477</v>
      </c>
      <c r="F53" s="80">
        <v>-17875000</v>
      </c>
      <c r="G53" s="73">
        <f t="shared" si="0"/>
        <v>0</v>
      </c>
      <c r="H53" s="73">
        <f t="shared" si="1"/>
        <v>0</v>
      </c>
      <c r="I53" s="73">
        <f t="shared" si="2"/>
        <v>0</v>
      </c>
      <c r="J53" s="73">
        <f t="shared" si="3"/>
        <v>0</v>
      </c>
      <c r="K53" s="73">
        <f t="shared" si="4"/>
        <v>0</v>
      </c>
      <c r="L53" s="73">
        <f t="shared" si="5"/>
        <v>0</v>
      </c>
      <c r="M53" s="73">
        <f t="shared" si="6"/>
        <v>0</v>
      </c>
      <c r="N53" s="73">
        <f t="shared" si="7"/>
        <v>0</v>
      </c>
      <c r="O53" s="73">
        <f t="shared" si="8"/>
        <v>0</v>
      </c>
      <c r="P53" s="73">
        <f t="shared" si="9"/>
        <v>-17875000</v>
      </c>
      <c r="Q53" s="73">
        <f t="shared" si="10"/>
        <v>0</v>
      </c>
      <c r="R53" s="73">
        <f t="shared" si="11"/>
        <v>0</v>
      </c>
      <c r="S53" s="73">
        <f t="shared" si="12"/>
        <v>0</v>
      </c>
      <c r="T53" s="73">
        <f t="shared" si="13"/>
        <v>0</v>
      </c>
      <c r="U53" s="73">
        <f t="shared" si="14"/>
        <v>0</v>
      </c>
      <c r="V53" s="73">
        <f t="shared" si="15"/>
        <v>0</v>
      </c>
      <c r="W53" s="73">
        <f t="shared" si="16"/>
        <v>0</v>
      </c>
      <c r="X53" s="81"/>
    </row>
    <row r="54" spans="1:24" ht="21.75" hidden="1">
      <c r="A54" s="69">
        <v>1212</v>
      </c>
      <c r="B54" s="70">
        <v>12</v>
      </c>
      <c r="C54" s="71">
        <v>50</v>
      </c>
      <c r="D54" s="46" t="s">
        <v>4</v>
      </c>
      <c r="E54" s="72" t="s">
        <v>440</v>
      </c>
      <c r="F54" s="73">
        <v>-900874470</v>
      </c>
      <c r="G54" s="73">
        <f t="shared" si="0"/>
        <v>0</v>
      </c>
      <c r="H54" s="73">
        <f t="shared" si="1"/>
        <v>0</v>
      </c>
      <c r="I54" s="73">
        <f t="shared" si="2"/>
        <v>0</v>
      </c>
      <c r="J54" s="73">
        <f t="shared" si="3"/>
        <v>0</v>
      </c>
      <c r="K54" s="73">
        <f t="shared" si="4"/>
        <v>0</v>
      </c>
      <c r="L54" s="73">
        <f t="shared" si="5"/>
        <v>0</v>
      </c>
      <c r="M54" s="73">
        <f t="shared" si="6"/>
        <v>0</v>
      </c>
      <c r="N54" s="73">
        <f t="shared" si="7"/>
        <v>0</v>
      </c>
      <c r="O54" s="73">
        <f t="shared" si="8"/>
        <v>0</v>
      </c>
      <c r="P54" s="73">
        <f t="shared" si="9"/>
        <v>-900874470</v>
      </c>
      <c r="Q54" s="73">
        <f t="shared" si="10"/>
        <v>0</v>
      </c>
      <c r="R54" s="73">
        <f t="shared" si="11"/>
        <v>0</v>
      </c>
      <c r="S54" s="73">
        <f t="shared" si="12"/>
        <v>0</v>
      </c>
      <c r="T54" s="73">
        <f t="shared" si="13"/>
        <v>0</v>
      </c>
      <c r="U54" s="73">
        <f t="shared" si="14"/>
        <v>0</v>
      </c>
      <c r="V54" s="73">
        <f t="shared" si="15"/>
        <v>0</v>
      </c>
      <c r="W54" s="73">
        <f t="shared" si="16"/>
        <v>0</v>
      </c>
      <c r="X54" s="74"/>
    </row>
    <row r="55" spans="1:24" ht="21.75">
      <c r="A55" s="75">
        <v>605</v>
      </c>
      <c r="B55" s="76">
        <v>6</v>
      </c>
      <c r="C55" s="77">
        <v>51</v>
      </c>
      <c r="D55" s="78" t="s">
        <v>441</v>
      </c>
      <c r="E55" s="79" t="s">
        <v>442</v>
      </c>
      <c r="F55" s="80">
        <v>3457781228</v>
      </c>
      <c r="G55" s="73">
        <f t="shared" si="0"/>
        <v>0</v>
      </c>
      <c r="H55" s="73">
        <f t="shared" si="1"/>
        <v>0</v>
      </c>
      <c r="I55" s="73">
        <f t="shared" si="2"/>
        <v>3457781228</v>
      </c>
      <c r="J55" s="73">
        <f t="shared" si="3"/>
        <v>0</v>
      </c>
      <c r="K55" s="73">
        <f t="shared" si="4"/>
        <v>0</v>
      </c>
      <c r="L55" s="73">
        <f t="shared" si="5"/>
        <v>0</v>
      </c>
      <c r="M55" s="73">
        <f t="shared" si="6"/>
        <v>0</v>
      </c>
      <c r="N55" s="73">
        <f t="shared" si="7"/>
        <v>0</v>
      </c>
      <c r="O55" s="73">
        <f t="shared" si="8"/>
        <v>0</v>
      </c>
      <c r="P55" s="73">
        <f t="shared" si="9"/>
        <v>0</v>
      </c>
      <c r="Q55" s="73">
        <f t="shared" si="10"/>
        <v>0</v>
      </c>
      <c r="R55" s="73">
        <f t="shared" si="11"/>
        <v>0</v>
      </c>
      <c r="S55" s="73">
        <f t="shared" si="12"/>
        <v>0</v>
      </c>
      <c r="T55" s="73">
        <f t="shared" si="13"/>
        <v>0</v>
      </c>
      <c r="U55" s="73">
        <f t="shared" si="14"/>
        <v>0</v>
      </c>
      <c r="V55" s="73">
        <f t="shared" si="15"/>
        <v>0</v>
      </c>
      <c r="W55" s="73">
        <f t="shared" si="16"/>
        <v>0</v>
      </c>
      <c r="X55" s="81"/>
    </row>
    <row r="56" spans="1:24" ht="21.75">
      <c r="A56" s="69">
        <v>605</v>
      </c>
      <c r="B56" s="70">
        <v>6</v>
      </c>
      <c r="C56" s="71">
        <v>52</v>
      </c>
      <c r="D56" s="46" t="s">
        <v>6</v>
      </c>
      <c r="E56" s="72" t="s">
        <v>204</v>
      </c>
      <c r="F56" s="73">
        <v>4891495031</v>
      </c>
      <c r="G56" s="73">
        <f t="shared" si="0"/>
        <v>0</v>
      </c>
      <c r="H56" s="73">
        <f t="shared" si="1"/>
        <v>0</v>
      </c>
      <c r="I56" s="73">
        <f t="shared" si="2"/>
        <v>4891495031</v>
      </c>
      <c r="J56" s="73">
        <f t="shared" si="3"/>
        <v>0</v>
      </c>
      <c r="K56" s="73">
        <f t="shared" si="4"/>
        <v>0</v>
      </c>
      <c r="L56" s="73">
        <f t="shared" si="5"/>
        <v>0</v>
      </c>
      <c r="M56" s="73">
        <f t="shared" si="6"/>
        <v>0</v>
      </c>
      <c r="N56" s="73">
        <f t="shared" si="7"/>
        <v>0</v>
      </c>
      <c r="O56" s="73">
        <f t="shared" si="8"/>
        <v>0</v>
      </c>
      <c r="P56" s="73">
        <f t="shared" si="9"/>
        <v>0</v>
      </c>
      <c r="Q56" s="73">
        <f t="shared" si="10"/>
        <v>0</v>
      </c>
      <c r="R56" s="73">
        <f t="shared" si="11"/>
        <v>0</v>
      </c>
      <c r="S56" s="73">
        <f t="shared" si="12"/>
        <v>0</v>
      </c>
      <c r="T56" s="73">
        <f t="shared" si="13"/>
        <v>0</v>
      </c>
      <c r="U56" s="73">
        <f t="shared" si="14"/>
        <v>0</v>
      </c>
      <c r="V56" s="73">
        <f t="shared" si="15"/>
        <v>0</v>
      </c>
      <c r="W56" s="73">
        <f t="shared" si="16"/>
        <v>0</v>
      </c>
      <c r="X56" s="74"/>
    </row>
    <row r="57" spans="1:24" ht="21.75">
      <c r="A57" s="75">
        <v>605</v>
      </c>
      <c r="B57" s="76">
        <v>6</v>
      </c>
      <c r="C57" s="77">
        <v>53</v>
      </c>
      <c r="D57" s="78" t="s">
        <v>7</v>
      </c>
      <c r="E57" s="79" t="s">
        <v>180</v>
      </c>
      <c r="F57" s="80">
        <v>38583319</v>
      </c>
      <c r="G57" s="73">
        <f t="shared" si="0"/>
        <v>0</v>
      </c>
      <c r="H57" s="73">
        <f t="shared" si="1"/>
        <v>0</v>
      </c>
      <c r="I57" s="73">
        <f t="shared" si="2"/>
        <v>38583319</v>
      </c>
      <c r="J57" s="73">
        <f t="shared" si="3"/>
        <v>0</v>
      </c>
      <c r="K57" s="73">
        <f t="shared" si="4"/>
        <v>0</v>
      </c>
      <c r="L57" s="73">
        <f t="shared" si="5"/>
        <v>0</v>
      </c>
      <c r="M57" s="73">
        <f t="shared" si="6"/>
        <v>0</v>
      </c>
      <c r="N57" s="73">
        <f t="shared" si="7"/>
        <v>0</v>
      </c>
      <c r="O57" s="73">
        <f t="shared" si="8"/>
        <v>0</v>
      </c>
      <c r="P57" s="73">
        <f t="shared" si="9"/>
        <v>0</v>
      </c>
      <c r="Q57" s="73">
        <f t="shared" si="10"/>
        <v>0</v>
      </c>
      <c r="R57" s="73">
        <f t="shared" si="11"/>
        <v>0</v>
      </c>
      <c r="S57" s="73">
        <f t="shared" si="12"/>
        <v>0</v>
      </c>
      <c r="T57" s="73">
        <f t="shared" si="13"/>
        <v>0</v>
      </c>
      <c r="U57" s="73">
        <f t="shared" si="14"/>
        <v>0</v>
      </c>
      <c r="V57" s="73">
        <f t="shared" si="15"/>
        <v>0</v>
      </c>
      <c r="W57" s="73">
        <f t="shared" si="16"/>
        <v>0</v>
      </c>
      <c r="X57" s="81"/>
    </row>
    <row r="58" spans="1:24" ht="21.75" hidden="1">
      <c r="A58" s="69">
        <v>1212</v>
      </c>
      <c r="B58" s="70">
        <v>12</v>
      </c>
      <c r="C58" s="71">
        <v>54</v>
      </c>
      <c r="D58" s="46" t="s">
        <v>8</v>
      </c>
      <c r="E58" s="72" t="s">
        <v>203</v>
      </c>
      <c r="F58" s="73">
        <v>-182655177</v>
      </c>
      <c r="G58" s="73">
        <f t="shared" si="0"/>
        <v>0</v>
      </c>
      <c r="H58" s="73">
        <f t="shared" si="1"/>
        <v>0</v>
      </c>
      <c r="I58" s="73">
        <f t="shared" si="2"/>
        <v>0</v>
      </c>
      <c r="J58" s="73">
        <f t="shared" si="3"/>
        <v>0</v>
      </c>
      <c r="K58" s="73">
        <f t="shared" si="4"/>
        <v>0</v>
      </c>
      <c r="L58" s="73">
        <f t="shared" si="5"/>
        <v>0</v>
      </c>
      <c r="M58" s="73">
        <f t="shared" si="6"/>
        <v>0</v>
      </c>
      <c r="N58" s="73">
        <f t="shared" si="7"/>
        <v>0</v>
      </c>
      <c r="O58" s="73">
        <f t="shared" si="8"/>
        <v>0</v>
      </c>
      <c r="P58" s="73">
        <f t="shared" si="9"/>
        <v>-182655177</v>
      </c>
      <c r="Q58" s="73">
        <f t="shared" si="10"/>
        <v>0</v>
      </c>
      <c r="R58" s="73">
        <f t="shared" si="11"/>
        <v>0</v>
      </c>
      <c r="S58" s="73">
        <f t="shared" si="12"/>
        <v>0</v>
      </c>
      <c r="T58" s="73">
        <f t="shared" si="13"/>
        <v>0</v>
      </c>
      <c r="U58" s="73">
        <f t="shared" si="14"/>
        <v>0</v>
      </c>
      <c r="V58" s="73">
        <f t="shared" si="15"/>
        <v>0</v>
      </c>
      <c r="W58" s="73">
        <f t="shared" si="16"/>
        <v>0</v>
      </c>
      <c r="X58" s="74"/>
    </row>
    <row r="59" spans="1:24" ht="21.75">
      <c r="A59" s="75">
        <v>605</v>
      </c>
      <c r="B59" s="76">
        <v>6</v>
      </c>
      <c r="C59" s="77">
        <v>55</v>
      </c>
      <c r="D59" s="78" t="s">
        <v>549</v>
      </c>
      <c r="E59" s="79" t="s">
        <v>550</v>
      </c>
      <c r="F59" s="80">
        <v>12595481351</v>
      </c>
      <c r="G59" s="73">
        <f t="shared" si="0"/>
        <v>0</v>
      </c>
      <c r="H59" s="73">
        <f t="shared" si="1"/>
        <v>0</v>
      </c>
      <c r="I59" s="73">
        <f t="shared" si="2"/>
        <v>12595481351</v>
      </c>
      <c r="J59" s="73">
        <f t="shared" si="3"/>
        <v>0</v>
      </c>
      <c r="K59" s="73">
        <f t="shared" si="4"/>
        <v>0</v>
      </c>
      <c r="L59" s="73">
        <f t="shared" si="5"/>
        <v>0</v>
      </c>
      <c r="M59" s="73">
        <f t="shared" si="6"/>
        <v>0</v>
      </c>
      <c r="N59" s="73">
        <f t="shared" si="7"/>
        <v>0</v>
      </c>
      <c r="O59" s="73">
        <f t="shared" si="8"/>
        <v>0</v>
      </c>
      <c r="P59" s="73">
        <f t="shared" si="9"/>
        <v>0</v>
      </c>
      <c r="Q59" s="73">
        <f t="shared" si="10"/>
        <v>0</v>
      </c>
      <c r="R59" s="73">
        <f t="shared" si="11"/>
        <v>0</v>
      </c>
      <c r="S59" s="73">
        <f t="shared" si="12"/>
        <v>0</v>
      </c>
      <c r="T59" s="73">
        <f t="shared" si="13"/>
        <v>0</v>
      </c>
      <c r="U59" s="73">
        <f t="shared" si="14"/>
        <v>0</v>
      </c>
      <c r="V59" s="73">
        <f t="shared" si="15"/>
        <v>0</v>
      </c>
      <c r="W59" s="73">
        <f t="shared" si="16"/>
        <v>0</v>
      </c>
      <c r="X59" s="81"/>
    </row>
    <row r="60" spans="1:24" ht="21.75" hidden="1">
      <c r="A60" s="69">
        <v>1203</v>
      </c>
      <c r="B60" s="70">
        <v>12</v>
      </c>
      <c r="C60" s="71">
        <v>56</v>
      </c>
      <c r="D60" s="46" t="s">
        <v>9</v>
      </c>
      <c r="E60" s="72" t="s">
        <v>589</v>
      </c>
      <c r="F60" s="73">
        <v>-193201662770</v>
      </c>
      <c r="G60" s="73">
        <f t="shared" si="0"/>
        <v>0</v>
      </c>
      <c r="H60" s="73">
        <f t="shared" si="1"/>
        <v>0</v>
      </c>
      <c r="I60" s="73">
        <f t="shared" si="2"/>
        <v>0</v>
      </c>
      <c r="J60" s="73">
        <f t="shared" si="3"/>
        <v>0</v>
      </c>
      <c r="K60" s="73">
        <f t="shared" si="4"/>
        <v>0</v>
      </c>
      <c r="L60" s="73">
        <f t="shared" si="5"/>
        <v>0</v>
      </c>
      <c r="M60" s="73">
        <f t="shared" si="6"/>
        <v>0</v>
      </c>
      <c r="N60" s="73">
        <f t="shared" si="7"/>
        <v>0</v>
      </c>
      <c r="O60" s="73">
        <f t="shared" si="8"/>
        <v>0</v>
      </c>
      <c r="P60" s="73">
        <f t="shared" si="9"/>
        <v>-193201662770</v>
      </c>
      <c r="Q60" s="73">
        <f t="shared" si="10"/>
        <v>0</v>
      </c>
      <c r="R60" s="73">
        <f t="shared" si="11"/>
        <v>0</v>
      </c>
      <c r="S60" s="73">
        <f t="shared" si="12"/>
        <v>0</v>
      </c>
      <c r="T60" s="73">
        <f t="shared" si="13"/>
        <v>0</v>
      </c>
      <c r="U60" s="73">
        <f t="shared" si="14"/>
        <v>0</v>
      </c>
      <c r="V60" s="73">
        <f t="shared" si="15"/>
        <v>0</v>
      </c>
      <c r="W60" s="73">
        <f t="shared" si="16"/>
        <v>0</v>
      </c>
      <c r="X60" s="74"/>
    </row>
    <row r="61" spans="1:24" ht="21.75" hidden="1">
      <c r="A61" s="75">
        <v>1205</v>
      </c>
      <c r="B61" s="76">
        <v>12</v>
      </c>
      <c r="C61" s="77">
        <v>56</v>
      </c>
      <c r="D61" s="78" t="s">
        <v>9</v>
      </c>
      <c r="E61" s="79" t="s">
        <v>490</v>
      </c>
      <c r="F61" s="80">
        <v>-39729057103</v>
      </c>
      <c r="G61" s="73">
        <f t="shared" si="0"/>
        <v>0</v>
      </c>
      <c r="H61" s="73">
        <f t="shared" si="1"/>
        <v>0</v>
      </c>
      <c r="I61" s="73">
        <f t="shared" si="2"/>
        <v>0</v>
      </c>
      <c r="J61" s="73">
        <f t="shared" si="3"/>
        <v>0</v>
      </c>
      <c r="K61" s="73">
        <f t="shared" si="4"/>
        <v>0</v>
      </c>
      <c r="L61" s="73">
        <f t="shared" si="5"/>
        <v>0</v>
      </c>
      <c r="M61" s="73">
        <f t="shared" si="6"/>
        <v>0</v>
      </c>
      <c r="N61" s="73">
        <f t="shared" si="7"/>
        <v>0</v>
      </c>
      <c r="O61" s="73">
        <f t="shared" si="8"/>
        <v>0</v>
      </c>
      <c r="P61" s="73">
        <f t="shared" si="9"/>
        <v>-39729057103</v>
      </c>
      <c r="Q61" s="73">
        <f t="shared" si="10"/>
        <v>0</v>
      </c>
      <c r="R61" s="73">
        <f t="shared" si="11"/>
        <v>0</v>
      </c>
      <c r="S61" s="73">
        <f t="shared" si="12"/>
        <v>0</v>
      </c>
      <c r="T61" s="73">
        <f t="shared" si="13"/>
        <v>0</v>
      </c>
      <c r="U61" s="73">
        <f t="shared" si="14"/>
        <v>0</v>
      </c>
      <c r="V61" s="73">
        <f t="shared" si="15"/>
        <v>0</v>
      </c>
      <c r="W61" s="73">
        <f t="shared" si="16"/>
        <v>0</v>
      </c>
      <c r="X61" s="81"/>
    </row>
    <row r="62" spans="1:24" ht="21.75" hidden="1">
      <c r="A62" s="69">
        <v>1701</v>
      </c>
      <c r="B62" s="70">
        <v>17</v>
      </c>
      <c r="C62" s="71">
        <v>57</v>
      </c>
      <c r="D62" s="46" t="s">
        <v>9</v>
      </c>
      <c r="E62" s="72" t="s">
        <v>590</v>
      </c>
      <c r="F62" s="73">
        <v>-384447722314</v>
      </c>
      <c r="G62" s="73">
        <f t="shared" si="0"/>
        <v>0</v>
      </c>
      <c r="H62" s="73">
        <f t="shared" si="1"/>
        <v>0</v>
      </c>
      <c r="I62" s="73">
        <f t="shared" si="2"/>
        <v>0</v>
      </c>
      <c r="J62" s="73">
        <f t="shared" si="3"/>
        <v>0</v>
      </c>
      <c r="K62" s="73">
        <f t="shared" si="4"/>
        <v>0</v>
      </c>
      <c r="L62" s="73">
        <f t="shared" si="5"/>
        <v>0</v>
      </c>
      <c r="M62" s="73">
        <f t="shared" si="6"/>
        <v>0</v>
      </c>
      <c r="N62" s="73">
        <f t="shared" si="7"/>
        <v>0</v>
      </c>
      <c r="O62" s="73">
        <f t="shared" si="8"/>
        <v>0</v>
      </c>
      <c r="P62" s="73">
        <f t="shared" si="9"/>
        <v>0</v>
      </c>
      <c r="Q62" s="73">
        <f t="shared" si="10"/>
        <v>0</v>
      </c>
      <c r="R62" s="73">
        <f t="shared" si="11"/>
        <v>0</v>
      </c>
      <c r="S62" s="73">
        <f t="shared" si="12"/>
        <v>0</v>
      </c>
      <c r="T62" s="73">
        <f t="shared" si="13"/>
        <v>-384447722314</v>
      </c>
      <c r="U62" s="73">
        <f t="shared" si="14"/>
        <v>0</v>
      </c>
      <c r="V62" s="73">
        <f t="shared" si="15"/>
        <v>0</v>
      </c>
      <c r="W62" s="73">
        <f t="shared" si="16"/>
        <v>0</v>
      </c>
      <c r="X62" s="74"/>
    </row>
    <row r="63" spans="1:24" ht="21.75" hidden="1">
      <c r="A63" s="69">
        <v>1601</v>
      </c>
      <c r="B63" s="70">
        <v>16</v>
      </c>
      <c r="C63" s="71">
        <v>58</v>
      </c>
      <c r="D63" s="46" t="s">
        <v>9</v>
      </c>
      <c r="E63" s="82" t="s">
        <v>490</v>
      </c>
      <c r="F63" s="73">
        <v>-325280836414</v>
      </c>
      <c r="G63" s="73">
        <f t="shared" si="0"/>
        <v>0</v>
      </c>
      <c r="H63" s="73">
        <f t="shared" si="1"/>
        <v>0</v>
      </c>
      <c r="I63" s="73">
        <f t="shared" si="2"/>
        <v>0</v>
      </c>
      <c r="J63" s="73">
        <f t="shared" si="3"/>
        <v>0</v>
      </c>
      <c r="K63" s="73">
        <f t="shared" si="4"/>
        <v>0</v>
      </c>
      <c r="L63" s="73">
        <f t="shared" si="5"/>
        <v>0</v>
      </c>
      <c r="M63" s="73">
        <f t="shared" si="6"/>
        <v>0</v>
      </c>
      <c r="N63" s="73">
        <f t="shared" si="7"/>
        <v>0</v>
      </c>
      <c r="O63" s="73">
        <f t="shared" si="8"/>
        <v>0</v>
      </c>
      <c r="P63" s="73">
        <f t="shared" si="9"/>
        <v>0</v>
      </c>
      <c r="Q63" s="73">
        <f t="shared" si="10"/>
        <v>0</v>
      </c>
      <c r="R63" s="73">
        <f t="shared" si="11"/>
        <v>0</v>
      </c>
      <c r="S63" s="73">
        <f t="shared" si="12"/>
        <v>-325280836414</v>
      </c>
      <c r="T63" s="73">
        <f t="shared" si="13"/>
        <v>0</v>
      </c>
      <c r="U63" s="73">
        <f t="shared" si="14"/>
        <v>0</v>
      </c>
      <c r="V63" s="73">
        <f t="shared" si="15"/>
        <v>0</v>
      </c>
      <c r="W63" s="73">
        <f t="shared" si="16"/>
        <v>0</v>
      </c>
      <c r="X63" s="74"/>
    </row>
    <row r="64" spans="1:24" ht="21.75" hidden="1">
      <c r="A64" s="69">
        <v>1212</v>
      </c>
      <c r="B64" s="76">
        <v>12</v>
      </c>
      <c r="C64" s="77">
        <v>57</v>
      </c>
      <c r="D64" s="78" t="s">
        <v>11</v>
      </c>
      <c r="E64" s="79" t="s">
        <v>551</v>
      </c>
      <c r="F64" s="80">
        <v>-2216470</v>
      </c>
      <c r="G64" s="73">
        <f t="shared" si="0"/>
        <v>0</v>
      </c>
      <c r="H64" s="73">
        <f t="shared" si="1"/>
        <v>0</v>
      </c>
      <c r="I64" s="73">
        <f t="shared" si="2"/>
        <v>0</v>
      </c>
      <c r="J64" s="73">
        <f t="shared" si="3"/>
        <v>0</v>
      </c>
      <c r="K64" s="73">
        <f t="shared" si="4"/>
        <v>0</v>
      </c>
      <c r="L64" s="73">
        <f t="shared" si="5"/>
        <v>0</v>
      </c>
      <c r="M64" s="73">
        <f t="shared" si="6"/>
        <v>0</v>
      </c>
      <c r="N64" s="73">
        <f t="shared" si="7"/>
        <v>0</v>
      </c>
      <c r="O64" s="73">
        <f t="shared" si="8"/>
        <v>0</v>
      </c>
      <c r="P64" s="73">
        <f t="shared" si="9"/>
        <v>-2216470</v>
      </c>
      <c r="Q64" s="73">
        <f t="shared" si="10"/>
        <v>0</v>
      </c>
      <c r="R64" s="73">
        <f t="shared" si="11"/>
        <v>0</v>
      </c>
      <c r="S64" s="73">
        <f t="shared" si="12"/>
        <v>0</v>
      </c>
      <c r="T64" s="73">
        <f t="shared" si="13"/>
        <v>0</v>
      </c>
      <c r="U64" s="73">
        <f t="shared" si="14"/>
        <v>0</v>
      </c>
      <c r="V64" s="73">
        <f t="shared" si="15"/>
        <v>0</v>
      </c>
      <c r="W64" s="73">
        <f t="shared" si="16"/>
        <v>0</v>
      </c>
      <c r="X64" s="81"/>
    </row>
    <row r="65" spans="1:24" ht="21.75" hidden="1">
      <c r="A65" s="69">
        <v>1212</v>
      </c>
      <c r="B65" s="70">
        <v>12</v>
      </c>
      <c r="C65" s="71">
        <v>58</v>
      </c>
      <c r="D65" s="46" t="s">
        <v>12</v>
      </c>
      <c r="E65" s="72" t="s">
        <v>13</v>
      </c>
      <c r="F65" s="73">
        <v>-6115047</v>
      </c>
      <c r="G65" s="73">
        <f t="shared" si="0"/>
        <v>0</v>
      </c>
      <c r="H65" s="73">
        <f t="shared" si="1"/>
        <v>0</v>
      </c>
      <c r="I65" s="73">
        <f t="shared" si="2"/>
        <v>0</v>
      </c>
      <c r="J65" s="73">
        <f t="shared" si="3"/>
        <v>0</v>
      </c>
      <c r="K65" s="73">
        <f t="shared" si="4"/>
        <v>0</v>
      </c>
      <c r="L65" s="73">
        <f t="shared" si="5"/>
        <v>0</v>
      </c>
      <c r="M65" s="73">
        <f t="shared" si="6"/>
        <v>0</v>
      </c>
      <c r="N65" s="73">
        <f t="shared" si="7"/>
        <v>0</v>
      </c>
      <c r="O65" s="73">
        <f t="shared" si="8"/>
        <v>0</v>
      </c>
      <c r="P65" s="73">
        <f t="shared" si="9"/>
        <v>-6115047</v>
      </c>
      <c r="Q65" s="73">
        <f t="shared" si="10"/>
        <v>0</v>
      </c>
      <c r="R65" s="73">
        <f t="shared" si="11"/>
        <v>0</v>
      </c>
      <c r="S65" s="73">
        <f t="shared" si="12"/>
        <v>0</v>
      </c>
      <c r="T65" s="73">
        <f t="shared" si="13"/>
        <v>0</v>
      </c>
      <c r="U65" s="73">
        <f t="shared" si="14"/>
        <v>0</v>
      </c>
      <c r="V65" s="73">
        <f t="shared" si="15"/>
        <v>0</v>
      </c>
      <c r="W65" s="73">
        <f t="shared" si="16"/>
        <v>0</v>
      </c>
      <c r="X65" s="74"/>
    </row>
    <row r="66" spans="1:24" ht="21.75" hidden="1">
      <c r="A66" s="69">
        <v>1212</v>
      </c>
      <c r="B66" s="76">
        <v>12</v>
      </c>
      <c r="C66" s="77">
        <v>59</v>
      </c>
      <c r="D66" s="78" t="s">
        <v>14</v>
      </c>
      <c r="E66" s="79" t="s">
        <v>363</v>
      </c>
      <c r="F66" s="80">
        <v>-876311677</v>
      </c>
      <c r="G66" s="73">
        <f t="shared" si="0"/>
        <v>0</v>
      </c>
      <c r="H66" s="73">
        <f t="shared" si="1"/>
        <v>0</v>
      </c>
      <c r="I66" s="73">
        <f t="shared" si="2"/>
        <v>0</v>
      </c>
      <c r="J66" s="73">
        <f t="shared" si="3"/>
        <v>0</v>
      </c>
      <c r="K66" s="73">
        <f t="shared" si="4"/>
        <v>0</v>
      </c>
      <c r="L66" s="73">
        <f t="shared" si="5"/>
        <v>0</v>
      </c>
      <c r="M66" s="73">
        <f t="shared" si="6"/>
        <v>0</v>
      </c>
      <c r="N66" s="73">
        <f t="shared" si="7"/>
        <v>0</v>
      </c>
      <c r="O66" s="73">
        <f t="shared" si="8"/>
        <v>0</v>
      </c>
      <c r="P66" s="73">
        <f t="shared" si="9"/>
        <v>-876311677</v>
      </c>
      <c r="Q66" s="73">
        <f t="shared" si="10"/>
        <v>0</v>
      </c>
      <c r="R66" s="73">
        <f t="shared" si="11"/>
        <v>0</v>
      </c>
      <c r="S66" s="73">
        <f t="shared" si="12"/>
        <v>0</v>
      </c>
      <c r="T66" s="73">
        <f t="shared" si="13"/>
        <v>0</v>
      </c>
      <c r="U66" s="73">
        <f t="shared" si="14"/>
        <v>0</v>
      </c>
      <c r="V66" s="73">
        <f t="shared" si="15"/>
        <v>0</v>
      </c>
      <c r="W66" s="73">
        <f t="shared" si="16"/>
        <v>0</v>
      </c>
      <c r="X66" s="81"/>
    </row>
    <row r="67" spans="1:24" ht="21.75" hidden="1">
      <c r="A67" s="69">
        <v>1212</v>
      </c>
      <c r="B67" s="70">
        <v>12</v>
      </c>
      <c r="C67" s="71">
        <v>60</v>
      </c>
      <c r="D67" s="46" t="s">
        <v>15</v>
      </c>
      <c r="E67" s="72" t="s">
        <v>552</v>
      </c>
      <c r="F67" s="73">
        <v>-10696000</v>
      </c>
      <c r="G67" s="73">
        <f t="shared" si="0"/>
        <v>0</v>
      </c>
      <c r="H67" s="73">
        <f t="shared" si="1"/>
        <v>0</v>
      </c>
      <c r="I67" s="73">
        <f t="shared" si="2"/>
        <v>0</v>
      </c>
      <c r="J67" s="73">
        <f t="shared" si="3"/>
        <v>0</v>
      </c>
      <c r="K67" s="73">
        <f t="shared" si="4"/>
        <v>0</v>
      </c>
      <c r="L67" s="73">
        <f t="shared" si="5"/>
        <v>0</v>
      </c>
      <c r="M67" s="73">
        <f t="shared" si="6"/>
        <v>0</v>
      </c>
      <c r="N67" s="73">
        <f t="shared" si="7"/>
        <v>0</v>
      </c>
      <c r="O67" s="73">
        <f t="shared" si="8"/>
        <v>0</v>
      </c>
      <c r="P67" s="73">
        <f t="shared" si="9"/>
        <v>-10696000</v>
      </c>
      <c r="Q67" s="73">
        <f t="shared" si="10"/>
        <v>0</v>
      </c>
      <c r="R67" s="73">
        <f t="shared" si="11"/>
        <v>0</v>
      </c>
      <c r="S67" s="73">
        <f t="shared" si="12"/>
        <v>0</v>
      </c>
      <c r="T67" s="73">
        <f t="shared" si="13"/>
        <v>0</v>
      </c>
      <c r="U67" s="73">
        <f t="shared" si="14"/>
        <v>0</v>
      </c>
      <c r="V67" s="73">
        <f t="shared" si="15"/>
        <v>0</v>
      </c>
      <c r="W67" s="73">
        <f t="shared" si="16"/>
        <v>0</v>
      </c>
      <c r="X67" s="74"/>
    </row>
    <row r="68" spans="1:24" ht="21.75" hidden="1">
      <c r="A68" s="75">
        <v>1202</v>
      </c>
      <c r="B68" s="76">
        <v>12</v>
      </c>
      <c r="C68" s="77">
        <v>61</v>
      </c>
      <c r="D68" s="78" t="s">
        <v>39</v>
      </c>
      <c r="E68" s="79" t="s">
        <v>181</v>
      </c>
      <c r="F68" s="80">
        <v>-34816659226</v>
      </c>
      <c r="G68" s="73">
        <f t="shared" si="0"/>
        <v>0</v>
      </c>
      <c r="H68" s="73">
        <f t="shared" si="1"/>
        <v>0</v>
      </c>
      <c r="I68" s="73">
        <f t="shared" si="2"/>
        <v>0</v>
      </c>
      <c r="J68" s="73">
        <f t="shared" si="3"/>
        <v>0</v>
      </c>
      <c r="K68" s="73">
        <f t="shared" si="4"/>
        <v>0</v>
      </c>
      <c r="L68" s="73">
        <f t="shared" si="5"/>
        <v>0</v>
      </c>
      <c r="M68" s="73">
        <f t="shared" si="6"/>
        <v>0</v>
      </c>
      <c r="N68" s="73">
        <f t="shared" si="7"/>
        <v>0</v>
      </c>
      <c r="O68" s="73">
        <f t="shared" si="8"/>
        <v>0</v>
      </c>
      <c r="P68" s="73">
        <f t="shared" si="9"/>
        <v>-34816659226</v>
      </c>
      <c r="Q68" s="73">
        <f t="shared" si="10"/>
        <v>0</v>
      </c>
      <c r="R68" s="73">
        <f t="shared" si="11"/>
        <v>0</v>
      </c>
      <c r="S68" s="73">
        <f t="shared" si="12"/>
        <v>0</v>
      </c>
      <c r="T68" s="73">
        <f t="shared" si="13"/>
        <v>0</v>
      </c>
      <c r="U68" s="73">
        <f t="shared" si="14"/>
        <v>0</v>
      </c>
      <c r="V68" s="73">
        <f t="shared" si="15"/>
        <v>0</v>
      </c>
      <c r="W68" s="73">
        <f t="shared" si="16"/>
        <v>0</v>
      </c>
      <c r="X68" s="81"/>
    </row>
    <row r="69" spans="1:24" ht="21.75" hidden="1">
      <c r="A69" s="69">
        <v>1212</v>
      </c>
      <c r="B69" s="70">
        <v>12</v>
      </c>
      <c r="C69" s="71">
        <v>62</v>
      </c>
      <c r="D69" s="46" t="s">
        <v>40</v>
      </c>
      <c r="E69" s="72" t="s">
        <v>41</v>
      </c>
      <c r="F69" s="73">
        <v>-27174325</v>
      </c>
      <c r="G69" s="73">
        <f t="shared" ref="G69:G132" si="17">IF($B69=$G$3,$F69,0)</f>
        <v>0</v>
      </c>
      <c r="H69" s="73">
        <f t="shared" ref="H69:H132" si="18">IF($B69=$H$3,$F69,0)</f>
        <v>0</v>
      </c>
      <c r="I69" s="73">
        <f t="shared" ref="I69:I132" si="19">IF($B69=$I$3,$F69,0)</f>
        <v>0</v>
      </c>
      <c r="J69" s="73">
        <f t="shared" ref="J69:J132" si="20">IF($B69=$J$3,$F69,0)</f>
        <v>0</v>
      </c>
      <c r="K69" s="73">
        <f t="shared" ref="K69:K132" si="21">IF($B69=$K$3,$F69,0)</f>
        <v>0</v>
      </c>
      <c r="L69" s="73">
        <f t="shared" ref="L69:L132" si="22">IF($B69=$L$3,$F69,0)</f>
        <v>0</v>
      </c>
      <c r="M69" s="73">
        <f t="shared" ref="M69:M132" si="23">IF($B69=$M$3,$F69,0)</f>
        <v>0</v>
      </c>
      <c r="N69" s="73">
        <f t="shared" ref="N69:N132" si="24">IF($B69=$N$3,$F69,0)</f>
        <v>0</v>
      </c>
      <c r="O69" s="73">
        <f t="shared" ref="O69:O132" si="25">IF($B69=$O$3,$F69,0)</f>
        <v>0</v>
      </c>
      <c r="P69" s="73">
        <f t="shared" ref="P69:P132" si="26">IF($B69=$P$3,$F69,0)</f>
        <v>-27174325</v>
      </c>
      <c r="Q69" s="73">
        <f t="shared" ref="Q69:Q132" si="27">IF($B69=$Q$3,$F69,0)</f>
        <v>0</v>
      </c>
      <c r="R69" s="73">
        <f t="shared" ref="R69:R132" si="28">IF($B69=$R$3,$F69,0)</f>
        <v>0</v>
      </c>
      <c r="S69" s="73">
        <f t="shared" ref="S69:S132" si="29">IF($B69=$S$3,$F69,0)</f>
        <v>0</v>
      </c>
      <c r="T69" s="73">
        <f t="shared" ref="T69:T132" si="30">IF($B69=$T$3,$F69,0)</f>
        <v>0</v>
      </c>
      <c r="U69" s="73">
        <f t="shared" ref="U69:U132" si="31">IF($B69=$U$3,$F69,0)</f>
        <v>0</v>
      </c>
      <c r="V69" s="73">
        <f t="shared" ref="V69:V132" si="32">IF($B69=$V$3,$F69,0)</f>
        <v>0</v>
      </c>
      <c r="W69" s="73">
        <f t="shared" ref="W69:W132" si="33">IF($B69=$W$3,$F69,0)</f>
        <v>0</v>
      </c>
      <c r="X69" s="74"/>
    </row>
    <row r="70" spans="1:24" ht="21.75" hidden="1">
      <c r="A70" s="69">
        <v>1212</v>
      </c>
      <c r="B70" s="76">
        <v>12</v>
      </c>
      <c r="C70" s="77">
        <v>64</v>
      </c>
      <c r="D70" s="78" t="s">
        <v>42</v>
      </c>
      <c r="E70" s="79" t="s">
        <v>553</v>
      </c>
      <c r="F70" s="80">
        <v>-9770000</v>
      </c>
      <c r="G70" s="73">
        <f t="shared" si="17"/>
        <v>0</v>
      </c>
      <c r="H70" s="73">
        <f t="shared" si="18"/>
        <v>0</v>
      </c>
      <c r="I70" s="73">
        <f t="shared" si="19"/>
        <v>0</v>
      </c>
      <c r="J70" s="73">
        <f t="shared" si="20"/>
        <v>0</v>
      </c>
      <c r="K70" s="73">
        <f t="shared" si="21"/>
        <v>0</v>
      </c>
      <c r="L70" s="73">
        <f t="shared" si="22"/>
        <v>0</v>
      </c>
      <c r="M70" s="73">
        <f t="shared" si="23"/>
        <v>0</v>
      </c>
      <c r="N70" s="73">
        <f t="shared" si="24"/>
        <v>0</v>
      </c>
      <c r="O70" s="73">
        <f t="shared" si="25"/>
        <v>0</v>
      </c>
      <c r="P70" s="73">
        <f t="shared" si="26"/>
        <v>-9770000</v>
      </c>
      <c r="Q70" s="73">
        <f t="shared" si="27"/>
        <v>0</v>
      </c>
      <c r="R70" s="73">
        <f t="shared" si="28"/>
        <v>0</v>
      </c>
      <c r="S70" s="73">
        <f t="shared" si="29"/>
        <v>0</v>
      </c>
      <c r="T70" s="73">
        <f t="shared" si="30"/>
        <v>0</v>
      </c>
      <c r="U70" s="73">
        <f t="shared" si="31"/>
        <v>0</v>
      </c>
      <c r="V70" s="73">
        <f t="shared" si="32"/>
        <v>0</v>
      </c>
      <c r="W70" s="73">
        <f t="shared" si="33"/>
        <v>0</v>
      </c>
      <c r="X70" s="81"/>
    </row>
    <row r="71" spans="1:24" ht="21.75">
      <c r="A71" s="69">
        <v>605</v>
      </c>
      <c r="B71" s="70">
        <v>6</v>
      </c>
      <c r="C71" s="71">
        <v>66</v>
      </c>
      <c r="D71" s="46" t="s">
        <v>45</v>
      </c>
      <c r="E71" s="72" t="s">
        <v>46</v>
      </c>
      <c r="F71" s="73">
        <v>218665333</v>
      </c>
      <c r="G71" s="73">
        <f t="shared" si="17"/>
        <v>0</v>
      </c>
      <c r="H71" s="73">
        <f t="shared" si="18"/>
        <v>0</v>
      </c>
      <c r="I71" s="73">
        <f t="shared" si="19"/>
        <v>218665333</v>
      </c>
      <c r="J71" s="73">
        <f t="shared" si="20"/>
        <v>0</v>
      </c>
      <c r="K71" s="73">
        <f t="shared" si="21"/>
        <v>0</v>
      </c>
      <c r="L71" s="73">
        <f t="shared" si="22"/>
        <v>0</v>
      </c>
      <c r="M71" s="73">
        <f t="shared" si="23"/>
        <v>0</v>
      </c>
      <c r="N71" s="73">
        <f t="shared" si="24"/>
        <v>0</v>
      </c>
      <c r="O71" s="73">
        <f t="shared" si="25"/>
        <v>0</v>
      </c>
      <c r="P71" s="73">
        <f t="shared" si="26"/>
        <v>0</v>
      </c>
      <c r="Q71" s="73">
        <f t="shared" si="27"/>
        <v>0</v>
      </c>
      <c r="R71" s="73">
        <f t="shared" si="28"/>
        <v>0</v>
      </c>
      <c r="S71" s="73">
        <f t="shared" si="29"/>
        <v>0</v>
      </c>
      <c r="T71" s="73">
        <f t="shared" si="30"/>
        <v>0</v>
      </c>
      <c r="U71" s="73">
        <f t="shared" si="31"/>
        <v>0</v>
      </c>
      <c r="V71" s="73">
        <f t="shared" si="32"/>
        <v>0</v>
      </c>
      <c r="W71" s="73">
        <f t="shared" si="33"/>
        <v>0</v>
      </c>
      <c r="X71" s="74"/>
    </row>
    <row r="72" spans="1:24" ht="21.75" hidden="1">
      <c r="A72" s="69">
        <v>1212</v>
      </c>
      <c r="B72" s="76">
        <v>12</v>
      </c>
      <c r="C72" s="77">
        <v>67</v>
      </c>
      <c r="D72" s="78" t="s">
        <v>47</v>
      </c>
      <c r="E72" s="79" t="s">
        <v>555</v>
      </c>
      <c r="F72" s="80">
        <v>-510069470</v>
      </c>
      <c r="G72" s="73">
        <f t="shared" si="17"/>
        <v>0</v>
      </c>
      <c r="H72" s="73">
        <f t="shared" si="18"/>
        <v>0</v>
      </c>
      <c r="I72" s="73">
        <f t="shared" si="19"/>
        <v>0</v>
      </c>
      <c r="J72" s="73">
        <f t="shared" si="20"/>
        <v>0</v>
      </c>
      <c r="K72" s="73">
        <f t="shared" si="21"/>
        <v>0</v>
      </c>
      <c r="L72" s="73">
        <f t="shared" si="22"/>
        <v>0</v>
      </c>
      <c r="M72" s="73">
        <f t="shared" si="23"/>
        <v>0</v>
      </c>
      <c r="N72" s="73">
        <f t="shared" si="24"/>
        <v>0</v>
      </c>
      <c r="O72" s="73">
        <f t="shared" si="25"/>
        <v>0</v>
      </c>
      <c r="P72" s="73">
        <f t="shared" si="26"/>
        <v>-510069470</v>
      </c>
      <c r="Q72" s="73">
        <f t="shared" si="27"/>
        <v>0</v>
      </c>
      <c r="R72" s="73">
        <f t="shared" si="28"/>
        <v>0</v>
      </c>
      <c r="S72" s="73">
        <f t="shared" si="29"/>
        <v>0</v>
      </c>
      <c r="T72" s="73">
        <f t="shared" si="30"/>
        <v>0</v>
      </c>
      <c r="U72" s="73">
        <f t="shared" si="31"/>
        <v>0</v>
      </c>
      <c r="V72" s="73">
        <f t="shared" si="32"/>
        <v>0</v>
      </c>
      <c r="W72" s="73">
        <f t="shared" si="33"/>
        <v>0</v>
      </c>
      <c r="X72" s="81"/>
    </row>
    <row r="73" spans="1:24" ht="21.75">
      <c r="A73" s="69">
        <v>605</v>
      </c>
      <c r="B73" s="70">
        <v>6</v>
      </c>
      <c r="C73" s="71">
        <v>68</v>
      </c>
      <c r="D73" s="46" t="s">
        <v>556</v>
      </c>
      <c r="E73" s="72" t="s">
        <v>557</v>
      </c>
      <c r="F73" s="73">
        <v>3312000</v>
      </c>
      <c r="G73" s="73">
        <f t="shared" si="17"/>
        <v>0</v>
      </c>
      <c r="H73" s="73">
        <f t="shared" si="18"/>
        <v>0</v>
      </c>
      <c r="I73" s="73">
        <f t="shared" si="19"/>
        <v>3312000</v>
      </c>
      <c r="J73" s="73">
        <f t="shared" si="20"/>
        <v>0</v>
      </c>
      <c r="K73" s="73">
        <f t="shared" si="21"/>
        <v>0</v>
      </c>
      <c r="L73" s="73">
        <f t="shared" si="22"/>
        <v>0</v>
      </c>
      <c r="M73" s="73">
        <f t="shared" si="23"/>
        <v>0</v>
      </c>
      <c r="N73" s="73">
        <f t="shared" si="24"/>
        <v>0</v>
      </c>
      <c r="O73" s="73">
        <f t="shared" si="25"/>
        <v>0</v>
      </c>
      <c r="P73" s="73">
        <f t="shared" si="26"/>
        <v>0</v>
      </c>
      <c r="Q73" s="73">
        <f t="shared" si="27"/>
        <v>0</v>
      </c>
      <c r="R73" s="73">
        <f t="shared" si="28"/>
        <v>0</v>
      </c>
      <c r="S73" s="73">
        <f t="shared" si="29"/>
        <v>0</v>
      </c>
      <c r="T73" s="73">
        <f t="shared" si="30"/>
        <v>0</v>
      </c>
      <c r="U73" s="73">
        <f t="shared" si="31"/>
        <v>0</v>
      </c>
      <c r="V73" s="73">
        <f t="shared" si="32"/>
        <v>0</v>
      </c>
      <c r="W73" s="73">
        <f t="shared" si="33"/>
        <v>0</v>
      </c>
      <c r="X73" s="74"/>
    </row>
    <row r="74" spans="1:24" ht="21.75">
      <c r="A74" s="75">
        <v>611</v>
      </c>
      <c r="B74" s="76">
        <v>6</v>
      </c>
      <c r="C74" s="77">
        <v>69</v>
      </c>
      <c r="D74" s="78" t="s">
        <v>48</v>
      </c>
      <c r="E74" s="79" t="s">
        <v>49</v>
      </c>
      <c r="F74" s="80">
        <v>18619160000</v>
      </c>
      <c r="G74" s="73">
        <f t="shared" si="17"/>
        <v>0</v>
      </c>
      <c r="H74" s="73">
        <f t="shared" si="18"/>
        <v>0</v>
      </c>
      <c r="I74" s="73">
        <f t="shared" si="19"/>
        <v>18619160000</v>
      </c>
      <c r="J74" s="73">
        <f t="shared" si="20"/>
        <v>0</v>
      </c>
      <c r="K74" s="73">
        <f t="shared" si="21"/>
        <v>0</v>
      </c>
      <c r="L74" s="73">
        <f t="shared" si="22"/>
        <v>0</v>
      </c>
      <c r="M74" s="73">
        <f t="shared" si="23"/>
        <v>0</v>
      </c>
      <c r="N74" s="73">
        <f t="shared" si="24"/>
        <v>0</v>
      </c>
      <c r="O74" s="73">
        <f t="shared" si="25"/>
        <v>0</v>
      </c>
      <c r="P74" s="73">
        <f t="shared" si="26"/>
        <v>0</v>
      </c>
      <c r="Q74" s="73">
        <f t="shared" si="27"/>
        <v>0</v>
      </c>
      <c r="R74" s="73">
        <f t="shared" si="28"/>
        <v>0</v>
      </c>
      <c r="S74" s="73">
        <f t="shared" si="29"/>
        <v>0</v>
      </c>
      <c r="T74" s="73">
        <f t="shared" si="30"/>
        <v>0</v>
      </c>
      <c r="U74" s="73">
        <f t="shared" si="31"/>
        <v>0</v>
      </c>
      <c r="V74" s="73">
        <f t="shared" si="32"/>
        <v>0</v>
      </c>
      <c r="W74" s="73">
        <f t="shared" si="33"/>
        <v>0</v>
      </c>
      <c r="X74" s="81"/>
    </row>
    <row r="75" spans="1:24" ht="21.75" hidden="1">
      <c r="A75" s="69">
        <v>1204</v>
      </c>
      <c r="B75" s="70">
        <v>12</v>
      </c>
      <c r="C75" s="71">
        <v>70</v>
      </c>
      <c r="D75" s="46" t="s">
        <v>50</v>
      </c>
      <c r="E75" s="72" t="s">
        <v>205</v>
      </c>
      <c r="F75" s="73">
        <v>-29064592862</v>
      </c>
      <c r="G75" s="73">
        <f t="shared" si="17"/>
        <v>0</v>
      </c>
      <c r="H75" s="73">
        <f t="shared" si="18"/>
        <v>0</v>
      </c>
      <c r="I75" s="73">
        <f t="shared" si="19"/>
        <v>0</v>
      </c>
      <c r="J75" s="73">
        <f t="shared" si="20"/>
        <v>0</v>
      </c>
      <c r="K75" s="73">
        <f t="shared" si="21"/>
        <v>0</v>
      </c>
      <c r="L75" s="73">
        <f t="shared" si="22"/>
        <v>0</v>
      </c>
      <c r="M75" s="73">
        <f t="shared" si="23"/>
        <v>0</v>
      </c>
      <c r="N75" s="73">
        <f t="shared" si="24"/>
        <v>0</v>
      </c>
      <c r="O75" s="73">
        <f t="shared" si="25"/>
        <v>0</v>
      </c>
      <c r="P75" s="73">
        <f t="shared" si="26"/>
        <v>-29064592862</v>
      </c>
      <c r="Q75" s="73">
        <f t="shared" si="27"/>
        <v>0</v>
      </c>
      <c r="R75" s="73">
        <f t="shared" si="28"/>
        <v>0</v>
      </c>
      <c r="S75" s="73">
        <f t="shared" si="29"/>
        <v>0</v>
      </c>
      <c r="T75" s="73">
        <f t="shared" si="30"/>
        <v>0</v>
      </c>
      <c r="U75" s="73">
        <f t="shared" si="31"/>
        <v>0</v>
      </c>
      <c r="V75" s="73">
        <f t="shared" si="32"/>
        <v>0</v>
      </c>
      <c r="W75" s="73">
        <f t="shared" si="33"/>
        <v>0</v>
      </c>
      <c r="X75" s="74"/>
    </row>
    <row r="76" spans="1:24" ht="21.75" hidden="1">
      <c r="A76" s="69">
        <v>1204</v>
      </c>
      <c r="B76" s="76">
        <v>12</v>
      </c>
      <c r="C76" s="77">
        <v>71</v>
      </c>
      <c r="D76" s="78" t="s">
        <v>51</v>
      </c>
      <c r="E76" s="79" t="s">
        <v>155</v>
      </c>
      <c r="F76" s="80">
        <v>-151639493</v>
      </c>
      <c r="G76" s="73">
        <f t="shared" si="17"/>
        <v>0</v>
      </c>
      <c r="H76" s="73">
        <f t="shared" si="18"/>
        <v>0</v>
      </c>
      <c r="I76" s="73">
        <f t="shared" si="19"/>
        <v>0</v>
      </c>
      <c r="J76" s="73">
        <f t="shared" si="20"/>
        <v>0</v>
      </c>
      <c r="K76" s="73">
        <f t="shared" si="21"/>
        <v>0</v>
      </c>
      <c r="L76" s="73">
        <f t="shared" si="22"/>
        <v>0</v>
      </c>
      <c r="M76" s="73">
        <f t="shared" si="23"/>
        <v>0</v>
      </c>
      <c r="N76" s="73">
        <f t="shared" si="24"/>
        <v>0</v>
      </c>
      <c r="O76" s="73">
        <f t="shared" si="25"/>
        <v>0</v>
      </c>
      <c r="P76" s="73">
        <f t="shared" si="26"/>
        <v>-151639493</v>
      </c>
      <c r="Q76" s="73">
        <f t="shared" si="27"/>
        <v>0</v>
      </c>
      <c r="R76" s="73">
        <f t="shared" si="28"/>
        <v>0</v>
      </c>
      <c r="S76" s="73">
        <f t="shared" si="29"/>
        <v>0</v>
      </c>
      <c r="T76" s="73">
        <f t="shared" si="30"/>
        <v>0</v>
      </c>
      <c r="U76" s="73">
        <f t="shared" si="31"/>
        <v>0</v>
      </c>
      <c r="V76" s="73">
        <f t="shared" si="32"/>
        <v>0</v>
      </c>
      <c r="W76" s="73">
        <f t="shared" si="33"/>
        <v>0</v>
      </c>
      <c r="X76" s="81"/>
    </row>
    <row r="77" spans="1:24" ht="21.75" hidden="1">
      <c r="A77" s="69">
        <v>502</v>
      </c>
      <c r="B77" s="70">
        <v>5</v>
      </c>
      <c r="C77" s="71">
        <v>72</v>
      </c>
      <c r="D77" s="46" t="s">
        <v>52</v>
      </c>
      <c r="E77" s="72" t="s">
        <v>206</v>
      </c>
      <c r="F77" s="73">
        <v>297435157</v>
      </c>
      <c r="G77" s="73">
        <f t="shared" si="17"/>
        <v>0</v>
      </c>
      <c r="H77" s="73">
        <f t="shared" si="18"/>
        <v>297435157</v>
      </c>
      <c r="I77" s="73">
        <f t="shared" si="19"/>
        <v>0</v>
      </c>
      <c r="J77" s="73">
        <f t="shared" si="20"/>
        <v>0</v>
      </c>
      <c r="K77" s="73">
        <f t="shared" si="21"/>
        <v>0</v>
      </c>
      <c r="L77" s="73">
        <f t="shared" si="22"/>
        <v>0</v>
      </c>
      <c r="M77" s="73">
        <f t="shared" si="23"/>
        <v>0</v>
      </c>
      <c r="N77" s="73">
        <f t="shared" si="24"/>
        <v>0</v>
      </c>
      <c r="O77" s="73">
        <f t="shared" si="25"/>
        <v>0</v>
      </c>
      <c r="P77" s="73">
        <f t="shared" si="26"/>
        <v>0</v>
      </c>
      <c r="Q77" s="73">
        <f t="shared" si="27"/>
        <v>0</v>
      </c>
      <c r="R77" s="73">
        <f t="shared" si="28"/>
        <v>0</v>
      </c>
      <c r="S77" s="73">
        <f t="shared" si="29"/>
        <v>0</v>
      </c>
      <c r="T77" s="73">
        <f t="shared" si="30"/>
        <v>0</v>
      </c>
      <c r="U77" s="73">
        <f t="shared" si="31"/>
        <v>0</v>
      </c>
      <c r="V77" s="73">
        <f t="shared" si="32"/>
        <v>0</v>
      </c>
      <c r="W77" s="73">
        <f t="shared" si="33"/>
        <v>0</v>
      </c>
      <c r="X77" s="74"/>
    </row>
    <row r="78" spans="1:24" ht="21.75" hidden="1">
      <c r="A78" s="69">
        <v>502</v>
      </c>
      <c r="B78" s="76">
        <v>5</v>
      </c>
      <c r="C78" s="77">
        <v>73</v>
      </c>
      <c r="D78" s="78" t="s">
        <v>53</v>
      </c>
      <c r="E78" s="79" t="s">
        <v>465</v>
      </c>
      <c r="F78" s="80">
        <v>886726513</v>
      </c>
      <c r="G78" s="73">
        <f t="shared" si="17"/>
        <v>0</v>
      </c>
      <c r="H78" s="73">
        <f t="shared" si="18"/>
        <v>886726513</v>
      </c>
      <c r="I78" s="73">
        <f t="shared" si="19"/>
        <v>0</v>
      </c>
      <c r="J78" s="73">
        <f t="shared" si="20"/>
        <v>0</v>
      </c>
      <c r="K78" s="73">
        <f t="shared" si="21"/>
        <v>0</v>
      </c>
      <c r="L78" s="73">
        <f t="shared" si="22"/>
        <v>0</v>
      </c>
      <c r="M78" s="73">
        <f t="shared" si="23"/>
        <v>0</v>
      </c>
      <c r="N78" s="73">
        <f t="shared" si="24"/>
        <v>0</v>
      </c>
      <c r="O78" s="73">
        <f t="shared" si="25"/>
        <v>0</v>
      </c>
      <c r="P78" s="73">
        <f t="shared" si="26"/>
        <v>0</v>
      </c>
      <c r="Q78" s="73">
        <f t="shared" si="27"/>
        <v>0</v>
      </c>
      <c r="R78" s="73">
        <f t="shared" si="28"/>
        <v>0</v>
      </c>
      <c r="S78" s="73">
        <f t="shared" si="29"/>
        <v>0</v>
      </c>
      <c r="T78" s="73">
        <f t="shared" si="30"/>
        <v>0</v>
      </c>
      <c r="U78" s="73">
        <f t="shared" si="31"/>
        <v>0</v>
      </c>
      <c r="V78" s="73">
        <f t="shared" si="32"/>
        <v>0</v>
      </c>
      <c r="W78" s="73">
        <f t="shared" si="33"/>
        <v>0</v>
      </c>
      <c r="X78" s="81"/>
    </row>
    <row r="79" spans="1:24" ht="21.75" hidden="1">
      <c r="A79" s="69">
        <v>1204</v>
      </c>
      <c r="B79" s="70">
        <v>12</v>
      </c>
      <c r="C79" s="71">
        <v>74</v>
      </c>
      <c r="D79" s="46" t="s">
        <v>55</v>
      </c>
      <c r="E79" s="72" t="s">
        <v>547</v>
      </c>
      <c r="F79" s="73">
        <v>-74196739</v>
      </c>
      <c r="G79" s="73">
        <f t="shared" si="17"/>
        <v>0</v>
      </c>
      <c r="H79" s="73">
        <f t="shared" si="18"/>
        <v>0</v>
      </c>
      <c r="I79" s="73">
        <f t="shared" si="19"/>
        <v>0</v>
      </c>
      <c r="J79" s="73">
        <f t="shared" si="20"/>
        <v>0</v>
      </c>
      <c r="K79" s="73">
        <f t="shared" si="21"/>
        <v>0</v>
      </c>
      <c r="L79" s="73">
        <f t="shared" si="22"/>
        <v>0</v>
      </c>
      <c r="M79" s="73">
        <f t="shared" si="23"/>
        <v>0</v>
      </c>
      <c r="N79" s="73">
        <f t="shared" si="24"/>
        <v>0</v>
      </c>
      <c r="O79" s="73">
        <f t="shared" si="25"/>
        <v>0</v>
      </c>
      <c r="P79" s="73">
        <f t="shared" si="26"/>
        <v>-74196739</v>
      </c>
      <c r="Q79" s="73">
        <f t="shared" si="27"/>
        <v>0</v>
      </c>
      <c r="R79" s="73">
        <f t="shared" si="28"/>
        <v>0</v>
      </c>
      <c r="S79" s="73">
        <f t="shared" si="29"/>
        <v>0</v>
      </c>
      <c r="T79" s="73">
        <f t="shared" si="30"/>
        <v>0</v>
      </c>
      <c r="U79" s="73">
        <f t="shared" si="31"/>
        <v>0</v>
      </c>
      <c r="V79" s="73">
        <f t="shared" si="32"/>
        <v>0</v>
      </c>
      <c r="W79" s="73">
        <f t="shared" si="33"/>
        <v>0</v>
      </c>
      <c r="X79" s="74"/>
    </row>
    <row r="80" spans="1:24" ht="21.75" hidden="1">
      <c r="A80" s="69">
        <v>1204</v>
      </c>
      <c r="B80" s="76">
        <v>12</v>
      </c>
      <c r="C80" s="77">
        <v>75</v>
      </c>
      <c r="D80" s="78" t="s">
        <v>56</v>
      </c>
      <c r="E80" s="79" t="s">
        <v>597</v>
      </c>
      <c r="F80" s="80">
        <v>-1937100</v>
      </c>
      <c r="G80" s="73">
        <f t="shared" si="17"/>
        <v>0</v>
      </c>
      <c r="H80" s="73">
        <f t="shared" si="18"/>
        <v>0</v>
      </c>
      <c r="I80" s="73">
        <f t="shared" si="19"/>
        <v>0</v>
      </c>
      <c r="J80" s="73">
        <f t="shared" si="20"/>
        <v>0</v>
      </c>
      <c r="K80" s="73">
        <f t="shared" si="21"/>
        <v>0</v>
      </c>
      <c r="L80" s="73">
        <f t="shared" si="22"/>
        <v>0</v>
      </c>
      <c r="M80" s="73">
        <f t="shared" si="23"/>
        <v>0</v>
      </c>
      <c r="N80" s="73">
        <f t="shared" si="24"/>
        <v>0</v>
      </c>
      <c r="O80" s="73">
        <f t="shared" si="25"/>
        <v>0</v>
      </c>
      <c r="P80" s="73">
        <f t="shared" si="26"/>
        <v>-1937100</v>
      </c>
      <c r="Q80" s="73">
        <f t="shared" si="27"/>
        <v>0</v>
      </c>
      <c r="R80" s="73">
        <f t="shared" si="28"/>
        <v>0</v>
      </c>
      <c r="S80" s="73">
        <f t="shared" si="29"/>
        <v>0</v>
      </c>
      <c r="T80" s="73">
        <f t="shared" si="30"/>
        <v>0</v>
      </c>
      <c r="U80" s="73">
        <f t="shared" si="31"/>
        <v>0</v>
      </c>
      <c r="V80" s="73">
        <f t="shared" si="32"/>
        <v>0</v>
      </c>
      <c r="W80" s="73">
        <f t="shared" si="33"/>
        <v>0</v>
      </c>
      <c r="X80" s="81"/>
    </row>
    <row r="81" spans="1:24" ht="21.75" hidden="1">
      <c r="A81" s="69">
        <v>1204</v>
      </c>
      <c r="B81" s="70">
        <v>12</v>
      </c>
      <c r="C81" s="71">
        <v>76</v>
      </c>
      <c r="D81" s="46" t="s">
        <v>412</v>
      </c>
      <c r="E81" s="72" t="s">
        <v>17</v>
      </c>
      <c r="F81" s="73">
        <v>-46818517</v>
      </c>
      <c r="G81" s="73">
        <f t="shared" si="17"/>
        <v>0</v>
      </c>
      <c r="H81" s="73">
        <f t="shared" si="18"/>
        <v>0</v>
      </c>
      <c r="I81" s="73">
        <f t="shared" si="19"/>
        <v>0</v>
      </c>
      <c r="J81" s="73">
        <f t="shared" si="20"/>
        <v>0</v>
      </c>
      <c r="K81" s="73">
        <f t="shared" si="21"/>
        <v>0</v>
      </c>
      <c r="L81" s="73">
        <f t="shared" si="22"/>
        <v>0</v>
      </c>
      <c r="M81" s="73">
        <f t="shared" si="23"/>
        <v>0</v>
      </c>
      <c r="N81" s="73">
        <f t="shared" si="24"/>
        <v>0</v>
      </c>
      <c r="O81" s="73">
        <f t="shared" si="25"/>
        <v>0</v>
      </c>
      <c r="P81" s="73">
        <f t="shared" si="26"/>
        <v>-46818517</v>
      </c>
      <c r="Q81" s="73">
        <f t="shared" si="27"/>
        <v>0</v>
      </c>
      <c r="R81" s="73">
        <f t="shared" si="28"/>
        <v>0</v>
      </c>
      <c r="S81" s="73">
        <f t="shared" si="29"/>
        <v>0</v>
      </c>
      <c r="T81" s="73">
        <f t="shared" si="30"/>
        <v>0</v>
      </c>
      <c r="U81" s="73">
        <f t="shared" si="31"/>
        <v>0</v>
      </c>
      <c r="V81" s="73">
        <f t="shared" si="32"/>
        <v>0</v>
      </c>
      <c r="W81" s="73">
        <f t="shared" si="33"/>
        <v>0</v>
      </c>
      <c r="X81" s="74"/>
    </row>
    <row r="82" spans="1:24" ht="21.75" hidden="1">
      <c r="A82" s="69">
        <v>1204</v>
      </c>
      <c r="B82" s="76">
        <v>12</v>
      </c>
      <c r="C82" s="77">
        <v>77</v>
      </c>
      <c r="D82" s="78" t="s">
        <v>57</v>
      </c>
      <c r="E82" s="79" t="s">
        <v>137</v>
      </c>
      <c r="F82" s="80">
        <v>-223901935</v>
      </c>
      <c r="G82" s="73">
        <f t="shared" si="17"/>
        <v>0</v>
      </c>
      <c r="H82" s="73">
        <f t="shared" si="18"/>
        <v>0</v>
      </c>
      <c r="I82" s="73">
        <f t="shared" si="19"/>
        <v>0</v>
      </c>
      <c r="J82" s="73">
        <f t="shared" si="20"/>
        <v>0</v>
      </c>
      <c r="K82" s="73">
        <f t="shared" si="21"/>
        <v>0</v>
      </c>
      <c r="L82" s="73">
        <f t="shared" si="22"/>
        <v>0</v>
      </c>
      <c r="M82" s="73">
        <f t="shared" si="23"/>
        <v>0</v>
      </c>
      <c r="N82" s="73">
        <f t="shared" si="24"/>
        <v>0</v>
      </c>
      <c r="O82" s="73">
        <f t="shared" si="25"/>
        <v>0</v>
      </c>
      <c r="P82" s="73">
        <f t="shared" si="26"/>
        <v>-223901935</v>
      </c>
      <c r="Q82" s="73">
        <f t="shared" si="27"/>
        <v>0</v>
      </c>
      <c r="R82" s="73">
        <f t="shared" si="28"/>
        <v>0</v>
      </c>
      <c r="S82" s="73">
        <f t="shared" si="29"/>
        <v>0</v>
      </c>
      <c r="T82" s="73">
        <f t="shared" si="30"/>
        <v>0</v>
      </c>
      <c r="U82" s="73">
        <f t="shared" si="31"/>
        <v>0</v>
      </c>
      <c r="V82" s="73">
        <f t="shared" si="32"/>
        <v>0</v>
      </c>
      <c r="W82" s="73">
        <f t="shared" si="33"/>
        <v>0</v>
      </c>
      <c r="X82" s="81"/>
    </row>
    <row r="83" spans="1:24" ht="21.75" hidden="1">
      <c r="A83" s="69">
        <v>502</v>
      </c>
      <c r="B83" s="76">
        <v>5</v>
      </c>
      <c r="C83" s="71">
        <v>78</v>
      </c>
      <c r="D83" s="46" t="s">
        <v>58</v>
      </c>
      <c r="E83" s="72" t="s">
        <v>139</v>
      </c>
      <c r="F83" s="73">
        <v>2002668436</v>
      </c>
      <c r="G83" s="73">
        <f t="shared" si="17"/>
        <v>0</v>
      </c>
      <c r="H83" s="73">
        <f t="shared" si="18"/>
        <v>2002668436</v>
      </c>
      <c r="I83" s="73">
        <f t="shared" si="19"/>
        <v>0</v>
      </c>
      <c r="J83" s="73">
        <f t="shared" si="20"/>
        <v>0</v>
      </c>
      <c r="K83" s="73">
        <f t="shared" si="21"/>
        <v>0</v>
      </c>
      <c r="L83" s="73">
        <f t="shared" si="22"/>
        <v>0</v>
      </c>
      <c r="M83" s="73">
        <f t="shared" si="23"/>
        <v>0</v>
      </c>
      <c r="N83" s="73">
        <f t="shared" si="24"/>
        <v>0</v>
      </c>
      <c r="O83" s="73">
        <f t="shared" si="25"/>
        <v>0</v>
      </c>
      <c r="P83" s="73">
        <f t="shared" si="26"/>
        <v>0</v>
      </c>
      <c r="Q83" s="73">
        <f t="shared" si="27"/>
        <v>0</v>
      </c>
      <c r="R83" s="73">
        <f t="shared" si="28"/>
        <v>0</v>
      </c>
      <c r="S83" s="73">
        <f t="shared" si="29"/>
        <v>0</v>
      </c>
      <c r="T83" s="73">
        <f t="shared" si="30"/>
        <v>0</v>
      </c>
      <c r="U83" s="73">
        <f t="shared" si="31"/>
        <v>0</v>
      </c>
      <c r="V83" s="73">
        <f t="shared" si="32"/>
        <v>0</v>
      </c>
      <c r="W83" s="73">
        <f t="shared" si="33"/>
        <v>0</v>
      </c>
      <c r="X83" s="74"/>
    </row>
    <row r="84" spans="1:24" ht="21.75" hidden="1">
      <c r="A84" s="75">
        <v>1201</v>
      </c>
      <c r="B84" s="76">
        <v>12</v>
      </c>
      <c r="C84" s="77">
        <v>79</v>
      </c>
      <c r="D84" s="78" t="s">
        <v>59</v>
      </c>
      <c r="E84" s="79" t="s">
        <v>342</v>
      </c>
      <c r="F84" s="80">
        <v>-2181591077359</v>
      </c>
      <c r="G84" s="73">
        <f t="shared" si="17"/>
        <v>0</v>
      </c>
      <c r="H84" s="73">
        <f t="shared" si="18"/>
        <v>0</v>
      </c>
      <c r="I84" s="73">
        <f t="shared" si="19"/>
        <v>0</v>
      </c>
      <c r="J84" s="73">
        <f t="shared" si="20"/>
        <v>0</v>
      </c>
      <c r="K84" s="73">
        <f t="shared" si="21"/>
        <v>0</v>
      </c>
      <c r="L84" s="73">
        <f t="shared" si="22"/>
        <v>0</v>
      </c>
      <c r="M84" s="73">
        <f t="shared" si="23"/>
        <v>0</v>
      </c>
      <c r="N84" s="73">
        <f t="shared" si="24"/>
        <v>0</v>
      </c>
      <c r="O84" s="73">
        <f t="shared" si="25"/>
        <v>0</v>
      </c>
      <c r="P84" s="73">
        <f t="shared" si="26"/>
        <v>-2181591077359</v>
      </c>
      <c r="Q84" s="73">
        <f t="shared" si="27"/>
        <v>0</v>
      </c>
      <c r="R84" s="73">
        <f t="shared" si="28"/>
        <v>0</v>
      </c>
      <c r="S84" s="73">
        <f t="shared" si="29"/>
        <v>0</v>
      </c>
      <c r="T84" s="73">
        <f t="shared" si="30"/>
        <v>0</v>
      </c>
      <c r="U84" s="73">
        <f t="shared" si="31"/>
        <v>0</v>
      </c>
      <c r="V84" s="73">
        <f t="shared" si="32"/>
        <v>0</v>
      </c>
      <c r="W84" s="73">
        <f t="shared" si="33"/>
        <v>0</v>
      </c>
      <c r="X84" s="81"/>
    </row>
    <row r="85" spans="1:24" ht="21.75" hidden="1">
      <c r="A85" s="69">
        <v>1204</v>
      </c>
      <c r="B85" s="70">
        <v>12</v>
      </c>
      <c r="C85" s="71">
        <v>80</v>
      </c>
      <c r="D85" s="46" t="s">
        <v>378</v>
      </c>
      <c r="E85" s="72" t="s">
        <v>360</v>
      </c>
      <c r="F85" s="73">
        <v>-9686471</v>
      </c>
      <c r="G85" s="73">
        <f t="shared" si="17"/>
        <v>0</v>
      </c>
      <c r="H85" s="73">
        <f t="shared" si="18"/>
        <v>0</v>
      </c>
      <c r="I85" s="73">
        <f t="shared" si="19"/>
        <v>0</v>
      </c>
      <c r="J85" s="73">
        <f t="shared" si="20"/>
        <v>0</v>
      </c>
      <c r="K85" s="73">
        <f t="shared" si="21"/>
        <v>0</v>
      </c>
      <c r="L85" s="73">
        <f t="shared" si="22"/>
        <v>0</v>
      </c>
      <c r="M85" s="73">
        <f t="shared" si="23"/>
        <v>0</v>
      </c>
      <c r="N85" s="73">
        <f t="shared" si="24"/>
        <v>0</v>
      </c>
      <c r="O85" s="73">
        <f t="shared" si="25"/>
        <v>0</v>
      </c>
      <c r="P85" s="73">
        <f t="shared" si="26"/>
        <v>-9686471</v>
      </c>
      <c r="Q85" s="73">
        <f t="shared" si="27"/>
        <v>0</v>
      </c>
      <c r="R85" s="73">
        <f t="shared" si="28"/>
        <v>0</v>
      </c>
      <c r="S85" s="73">
        <f t="shared" si="29"/>
        <v>0</v>
      </c>
      <c r="T85" s="73">
        <f t="shared" si="30"/>
        <v>0</v>
      </c>
      <c r="U85" s="73">
        <f t="shared" si="31"/>
        <v>0</v>
      </c>
      <c r="V85" s="73">
        <f t="shared" si="32"/>
        <v>0</v>
      </c>
      <c r="W85" s="73">
        <f t="shared" si="33"/>
        <v>0</v>
      </c>
      <c r="X85" s="74"/>
    </row>
    <row r="86" spans="1:24" ht="21.75" hidden="1">
      <c r="A86" s="69">
        <v>502</v>
      </c>
      <c r="B86" s="76">
        <v>5</v>
      </c>
      <c r="C86" s="77">
        <v>81</v>
      </c>
      <c r="D86" s="78" t="s">
        <v>60</v>
      </c>
      <c r="E86" s="79" t="s">
        <v>140</v>
      </c>
      <c r="F86" s="80">
        <v>154817994176</v>
      </c>
      <c r="G86" s="73">
        <f t="shared" si="17"/>
        <v>0</v>
      </c>
      <c r="H86" s="73">
        <f t="shared" si="18"/>
        <v>154817994176</v>
      </c>
      <c r="I86" s="73">
        <f t="shared" si="19"/>
        <v>0</v>
      </c>
      <c r="J86" s="73">
        <f t="shared" si="20"/>
        <v>0</v>
      </c>
      <c r="K86" s="73">
        <f t="shared" si="21"/>
        <v>0</v>
      </c>
      <c r="L86" s="73">
        <f t="shared" si="22"/>
        <v>0</v>
      </c>
      <c r="M86" s="73">
        <f t="shared" si="23"/>
        <v>0</v>
      </c>
      <c r="N86" s="73">
        <f t="shared" si="24"/>
        <v>0</v>
      </c>
      <c r="O86" s="73">
        <f t="shared" si="25"/>
        <v>0</v>
      </c>
      <c r="P86" s="73">
        <f t="shared" si="26"/>
        <v>0</v>
      </c>
      <c r="Q86" s="73">
        <f t="shared" si="27"/>
        <v>0</v>
      </c>
      <c r="R86" s="73">
        <f t="shared" si="28"/>
        <v>0</v>
      </c>
      <c r="S86" s="73">
        <f t="shared" si="29"/>
        <v>0</v>
      </c>
      <c r="T86" s="73">
        <f t="shared" si="30"/>
        <v>0</v>
      </c>
      <c r="U86" s="73">
        <f t="shared" si="31"/>
        <v>0</v>
      </c>
      <c r="V86" s="73">
        <f t="shared" si="32"/>
        <v>0</v>
      </c>
      <c r="W86" s="73">
        <f t="shared" si="33"/>
        <v>0</v>
      </c>
      <c r="X86" s="81"/>
    </row>
    <row r="87" spans="1:24" ht="21.75" hidden="1">
      <c r="A87" s="69">
        <v>502</v>
      </c>
      <c r="B87" s="76">
        <v>5</v>
      </c>
      <c r="C87" s="71">
        <v>82</v>
      </c>
      <c r="D87" s="46" t="s">
        <v>565</v>
      </c>
      <c r="E87" s="72" t="s">
        <v>566</v>
      </c>
      <c r="F87" s="73">
        <v>95640000</v>
      </c>
      <c r="G87" s="73">
        <f t="shared" si="17"/>
        <v>0</v>
      </c>
      <c r="H87" s="73">
        <f t="shared" si="18"/>
        <v>95640000</v>
      </c>
      <c r="I87" s="73">
        <f t="shared" si="19"/>
        <v>0</v>
      </c>
      <c r="J87" s="73">
        <f t="shared" si="20"/>
        <v>0</v>
      </c>
      <c r="K87" s="73">
        <f t="shared" si="21"/>
        <v>0</v>
      </c>
      <c r="L87" s="73">
        <f t="shared" si="22"/>
        <v>0</v>
      </c>
      <c r="M87" s="73">
        <f t="shared" si="23"/>
        <v>0</v>
      </c>
      <c r="N87" s="73">
        <f t="shared" si="24"/>
        <v>0</v>
      </c>
      <c r="O87" s="73">
        <f t="shared" si="25"/>
        <v>0</v>
      </c>
      <c r="P87" s="73">
        <f t="shared" si="26"/>
        <v>0</v>
      </c>
      <c r="Q87" s="73">
        <f t="shared" si="27"/>
        <v>0</v>
      </c>
      <c r="R87" s="73">
        <f t="shared" si="28"/>
        <v>0</v>
      </c>
      <c r="S87" s="73">
        <f t="shared" si="29"/>
        <v>0</v>
      </c>
      <c r="T87" s="73">
        <f t="shared" si="30"/>
        <v>0</v>
      </c>
      <c r="U87" s="73">
        <f t="shared" si="31"/>
        <v>0</v>
      </c>
      <c r="V87" s="73">
        <f t="shared" si="32"/>
        <v>0</v>
      </c>
      <c r="W87" s="73">
        <f t="shared" si="33"/>
        <v>0</v>
      </c>
      <c r="X87" s="74"/>
    </row>
    <row r="88" spans="1:24" ht="21.75" hidden="1">
      <c r="A88" s="69">
        <v>502</v>
      </c>
      <c r="B88" s="76">
        <v>5</v>
      </c>
      <c r="C88" s="77">
        <v>84</v>
      </c>
      <c r="D88" s="78" t="s">
        <v>361</v>
      </c>
      <c r="E88" s="79" t="s">
        <v>253</v>
      </c>
      <c r="F88" s="80">
        <v>215180536</v>
      </c>
      <c r="G88" s="73">
        <f t="shared" si="17"/>
        <v>0</v>
      </c>
      <c r="H88" s="73">
        <f t="shared" si="18"/>
        <v>215180536</v>
      </c>
      <c r="I88" s="73">
        <f t="shared" si="19"/>
        <v>0</v>
      </c>
      <c r="J88" s="73">
        <f t="shared" si="20"/>
        <v>0</v>
      </c>
      <c r="K88" s="73">
        <f t="shared" si="21"/>
        <v>0</v>
      </c>
      <c r="L88" s="73">
        <f t="shared" si="22"/>
        <v>0</v>
      </c>
      <c r="M88" s="73">
        <f t="shared" si="23"/>
        <v>0</v>
      </c>
      <c r="N88" s="73">
        <f t="shared" si="24"/>
        <v>0</v>
      </c>
      <c r="O88" s="73">
        <f t="shared" si="25"/>
        <v>0</v>
      </c>
      <c r="P88" s="73">
        <f t="shared" si="26"/>
        <v>0</v>
      </c>
      <c r="Q88" s="73">
        <f t="shared" si="27"/>
        <v>0</v>
      </c>
      <c r="R88" s="73">
        <f t="shared" si="28"/>
        <v>0</v>
      </c>
      <c r="S88" s="73">
        <f t="shared" si="29"/>
        <v>0</v>
      </c>
      <c r="T88" s="73">
        <f t="shared" si="30"/>
        <v>0</v>
      </c>
      <c r="U88" s="73">
        <f t="shared" si="31"/>
        <v>0</v>
      </c>
      <c r="V88" s="73">
        <f t="shared" si="32"/>
        <v>0</v>
      </c>
      <c r="W88" s="73">
        <f t="shared" si="33"/>
        <v>0</v>
      </c>
      <c r="X88" s="81"/>
    </row>
    <row r="89" spans="1:24" ht="21.75" hidden="1">
      <c r="A89" s="69">
        <v>1301</v>
      </c>
      <c r="B89" s="70">
        <v>13</v>
      </c>
      <c r="C89" s="71">
        <v>85</v>
      </c>
      <c r="D89" s="46" t="s">
        <v>568</v>
      </c>
      <c r="E89" s="72" t="s">
        <v>153</v>
      </c>
      <c r="F89" s="73">
        <v>-6790861016</v>
      </c>
      <c r="G89" s="73">
        <f t="shared" si="17"/>
        <v>0</v>
      </c>
      <c r="H89" s="73">
        <f t="shared" si="18"/>
        <v>0</v>
      </c>
      <c r="I89" s="73">
        <f t="shared" si="19"/>
        <v>0</v>
      </c>
      <c r="J89" s="73">
        <f t="shared" si="20"/>
        <v>0</v>
      </c>
      <c r="K89" s="73">
        <f t="shared" si="21"/>
        <v>0</v>
      </c>
      <c r="L89" s="73">
        <f t="shared" si="22"/>
        <v>0</v>
      </c>
      <c r="M89" s="73">
        <f t="shared" si="23"/>
        <v>0</v>
      </c>
      <c r="N89" s="73">
        <f t="shared" si="24"/>
        <v>0</v>
      </c>
      <c r="O89" s="73">
        <f t="shared" si="25"/>
        <v>-6790861016</v>
      </c>
      <c r="P89" s="73">
        <f t="shared" si="26"/>
        <v>0</v>
      </c>
      <c r="Q89" s="73">
        <f t="shared" si="27"/>
        <v>0</v>
      </c>
      <c r="R89" s="73">
        <f t="shared" si="28"/>
        <v>0</v>
      </c>
      <c r="S89" s="73">
        <f t="shared" si="29"/>
        <v>0</v>
      </c>
      <c r="T89" s="73">
        <f t="shared" si="30"/>
        <v>0</v>
      </c>
      <c r="U89" s="73">
        <f t="shared" si="31"/>
        <v>0</v>
      </c>
      <c r="V89" s="73">
        <f t="shared" si="32"/>
        <v>0</v>
      </c>
      <c r="W89" s="73">
        <f t="shared" si="33"/>
        <v>0</v>
      </c>
      <c r="X89" s="74"/>
    </row>
    <row r="90" spans="1:24" ht="21.75" hidden="1">
      <c r="A90" s="69">
        <v>502</v>
      </c>
      <c r="B90" s="76">
        <v>5</v>
      </c>
      <c r="C90" s="77">
        <v>86</v>
      </c>
      <c r="D90" s="78" t="s">
        <v>254</v>
      </c>
      <c r="E90" s="79" t="s">
        <v>255</v>
      </c>
      <c r="F90" s="80">
        <v>54881162</v>
      </c>
      <c r="G90" s="73">
        <f t="shared" si="17"/>
        <v>0</v>
      </c>
      <c r="H90" s="73">
        <f t="shared" si="18"/>
        <v>54881162</v>
      </c>
      <c r="I90" s="73">
        <f t="shared" si="19"/>
        <v>0</v>
      </c>
      <c r="J90" s="73">
        <f t="shared" si="20"/>
        <v>0</v>
      </c>
      <c r="K90" s="73">
        <f t="shared" si="21"/>
        <v>0</v>
      </c>
      <c r="L90" s="73">
        <f t="shared" si="22"/>
        <v>0</v>
      </c>
      <c r="M90" s="73">
        <f t="shared" si="23"/>
        <v>0</v>
      </c>
      <c r="N90" s="73">
        <f t="shared" si="24"/>
        <v>0</v>
      </c>
      <c r="O90" s="73">
        <f t="shared" si="25"/>
        <v>0</v>
      </c>
      <c r="P90" s="73">
        <f t="shared" si="26"/>
        <v>0</v>
      </c>
      <c r="Q90" s="73">
        <f t="shared" si="27"/>
        <v>0</v>
      </c>
      <c r="R90" s="73">
        <f t="shared" si="28"/>
        <v>0</v>
      </c>
      <c r="S90" s="73">
        <f t="shared" si="29"/>
        <v>0</v>
      </c>
      <c r="T90" s="73">
        <f t="shared" si="30"/>
        <v>0</v>
      </c>
      <c r="U90" s="73">
        <f t="shared" si="31"/>
        <v>0</v>
      </c>
      <c r="V90" s="73">
        <f t="shared" si="32"/>
        <v>0</v>
      </c>
      <c r="W90" s="73">
        <f t="shared" si="33"/>
        <v>0</v>
      </c>
      <c r="X90" s="81"/>
    </row>
    <row r="91" spans="1:24" ht="21.75" hidden="1">
      <c r="A91" s="69">
        <v>502</v>
      </c>
      <c r="B91" s="76">
        <v>5</v>
      </c>
      <c r="C91" s="71">
        <v>87</v>
      </c>
      <c r="D91" s="46" t="s">
        <v>569</v>
      </c>
      <c r="E91" s="72" t="s">
        <v>154</v>
      </c>
      <c r="F91" s="73">
        <v>419574</v>
      </c>
      <c r="G91" s="73">
        <f t="shared" si="17"/>
        <v>0</v>
      </c>
      <c r="H91" s="73">
        <f t="shared" si="18"/>
        <v>419574</v>
      </c>
      <c r="I91" s="73">
        <f t="shared" si="19"/>
        <v>0</v>
      </c>
      <c r="J91" s="73">
        <f t="shared" si="20"/>
        <v>0</v>
      </c>
      <c r="K91" s="73">
        <f t="shared" si="21"/>
        <v>0</v>
      </c>
      <c r="L91" s="73">
        <f t="shared" si="22"/>
        <v>0</v>
      </c>
      <c r="M91" s="73">
        <f t="shared" si="23"/>
        <v>0</v>
      </c>
      <c r="N91" s="73">
        <f t="shared" si="24"/>
        <v>0</v>
      </c>
      <c r="O91" s="73">
        <f t="shared" si="25"/>
        <v>0</v>
      </c>
      <c r="P91" s="73">
        <f t="shared" si="26"/>
        <v>0</v>
      </c>
      <c r="Q91" s="73">
        <f t="shared" si="27"/>
        <v>0</v>
      </c>
      <c r="R91" s="73">
        <f t="shared" si="28"/>
        <v>0</v>
      </c>
      <c r="S91" s="73">
        <f t="shared" si="29"/>
        <v>0</v>
      </c>
      <c r="T91" s="73">
        <f t="shared" si="30"/>
        <v>0</v>
      </c>
      <c r="U91" s="73">
        <f t="shared" si="31"/>
        <v>0</v>
      </c>
      <c r="V91" s="73">
        <f t="shared" si="32"/>
        <v>0</v>
      </c>
      <c r="W91" s="73">
        <f t="shared" si="33"/>
        <v>0</v>
      </c>
      <c r="X91" s="74"/>
    </row>
    <row r="92" spans="1:24" ht="21.75" hidden="1">
      <c r="A92" s="69">
        <v>502</v>
      </c>
      <c r="B92" s="76">
        <v>5</v>
      </c>
      <c r="C92" s="77">
        <v>88</v>
      </c>
      <c r="D92" s="78" t="s">
        <v>570</v>
      </c>
      <c r="E92" s="79" t="s">
        <v>257</v>
      </c>
      <c r="F92" s="80">
        <v>43676429</v>
      </c>
      <c r="G92" s="73">
        <f t="shared" si="17"/>
        <v>0</v>
      </c>
      <c r="H92" s="73">
        <f t="shared" si="18"/>
        <v>43676429</v>
      </c>
      <c r="I92" s="73">
        <f t="shared" si="19"/>
        <v>0</v>
      </c>
      <c r="J92" s="73">
        <f t="shared" si="20"/>
        <v>0</v>
      </c>
      <c r="K92" s="73">
        <f t="shared" si="21"/>
        <v>0</v>
      </c>
      <c r="L92" s="73">
        <f t="shared" si="22"/>
        <v>0</v>
      </c>
      <c r="M92" s="73">
        <f t="shared" si="23"/>
        <v>0</v>
      </c>
      <c r="N92" s="73">
        <f t="shared" si="24"/>
        <v>0</v>
      </c>
      <c r="O92" s="73">
        <f t="shared" si="25"/>
        <v>0</v>
      </c>
      <c r="P92" s="73">
        <f t="shared" si="26"/>
        <v>0</v>
      </c>
      <c r="Q92" s="73">
        <f t="shared" si="27"/>
        <v>0</v>
      </c>
      <c r="R92" s="73">
        <f t="shared" si="28"/>
        <v>0</v>
      </c>
      <c r="S92" s="73">
        <f t="shared" si="29"/>
        <v>0</v>
      </c>
      <c r="T92" s="73">
        <f t="shared" si="30"/>
        <v>0</v>
      </c>
      <c r="U92" s="73">
        <f t="shared" si="31"/>
        <v>0</v>
      </c>
      <c r="V92" s="73">
        <f t="shared" si="32"/>
        <v>0</v>
      </c>
      <c r="W92" s="73">
        <f t="shared" si="33"/>
        <v>0</v>
      </c>
      <c r="X92" s="81"/>
    </row>
    <row r="93" spans="1:24" ht="21.75" hidden="1">
      <c r="A93" s="69">
        <v>502</v>
      </c>
      <c r="B93" s="76">
        <v>5</v>
      </c>
      <c r="C93" s="71">
        <v>89</v>
      </c>
      <c r="D93" s="46" t="s">
        <v>256</v>
      </c>
      <c r="E93" s="72" t="s">
        <v>258</v>
      </c>
      <c r="F93" s="73">
        <v>122500</v>
      </c>
      <c r="G93" s="73">
        <f t="shared" si="17"/>
        <v>0</v>
      </c>
      <c r="H93" s="73">
        <f t="shared" si="18"/>
        <v>122500</v>
      </c>
      <c r="I93" s="73">
        <f t="shared" si="19"/>
        <v>0</v>
      </c>
      <c r="J93" s="73">
        <f t="shared" si="20"/>
        <v>0</v>
      </c>
      <c r="K93" s="73">
        <f t="shared" si="21"/>
        <v>0</v>
      </c>
      <c r="L93" s="73">
        <f t="shared" si="22"/>
        <v>0</v>
      </c>
      <c r="M93" s="73">
        <f t="shared" si="23"/>
        <v>0</v>
      </c>
      <c r="N93" s="73">
        <f t="shared" si="24"/>
        <v>0</v>
      </c>
      <c r="O93" s="73">
        <f t="shared" si="25"/>
        <v>0</v>
      </c>
      <c r="P93" s="73">
        <f t="shared" si="26"/>
        <v>0</v>
      </c>
      <c r="Q93" s="73">
        <f t="shared" si="27"/>
        <v>0</v>
      </c>
      <c r="R93" s="73">
        <f t="shared" si="28"/>
        <v>0</v>
      </c>
      <c r="S93" s="73">
        <f t="shared" si="29"/>
        <v>0</v>
      </c>
      <c r="T93" s="73">
        <f t="shared" si="30"/>
        <v>0</v>
      </c>
      <c r="U93" s="73">
        <f t="shared" si="31"/>
        <v>0</v>
      </c>
      <c r="V93" s="73">
        <f t="shared" si="32"/>
        <v>0</v>
      </c>
      <c r="W93" s="73">
        <f t="shared" si="33"/>
        <v>0</v>
      </c>
      <c r="X93" s="74"/>
    </row>
    <row r="94" spans="1:24" ht="21.75" hidden="1">
      <c r="A94" s="69">
        <v>502</v>
      </c>
      <c r="B94" s="76">
        <v>5</v>
      </c>
      <c r="C94" s="77">
        <v>90</v>
      </c>
      <c r="D94" s="78" t="s">
        <v>571</v>
      </c>
      <c r="E94" s="79" t="s">
        <v>259</v>
      </c>
      <c r="F94" s="80">
        <v>7454442</v>
      </c>
      <c r="G94" s="73">
        <f t="shared" si="17"/>
        <v>0</v>
      </c>
      <c r="H94" s="73">
        <f t="shared" si="18"/>
        <v>7454442</v>
      </c>
      <c r="I94" s="73">
        <f t="shared" si="19"/>
        <v>0</v>
      </c>
      <c r="J94" s="73">
        <f t="shared" si="20"/>
        <v>0</v>
      </c>
      <c r="K94" s="73">
        <f t="shared" si="21"/>
        <v>0</v>
      </c>
      <c r="L94" s="73">
        <f t="shared" si="22"/>
        <v>0</v>
      </c>
      <c r="M94" s="73">
        <f t="shared" si="23"/>
        <v>0</v>
      </c>
      <c r="N94" s="73">
        <f t="shared" si="24"/>
        <v>0</v>
      </c>
      <c r="O94" s="73">
        <f t="shared" si="25"/>
        <v>0</v>
      </c>
      <c r="P94" s="73">
        <f t="shared" si="26"/>
        <v>0</v>
      </c>
      <c r="Q94" s="73">
        <f t="shared" si="27"/>
        <v>0</v>
      </c>
      <c r="R94" s="73">
        <f t="shared" si="28"/>
        <v>0</v>
      </c>
      <c r="S94" s="73">
        <f t="shared" si="29"/>
        <v>0</v>
      </c>
      <c r="T94" s="73">
        <f t="shared" si="30"/>
        <v>0</v>
      </c>
      <c r="U94" s="73">
        <f t="shared" si="31"/>
        <v>0</v>
      </c>
      <c r="V94" s="73">
        <f t="shared" si="32"/>
        <v>0</v>
      </c>
      <c r="W94" s="73">
        <f t="shared" si="33"/>
        <v>0</v>
      </c>
      <c r="X94" s="81"/>
    </row>
    <row r="95" spans="1:24" ht="21.75" hidden="1">
      <c r="A95" s="69">
        <v>502</v>
      </c>
      <c r="B95" s="76">
        <v>5</v>
      </c>
      <c r="C95" s="71">
        <v>92</v>
      </c>
      <c r="D95" s="46" t="s">
        <v>572</v>
      </c>
      <c r="E95" s="72" t="s">
        <v>168</v>
      </c>
      <c r="F95" s="73">
        <v>94153790</v>
      </c>
      <c r="G95" s="73">
        <f t="shared" si="17"/>
        <v>0</v>
      </c>
      <c r="H95" s="73">
        <f t="shared" si="18"/>
        <v>94153790</v>
      </c>
      <c r="I95" s="73">
        <f t="shared" si="19"/>
        <v>0</v>
      </c>
      <c r="J95" s="73">
        <f t="shared" si="20"/>
        <v>0</v>
      </c>
      <c r="K95" s="73">
        <f t="shared" si="21"/>
        <v>0</v>
      </c>
      <c r="L95" s="73">
        <f t="shared" si="22"/>
        <v>0</v>
      </c>
      <c r="M95" s="73">
        <f t="shared" si="23"/>
        <v>0</v>
      </c>
      <c r="N95" s="73">
        <f t="shared" si="24"/>
        <v>0</v>
      </c>
      <c r="O95" s="73">
        <f t="shared" si="25"/>
        <v>0</v>
      </c>
      <c r="P95" s="73">
        <f t="shared" si="26"/>
        <v>0</v>
      </c>
      <c r="Q95" s="73">
        <f t="shared" si="27"/>
        <v>0</v>
      </c>
      <c r="R95" s="73">
        <f t="shared" si="28"/>
        <v>0</v>
      </c>
      <c r="S95" s="73">
        <f t="shared" si="29"/>
        <v>0</v>
      </c>
      <c r="T95" s="73">
        <f t="shared" si="30"/>
        <v>0</v>
      </c>
      <c r="U95" s="73">
        <f t="shared" si="31"/>
        <v>0</v>
      </c>
      <c r="V95" s="73">
        <f t="shared" si="32"/>
        <v>0</v>
      </c>
      <c r="W95" s="73">
        <f t="shared" si="33"/>
        <v>0</v>
      </c>
      <c r="X95" s="74"/>
    </row>
    <row r="96" spans="1:24" ht="21.75" hidden="1">
      <c r="A96" s="69">
        <v>502</v>
      </c>
      <c r="B96" s="76">
        <v>5</v>
      </c>
      <c r="C96" s="77">
        <v>93</v>
      </c>
      <c r="D96" s="78" t="s">
        <v>573</v>
      </c>
      <c r="E96" s="79" t="s">
        <v>574</v>
      </c>
      <c r="F96" s="80">
        <v>750080</v>
      </c>
      <c r="G96" s="73">
        <f>IF($B96=$G$3,$F96,0)</f>
        <v>0</v>
      </c>
      <c r="H96" s="73">
        <f t="shared" si="18"/>
        <v>750080</v>
      </c>
      <c r="I96" s="73">
        <f t="shared" si="19"/>
        <v>0</v>
      </c>
      <c r="J96" s="73">
        <f t="shared" si="20"/>
        <v>0</v>
      </c>
      <c r="K96" s="73">
        <f t="shared" si="21"/>
        <v>0</v>
      </c>
      <c r="L96" s="73">
        <f t="shared" si="22"/>
        <v>0</v>
      </c>
      <c r="M96" s="73">
        <f t="shared" si="23"/>
        <v>0</v>
      </c>
      <c r="N96" s="73">
        <f t="shared" si="24"/>
        <v>0</v>
      </c>
      <c r="O96" s="73">
        <f t="shared" si="25"/>
        <v>0</v>
      </c>
      <c r="P96" s="73">
        <f t="shared" si="26"/>
        <v>0</v>
      </c>
      <c r="Q96" s="73">
        <f t="shared" si="27"/>
        <v>0</v>
      </c>
      <c r="R96" s="73">
        <f t="shared" si="28"/>
        <v>0</v>
      </c>
      <c r="S96" s="73">
        <f t="shared" si="29"/>
        <v>0</v>
      </c>
      <c r="T96" s="73">
        <f t="shared" si="30"/>
        <v>0</v>
      </c>
      <c r="U96" s="73">
        <f t="shared" si="31"/>
        <v>0</v>
      </c>
      <c r="V96" s="73">
        <f t="shared" si="32"/>
        <v>0</v>
      </c>
      <c r="W96" s="73">
        <f t="shared" si="33"/>
        <v>0</v>
      </c>
      <c r="X96" s="81"/>
    </row>
    <row r="97" spans="1:24" ht="21.75" hidden="1">
      <c r="A97" s="69">
        <v>502</v>
      </c>
      <c r="B97" s="76">
        <v>5</v>
      </c>
      <c r="C97" s="71">
        <v>94</v>
      </c>
      <c r="D97" s="46" t="s">
        <v>577</v>
      </c>
      <c r="E97" s="72" t="s">
        <v>578</v>
      </c>
      <c r="F97" s="73">
        <v>470625093</v>
      </c>
      <c r="G97" s="73">
        <f t="shared" si="17"/>
        <v>0</v>
      </c>
      <c r="H97" s="73">
        <f t="shared" si="18"/>
        <v>470625093</v>
      </c>
      <c r="I97" s="73">
        <f t="shared" si="19"/>
        <v>0</v>
      </c>
      <c r="J97" s="73">
        <f t="shared" si="20"/>
        <v>0</v>
      </c>
      <c r="K97" s="73">
        <f t="shared" si="21"/>
        <v>0</v>
      </c>
      <c r="L97" s="73">
        <f t="shared" si="22"/>
        <v>0</v>
      </c>
      <c r="M97" s="73">
        <f t="shared" si="23"/>
        <v>0</v>
      </c>
      <c r="N97" s="73">
        <f t="shared" si="24"/>
        <v>0</v>
      </c>
      <c r="O97" s="73">
        <f t="shared" si="25"/>
        <v>0</v>
      </c>
      <c r="P97" s="73">
        <f t="shared" si="26"/>
        <v>0</v>
      </c>
      <c r="Q97" s="73">
        <f t="shared" si="27"/>
        <v>0</v>
      </c>
      <c r="R97" s="73">
        <f t="shared" si="28"/>
        <v>0</v>
      </c>
      <c r="S97" s="73">
        <f t="shared" si="29"/>
        <v>0</v>
      </c>
      <c r="T97" s="73">
        <f t="shared" si="30"/>
        <v>0</v>
      </c>
      <c r="U97" s="73">
        <f t="shared" si="31"/>
        <v>0</v>
      </c>
      <c r="V97" s="73">
        <f t="shared" si="32"/>
        <v>0</v>
      </c>
      <c r="W97" s="73">
        <f t="shared" si="33"/>
        <v>0</v>
      </c>
      <c r="X97" s="74"/>
    </row>
    <row r="98" spans="1:24" ht="21.75" hidden="1">
      <c r="A98" s="69">
        <v>502</v>
      </c>
      <c r="B98" s="76">
        <v>5</v>
      </c>
      <c r="C98" s="77">
        <v>95</v>
      </c>
      <c r="D98" s="78" t="s">
        <v>579</v>
      </c>
      <c r="E98" s="79" t="s">
        <v>580</v>
      </c>
      <c r="F98" s="80">
        <v>5022970807</v>
      </c>
      <c r="G98" s="73">
        <f t="shared" si="17"/>
        <v>0</v>
      </c>
      <c r="H98" s="73">
        <f t="shared" si="18"/>
        <v>5022970807</v>
      </c>
      <c r="I98" s="73">
        <f t="shared" si="19"/>
        <v>0</v>
      </c>
      <c r="J98" s="73">
        <f t="shared" si="20"/>
        <v>0</v>
      </c>
      <c r="K98" s="73">
        <f t="shared" si="21"/>
        <v>0</v>
      </c>
      <c r="L98" s="73">
        <f t="shared" si="22"/>
        <v>0</v>
      </c>
      <c r="M98" s="73">
        <f t="shared" si="23"/>
        <v>0</v>
      </c>
      <c r="N98" s="73">
        <f t="shared" si="24"/>
        <v>0</v>
      </c>
      <c r="O98" s="73">
        <f t="shared" si="25"/>
        <v>0</v>
      </c>
      <c r="P98" s="73">
        <f t="shared" si="26"/>
        <v>0</v>
      </c>
      <c r="Q98" s="73">
        <f t="shared" si="27"/>
        <v>0</v>
      </c>
      <c r="R98" s="73">
        <f t="shared" si="28"/>
        <v>0</v>
      </c>
      <c r="S98" s="73">
        <f t="shared" si="29"/>
        <v>0</v>
      </c>
      <c r="T98" s="73">
        <f t="shared" si="30"/>
        <v>0</v>
      </c>
      <c r="U98" s="73">
        <f t="shared" si="31"/>
        <v>0</v>
      </c>
      <c r="V98" s="73">
        <f t="shared" si="32"/>
        <v>0</v>
      </c>
      <c r="W98" s="73">
        <f t="shared" si="33"/>
        <v>0</v>
      </c>
      <c r="X98" s="81"/>
    </row>
    <row r="99" spans="1:24" ht="21.75" hidden="1">
      <c r="A99" s="69">
        <v>502</v>
      </c>
      <c r="B99" s="76">
        <v>5</v>
      </c>
      <c r="C99" s="71">
        <v>96</v>
      </c>
      <c r="D99" s="46" t="s">
        <v>581</v>
      </c>
      <c r="E99" s="72" t="s">
        <v>169</v>
      </c>
      <c r="F99" s="73">
        <v>692390483</v>
      </c>
      <c r="G99" s="73">
        <f t="shared" si="17"/>
        <v>0</v>
      </c>
      <c r="H99" s="73">
        <f t="shared" si="18"/>
        <v>692390483</v>
      </c>
      <c r="I99" s="73">
        <f t="shared" si="19"/>
        <v>0</v>
      </c>
      <c r="J99" s="73">
        <f t="shared" si="20"/>
        <v>0</v>
      </c>
      <c r="K99" s="73">
        <f t="shared" si="21"/>
        <v>0</v>
      </c>
      <c r="L99" s="73">
        <f t="shared" si="22"/>
        <v>0</v>
      </c>
      <c r="M99" s="73">
        <f t="shared" si="23"/>
        <v>0</v>
      </c>
      <c r="N99" s="73">
        <f t="shared" si="24"/>
        <v>0</v>
      </c>
      <c r="O99" s="73">
        <f t="shared" si="25"/>
        <v>0</v>
      </c>
      <c r="P99" s="73">
        <f t="shared" si="26"/>
        <v>0</v>
      </c>
      <c r="Q99" s="73">
        <f t="shared" si="27"/>
        <v>0</v>
      </c>
      <c r="R99" s="73">
        <f t="shared" si="28"/>
        <v>0</v>
      </c>
      <c r="S99" s="73">
        <f t="shared" si="29"/>
        <v>0</v>
      </c>
      <c r="T99" s="73">
        <f t="shared" si="30"/>
        <v>0</v>
      </c>
      <c r="U99" s="73">
        <f t="shared" si="31"/>
        <v>0</v>
      </c>
      <c r="V99" s="73">
        <f t="shared" si="32"/>
        <v>0</v>
      </c>
      <c r="W99" s="73">
        <f t="shared" si="33"/>
        <v>0</v>
      </c>
      <c r="X99" s="74"/>
    </row>
    <row r="100" spans="1:24" ht="21.75" hidden="1">
      <c r="A100" s="69">
        <v>1204</v>
      </c>
      <c r="B100" s="76">
        <v>12</v>
      </c>
      <c r="C100" s="77">
        <v>97</v>
      </c>
      <c r="D100" s="78" t="s">
        <v>582</v>
      </c>
      <c r="E100" s="79" t="s">
        <v>583</v>
      </c>
      <c r="F100" s="80">
        <v>-522052</v>
      </c>
      <c r="G100" s="73">
        <f t="shared" si="17"/>
        <v>0</v>
      </c>
      <c r="H100" s="73">
        <f t="shared" si="18"/>
        <v>0</v>
      </c>
      <c r="I100" s="73">
        <f t="shared" si="19"/>
        <v>0</v>
      </c>
      <c r="J100" s="73">
        <f t="shared" si="20"/>
        <v>0</v>
      </c>
      <c r="K100" s="73">
        <f t="shared" si="21"/>
        <v>0</v>
      </c>
      <c r="L100" s="73">
        <f t="shared" si="22"/>
        <v>0</v>
      </c>
      <c r="M100" s="73">
        <f t="shared" si="23"/>
        <v>0</v>
      </c>
      <c r="N100" s="73">
        <f t="shared" si="24"/>
        <v>0</v>
      </c>
      <c r="O100" s="73">
        <f t="shared" si="25"/>
        <v>0</v>
      </c>
      <c r="P100" s="73">
        <f t="shared" si="26"/>
        <v>-522052</v>
      </c>
      <c r="Q100" s="73">
        <f t="shared" si="27"/>
        <v>0</v>
      </c>
      <c r="R100" s="73">
        <f t="shared" si="28"/>
        <v>0</v>
      </c>
      <c r="S100" s="73">
        <f t="shared" si="29"/>
        <v>0</v>
      </c>
      <c r="T100" s="73">
        <f t="shared" si="30"/>
        <v>0</v>
      </c>
      <c r="U100" s="73">
        <f t="shared" si="31"/>
        <v>0</v>
      </c>
      <c r="V100" s="73">
        <f t="shared" si="32"/>
        <v>0</v>
      </c>
      <c r="W100" s="73">
        <f t="shared" si="33"/>
        <v>0</v>
      </c>
      <c r="X100" s="81"/>
    </row>
    <row r="101" spans="1:24" ht="21.75" hidden="1">
      <c r="A101" s="69">
        <v>502</v>
      </c>
      <c r="B101" s="76">
        <v>5</v>
      </c>
      <c r="C101" s="71">
        <v>98</v>
      </c>
      <c r="D101" s="46" t="s">
        <v>260</v>
      </c>
      <c r="E101" s="72" t="s">
        <v>261</v>
      </c>
      <c r="F101" s="73">
        <v>46731768</v>
      </c>
      <c r="G101" s="73">
        <f t="shared" si="17"/>
        <v>0</v>
      </c>
      <c r="H101" s="73">
        <f t="shared" si="18"/>
        <v>46731768</v>
      </c>
      <c r="I101" s="73">
        <f t="shared" si="19"/>
        <v>0</v>
      </c>
      <c r="J101" s="73">
        <f t="shared" si="20"/>
        <v>0</v>
      </c>
      <c r="K101" s="73">
        <f t="shared" si="21"/>
        <v>0</v>
      </c>
      <c r="L101" s="73">
        <f t="shared" si="22"/>
        <v>0</v>
      </c>
      <c r="M101" s="73">
        <f t="shared" si="23"/>
        <v>0</v>
      </c>
      <c r="N101" s="73">
        <f t="shared" si="24"/>
        <v>0</v>
      </c>
      <c r="O101" s="73">
        <f t="shared" si="25"/>
        <v>0</v>
      </c>
      <c r="P101" s="73">
        <f t="shared" si="26"/>
        <v>0</v>
      </c>
      <c r="Q101" s="73">
        <f t="shared" si="27"/>
        <v>0</v>
      </c>
      <c r="R101" s="73">
        <f t="shared" si="28"/>
        <v>0</v>
      </c>
      <c r="S101" s="73">
        <f t="shared" si="29"/>
        <v>0</v>
      </c>
      <c r="T101" s="73">
        <f t="shared" si="30"/>
        <v>0</v>
      </c>
      <c r="U101" s="73">
        <f t="shared" si="31"/>
        <v>0</v>
      </c>
      <c r="V101" s="73">
        <f t="shared" si="32"/>
        <v>0</v>
      </c>
      <c r="W101" s="73">
        <f t="shared" si="33"/>
        <v>0</v>
      </c>
      <c r="X101" s="74"/>
    </row>
    <row r="102" spans="1:24" ht="21.75" hidden="1">
      <c r="A102" s="69">
        <v>1204</v>
      </c>
      <c r="B102" s="76">
        <v>12</v>
      </c>
      <c r="C102" s="77">
        <v>99</v>
      </c>
      <c r="D102" s="78" t="s">
        <v>262</v>
      </c>
      <c r="E102" s="79" t="s">
        <v>263</v>
      </c>
      <c r="F102" s="80">
        <v>-9755112</v>
      </c>
      <c r="G102" s="73">
        <f t="shared" si="17"/>
        <v>0</v>
      </c>
      <c r="H102" s="73">
        <f t="shared" si="18"/>
        <v>0</v>
      </c>
      <c r="I102" s="73">
        <f t="shared" si="19"/>
        <v>0</v>
      </c>
      <c r="J102" s="73">
        <f t="shared" si="20"/>
        <v>0</v>
      </c>
      <c r="K102" s="73">
        <f t="shared" si="21"/>
        <v>0</v>
      </c>
      <c r="L102" s="73">
        <f t="shared" si="22"/>
        <v>0</v>
      </c>
      <c r="M102" s="73">
        <f t="shared" si="23"/>
        <v>0</v>
      </c>
      <c r="N102" s="73">
        <f t="shared" si="24"/>
        <v>0</v>
      </c>
      <c r="O102" s="73">
        <f t="shared" si="25"/>
        <v>0</v>
      </c>
      <c r="P102" s="73">
        <f t="shared" si="26"/>
        <v>-9755112</v>
      </c>
      <c r="Q102" s="73">
        <f t="shared" si="27"/>
        <v>0</v>
      </c>
      <c r="R102" s="73">
        <f t="shared" si="28"/>
        <v>0</v>
      </c>
      <c r="S102" s="73">
        <f t="shared" si="29"/>
        <v>0</v>
      </c>
      <c r="T102" s="73">
        <f t="shared" si="30"/>
        <v>0</v>
      </c>
      <c r="U102" s="73">
        <f t="shared" si="31"/>
        <v>0</v>
      </c>
      <c r="V102" s="73">
        <f t="shared" si="32"/>
        <v>0</v>
      </c>
      <c r="W102" s="73">
        <f t="shared" si="33"/>
        <v>0</v>
      </c>
      <c r="X102" s="81"/>
    </row>
    <row r="103" spans="1:24" ht="21.75" hidden="1">
      <c r="A103" s="69">
        <v>502</v>
      </c>
      <c r="B103" s="76">
        <v>5</v>
      </c>
      <c r="C103" s="71">
        <v>100</v>
      </c>
      <c r="D103" s="46" t="s">
        <v>584</v>
      </c>
      <c r="E103" s="72" t="s">
        <v>585</v>
      </c>
      <c r="F103" s="73">
        <v>480000</v>
      </c>
      <c r="G103" s="73">
        <f t="shared" si="17"/>
        <v>0</v>
      </c>
      <c r="H103" s="73">
        <f t="shared" si="18"/>
        <v>480000</v>
      </c>
      <c r="I103" s="73">
        <f t="shared" si="19"/>
        <v>0</v>
      </c>
      <c r="J103" s="73">
        <f t="shared" si="20"/>
        <v>0</v>
      </c>
      <c r="K103" s="73">
        <f t="shared" si="21"/>
        <v>0</v>
      </c>
      <c r="L103" s="73">
        <f t="shared" si="22"/>
        <v>0</v>
      </c>
      <c r="M103" s="73">
        <f t="shared" si="23"/>
        <v>0</v>
      </c>
      <c r="N103" s="73">
        <f t="shared" si="24"/>
        <v>0</v>
      </c>
      <c r="O103" s="73">
        <f t="shared" si="25"/>
        <v>0</v>
      </c>
      <c r="P103" s="73">
        <f t="shared" si="26"/>
        <v>0</v>
      </c>
      <c r="Q103" s="73">
        <f t="shared" si="27"/>
        <v>0</v>
      </c>
      <c r="R103" s="73">
        <f t="shared" si="28"/>
        <v>0</v>
      </c>
      <c r="S103" s="73">
        <f t="shared" si="29"/>
        <v>0</v>
      </c>
      <c r="T103" s="73">
        <f t="shared" si="30"/>
        <v>0</v>
      </c>
      <c r="U103" s="73">
        <f t="shared" si="31"/>
        <v>0</v>
      </c>
      <c r="V103" s="73">
        <f t="shared" si="32"/>
        <v>0</v>
      </c>
      <c r="W103" s="73">
        <f t="shared" si="33"/>
        <v>0</v>
      </c>
      <c r="X103" s="74"/>
    </row>
    <row r="104" spans="1:24" ht="21.75" hidden="1">
      <c r="A104" s="69">
        <v>502</v>
      </c>
      <c r="B104" s="76">
        <v>5</v>
      </c>
      <c r="C104" s="77">
        <v>101</v>
      </c>
      <c r="D104" s="78" t="s">
        <v>546</v>
      </c>
      <c r="E104" s="79" t="s">
        <v>170</v>
      </c>
      <c r="F104" s="80">
        <v>215622522</v>
      </c>
      <c r="G104" s="73">
        <f t="shared" si="17"/>
        <v>0</v>
      </c>
      <c r="H104" s="73">
        <f t="shared" si="18"/>
        <v>215622522</v>
      </c>
      <c r="I104" s="73">
        <f t="shared" si="19"/>
        <v>0</v>
      </c>
      <c r="J104" s="73">
        <f t="shared" si="20"/>
        <v>0</v>
      </c>
      <c r="K104" s="73">
        <f t="shared" si="21"/>
        <v>0</v>
      </c>
      <c r="L104" s="73">
        <f t="shared" si="22"/>
        <v>0</v>
      </c>
      <c r="M104" s="73">
        <f t="shared" si="23"/>
        <v>0</v>
      </c>
      <c r="N104" s="73">
        <f t="shared" si="24"/>
        <v>0</v>
      </c>
      <c r="O104" s="73">
        <f t="shared" si="25"/>
        <v>0</v>
      </c>
      <c r="P104" s="73">
        <f t="shared" si="26"/>
        <v>0</v>
      </c>
      <c r="Q104" s="73">
        <f t="shared" si="27"/>
        <v>0</v>
      </c>
      <c r="R104" s="73">
        <f t="shared" si="28"/>
        <v>0</v>
      </c>
      <c r="S104" s="73">
        <f t="shared" si="29"/>
        <v>0</v>
      </c>
      <c r="T104" s="73">
        <f t="shared" si="30"/>
        <v>0</v>
      </c>
      <c r="U104" s="73">
        <f t="shared" si="31"/>
        <v>0</v>
      </c>
      <c r="V104" s="73">
        <f t="shared" si="32"/>
        <v>0</v>
      </c>
      <c r="W104" s="73">
        <f t="shared" si="33"/>
        <v>0</v>
      </c>
      <c r="X104" s="81"/>
    </row>
    <row r="105" spans="1:24" ht="21.75" hidden="1">
      <c r="A105" s="69">
        <v>502</v>
      </c>
      <c r="B105" s="76">
        <v>5</v>
      </c>
      <c r="C105" s="71">
        <v>102</v>
      </c>
      <c r="D105" s="46" t="s">
        <v>299</v>
      </c>
      <c r="E105" s="72" t="s">
        <v>300</v>
      </c>
      <c r="F105" s="73">
        <v>128326234</v>
      </c>
      <c r="G105" s="73">
        <f t="shared" si="17"/>
        <v>0</v>
      </c>
      <c r="H105" s="73">
        <f t="shared" si="18"/>
        <v>128326234</v>
      </c>
      <c r="I105" s="73">
        <f t="shared" si="19"/>
        <v>0</v>
      </c>
      <c r="J105" s="73">
        <f t="shared" si="20"/>
        <v>0</v>
      </c>
      <c r="K105" s="73">
        <f t="shared" si="21"/>
        <v>0</v>
      </c>
      <c r="L105" s="73">
        <f t="shared" si="22"/>
        <v>0</v>
      </c>
      <c r="M105" s="73">
        <f t="shared" si="23"/>
        <v>0</v>
      </c>
      <c r="N105" s="73">
        <f t="shared" si="24"/>
        <v>0</v>
      </c>
      <c r="O105" s="73">
        <f t="shared" si="25"/>
        <v>0</v>
      </c>
      <c r="P105" s="73">
        <f t="shared" si="26"/>
        <v>0</v>
      </c>
      <c r="Q105" s="73">
        <f t="shared" si="27"/>
        <v>0</v>
      </c>
      <c r="R105" s="73">
        <f t="shared" si="28"/>
        <v>0</v>
      </c>
      <c r="S105" s="73">
        <f t="shared" si="29"/>
        <v>0</v>
      </c>
      <c r="T105" s="73">
        <f t="shared" si="30"/>
        <v>0</v>
      </c>
      <c r="U105" s="73">
        <f t="shared" si="31"/>
        <v>0</v>
      </c>
      <c r="V105" s="73">
        <f t="shared" si="32"/>
        <v>0</v>
      </c>
      <c r="W105" s="73">
        <f t="shared" si="33"/>
        <v>0</v>
      </c>
      <c r="X105" s="74"/>
    </row>
    <row r="106" spans="1:24" ht="21.75" hidden="1">
      <c r="A106" s="69">
        <v>1204</v>
      </c>
      <c r="B106" s="76">
        <v>12</v>
      </c>
      <c r="C106" s="77">
        <v>103</v>
      </c>
      <c r="D106" s="78" t="s">
        <v>301</v>
      </c>
      <c r="E106" s="79" t="s">
        <v>302</v>
      </c>
      <c r="F106" s="80">
        <v>-25134871</v>
      </c>
      <c r="G106" s="73">
        <f t="shared" si="17"/>
        <v>0</v>
      </c>
      <c r="H106" s="73">
        <f t="shared" si="18"/>
        <v>0</v>
      </c>
      <c r="I106" s="73">
        <f t="shared" si="19"/>
        <v>0</v>
      </c>
      <c r="J106" s="73">
        <f t="shared" si="20"/>
        <v>0</v>
      </c>
      <c r="K106" s="73">
        <f t="shared" si="21"/>
        <v>0</v>
      </c>
      <c r="L106" s="73">
        <f t="shared" si="22"/>
        <v>0</v>
      </c>
      <c r="M106" s="73">
        <f t="shared" si="23"/>
        <v>0</v>
      </c>
      <c r="N106" s="73">
        <f t="shared" si="24"/>
        <v>0</v>
      </c>
      <c r="O106" s="73">
        <f t="shared" si="25"/>
        <v>0</v>
      </c>
      <c r="P106" s="73">
        <f t="shared" si="26"/>
        <v>-25134871</v>
      </c>
      <c r="Q106" s="73">
        <f t="shared" si="27"/>
        <v>0</v>
      </c>
      <c r="R106" s="73">
        <f t="shared" si="28"/>
        <v>0</v>
      </c>
      <c r="S106" s="73">
        <f t="shared" si="29"/>
        <v>0</v>
      </c>
      <c r="T106" s="73">
        <f t="shared" si="30"/>
        <v>0</v>
      </c>
      <c r="U106" s="73">
        <f t="shared" si="31"/>
        <v>0</v>
      </c>
      <c r="V106" s="73">
        <f t="shared" si="32"/>
        <v>0</v>
      </c>
      <c r="W106" s="73">
        <f t="shared" si="33"/>
        <v>0</v>
      </c>
      <c r="X106" s="81"/>
    </row>
    <row r="107" spans="1:24" ht="21.75" hidden="1">
      <c r="A107" s="69">
        <v>1204</v>
      </c>
      <c r="B107" s="70">
        <v>12</v>
      </c>
      <c r="C107" s="71">
        <v>104</v>
      </c>
      <c r="D107" s="46" t="s">
        <v>264</v>
      </c>
      <c r="E107" s="72" t="s">
        <v>265</v>
      </c>
      <c r="F107" s="73">
        <v>-34057183</v>
      </c>
      <c r="G107" s="73">
        <f t="shared" si="17"/>
        <v>0</v>
      </c>
      <c r="H107" s="73">
        <f t="shared" si="18"/>
        <v>0</v>
      </c>
      <c r="I107" s="73">
        <f t="shared" si="19"/>
        <v>0</v>
      </c>
      <c r="J107" s="73">
        <f t="shared" si="20"/>
        <v>0</v>
      </c>
      <c r="K107" s="73">
        <f t="shared" si="21"/>
        <v>0</v>
      </c>
      <c r="L107" s="73">
        <f t="shared" si="22"/>
        <v>0</v>
      </c>
      <c r="M107" s="73">
        <f t="shared" si="23"/>
        <v>0</v>
      </c>
      <c r="N107" s="73">
        <f t="shared" si="24"/>
        <v>0</v>
      </c>
      <c r="O107" s="73">
        <f t="shared" si="25"/>
        <v>0</v>
      </c>
      <c r="P107" s="73">
        <f t="shared" si="26"/>
        <v>-34057183</v>
      </c>
      <c r="Q107" s="73">
        <f t="shared" si="27"/>
        <v>0</v>
      </c>
      <c r="R107" s="73">
        <f t="shared" si="28"/>
        <v>0</v>
      </c>
      <c r="S107" s="73">
        <f t="shared" si="29"/>
        <v>0</v>
      </c>
      <c r="T107" s="73">
        <f t="shared" si="30"/>
        <v>0</v>
      </c>
      <c r="U107" s="73">
        <f t="shared" si="31"/>
        <v>0</v>
      </c>
      <c r="V107" s="73">
        <f t="shared" si="32"/>
        <v>0</v>
      </c>
      <c r="W107" s="73">
        <f t="shared" si="33"/>
        <v>0</v>
      </c>
      <c r="X107" s="74"/>
    </row>
    <row r="108" spans="1:24" ht="21.75" hidden="1">
      <c r="A108" s="69">
        <v>1204</v>
      </c>
      <c r="B108" s="76">
        <v>12</v>
      </c>
      <c r="C108" s="77">
        <v>105</v>
      </c>
      <c r="D108" s="78" t="s">
        <v>305</v>
      </c>
      <c r="E108" s="79" t="s">
        <v>172</v>
      </c>
      <c r="F108" s="80">
        <v>-2946634915</v>
      </c>
      <c r="G108" s="73">
        <f t="shared" si="17"/>
        <v>0</v>
      </c>
      <c r="H108" s="73">
        <f t="shared" si="18"/>
        <v>0</v>
      </c>
      <c r="I108" s="73">
        <f t="shared" si="19"/>
        <v>0</v>
      </c>
      <c r="J108" s="73">
        <f t="shared" si="20"/>
        <v>0</v>
      </c>
      <c r="K108" s="73">
        <f t="shared" si="21"/>
        <v>0</v>
      </c>
      <c r="L108" s="73">
        <f t="shared" si="22"/>
        <v>0</v>
      </c>
      <c r="M108" s="73">
        <f t="shared" si="23"/>
        <v>0</v>
      </c>
      <c r="N108" s="73">
        <f t="shared" si="24"/>
        <v>0</v>
      </c>
      <c r="O108" s="73">
        <f t="shared" si="25"/>
        <v>0</v>
      </c>
      <c r="P108" s="73">
        <f t="shared" si="26"/>
        <v>-2946634915</v>
      </c>
      <c r="Q108" s="73">
        <f t="shared" si="27"/>
        <v>0</v>
      </c>
      <c r="R108" s="73">
        <f t="shared" si="28"/>
        <v>0</v>
      </c>
      <c r="S108" s="73">
        <f t="shared" si="29"/>
        <v>0</v>
      </c>
      <c r="T108" s="73">
        <f t="shared" si="30"/>
        <v>0</v>
      </c>
      <c r="U108" s="73">
        <f t="shared" si="31"/>
        <v>0</v>
      </c>
      <c r="V108" s="73">
        <f t="shared" si="32"/>
        <v>0</v>
      </c>
      <c r="W108" s="73">
        <f t="shared" si="33"/>
        <v>0</v>
      </c>
      <c r="X108" s="81"/>
    </row>
    <row r="109" spans="1:24" ht="21.75" hidden="1">
      <c r="A109" s="69">
        <v>1204</v>
      </c>
      <c r="B109" s="70">
        <v>12</v>
      </c>
      <c r="C109" s="71">
        <v>106</v>
      </c>
      <c r="D109" s="46" t="s">
        <v>306</v>
      </c>
      <c r="E109" s="72" t="s">
        <v>307</v>
      </c>
      <c r="F109" s="73">
        <v>-79050116</v>
      </c>
      <c r="G109" s="73">
        <f t="shared" si="17"/>
        <v>0</v>
      </c>
      <c r="H109" s="73">
        <f t="shared" si="18"/>
        <v>0</v>
      </c>
      <c r="I109" s="73">
        <f t="shared" si="19"/>
        <v>0</v>
      </c>
      <c r="J109" s="73">
        <f t="shared" si="20"/>
        <v>0</v>
      </c>
      <c r="K109" s="73">
        <f t="shared" si="21"/>
        <v>0</v>
      </c>
      <c r="L109" s="73">
        <f t="shared" si="22"/>
        <v>0</v>
      </c>
      <c r="M109" s="73">
        <f t="shared" si="23"/>
        <v>0</v>
      </c>
      <c r="N109" s="73">
        <f t="shared" si="24"/>
        <v>0</v>
      </c>
      <c r="O109" s="73">
        <f t="shared" si="25"/>
        <v>0</v>
      </c>
      <c r="P109" s="73">
        <f t="shared" si="26"/>
        <v>-79050116</v>
      </c>
      <c r="Q109" s="73">
        <f t="shared" si="27"/>
        <v>0</v>
      </c>
      <c r="R109" s="73">
        <f t="shared" si="28"/>
        <v>0</v>
      </c>
      <c r="S109" s="73">
        <f t="shared" si="29"/>
        <v>0</v>
      </c>
      <c r="T109" s="73">
        <f t="shared" si="30"/>
        <v>0</v>
      </c>
      <c r="U109" s="73">
        <f t="shared" si="31"/>
        <v>0</v>
      </c>
      <c r="V109" s="73">
        <f t="shared" si="32"/>
        <v>0</v>
      </c>
      <c r="W109" s="73">
        <f t="shared" si="33"/>
        <v>0</v>
      </c>
      <c r="X109" s="74"/>
    </row>
    <row r="110" spans="1:24" ht="21.75" hidden="1">
      <c r="A110" s="69">
        <v>1204</v>
      </c>
      <c r="B110" s="76">
        <v>12</v>
      </c>
      <c r="C110" s="77">
        <v>107</v>
      </c>
      <c r="D110" s="78" t="s">
        <v>308</v>
      </c>
      <c r="E110" s="79" t="s">
        <v>309</v>
      </c>
      <c r="F110" s="80">
        <v>-123919862</v>
      </c>
      <c r="G110" s="73">
        <f t="shared" si="17"/>
        <v>0</v>
      </c>
      <c r="H110" s="73">
        <f t="shared" si="18"/>
        <v>0</v>
      </c>
      <c r="I110" s="73">
        <f t="shared" si="19"/>
        <v>0</v>
      </c>
      <c r="J110" s="73">
        <f t="shared" si="20"/>
        <v>0</v>
      </c>
      <c r="K110" s="73">
        <f t="shared" si="21"/>
        <v>0</v>
      </c>
      <c r="L110" s="73">
        <f t="shared" si="22"/>
        <v>0</v>
      </c>
      <c r="M110" s="73">
        <f t="shared" si="23"/>
        <v>0</v>
      </c>
      <c r="N110" s="73">
        <f t="shared" si="24"/>
        <v>0</v>
      </c>
      <c r="O110" s="73">
        <f t="shared" si="25"/>
        <v>0</v>
      </c>
      <c r="P110" s="73">
        <f t="shared" si="26"/>
        <v>-123919862</v>
      </c>
      <c r="Q110" s="73">
        <f t="shared" si="27"/>
        <v>0</v>
      </c>
      <c r="R110" s="73">
        <f t="shared" si="28"/>
        <v>0</v>
      </c>
      <c r="S110" s="73">
        <f t="shared" si="29"/>
        <v>0</v>
      </c>
      <c r="T110" s="73">
        <f t="shared" si="30"/>
        <v>0</v>
      </c>
      <c r="U110" s="73">
        <f t="shared" si="31"/>
        <v>0</v>
      </c>
      <c r="V110" s="73">
        <f t="shared" si="32"/>
        <v>0</v>
      </c>
      <c r="W110" s="73">
        <f t="shared" si="33"/>
        <v>0</v>
      </c>
      <c r="X110" s="81"/>
    </row>
    <row r="111" spans="1:24" ht="21.75" hidden="1">
      <c r="A111" s="69">
        <v>1204</v>
      </c>
      <c r="B111" s="70">
        <v>12</v>
      </c>
      <c r="C111" s="71">
        <v>108</v>
      </c>
      <c r="D111" s="46" t="s">
        <v>310</v>
      </c>
      <c r="E111" s="72" t="s">
        <v>108</v>
      </c>
      <c r="F111" s="73">
        <v>-154581722</v>
      </c>
      <c r="G111" s="73">
        <f t="shared" si="17"/>
        <v>0</v>
      </c>
      <c r="H111" s="73">
        <f t="shared" si="18"/>
        <v>0</v>
      </c>
      <c r="I111" s="73">
        <f t="shared" si="19"/>
        <v>0</v>
      </c>
      <c r="J111" s="73">
        <f t="shared" si="20"/>
        <v>0</v>
      </c>
      <c r="K111" s="73">
        <f t="shared" si="21"/>
        <v>0</v>
      </c>
      <c r="L111" s="73">
        <f t="shared" si="22"/>
        <v>0</v>
      </c>
      <c r="M111" s="73">
        <f t="shared" si="23"/>
        <v>0</v>
      </c>
      <c r="N111" s="73">
        <f t="shared" si="24"/>
        <v>0</v>
      </c>
      <c r="O111" s="73">
        <f t="shared" si="25"/>
        <v>0</v>
      </c>
      <c r="P111" s="73">
        <f t="shared" si="26"/>
        <v>-154581722</v>
      </c>
      <c r="Q111" s="73">
        <f t="shared" si="27"/>
        <v>0</v>
      </c>
      <c r="R111" s="73">
        <f t="shared" si="28"/>
        <v>0</v>
      </c>
      <c r="S111" s="73">
        <f t="shared" si="29"/>
        <v>0</v>
      </c>
      <c r="T111" s="73">
        <f t="shared" si="30"/>
        <v>0</v>
      </c>
      <c r="U111" s="73">
        <f t="shared" si="31"/>
        <v>0</v>
      </c>
      <c r="V111" s="73">
        <f t="shared" si="32"/>
        <v>0</v>
      </c>
      <c r="W111" s="73">
        <f t="shared" si="33"/>
        <v>0</v>
      </c>
      <c r="X111" s="74"/>
    </row>
    <row r="112" spans="1:24" ht="21.75" hidden="1">
      <c r="A112" s="69">
        <v>1204</v>
      </c>
      <c r="B112" s="76">
        <v>12</v>
      </c>
      <c r="C112" s="77">
        <v>109</v>
      </c>
      <c r="D112" s="78" t="s">
        <v>110</v>
      </c>
      <c r="E112" s="79" t="s">
        <v>174</v>
      </c>
      <c r="F112" s="80">
        <v>-27576959</v>
      </c>
      <c r="G112" s="73">
        <f t="shared" si="17"/>
        <v>0</v>
      </c>
      <c r="H112" s="73">
        <f t="shared" si="18"/>
        <v>0</v>
      </c>
      <c r="I112" s="73">
        <f t="shared" si="19"/>
        <v>0</v>
      </c>
      <c r="J112" s="73">
        <f t="shared" si="20"/>
        <v>0</v>
      </c>
      <c r="K112" s="73">
        <f t="shared" si="21"/>
        <v>0</v>
      </c>
      <c r="L112" s="73">
        <f t="shared" si="22"/>
        <v>0</v>
      </c>
      <c r="M112" s="73">
        <f t="shared" si="23"/>
        <v>0</v>
      </c>
      <c r="N112" s="73">
        <f t="shared" si="24"/>
        <v>0</v>
      </c>
      <c r="O112" s="73">
        <f t="shared" si="25"/>
        <v>0</v>
      </c>
      <c r="P112" s="73">
        <f t="shared" si="26"/>
        <v>-27576959</v>
      </c>
      <c r="Q112" s="73">
        <f t="shared" si="27"/>
        <v>0</v>
      </c>
      <c r="R112" s="73">
        <f t="shared" si="28"/>
        <v>0</v>
      </c>
      <c r="S112" s="73">
        <f t="shared" si="29"/>
        <v>0</v>
      </c>
      <c r="T112" s="73">
        <f t="shared" si="30"/>
        <v>0</v>
      </c>
      <c r="U112" s="73">
        <f t="shared" si="31"/>
        <v>0</v>
      </c>
      <c r="V112" s="73">
        <f t="shared" si="32"/>
        <v>0</v>
      </c>
      <c r="W112" s="73">
        <f t="shared" si="33"/>
        <v>0</v>
      </c>
      <c r="X112" s="81"/>
    </row>
    <row r="113" spans="1:24" ht="21.75" hidden="1">
      <c r="A113" s="69">
        <v>502</v>
      </c>
      <c r="B113" s="76">
        <v>5</v>
      </c>
      <c r="C113" s="71">
        <v>110</v>
      </c>
      <c r="D113" s="46" t="s">
        <v>335</v>
      </c>
      <c r="E113" s="72" t="s">
        <v>175</v>
      </c>
      <c r="F113" s="73">
        <v>25048443</v>
      </c>
      <c r="G113" s="73">
        <f t="shared" si="17"/>
        <v>0</v>
      </c>
      <c r="H113" s="73">
        <f t="shared" si="18"/>
        <v>25048443</v>
      </c>
      <c r="I113" s="73">
        <f t="shared" si="19"/>
        <v>0</v>
      </c>
      <c r="J113" s="73">
        <f t="shared" si="20"/>
        <v>0</v>
      </c>
      <c r="K113" s="73">
        <f t="shared" si="21"/>
        <v>0</v>
      </c>
      <c r="L113" s="73">
        <f t="shared" si="22"/>
        <v>0</v>
      </c>
      <c r="M113" s="73">
        <f t="shared" si="23"/>
        <v>0</v>
      </c>
      <c r="N113" s="73">
        <f t="shared" si="24"/>
        <v>0</v>
      </c>
      <c r="O113" s="73">
        <f t="shared" si="25"/>
        <v>0</v>
      </c>
      <c r="P113" s="73">
        <f t="shared" si="26"/>
        <v>0</v>
      </c>
      <c r="Q113" s="73">
        <f t="shared" si="27"/>
        <v>0</v>
      </c>
      <c r="R113" s="73">
        <f t="shared" si="28"/>
        <v>0</v>
      </c>
      <c r="S113" s="73">
        <f t="shared" si="29"/>
        <v>0</v>
      </c>
      <c r="T113" s="73">
        <f t="shared" si="30"/>
        <v>0</v>
      </c>
      <c r="U113" s="73">
        <f t="shared" si="31"/>
        <v>0</v>
      </c>
      <c r="V113" s="73">
        <f t="shared" si="32"/>
        <v>0</v>
      </c>
      <c r="W113" s="73">
        <f t="shared" si="33"/>
        <v>0</v>
      </c>
      <c r="X113" s="74"/>
    </row>
    <row r="114" spans="1:24" ht="21.75" hidden="1">
      <c r="A114" s="75">
        <v>503</v>
      </c>
      <c r="B114" s="76">
        <v>5</v>
      </c>
      <c r="C114" s="77">
        <v>111</v>
      </c>
      <c r="D114" s="78" t="s">
        <v>336</v>
      </c>
      <c r="E114" s="79" t="s">
        <v>337</v>
      </c>
      <c r="F114" s="80">
        <v>1364220000</v>
      </c>
      <c r="G114" s="73">
        <f t="shared" si="17"/>
        <v>0</v>
      </c>
      <c r="H114" s="73">
        <f t="shared" si="18"/>
        <v>1364220000</v>
      </c>
      <c r="I114" s="73">
        <f t="shared" si="19"/>
        <v>0</v>
      </c>
      <c r="J114" s="73">
        <f t="shared" si="20"/>
        <v>0</v>
      </c>
      <c r="K114" s="73">
        <f t="shared" si="21"/>
        <v>0</v>
      </c>
      <c r="L114" s="73">
        <f t="shared" si="22"/>
        <v>0</v>
      </c>
      <c r="M114" s="73">
        <f t="shared" si="23"/>
        <v>0</v>
      </c>
      <c r="N114" s="73">
        <f t="shared" si="24"/>
        <v>0</v>
      </c>
      <c r="O114" s="73">
        <f t="shared" si="25"/>
        <v>0</v>
      </c>
      <c r="P114" s="73">
        <f t="shared" si="26"/>
        <v>0</v>
      </c>
      <c r="Q114" s="73">
        <f t="shared" si="27"/>
        <v>0</v>
      </c>
      <c r="R114" s="73">
        <f t="shared" si="28"/>
        <v>0</v>
      </c>
      <c r="S114" s="73">
        <f t="shared" si="29"/>
        <v>0</v>
      </c>
      <c r="T114" s="73">
        <f t="shared" si="30"/>
        <v>0</v>
      </c>
      <c r="U114" s="73">
        <f t="shared" si="31"/>
        <v>0</v>
      </c>
      <c r="V114" s="73">
        <f t="shared" si="32"/>
        <v>0</v>
      </c>
      <c r="W114" s="73">
        <f t="shared" si="33"/>
        <v>0</v>
      </c>
      <c r="X114" s="81"/>
    </row>
    <row r="115" spans="1:24" ht="21.75" hidden="1">
      <c r="A115" s="69">
        <v>502</v>
      </c>
      <c r="B115" s="76">
        <v>5</v>
      </c>
      <c r="C115" s="71">
        <v>112</v>
      </c>
      <c r="D115" s="46" t="s">
        <v>336</v>
      </c>
      <c r="E115" s="72" t="s">
        <v>337</v>
      </c>
      <c r="F115" s="73">
        <v>5275275683</v>
      </c>
      <c r="G115" s="73">
        <f t="shared" si="17"/>
        <v>0</v>
      </c>
      <c r="H115" s="73">
        <f t="shared" si="18"/>
        <v>5275275683</v>
      </c>
      <c r="I115" s="73">
        <f t="shared" si="19"/>
        <v>0</v>
      </c>
      <c r="J115" s="73">
        <f t="shared" si="20"/>
        <v>0</v>
      </c>
      <c r="K115" s="73">
        <f t="shared" si="21"/>
        <v>0</v>
      </c>
      <c r="L115" s="73">
        <f t="shared" si="22"/>
        <v>0</v>
      </c>
      <c r="M115" s="73">
        <f t="shared" si="23"/>
        <v>0</v>
      </c>
      <c r="N115" s="73">
        <f t="shared" si="24"/>
        <v>0</v>
      </c>
      <c r="O115" s="73">
        <f t="shared" si="25"/>
        <v>0</v>
      </c>
      <c r="P115" s="73">
        <f t="shared" si="26"/>
        <v>0</v>
      </c>
      <c r="Q115" s="73">
        <f t="shared" si="27"/>
        <v>0</v>
      </c>
      <c r="R115" s="73">
        <f t="shared" si="28"/>
        <v>0</v>
      </c>
      <c r="S115" s="73">
        <f t="shared" si="29"/>
        <v>0</v>
      </c>
      <c r="T115" s="73">
        <f t="shared" si="30"/>
        <v>0</v>
      </c>
      <c r="U115" s="73">
        <f t="shared" si="31"/>
        <v>0</v>
      </c>
      <c r="V115" s="73">
        <f t="shared" si="32"/>
        <v>0</v>
      </c>
      <c r="W115" s="73">
        <f t="shared" si="33"/>
        <v>0</v>
      </c>
      <c r="X115" s="74"/>
    </row>
    <row r="116" spans="1:24" ht="21.75" hidden="1">
      <c r="A116" s="69">
        <v>502</v>
      </c>
      <c r="B116" s="76">
        <v>5</v>
      </c>
      <c r="C116" s="77">
        <v>113</v>
      </c>
      <c r="D116" s="78" t="s">
        <v>338</v>
      </c>
      <c r="E116" s="79" t="s">
        <v>152</v>
      </c>
      <c r="F116" s="80">
        <v>29941433814</v>
      </c>
      <c r="G116" s="73">
        <f t="shared" si="17"/>
        <v>0</v>
      </c>
      <c r="H116" s="73">
        <f t="shared" si="18"/>
        <v>29941433814</v>
      </c>
      <c r="I116" s="73">
        <f t="shared" si="19"/>
        <v>0</v>
      </c>
      <c r="J116" s="73">
        <f t="shared" si="20"/>
        <v>0</v>
      </c>
      <c r="K116" s="73">
        <f t="shared" si="21"/>
        <v>0</v>
      </c>
      <c r="L116" s="73">
        <f t="shared" si="22"/>
        <v>0</v>
      </c>
      <c r="M116" s="73">
        <f t="shared" si="23"/>
        <v>0</v>
      </c>
      <c r="N116" s="73">
        <f t="shared" si="24"/>
        <v>0</v>
      </c>
      <c r="O116" s="73">
        <f t="shared" si="25"/>
        <v>0</v>
      </c>
      <c r="P116" s="73">
        <f t="shared" si="26"/>
        <v>0</v>
      </c>
      <c r="Q116" s="73">
        <f t="shared" si="27"/>
        <v>0</v>
      </c>
      <c r="R116" s="73">
        <f t="shared" si="28"/>
        <v>0</v>
      </c>
      <c r="S116" s="73">
        <f t="shared" si="29"/>
        <v>0</v>
      </c>
      <c r="T116" s="73">
        <f t="shared" si="30"/>
        <v>0</v>
      </c>
      <c r="U116" s="73">
        <f t="shared" si="31"/>
        <v>0</v>
      </c>
      <c r="V116" s="73">
        <f t="shared" si="32"/>
        <v>0</v>
      </c>
      <c r="W116" s="73">
        <f t="shared" si="33"/>
        <v>0</v>
      </c>
      <c r="X116" s="81"/>
    </row>
    <row r="117" spans="1:24" ht="21.75" hidden="1">
      <c r="A117" s="69">
        <v>502</v>
      </c>
      <c r="B117" s="76">
        <v>5</v>
      </c>
      <c r="C117" s="71">
        <v>114</v>
      </c>
      <c r="D117" s="46" t="s">
        <v>527</v>
      </c>
      <c r="E117" s="72" t="s">
        <v>528</v>
      </c>
      <c r="F117" s="73">
        <v>4776546791</v>
      </c>
      <c r="G117" s="73">
        <f t="shared" si="17"/>
        <v>0</v>
      </c>
      <c r="H117" s="73">
        <f t="shared" si="18"/>
        <v>4776546791</v>
      </c>
      <c r="I117" s="73">
        <f t="shared" si="19"/>
        <v>0</v>
      </c>
      <c r="J117" s="73">
        <f t="shared" si="20"/>
        <v>0</v>
      </c>
      <c r="K117" s="73">
        <f t="shared" si="21"/>
        <v>0</v>
      </c>
      <c r="L117" s="73">
        <f t="shared" si="22"/>
        <v>0</v>
      </c>
      <c r="M117" s="73">
        <f t="shared" si="23"/>
        <v>0</v>
      </c>
      <c r="N117" s="73">
        <f t="shared" si="24"/>
        <v>0</v>
      </c>
      <c r="O117" s="73">
        <f t="shared" si="25"/>
        <v>0</v>
      </c>
      <c r="P117" s="73">
        <f t="shared" si="26"/>
        <v>0</v>
      </c>
      <c r="Q117" s="73">
        <f t="shared" si="27"/>
        <v>0</v>
      </c>
      <c r="R117" s="73">
        <f t="shared" si="28"/>
        <v>0</v>
      </c>
      <c r="S117" s="73">
        <f t="shared" si="29"/>
        <v>0</v>
      </c>
      <c r="T117" s="73">
        <f t="shared" si="30"/>
        <v>0</v>
      </c>
      <c r="U117" s="73">
        <f t="shared" si="31"/>
        <v>0</v>
      </c>
      <c r="V117" s="73">
        <f t="shared" si="32"/>
        <v>0</v>
      </c>
      <c r="W117" s="73">
        <f t="shared" si="33"/>
        <v>0</v>
      </c>
      <c r="X117" s="74"/>
    </row>
    <row r="118" spans="1:24" ht="21.75" hidden="1">
      <c r="A118" s="69">
        <v>502</v>
      </c>
      <c r="B118" s="76">
        <v>5</v>
      </c>
      <c r="C118" s="77">
        <v>115</v>
      </c>
      <c r="D118" s="78" t="s">
        <v>529</v>
      </c>
      <c r="E118" s="79" t="s">
        <v>156</v>
      </c>
      <c r="F118" s="80">
        <v>37336809018</v>
      </c>
      <c r="G118" s="73">
        <f t="shared" si="17"/>
        <v>0</v>
      </c>
      <c r="H118" s="73">
        <f t="shared" si="18"/>
        <v>37336809018</v>
      </c>
      <c r="I118" s="73">
        <f t="shared" si="19"/>
        <v>0</v>
      </c>
      <c r="J118" s="73">
        <f t="shared" si="20"/>
        <v>0</v>
      </c>
      <c r="K118" s="73">
        <f t="shared" si="21"/>
        <v>0</v>
      </c>
      <c r="L118" s="73">
        <f t="shared" si="22"/>
        <v>0</v>
      </c>
      <c r="M118" s="73">
        <f t="shared" si="23"/>
        <v>0</v>
      </c>
      <c r="N118" s="73">
        <f t="shared" si="24"/>
        <v>0</v>
      </c>
      <c r="O118" s="73">
        <f t="shared" si="25"/>
        <v>0</v>
      </c>
      <c r="P118" s="73">
        <f t="shared" si="26"/>
        <v>0</v>
      </c>
      <c r="Q118" s="73">
        <f t="shared" si="27"/>
        <v>0</v>
      </c>
      <c r="R118" s="73">
        <f t="shared" si="28"/>
        <v>0</v>
      </c>
      <c r="S118" s="73">
        <f t="shared" si="29"/>
        <v>0</v>
      </c>
      <c r="T118" s="73">
        <f t="shared" si="30"/>
        <v>0</v>
      </c>
      <c r="U118" s="73">
        <f t="shared" si="31"/>
        <v>0</v>
      </c>
      <c r="V118" s="73">
        <f t="shared" si="32"/>
        <v>0</v>
      </c>
      <c r="W118" s="73">
        <f t="shared" si="33"/>
        <v>0</v>
      </c>
      <c r="X118" s="81"/>
    </row>
    <row r="119" spans="1:24" ht="21.75" hidden="1">
      <c r="A119" s="69">
        <v>502</v>
      </c>
      <c r="B119" s="76">
        <v>5</v>
      </c>
      <c r="C119" s="71">
        <v>116</v>
      </c>
      <c r="D119" s="46" t="s">
        <v>157</v>
      </c>
      <c r="E119" s="72" t="s">
        <v>558</v>
      </c>
      <c r="F119" s="73">
        <v>35853669678</v>
      </c>
      <c r="G119" s="73">
        <f t="shared" si="17"/>
        <v>0</v>
      </c>
      <c r="H119" s="73">
        <f t="shared" si="18"/>
        <v>35853669678</v>
      </c>
      <c r="I119" s="73">
        <f t="shared" si="19"/>
        <v>0</v>
      </c>
      <c r="J119" s="73">
        <f t="shared" si="20"/>
        <v>0</v>
      </c>
      <c r="K119" s="73">
        <f t="shared" si="21"/>
        <v>0</v>
      </c>
      <c r="L119" s="73">
        <f t="shared" si="22"/>
        <v>0</v>
      </c>
      <c r="M119" s="73">
        <f t="shared" si="23"/>
        <v>0</v>
      </c>
      <c r="N119" s="73">
        <f t="shared" si="24"/>
        <v>0</v>
      </c>
      <c r="O119" s="73">
        <f t="shared" si="25"/>
        <v>0</v>
      </c>
      <c r="P119" s="73">
        <f t="shared" si="26"/>
        <v>0</v>
      </c>
      <c r="Q119" s="73">
        <f t="shared" si="27"/>
        <v>0</v>
      </c>
      <c r="R119" s="73">
        <f t="shared" si="28"/>
        <v>0</v>
      </c>
      <c r="S119" s="73">
        <f t="shared" si="29"/>
        <v>0</v>
      </c>
      <c r="T119" s="73">
        <f t="shared" si="30"/>
        <v>0</v>
      </c>
      <c r="U119" s="73">
        <f t="shared" si="31"/>
        <v>0</v>
      </c>
      <c r="V119" s="73">
        <f t="shared" si="32"/>
        <v>0</v>
      </c>
      <c r="W119" s="73">
        <f t="shared" si="33"/>
        <v>0</v>
      </c>
      <c r="X119" s="74"/>
    </row>
    <row r="120" spans="1:24" ht="21.75" hidden="1">
      <c r="A120" s="69">
        <v>1204</v>
      </c>
      <c r="B120" s="76">
        <v>12</v>
      </c>
      <c r="C120" s="77">
        <v>117</v>
      </c>
      <c r="D120" s="78" t="s">
        <v>158</v>
      </c>
      <c r="E120" s="79" t="s">
        <v>159</v>
      </c>
      <c r="F120" s="80">
        <v>-5175113244</v>
      </c>
      <c r="G120" s="73">
        <f t="shared" si="17"/>
        <v>0</v>
      </c>
      <c r="H120" s="73">
        <f t="shared" si="18"/>
        <v>0</v>
      </c>
      <c r="I120" s="73">
        <f t="shared" si="19"/>
        <v>0</v>
      </c>
      <c r="J120" s="73">
        <f t="shared" si="20"/>
        <v>0</v>
      </c>
      <c r="K120" s="73">
        <f t="shared" si="21"/>
        <v>0</v>
      </c>
      <c r="L120" s="73">
        <f t="shared" si="22"/>
        <v>0</v>
      </c>
      <c r="M120" s="73">
        <f t="shared" si="23"/>
        <v>0</v>
      </c>
      <c r="N120" s="73">
        <f t="shared" si="24"/>
        <v>0</v>
      </c>
      <c r="O120" s="73">
        <f t="shared" si="25"/>
        <v>0</v>
      </c>
      <c r="P120" s="73">
        <f t="shared" si="26"/>
        <v>-5175113244</v>
      </c>
      <c r="Q120" s="73">
        <f t="shared" si="27"/>
        <v>0</v>
      </c>
      <c r="R120" s="73">
        <f t="shared" si="28"/>
        <v>0</v>
      </c>
      <c r="S120" s="73">
        <f t="shared" si="29"/>
        <v>0</v>
      </c>
      <c r="T120" s="73">
        <f t="shared" si="30"/>
        <v>0</v>
      </c>
      <c r="U120" s="73">
        <f t="shared" si="31"/>
        <v>0</v>
      </c>
      <c r="V120" s="73">
        <f t="shared" si="32"/>
        <v>0</v>
      </c>
      <c r="W120" s="73">
        <f t="shared" si="33"/>
        <v>0</v>
      </c>
      <c r="X120" s="81"/>
    </row>
    <row r="121" spans="1:24" ht="21.75" hidden="1">
      <c r="A121" s="69">
        <v>1204</v>
      </c>
      <c r="B121" s="70">
        <v>12</v>
      </c>
      <c r="C121" s="71">
        <v>118</v>
      </c>
      <c r="D121" s="46" t="s">
        <v>521</v>
      </c>
      <c r="E121" s="72" t="s">
        <v>207</v>
      </c>
      <c r="F121" s="73">
        <v>-10866646312</v>
      </c>
      <c r="G121" s="73">
        <f t="shared" si="17"/>
        <v>0</v>
      </c>
      <c r="H121" s="73">
        <f t="shared" si="18"/>
        <v>0</v>
      </c>
      <c r="I121" s="73">
        <f t="shared" si="19"/>
        <v>0</v>
      </c>
      <c r="J121" s="73">
        <f t="shared" si="20"/>
        <v>0</v>
      </c>
      <c r="K121" s="73">
        <f t="shared" si="21"/>
        <v>0</v>
      </c>
      <c r="L121" s="73">
        <f t="shared" si="22"/>
        <v>0</v>
      </c>
      <c r="M121" s="73">
        <f t="shared" si="23"/>
        <v>0</v>
      </c>
      <c r="N121" s="73">
        <f t="shared" si="24"/>
        <v>0</v>
      </c>
      <c r="O121" s="73">
        <f t="shared" si="25"/>
        <v>0</v>
      </c>
      <c r="P121" s="73">
        <f t="shared" si="26"/>
        <v>-10866646312</v>
      </c>
      <c r="Q121" s="73">
        <f t="shared" si="27"/>
        <v>0</v>
      </c>
      <c r="R121" s="73">
        <f t="shared" si="28"/>
        <v>0</v>
      </c>
      <c r="S121" s="73">
        <f t="shared" si="29"/>
        <v>0</v>
      </c>
      <c r="T121" s="73">
        <f t="shared" si="30"/>
        <v>0</v>
      </c>
      <c r="U121" s="73">
        <f t="shared" si="31"/>
        <v>0</v>
      </c>
      <c r="V121" s="73">
        <f t="shared" si="32"/>
        <v>0</v>
      </c>
      <c r="W121" s="73">
        <f t="shared" si="33"/>
        <v>0</v>
      </c>
      <c r="X121" s="74"/>
    </row>
    <row r="122" spans="1:24" ht="21.75" hidden="1">
      <c r="A122" s="69">
        <v>502</v>
      </c>
      <c r="B122" s="76">
        <v>5</v>
      </c>
      <c r="C122" s="77">
        <v>119</v>
      </c>
      <c r="D122" s="78" t="s">
        <v>208</v>
      </c>
      <c r="E122" s="79" t="s">
        <v>209</v>
      </c>
      <c r="F122" s="80">
        <v>23390120700</v>
      </c>
      <c r="G122" s="73">
        <f t="shared" si="17"/>
        <v>0</v>
      </c>
      <c r="H122" s="73">
        <f t="shared" si="18"/>
        <v>23390120700</v>
      </c>
      <c r="I122" s="73">
        <f t="shared" si="19"/>
        <v>0</v>
      </c>
      <c r="J122" s="73">
        <f t="shared" si="20"/>
        <v>0</v>
      </c>
      <c r="K122" s="73">
        <f t="shared" si="21"/>
        <v>0</v>
      </c>
      <c r="L122" s="73">
        <f t="shared" si="22"/>
        <v>0</v>
      </c>
      <c r="M122" s="73">
        <f t="shared" si="23"/>
        <v>0</v>
      </c>
      <c r="N122" s="73">
        <f t="shared" si="24"/>
        <v>0</v>
      </c>
      <c r="O122" s="73">
        <f t="shared" si="25"/>
        <v>0</v>
      </c>
      <c r="P122" s="73">
        <f t="shared" si="26"/>
        <v>0</v>
      </c>
      <c r="Q122" s="73">
        <f t="shared" si="27"/>
        <v>0</v>
      </c>
      <c r="R122" s="73">
        <f t="shared" si="28"/>
        <v>0</v>
      </c>
      <c r="S122" s="73">
        <f t="shared" si="29"/>
        <v>0</v>
      </c>
      <c r="T122" s="73">
        <f t="shared" si="30"/>
        <v>0</v>
      </c>
      <c r="U122" s="73">
        <f t="shared" si="31"/>
        <v>0</v>
      </c>
      <c r="V122" s="73">
        <f t="shared" si="32"/>
        <v>0</v>
      </c>
      <c r="W122" s="73">
        <f t="shared" si="33"/>
        <v>0</v>
      </c>
      <c r="X122" s="81"/>
    </row>
    <row r="123" spans="1:24" ht="21.75" hidden="1">
      <c r="A123" s="69">
        <v>1204</v>
      </c>
      <c r="B123" s="70">
        <v>12</v>
      </c>
      <c r="C123" s="71">
        <v>120</v>
      </c>
      <c r="D123" s="46" t="s">
        <v>343</v>
      </c>
      <c r="E123" s="72" t="s">
        <v>344</v>
      </c>
      <c r="F123" s="73">
        <v>-5453834554</v>
      </c>
      <c r="G123" s="73">
        <f t="shared" si="17"/>
        <v>0</v>
      </c>
      <c r="H123" s="73">
        <f t="shared" si="18"/>
        <v>0</v>
      </c>
      <c r="I123" s="73">
        <f t="shared" si="19"/>
        <v>0</v>
      </c>
      <c r="J123" s="73">
        <f t="shared" si="20"/>
        <v>0</v>
      </c>
      <c r="K123" s="73">
        <f t="shared" si="21"/>
        <v>0</v>
      </c>
      <c r="L123" s="73">
        <f t="shared" si="22"/>
        <v>0</v>
      </c>
      <c r="M123" s="73">
        <f t="shared" si="23"/>
        <v>0</v>
      </c>
      <c r="N123" s="73">
        <f t="shared" si="24"/>
        <v>0</v>
      </c>
      <c r="O123" s="73">
        <f t="shared" si="25"/>
        <v>0</v>
      </c>
      <c r="P123" s="73">
        <f t="shared" si="26"/>
        <v>-5453834554</v>
      </c>
      <c r="Q123" s="73">
        <f t="shared" si="27"/>
        <v>0</v>
      </c>
      <c r="R123" s="73">
        <f t="shared" si="28"/>
        <v>0</v>
      </c>
      <c r="S123" s="73">
        <f t="shared" si="29"/>
        <v>0</v>
      </c>
      <c r="T123" s="73">
        <f t="shared" si="30"/>
        <v>0</v>
      </c>
      <c r="U123" s="73">
        <f t="shared" si="31"/>
        <v>0</v>
      </c>
      <c r="V123" s="73">
        <f t="shared" si="32"/>
        <v>0</v>
      </c>
      <c r="W123" s="73">
        <f t="shared" si="33"/>
        <v>0</v>
      </c>
      <c r="X123" s="74"/>
    </row>
    <row r="124" spans="1:24" ht="21.75" hidden="1">
      <c r="A124" s="69">
        <v>502</v>
      </c>
      <c r="B124" s="76">
        <v>5</v>
      </c>
      <c r="C124" s="77">
        <v>121</v>
      </c>
      <c r="D124" s="78" t="s">
        <v>266</v>
      </c>
      <c r="E124" s="79" t="s">
        <v>267</v>
      </c>
      <c r="F124" s="80">
        <v>1165350</v>
      </c>
      <c r="G124" s="73">
        <f t="shared" si="17"/>
        <v>0</v>
      </c>
      <c r="H124" s="73">
        <f t="shared" si="18"/>
        <v>1165350</v>
      </c>
      <c r="I124" s="73">
        <f t="shared" si="19"/>
        <v>0</v>
      </c>
      <c r="J124" s="73">
        <f t="shared" si="20"/>
        <v>0</v>
      </c>
      <c r="K124" s="73">
        <f t="shared" si="21"/>
        <v>0</v>
      </c>
      <c r="L124" s="73">
        <f t="shared" si="22"/>
        <v>0</v>
      </c>
      <c r="M124" s="73">
        <f t="shared" si="23"/>
        <v>0</v>
      </c>
      <c r="N124" s="73">
        <f t="shared" si="24"/>
        <v>0</v>
      </c>
      <c r="O124" s="73">
        <f t="shared" si="25"/>
        <v>0</v>
      </c>
      <c r="P124" s="73">
        <f t="shared" si="26"/>
        <v>0</v>
      </c>
      <c r="Q124" s="73">
        <f t="shared" si="27"/>
        <v>0</v>
      </c>
      <c r="R124" s="73">
        <f t="shared" si="28"/>
        <v>0</v>
      </c>
      <c r="S124" s="73">
        <f t="shared" si="29"/>
        <v>0</v>
      </c>
      <c r="T124" s="73">
        <f t="shared" si="30"/>
        <v>0</v>
      </c>
      <c r="U124" s="73">
        <f t="shared" si="31"/>
        <v>0</v>
      </c>
      <c r="V124" s="73">
        <f t="shared" si="32"/>
        <v>0</v>
      </c>
      <c r="W124" s="73">
        <f t="shared" si="33"/>
        <v>0</v>
      </c>
      <c r="X124" s="81"/>
    </row>
    <row r="125" spans="1:24" ht="21.75" hidden="1">
      <c r="A125" s="69">
        <v>1204</v>
      </c>
      <c r="B125" s="70">
        <v>12</v>
      </c>
      <c r="C125" s="71">
        <v>122</v>
      </c>
      <c r="D125" s="46" t="s">
        <v>393</v>
      </c>
      <c r="E125" s="72" t="s">
        <v>394</v>
      </c>
      <c r="F125" s="73">
        <v>-123595184</v>
      </c>
      <c r="G125" s="73">
        <f t="shared" si="17"/>
        <v>0</v>
      </c>
      <c r="H125" s="73">
        <f t="shared" si="18"/>
        <v>0</v>
      </c>
      <c r="I125" s="73">
        <f t="shared" si="19"/>
        <v>0</v>
      </c>
      <c r="J125" s="73">
        <f t="shared" si="20"/>
        <v>0</v>
      </c>
      <c r="K125" s="73">
        <f t="shared" si="21"/>
        <v>0</v>
      </c>
      <c r="L125" s="73">
        <f t="shared" si="22"/>
        <v>0</v>
      </c>
      <c r="M125" s="73">
        <f t="shared" si="23"/>
        <v>0</v>
      </c>
      <c r="N125" s="73">
        <f t="shared" si="24"/>
        <v>0</v>
      </c>
      <c r="O125" s="73">
        <f t="shared" si="25"/>
        <v>0</v>
      </c>
      <c r="P125" s="73">
        <f t="shared" si="26"/>
        <v>-123595184</v>
      </c>
      <c r="Q125" s="73">
        <f t="shared" si="27"/>
        <v>0</v>
      </c>
      <c r="R125" s="73">
        <f t="shared" si="28"/>
        <v>0</v>
      </c>
      <c r="S125" s="73">
        <f t="shared" si="29"/>
        <v>0</v>
      </c>
      <c r="T125" s="73">
        <f t="shared" si="30"/>
        <v>0</v>
      </c>
      <c r="U125" s="73">
        <f t="shared" si="31"/>
        <v>0</v>
      </c>
      <c r="V125" s="73">
        <f t="shared" si="32"/>
        <v>0</v>
      </c>
      <c r="W125" s="73">
        <f t="shared" si="33"/>
        <v>0</v>
      </c>
      <c r="X125" s="74"/>
    </row>
    <row r="126" spans="1:24" ht="21.75" hidden="1">
      <c r="A126" s="69">
        <v>502</v>
      </c>
      <c r="B126" s="76">
        <v>5</v>
      </c>
      <c r="C126" s="77">
        <v>122</v>
      </c>
      <c r="D126" s="78" t="s">
        <v>345</v>
      </c>
      <c r="E126" s="79" t="s">
        <v>346</v>
      </c>
      <c r="F126" s="80">
        <v>12499383</v>
      </c>
      <c r="G126" s="73">
        <f t="shared" si="17"/>
        <v>0</v>
      </c>
      <c r="H126" s="73">
        <f t="shared" si="18"/>
        <v>12499383</v>
      </c>
      <c r="I126" s="73">
        <f t="shared" si="19"/>
        <v>0</v>
      </c>
      <c r="J126" s="73">
        <f t="shared" si="20"/>
        <v>0</v>
      </c>
      <c r="K126" s="73">
        <f t="shared" si="21"/>
        <v>0</v>
      </c>
      <c r="L126" s="73">
        <f t="shared" si="22"/>
        <v>0</v>
      </c>
      <c r="M126" s="73">
        <f t="shared" si="23"/>
        <v>0</v>
      </c>
      <c r="N126" s="73">
        <f t="shared" si="24"/>
        <v>0</v>
      </c>
      <c r="O126" s="73">
        <f t="shared" si="25"/>
        <v>0</v>
      </c>
      <c r="P126" s="73">
        <f t="shared" si="26"/>
        <v>0</v>
      </c>
      <c r="Q126" s="73">
        <f t="shared" si="27"/>
        <v>0</v>
      </c>
      <c r="R126" s="73">
        <f t="shared" si="28"/>
        <v>0</v>
      </c>
      <c r="S126" s="73">
        <f t="shared" si="29"/>
        <v>0</v>
      </c>
      <c r="T126" s="73">
        <f t="shared" si="30"/>
        <v>0</v>
      </c>
      <c r="U126" s="73">
        <f t="shared" si="31"/>
        <v>0</v>
      </c>
      <c r="V126" s="73">
        <f t="shared" si="32"/>
        <v>0</v>
      </c>
      <c r="W126" s="73">
        <f t="shared" si="33"/>
        <v>0</v>
      </c>
      <c r="X126" s="81"/>
    </row>
    <row r="127" spans="1:24" ht="21.75" hidden="1">
      <c r="A127" s="69">
        <v>1204</v>
      </c>
      <c r="B127" s="70">
        <v>12</v>
      </c>
      <c r="C127" s="71">
        <v>123</v>
      </c>
      <c r="D127" s="46" t="s">
        <v>269</v>
      </c>
      <c r="E127" s="72" t="s">
        <v>268</v>
      </c>
      <c r="F127" s="73">
        <v>-145273768</v>
      </c>
      <c r="G127" s="73">
        <f t="shared" si="17"/>
        <v>0</v>
      </c>
      <c r="H127" s="73">
        <f t="shared" si="18"/>
        <v>0</v>
      </c>
      <c r="I127" s="73">
        <f t="shared" si="19"/>
        <v>0</v>
      </c>
      <c r="J127" s="73">
        <f t="shared" si="20"/>
        <v>0</v>
      </c>
      <c r="K127" s="73">
        <f t="shared" si="21"/>
        <v>0</v>
      </c>
      <c r="L127" s="73">
        <f t="shared" si="22"/>
        <v>0</v>
      </c>
      <c r="M127" s="73">
        <f t="shared" si="23"/>
        <v>0</v>
      </c>
      <c r="N127" s="73">
        <f t="shared" si="24"/>
        <v>0</v>
      </c>
      <c r="O127" s="73">
        <f t="shared" si="25"/>
        <v>0</v>
      </c>
      <c r="P127" s="73">
        <f t="shared" si="26"/>
        <v>-145273768</v>
      </c>
      <c r="Q127" s="73">
        <f t="shared" si="27"/>
        <v>0</v>
      </c>
      <c r="R127" s="73">
        <f t="shared" si="28"/>
        <v>0</v>
      </c>
      <c r="S127" s="73">
        <f t="shared" si="29"/>
        <v>0</v>
      </c>
      <c r="T127" s="73">
        <f t="shared" si="30"/>
        <v>0</v>
      </c>
      <c r="U127" s="73">
        <f t="shared" si="31"/>
        <v>0</v>
      </c>
      <c r="V127" s="73">
        <f t="shared" si="32"/>
        <v>0</v>
      </c>
      <c r="W127" s="73">
        <f t="shared" si="33"/>
        <v>0</v>
      </c>
      <c r="X127" s="74"/>
    </row>
    <row r="128" spans="1:24" ht="21.75" hidden="1">
      <c r="A128" s="69">
        <v>1204</v>
      </c>
      <c r="B128" s="76">
        <v>12</v>
      </c>
      <c r="C128" s="77">
        <v>124</v>
      </c>
      <c r="D128" s="78" t="s">
        <v>535</v>
      </c>
      <c r="E128" s="79" t="s">
        <v>64</v>
      </c>
      <c r="F128" s="80">
        <v>-50511300</v>
      </c>
      <c r="G128" s="73">
        <f t="shared" si="17"/>
        <v>0</v>
      </c>
      <c r="H128" s="73">
        <f t="shared" si="18"/>
        <v>0</v>
      </c>
      <c r="I128" s="73">
        <f t="shared" si="19"/>
        <v>0</v>
      </c>
      <c r="J128" s="73">
        <f t="shared" si="20"/>
        <v>0</v>
      </c>
      <c r="K128" s="73">
        <f t="shared" si="21"/>
        <v>0</v>
      </c>
      <c r="L128" s="73">
        <f t="shared" si="22"/>
        <v>0</v>
      </c>
      <c r="M128" s="73">
        <f t="shared" si="23"/>
        <v>0</v>
      </c>
      <c r="N128" s="73">
        <f t="shared" si="24"/>
        <v>0</v>
      </c>
      <c r="O128" s="73">
        <f t="shared" si="25"/>
        <v>0</v>
      </c>
      <c r="P128" s="73">
        <f t="shared" si="26"/>
        <v>-50511300</v>
      </c>
      <c r="Q128" s="73">
        <f t="shared" si="27"/>
        <v>0</v>
      </c>
      <c r="R128" s="73">
        <f t="shared" si="28"/>
        <v>0</v>
      </c>
      <c r="S128" s="73">
        <f t="shared" si="29"/>
        <v>0</v>
      </c>
      <c r="T128" s="73">
        <f t="shared" si="30"/>
        <v>0</v>
      </c>
      <c r="U128" s="73">
        <f t="shared" si="31"/>
        <v>0</v>
      </c>
      <c r="V128" s="73">
        <f t="shared" si="32"/>
        <v>0</v>
      </c>
      <c r="W128" s="73">
        <f t="shared" si="33"/>
        <v>0</v>
      </c>
      <c r="X128" s="81"/>
    </row>
    <row r="129" spans="1:24" ht="21.75" hidden="1">
      <c r="A129" s="69">
        <v>502</v>
      </c>
      <c r="B129" s="76">
        <v>5</v>
      </c>
      <c r="C129" s="71">
        <v>125</v>
      </c>
      <c r="D129" s="46" t="s">
        <v>270</v>
      </c>
      <c r="E129" s="72" t="s">
        <v>271</v>
      </c>
      <c r="F129" s="73">
        <v>1661000</v>
      </c>
      <c r="G129" s="73">
        <f t="shared" si="17"/>
        <v>0</v>
      </c>
      <c r="H129" s="73">
        <f t="shared" si="18"/>
        <v>1661000</v>
      </c>
      <c r="I129" s="73">
        <f t="shared" si="19"/>
        <v>0</v>
      </c>
      <c r="J129" s="73">
        <f t="shared" si="20"/>
        <v>0</v>
      </c>
      <c r="K129" s="73">
        <f t="shared" si="21"/>
        <v>0</v>
      </c>
      <c r="L129" s="73">
        <f t="shared" si="22"/>
        <v>0</v>
      </c>
      <c r="M129" s="73">
        <f t="shared" si="23"/>
        <v>0</v>
      </c>
      <c r="N129" s="73">
        <f t="shared" si="24"/>
        <v>0</v>
      </c>
      <c r="O129" s="73">
        <f t="shared" si="25"/>
        <v>0</v>
      </c>
      <c r="P129" s="73">
        <f t="shared" si="26"/>
        <v>0</v>
      </c>
      <c r="Q129" s="73">
        <f t="shared" si="27"/>
        <v>0</v>
      </c>
      <c r="R129" s="73">
        <f t="shared" si="28"/>
        <v>0</v>
      </c>
      <c r="S129" s="73">
        <f t="shared" si="29"/>
        <v>0</v>
      </c>
      <c r="T129" s="73">
        <f t="shared" si="30"/>
        <v>0</v>
      </c>
      <c r="U129" s="73">
        <f t="shared" si="31"/>
        <v>0</v>
      </c>
      <c r="V129" s="73">
        <f t="shared" si="32"/>
        <v>0</v>
      </c>
      <c r="W129" s="73">
        <f t="shared" si="33"/>
        <v>0</v>
      </c>
      <c r="X129" s="74"/>
    </row>
    <row r="130" spans="1:24" ht="21.75" hidden="1">
      <c r="A130" s="69">
        <v>1204</v>
      </c>
      <c r="B130" s="76">
        <v>12</v>
      </c>
      <c r="C130" s="77">
        <v>126</v>
      </c>
      <c r="D130" s="78" t="s">
        <v>349</v>
      </c>
      <c r="E130" s="79" t="s">
        <v>285</v>
      </c>
      <c r="F130" s="80">
        <v>-3363360720</v>
      </c>
      <c r="G130" s="73">
        <f t="shared" si="17"/>
        <v>0</v>
      </c>
      <c r="H130" s="73">
        <f t="shared" si="18"/>
        <v>0</v>
      </c>
      <c r="I130" s="73">
        <f t="shared" si="19"/>
        <v>0</v>
      </c>
      <c r="J130" s="73">
        <f t="shared" si="20"/>
        <v>0</v>
      </c>
      <c r="K130" s="73">
        <f t="shared" si="21"/>
        <v>0</v>
      </c>
      <c r="L130" s="73">
        <f t="shared" si="22"/>
        <v>0</v>
      </c>
      <c r="M130" s="73">
        <f t="shared" si="23"/>
        <v>0</v>
      </c>
      <c r="N130" s="73">
        <f t="shared" si="24"/>
        <v>0</v>
      </c>
      <c r="O130" s="73">
        <f t="shared" si="25"/>
        <v>0</v>
      </c>
      <c r="P130" s="73">
        <f t="shared" si="26"/>
        <v>-3363360720</v>
      </c>
      <c r="Q130" s="73">
        <f t="shared" si="27"/>
        <v>0</v>
      </c>
      <c r="R130" s="73">
        <f t="shared" si="28"/>
        <v>0</v>
      </c>
      <c r="S130" s="73">
        <f t="shared" si="29"/>
        <v>0</v>
      </c>
      <c r="T130" s="73">
        <f t="shared" si="30"/>
        <v>0</v>
      </c>
      <c r="U130" s="73">
        <f t="shared" si="31"/>
        <v>0</v>
      </c>
      <c r="V130" s="73">
        <f t="shared" si="32"/>
        <v>0</v>
      </c>
      <c r="W130" s="73">
        <f t="shared" si="33"/>
        <v>0</v>
      </c>
      <c r="X130" s="81"/>
    </row>
    <row r="131" spans="1:24" ht="21.75" hidden="1">
      <c r="A131" s="69">
        <v>1204</v>
      </c>
      <c r="B131" s="70">
        <v>12</v>
      </c>
      <c r="C131" s="71">
        <v>127</v>
      </c>
      <c r="D131" s="46" t="s">
        <v>272</v>
      </c>
      <c r="E131" s="72" t="s">
        <v>273</v>
      </c>
      <c r="F131" s="73">
        <v>-169516</v>
      </c>
      <c r="G131" s="73">
        <f t="shared" si="17"/>
        <v>0</v>
      </c>
      <c r="H131" s="73">
        <f t="shared" si="18"/>
        <v>0</v>
      </c>
      <c r="I131" s="73">
        <f t="shared" si="19"/>
        <v>0</v>
      </c>
      <c r="J131" s="73">
        <f t="shared" si="20"/>
        <v>0</v>
      </c>
      <c r="K131" s="73">
        <f t="shared" si="21"/>
        <v>0</v>
      </c>
      <c r="L131" s="73">
        <f t="shared" si="22"/>
        <v>0</v>
      </c>
      <c r="M131" s="73">
        <f t="shared" si="23"/>
        <v>0</v>
      </c>
      <c r="N131" s="73">
        <f t="shared" si="24"/>
        <v>0</v>
      </c>
      <c r="O131" s="73">
        <f t="shared" si="25"/>
        <v>0</v>
      </c>
      <c r="P131" s="73">
        <f t="shared" si="26"/>
        <v>-169516</v>
      </c>
      <c r="Q131" s="73">
        <f t="shared" si="27"/>
        <v>0</v>
      </c>
      <c r="R131" s="73">
        <f t="shared" si="28"/>
        <v>0</v>
      </c>
      <c r="S131" s="73">
        <f t="shared" si="29"/>
        <v>0</v>
      </c>
      <c r="T131" s="73">
        <f t="shared" si="30"/>
        <v>0</v>
      </c>
      <c r="U131" s="73">
        <f t="shared" si="31"/>
        <v>0</v>
      </c>
      <c r="V131" s="73">
        <f t="shared" si="32"/>
        <v>0</v>
      </c>
      <c r="W131" s="73">
        <f t="shared" si="33"/>
        <v>0</v>
      </c>
      <c r="X131" s="74"/>
    </row>
    <row r="132" spans="1:24" ht="21.75" hidden="1">
      <c r="A132" s="69">
        <v>502</v>
      </c>
      <c r="B132" s="76">
        <v>5</v>
      </c>
      <c r="C132" s="77">
        <v>128</v>
      </c>
      <c r="D132" s="78" t="s">
        <v>237</v>
      </c>
      <c r="E132" s="79" t="s">
        <v>238</v>
      </c>
      <c r="F132" s="80">
        <v>18010184</v>
      </c>
      <c r="G132" s="73">
        <f t="shared" si="17"/>
        <v>0</v>
      </c>
      <c r="H132" s="73">
        <f t="shared" si="18"/>
        <v>18010184</v>
      </c>
      <c r="I132" s="73">
        <f t="shared" si="19"/>
        <v>0</v>
      </c>
      <c r="J132" s="73">
        <f t="shared" si="20"/>
        <v>0</v>
      </c>
      <c r="K132" s="73">
        <f t="shared" si="21"/>
        <v>0</v>
      </c>
      <c r="L132" s="73">
        <f t="shared" si="22"/>
        <v>0</v>
      </c>
      <c r="M132" s="73">
        <f t="shared" si="23"/>
        <v>0</v>
      </c>
      <c r="N132" s="73">
        <f t="shared" si="24"/>
        <v>0</v>
      </c>
      <c r="O132" s="73">
        <f t="shared" si="25"/>
        <v>0</v>
      </c>
      <c r="P132" s="73">
        <f t="shared" si="26"/>
        <v>0</v>
      </c>
      <c r="Q132" s="73">
        <f t="shared" si="27"/>
        <v>0</v>
      </c>
      <c r="R132" s="73">
        <f t="shared" si="28"/>
        <v>0</v>
      </c>
      <c r="S132" s="73">
        <f t="shared" si="29"/>
        <v>0</v>
      </c>
      <c r="T132" s="73">
        <f t="shared" si="30"/>
        <v>0</v>
      </c>
      <c r="U132" s="73">
        <f t="shared" si="31"/>
        <v>0</v>
      </c>
      <c r="V132" s="73">
        <f t="shared" si="32"/>
        <v>0</v>
      </c>
      <c r="W132" s="73">
        <f t="shared" si="33"/>
        <v>0</v>
      </c>
      <c r="X132" s="81"/>
    </row>
    <row r="133" spans="1:24" ht="21.75" hidden="1">
      <c r="A133" s="69">
        <v>1204</v>
      </c>
      <c r="B133" s="70">
        <v>12</v>
      </c>
      <c r="C133" s="71">
        <v>129</v>
      </c>
      <c r="D133" s="46" t="s">
        <v>210</v>
      </c>
      <c r="E133" s="72" t="s">
        <v>211</v>
      </c>
      <c r="F133" s="73">
        <v>-75854536</v>
      </c>
      <c r="G133" s="73">
        <f t="shared" ref="G133:G196" si="34">IF($B133=$G$3,$F133,0)</f>
        <v>0</v>
      </c>
      <c r="H133" s="73">
        <f t="shared" ref="H133:H196" si="35">IF($B133=$H$3,$F133,0)</f>
        <v>0</v>
      </c>
      <c r="I133" s="73">
        <f t="shared" ref="I133:I196" si="36">IF($B133=$I$3,$F133,0)</f>
        <v>0</v>
      </c>
      <c r="J133" s="73">
        <f t="shared" ref="J133:J196" si="37">IF($B133=$J$3,$F133,0)</f>
        <v>0</v>
      </c>
      <c r="K133" s="73">
        <f t="shared" ref="K133:K196" si="38">IF($B133=$K$3,$F133,0)</f>
        <v>0</v>
      </c>
      <c r="L133" s="73">
        <f t="shared" ref="L133:L196" si="39">IF($B133=$L$3,$F133,0)</f>
        <v>0</v>
      </c>
      <c r="M133" s="73">
        <f t="shared" ref="M133:M196" si="40">IF($B133=$M$3,$F133,0)</f>
        <v>0</v>
      </c>
      <c r="N133" s="73">
        <f t="shared" ref="N133:N196" si="41">IF($B133=$N$3,$F133,0)</f>
        <v>0</v>
      </c>
      <c r="O133" s="73">
        <f t="shared" ref="O133:O196" si="42">IF($B133=$O$3,$F133,0)</f>
        <v>0</v>
      </c>
      <c r="P133" s="73">
        <f t="shared" ref="P133:P196" si="43">IF($B133=$P$3,$F133,0)</f>
        <v>-75854536</v>
      </c>
      <c r="Q133" s="73">
        <f t="shared" ref="Q133:Q196" si="44">IF($B133=$Q$3,$F133,0)</f>
        <v>0</v>
      </c>
      <c r="R133" s="73">
        <f t="shared" ref="R133:R196" si="45">IF($B133=$R$3,$F133,0)</f>
        <v>0</v>
      </c>
      <c r="S133" s="73">
        <f t="shared" ref="S133:S196" si="46">IF($B133=$S$3,$F133,0)</f>
        <v>0</v>
      </c>
      <c r="T133" s="73">
        <f t="shared" ref="T133:T196" si="47">IF($B133=$T$3,$F133,0)</f>
        <v>0</v>
      </c>
      <c r="U133" s="73">
        <f t="shared" ref="U133:U196" si="48">IF($B133=$U$3,$F133,0)</f>
        <v>0</v>
      </c>
      <c r="V133" s="73">
        <f t="shared" ref="V133:V196" si="49">IF($B133=$V$3,$F133,0)</f>
        <v>0</v>
      </c>
      <c r="W133" s="73">
        <f t="shared" ref="W133:W196" si="50">IF($B133=$W$3,$F133,0)</f>
        <v>0</v>
      </c>
      <c r="X133" s="74"/>
    </row>
    <row r="134" spans="1:24" ht="21.75" hidden="1">
      <c r="A134" s="69">
        <v>1204</v>
      </c>
      <c r="B134" s="76">
        <v>12</v>
      </c>
      <c r="C134" s="77">
        <v>130</v>
      </c>
      <c r="D134" s="78" t="s">
        <v>274</v>
      </c>
      <c r="E134" s="79" t="s">
        <v>276</v>
      </c>
      <c r="F134" s="80">
        <v>-58282162</v>
      </c>
      <c r="G134" s="73">
        <f t="shared" si="34"/>
        <v>0</v>
      </c>
      <c r="H134" s="73">
        <f t="shared" si="35"/>
        <v>0</v>
      </c>
      <c r="I134" s="73">
        <f t="shared" si="36"/>
        <v>0</v>
      </c>
      <c r="J134" s="73">
        <f t="shared" si="37"/>
        <v>0</v>
      </c>
      <c r="K134" s="73">
        <f t="shared" si="38"/>
        <v>0</v>
      </c>
      <c r="L134" s="73">
        <f t="shared" si="39"/>
        <v>0</v>
      </c>
      <c r="M134" s="73">
        <f t="shared" si="40"/>
        <v>0</v>
      </c>
      <c r="N134" s="73">
        <f t="shared" si="41"/>
        <v>0</v>
      </c>
      <c r="O134" s="73">
        <f t="shared" si="42"/>
        <v>0</v>
      </c>
      <c r="P134" s="73">
        <f t="shared" si="43"/>
        <v>-58282162</v>
      </c>
      <c r="Q134" s="73">
        <f t="shared" si="44"/>
        <v>0</v>
      </c>
      <c r="R134" s="73">
        <f t="shared" si="45"/>
        <v>0</v>
      </c>
      <c r="S134" s="73">
        <f t="shared" si="46"/>
        <v>0</v>
      </c>
      <c r="T134" s="73">
        <f t="shared" si="47"/>
        <v>0</v>
      </c>
      <c r="U134" s="73">
        <f t="shared" si="48"/>
        <v>0</v>
      </c>
      <c r="V134" s="73">
        <f t="shared" si="49"/>
        <v>0</v>
      </c>
      <c r="W134" s="73">
        <f t="shared" si="50"/>
        <v>0</v>
      </c>
      <c r="X134" s="81"/>
    </row>
    <row r="135" spans="1:24" ht="21.75" hidden="1">
      <c r="A135" s="69">
        <v>502</v>
      </c>
      <c r="B135" s="76">
        <v>5</v>
      </c>
      <c r="C135" s="71">
        <v>131</v>
      </c>
      <c r="D135" s="46" t="s">
        <v>65</v>
      </c>
      <c r="E135" s="72" t="s">
        <v>66</v>
      </c>
      <c r="F135" s="73">
        <v>12733049</v>
      </c>
      <c r="G135" s="73">
        <f t="shared" si="34"/>
        <v>0</v>
      </c>
      <c r="H135" s="73">
        <f t="shared" si="35"/>
        <v>12733049</v>
      </c>
      <c r="I135" s="73">
        <f t="shared" si="36"/>
        <v>0</v>
      </c>
      <c r="J135" s="73">
        <f t="shared" si="37"/>
        <v>0</v>
      </c>
      <c r="K135" s="73">
        <f t="shared" si="38"/>
        <v>0</v>
      </c>
      <c r="L135" s="73">
        <f t="shared" si="39"/>
        <v>0</v>
      </c>
      <c r="M135" s="73">
        <f t="shared" si="40"/>
        <v>0</v>
      </c>
      <c r="N135" s="73">
        <f t="shared" si="41"/>
        <v>0</v>
      </c>
      <c r="O135" s="73">
        <f t="shared" si="42"/>
        <v>0</v>
      </c>
      <c r="P135" s="73">
        <f t="shared" si="43"/>
        <v>0</v>
      </c>
      <c r="Q135" s="73">
        <f t="shared" si="44"/>
        <v>0</v>
      </c>
      <c r="R135" s="73">
        <f t="shared" si="45"/>
        <v>0</v>
      </c>
      <c r="S135" s="73">
        <f t="shared" si="46"/>
        <v>0</v>
      </c>
      <c r="T135" s="73">
        <f t="shared" si="47"/>
        <v>0</v>
      </c>
      <c r="U135" s="73">
        <f t="shared" si="48"/>
        <v>0</v>
      </c>
      <c r="V135" s="73">
        <f t="shared" si="49"/>
        <v>0</v>
      </c>
      <c r="W135" s="73">
        <f t="shared" si="50"/>
        <v>0</v>
      </c>
      <c r="X135" s="74"/>
    </row>
    <row r="136" spans="1:24" ht="21.75" hidden="1">
      <c r="A136" s="69">
        <v>502</v>
      </c>
      <c r="B136" s="76">
        <v>5</v>
      </c>
      <c r="C136" s="77">
        <v>132</v>
      </c>
      <c r="D136" s="78" t="s">
        <v>275</v>
      </c>
      <c r="E136" s="79" t="s">
        <v>67</v>
      </c>
      <c r="F136" s="80">
        <v>175195315</v>
      </c>
      <c r="G136" s="73">
        <f t="shared" si="34"/>
        <v>0</v>
      </c>
      <c r="H136" s="73">
        <f t="shared" si="35"/>
        <v>175195315</v>
      </c>
      <c r="I136" s="73">
        <f t="shared" si="36"/>
        <v>0</v>
      </c>
      <c r="J136" s="73">
        <f t="shared" si="37"/>
        <v>0</v>
      </c>
      <c r="K136" s="73">
        <f t="shared" si="38"/>
        <v>0</v>
      </c>
      <c r="L136" s="73">
        <f t="shared" si="39"/>
        <v>0</v>
      </c>
      <c r="M136" s="73">
        <f t="shared" si="40"/>
        <v>0</v>
      </c>
      <c r="N136" s="73">
        <f t="shared" si="41"/>
        <v>0</v>
      </c>
      <c r="O136" s="73">
        <f t="shared" si="42"/>
        <v>0</v>
      </c>
      <c r="P136" s="73">
        <f t="shared" si="43"/>
        <v>0</v>
      </c>
      <c r="Q136" s="73">
        <f t="shared" si="44"/>
        <v>0</v>
      </c>
      <c r="R136" s="73">
        <f t="shared" si="45"/>
        <v>0</v>
      </c>
      <c r="S136" s="73">
        <f t="shared" si="46"/>
        <v>0</v>
      </c>
      <c r="T136" s="73">
        <f t="shared" si="47"/>
        <v>0</v>
      </c>
      <c r="U136" s="73">
        <f t="shared" si="48"/>
        <v>0</v>
      </c>
      <c r="V136" s="73">
        <f t="shared" si="49"/>
        <v>0</v>
      </c>
      <c r="W136" s="73">
        <f t="shared" si="50"/>
        <v>0</v>
      </c>
      <c r="X136" s="81"/>
    </row>
    <row r="137" spans="1:24" ht="21.75" hidden="1">
      <c r="A137" s="69">
        <v>1204</v>
      </c>
      <c r="B137" s="70">
        <v>12</v>
      </c>
      <c r="C137" s="71">
        <v>133</v>
      </c>
      <c r="D137" s="46" t="s">
        <v>239</v>
      </c>
      <c r="E137" s="72" t="s">
        <v>240</v>
      </c>
      <c r="F137" s="73">
        <v>-1268247</v>
      </c>
      <c r="G137" s="73">
        <f t="shared" si="34"/>
        <v>0</v>
      </c>
      <c r="H137" s="73">
        <f t="shared" si="35"/>
        <v>0</v>
      </c>
      <c r="I137" s="73">
        <f t="shared" si="36"/>
        <v>0</v>
      </c>
      <c r="J137" s="73">
        <f t="shared" si="37"/>
        <v>0</v>
      </c>
      <c r="K137" s="73">
        <f t="shared" si="38"/>
        <v>0</v>
      </c>
      <c r="L137" s="73">
        <f t="shared" si="39"/>
        <v>0</v>
      </c>
      <c r="M137" s="73">
        <f t="shared" si="40"/>
        <v>0</v>
      </c>
      <c r="N137" s="73">
        <f t="shared" si="41"/>
        <v>0</v>
      </c>
      <c r="O137" s="73">
        <f t="shared" si="42"/>
        <v>0</v>
      </c>
      <c r="P137" s="73">
        <f t="shared" si="43"/>
        <v>-1268247</v>
      </c>
      <c r="Q137" s="73">
        <f t="shared" si="44"/>
        <v>0</v>
      </c>
      <c r="R137" s="73">
        <f t="shared" si="45"/>
        <v>0</v>
      </c>
      <c r="S137" s="73">
        <f t="shared" si="46"/>
        <v>0</v>
      </c>
      <c r="T137" s="73">
        <f t="shared" si="47"/>
        <v>0</v>
      </c>
      <c r="U137" s="73">
        <f t="shared" si="48"/>
        <v>0</v>
      </c>
      <c r="V137" s="73">
        <f t="shared" si="49"/>
        <v>0</v>
      </c>
      <c r="W137" s="73">
        <f t="shared" si="50"/>
        <v>0</v>
      </c>
      <c r="X137" s="74"/>
    </row>
    <row r="138" spans="1:24" ht="21.75" hidden="1">
      <c r="A138" s="69">
        <v>502</v>
      </c>
      <c r="B138" s="76">
        <v>5</v>
      </c>
      <c r="C138" s="77">
        <v>134</v>
      </c>
      <c r="D138" s="78" t="s">
        <v>241</v>
      </c>
      <c r="E138" s="79" t="s">
        <v>242</v>
      </c>
      <c r="F138" s="80">
        <v>395754938</v>
      </c>
      <c r="G138" s="73">
        <f t="shared" si="34"/>
        <v>0</v>
      </c>
      <c r="H138" s="73">
        <f t="shared" si="35"/>
        <v>395754938</v>
      </c>
      <c r="I138" s="73">
        <f t="shared" si="36"/>
        <v>0</v>
      </c>
      <c r="J138" s="73">
        <f t="shared" si="37"/>
        <v>0</v>
      </c>
      <c r="K138" s="73">
        <f t="shared" si="38"/>
        <v>0</v>
      </c>
      <c r="L138" s="73">
        <f t="shared" si="39"/>
        <v>0</v>
      </c>
      <c r="M138" s="73">
        <f t="shared" si="40"/>
        <v>0</v>
      </c>
      <c r="N138" s="73">
        <f t="shared" si="41"/>
        <v>0</v>
      </c>
      <c r="O138" s="73">
        <f t="shared" si="42"/>
        <v>0</v>
      </c>
      <c r="P138" s="73">
        <f t="shared" si="43"/>
        <v>0</v>
      </c>
      <c r="Q138" s="73">
        <f t="shared" si="44"/>
        <v>0</v>
      </c>
      <c r="R138" s="73">
        <f t="shared" si="45"/>
        <v>0</v>
      </c>
      <c r="S138" s="73">
        <f t="shared" si="46"/>
        <v>0</v>
      </c>
      <c r="T138" s="73">
        <f t="shared" si="47"/>
        <v>0</v>
      </c>
      <c r="U138" s="73">
        <f t="shared" si="48"/>
        <v>0</v>
      </c>
      <c r="V138" s="73">
        <f t="shared" si="49"/>
        <v>0</v>
      </c>
      <c r="W138" s="73">
        <f t="shared" si="50"/>
        <v>0</v>
      </c>
      <c r="X138" s="81"/>
    </row>
    <row r="139" spans="1:24" ht="21.75" hidden="1">
      <c r="A139" s="69">
        <v>502</v>
      </c>
      <c r="B139" s="76">
        <v>5</v>
      </c>
      <c r="C139" s="71">
        <v>135</v>
      </c>
      <c r="D139" s="46" t="s">
        <v>493</v>
      </c>
      <c r="E139" s="72" t="s">
        <v>494</v>
      </c>
      <c r="F139" s="73">
        <v>391302</v>
      </c>
      <c r="G139" s="73">
        <f t="shared" si="34"/>
        <v>0</v>
      </c>
      <c r="H139" s="73">
        <f t="shared" si="35"/>
        <v>391302</v>
      </c>
      <c r="I139" s="73">
        <f t="shared" si="36"/>
        <v>0</v>
      </c>
      <c r="J139" s="73">
        <f t="shared" si="37"/>
        <v>0</v>
      </c>
      <c r="K139" s="73">
        <f t="shared" si="38"/>
        <v>0</v>
      </c>
      <c r="L139" s="73">
        <f t="shared" si="39"/>
        <v>0</v>
      </c>
      <c r="M139" s="73">
        <f t="shared" si="40"/>
        <v>0</v>
      </c>
      <c r="N139" s="73">
        <f t="shared" si="41"/>
        <v>0</v>
      </c>
      <c r="O139" s="73">
        <f t="shared" si="42"/>
        <v>0</v>
      </c>
      <c r="P139" s="73">
        <f t="shared" si="43"/>
        <v>0</v>
      </c>
      <c r="Q139" s="73">
        <f t="shared" si="44"/>
        <v>0</v>
      </c>
      <c r="R139" s="73">
        <f t="shared" si="45"/>
        <v>0</v>
      </c>
      <c r="S139" s="73">
        <f t="shared" si="46"/>
        <v>0</v>
      </c>
      <c r="T139" s="73">
        <f t="shared" si="47"/>
        <v>0</v>
      </c>
      <c r="U139" s="73">
        <f t="shared" si="48"/>
        <v>0</v>
      </c>
      <c r="V139" s="73">
        <f t="shared" si="49"/>
        <v>0</v>
      </c>
      <c r="W139" s="73">
        <f t="shared" si="50"/>
        <v>0</v>
      </c>
      <c r="X139" s="74"/>
    </row>
    <row r="140" spans="1:24" ht="21.75" hidden="1">
      <c r="A140" s="69">
        <v>502</v>
      </c>
      <c r="B140" s="76">
        <v>5</v>
      </c>
      <c r="C140" s="77">
        <v>136</v>
      </c>
      <c r="D140" s="78" t="s">
        <v>560</v>
      </c>
      <c r="E140" s="79" t="s">
        <v>115</v>
      </c>
      <c r="F140" s="80">
        <v>225941742</v>
      </c>
      <c r="G140" s="73">
        <f t="shared" si="34"/>
        <v>0</v>
      </c>
      <c r="H140" s="73">
        <f t="shared" si="35"/>
        <v>225941742</v>
      </c>
      <c r="I140" s="73">
        <f t="shared" si="36"/>
        <v>0</v>
      </c>
      <c r="J140" s="73">
        <f t="shared" si="37"/>
        <v>0</v>
      </c>
      <c r="K140" s="73">
        <f t="shared" si="38"/>
        <v>0</v>
      </c>
      <c r="L140" s="73">
        <f t="shared" si="39"/>
        <v>0</v>
      </c>
      <c r="M140" s="73">
        <f t="shared" si="40"/>
        <v>0</v>
      </c>
      <c r="N140" s="73">
        <f t="shared" si="41"/>
        <v>0</v>
      </c>
      <c r="O140" s="73">
        <f t="shared" si="42"/>
        <v>0</v>
      </c>
      <c r="P140" s="73">
        <f t="shared" si="43"/>
        <v>0</v>
      </c>
      <c r="Q140" s="73">
        <f t="shared" si="44"/>
        <v>0</v>
      </c>
      <c r="R140" s="73">
        <f t="shared" si="45"/>
        <v>0</v>
      </c>
      <c r="S140" s="73">
        <f t="shared" si="46"/>
        <v>0</v>
      </c>
      <c r="T140" s="73">
        <f t="shared" si="47"/>
        <v>0</v>
      </c>
      <c r="U140" s="73">
        <f t="shared" si="48"/>
        <v>0</v>
      </c>
      <c r="V140" s="73">
        <f t="shared" si="49"/>
        <v>0</v>
      </c>
      <c r="W140" s="73">
        <f t="shared" si="50"/>
        <v>0</v>
      </c>
      <c r="X140" s="81"/>
    </row>
    <row r="141" spans="1:24" ht="21.75" hidden="1">
      <c r="A141" s="69">
        <v>1212</v>
      </c>
      <c r="B141" s="70">
        <v>12</v>
      </c>
      <c r="C141" s="71">
        <v>137</v>
      </c>
      <c r="D141" s="46" t="s">
        <v>116</v>
      </c>
      <c r="E141" s="72" t="s">
        <v>117</v>
      </c>
      <c r="F141" s="73">
        <v>-3492336</v>
      </c>
      <c r="G141" s="73">
        <f t="shared" si="34"/>
        <v>0</v>
      </c>
      <c r="H141" s="73">
        <f t="shared" si="35"/>
        <v>0</v>
      </c>
      <c r="I141" s="73">
        <f t="shared" si="36"/>
        <v>0</v>
      </c>
      <c r="J141" s="73">
        <f t="shared" si="37"/>
        <v>0</v>
      </c>
      <c r="K141" s="73">
        <f t="shared" si="38"/>
        <v>0</v>
      </c>
      <c r="L141" s="73">
        <f t="shared" si="39"/>
        <v>0</v>
      </c>
      <c r="M141" s="73">
        <f t="shared" si="40"/>
        <v>0</v>
      </c>
      <c r="N141" s="73">
        <f t="shared" si="41"/>
        <v>0</v>
      </c>
      <c r="O141" s="73">
        <f t="shared" si="42"/>
        <v>0</v>
      </c>
      <c r="P141" s="73">
        <f t="shared" si="43"/>
        <v>-3492336</v>
      </c>
      <c r="Q141" s="73">
        <f t="shared" si="44"/>
        <v>0</v>
      </c>
      <c r="R141" s="73">
        <f t="shared" si="45"/>
        <v>0</v>
      </c>
      <c r="S141" s="73">
        <f t="shared" si="46"/>
        <v>0</v>
      </c>
      <c r="T141" s="73">
        <f t="shared" si="47"/>
        <v>0</v>
      </c>
      <c r="U141" s="73">
        <f t="shared" si="48"/>
        <v>0</v>
      </c>
      <c r="V141" s="73">
        <f t="shared" si="49"/>
        <v>0</v>
      </c>
      <c r="W141" s="73">
        <f t="shared" si="50"/>
        <v>0</v>
      </c>
      <c r="X141" s="74"/>
    </row>
    <row r="142" spans="1:24" ht="21.75" hidden="1">
      <c r="A142" s="69">
        <v>1212</v>
      </c>
      <c r="B142" s="76">
        <v>12</v>
      </c>
      <c r="C142" s="77">
        <v>138</v>
      </c>
      <c r="D142" s="78" t="s">
        <v>485</v>
      </c>
      <c r="E142" s="79" t="s">
        <v>68</v>
      </c>
      <c r="F142" s="80">
        <v>-47508657</v>
      </c>
      <c r="G142" s="73">
        <f t="shared" si="34"/>
        <v>0</v>
      </c>
      <c r="H142" s="73">
        <f t="shared" si="35"/>
        <v>0</v>
      </c>
      <c r="I142" s="73">
        <f t="shared" si="36"/>
        <v>0</v>
      </c>
      <c r="J142" s="73">
        <f t="shared" si="37"/>
        <v>0</v>
      </c>
      <c r="K142" s="73">
        <f t="shared" si="38"/>
        <v>0</v>
      </c>
      <c r="L142" s="73">
        <f t="shared" si="39"/>
        <v>0</v>
      </c>
      <c r="M142" s="73">
        <f t="shared" si="40"/>
        <v>0</v>
      </c>
      <c r="N142" s="73">
        <f t="shared" si="41"/>
        <v>0</v>
      </c>
      <c r="O142" s="73">
        <f t="shared" si="42"/>
        <v>0</v>
      </c>
      <c r="P142" s="73">
        <f t="shared" si="43"/>
        <v>-47508657</v>
      </c>
      <c r="Q142" s="73">
        <f t="shared" si="44"/>
        <v>0</v>
      </c>
      <c r="R142" s="73">
        <f t="shared" si="45"/>
        <v>0</v>
      </c>
      <c r="S142" s="73">
        <f t="shared" si="46"/>
        <v>0</v>
      </c>
      <c r="T142" s="73">
        <f t="shared" si="47"/>
        <v>0</v>
      </c>
      <c r="U142" s="73">
        <f t="shared" si="48"/>
        <v>0</v>
      </c>
      <c r="V142" s="73">
        <f t="shared" si="49"/>
        <v>0</v>
      </c>
      <c r="W142" s="73">
        <f t="shared" si="50"/>
        <v>0</v>
      </c>
      <c r="X142" s="81"/>
    </row>
    <row r="143" spans="1:24" ht="21.75" hidden="1">
      <c r="A143" s="69">
        <v>1212</v>
      </c>
      <c r="B143" s="70">
        <v>12</v>
      </c>
      <c r="C143" s="71">
        <v>139</v>
      </c>
      <c r="D143" s="46" t="s">
        <v>487</v>
      </c>
      <c r="E143" s="72" t="s">
        <v>488</v>
      </c>
      <c r="F143" s="73">
        <v>-1192500</v>
      </c>
      <c r="G143" s="73">
        <f t="shared" si="34"/>
        <v>0</v>
      </c>
      <c r="H143" s="73">
        <f t="shared" si="35"/>
        <v>0</v>
      </c>
      <c r="I143" s="73">
        <f t="shared" si="36"/>
        <v>0</v>
      </c>
      <c r="J143" s="73">
        <f t="shared" si="37"/>
        <v>0</v>
      </c>
      <c r="K143" s="73">
        <f t="shared" si="38"/>
        <v>0</v>
      </c>
      <c r="L143" s="73">
        <f t="shared" si="39"/>
        <v>0</v>
      </c>
      <c r="M143" s="73">
        <f t="shared" si="40"/>
        <v>0</v>
      </c>
      <c r="N143" s="73">
        <f t="shared" si="41"/>
        <v>0</v>
      </c>
      <c r="O143" s="73">
        <f t="shared" si="42"/>
        <v>0</v>
      </c>
      <c r="P143" s="73">
        <f t="shared" si="43"/>
        <v>-1192500</v>
      </c>
      <c r="Q143" s="73">
        <f t="shared" si="44"/>
        <v>0</v>
      </c>
      <c r="R143" s="73">
        <f t="shared" si="45"/>
        <v>0</v>
      </c>
      <c r="S143" s="73">
        <f t="shared" si="46"/>
        <v>0</v>
      </c>
      <c r="T143" s="73">
        <f t="shared" si="47"/>
        <v>0</v>
      </c>
      <c r="U143" s="73">
        <f t="shared" si="48"/>
        <v>0</v>
      </c>
      <c r="V143" s="73">
        <f t="shared" si="49"/>
        <v>0</v>
      </c>
      <c r="W143" s="73">
        <f t="shared" si="50"/>
        <v>0</v>
      </c>
      <c r="X143" s="74"/>
    </row>
    <row r="144" spans="1:24" ht="21.75" hidden="1">
      <c r="A144" s="69">
        <v>1212</v>
      </c>
      <c r="B144" s="76">
        <v>12</v>
      </c>
      <c r="C144" s="77">
        <v>140</v>
      </c>
      <c r="D144" s="78" t="s">
        <v>277</v>
      </c>
      <c r="E144" s="79" t="s">
        <v>278</v>
      </c>
      <c r="F144" s="80">
        <v>-8024085</v>
      </c>
      <c r="G144" s="73">
        <f t="shared" si="34"/>
        <v>0</v>
      </c>
      <c r="H144" s="73">
        <f t="shared" si="35"/>
        <v>0</v>
      </c>
      <c r="I144" s="73">
        <f t="shared" si="36"/>
        <v>0</v>
      </c>
      <c r="J144" s="73">
        <f t="shared" si="37"/>
        <v>0</v>
      </c>
      <c r="K144" s="73">
        <f t="shared" si="38"/>
        <v>0</v>
      </c>
      <c r="L144" s="73">
        <f t="shared" si="39"/>
        <v>0</v>
      </c>
      <c r="M144" s="73">
        <f t="shared" si="40"/>
        <v>0</v>
      </c>
      <c r="N144" s="73">
        <f t="shared" si="41"/>
        <v>0</v>
      </c>
      <c r="O144" s="73">
        <f t="shared" si="42"/>
        <v>0</v>
      </c>
      <c r="P144" s="73">
        <f t="shared" si="43"/>
        <v>-8024085</v>
      </c>
      <c r="Q144" s="73">
        <f t="shared" si="44"/>
        <v>0</v>
      </c>
      <c r="R144" s="73">
        <f t="shared" si="45"/>
        <v>0</v>
      </c>
      <c r="S144" s="73">
        <f t="shared" si="46"/>
        <v>0</v>
      </c>
      <c r="T144" s="73">
        <f t="shared" si="47"/>
        <v>0</v>
      </c>
      <c r="U144" s="73">
        <f t="shared" si="48"/>
        <v>0</v>
      </c>
      <c r="V144" s="73">
        <f t="shared" si="49"/>
        <v>0</v>
      </c>
      <c r="W144" s="73">
        <f t="shared" si="50"/>
        <v>0</v>
      </c>
      <c r="X144" s="81"/>
    </row>
    <row r="145" spans="1:24" ht="21.75">
      <c r="A145" s="69">
        <v>614</v>
      </c>
      <c r="B145" s="70">
        <v>6</v>
      </c>
      <c r="C145" s="71">
        <v>141</v>
      </c>
      <c r="D145" s="46" t="s">
        <v>489</v>
      </c>
      <c r="E145" s="72" t="s">
        <v>292</v>
      </c>
      <c r="F145" s="73">
        <v>71320783</v>
      </c>
      <c r="G145" s="73">
        <f t="shared" si="34"/>
        <v>0</v>
      </c>
      <c r="H145" s="73">
        <f t="shared" si="35"/>
        <v>0</v>
      </c>
      <c r="I145" s="73">
        <f t="shared" si="36"/>
        <v>71320783</v>
      </c>
      <c r="J145" s="73">
        <f t="shared" si="37"/>
        <v>0</v>
      </c>
      <c r="K145" s="73">
        <f t="shared" si="38"/>
        <v>0</v>
      </c>
      <c r="L145" s="73">
        <f t="shared" si="39"/>
        <v>0</v>
      </c>
      <c r="M145" s="73">
        <f t="shared" si="40"/>
        <v>0</v>
      </c>
      <c r="N145" s="73">
        <f t="shared" si="41"/>
        <v>0</v>
      </c>
      <c r="O145" s="73">
        <f t="shared" si="42"/>
        <v>0</v>
      </c>
      <c r="P145" s="73">
        <f t="shared" si="43"/>
        <v>0</v>
      </c>
      <c r="Q145" s="73">
        <f t="shared" si="44"/>
        <v>0</v>
      </c>
      <c r="R145" s="73">
        <f t="shared" si="45"/>
        <v>0</v>
      </c>
      <c r="S145" s="73">
        <f t="shared" si="46"/>
        <v>0</v>
      </c>
      <c r="T145" s="73">
        <f t="shared" si="47"/>
        <v>0</v>
      </c>
      <c r="U145" s="73">
        <f t="shared" si="48"/>
        <v>0</v>
      </c>
      <c r="V145" s="73">
        <f t="shared" si="49"/>
        <v>0</v>
      </c>
      <c r="W145" s="73">
        <f t="shared" si="50"/>
        <v>0</v>
      </c>
      <c r="X145" s="74"/>
    </row>
    <row r="146" spans="1:24" ht="21.75">
      <c r="A146" s="75">
        <v>611</v>
      </c>
      <c r="B146" s="76">
        <v>6</v>
      </c>
      <c r="C146" s="77">
        <v>142</v>
      </c>
      <c r="D146" s="78" t="s">
        <v>293</v>
      </c>
      <c r="E146" s="79" t="s">
        <v>467</v>
      </c>
      <c r="F146" s="80">
        <v>12195337816</v>
      </c>
      <c r="G146" s="73">
        <f t="shared" si="34"/>
        <v>0</v>
      </c>
      <c r="H146" s="73">
        <f t="shared" si="35"/>
        <v>0</v>
      </c>
      <c r="I146" s="73">
        <f t="shared" si="36"/>
        <v>12195337816</v>
      </c>
      <c r="J146" s="73">
        <f t="shared" si="37"/>
        <v>0</v>
      </c>
      <c r="K146" s="73">
        <f t="shared" si="38"/>
        <v>0</v>
      </c>
      <c r="L146" s="73">
        <f t="shared" si="39"/>
        <v>0</v>
      </c>
      <c r="M146" s="73">
        <f t="shared" si="40"/>
        <v>0</v>
      </c>
      <c r="N146" s="73">
        <f t="shared" si="41"/>
        <v>0</v>
      </c>
      <c r="O146" s="73">
        <f t="shared" si="42"/>
        <v>0</v>
      </c>
      <c r="P146" s="73">
        <f t="shared" si="43"/>
        <v>0</v>
      </c>
      <c r="Q146" s="73">
        <f t="shared" si="44"/>
        <v>0</v>
      </c>
      <c r="R146" s="73">
        <f t="shared" si="45"/>
        <v>0</v>
      </c>
      <c r="S146" s="73">
        <f t="shared" si="46"/>
        <v>0</v>
      </c>
      <c r="T146" s="73">
        <f t="shared" si="47"/>
        <v>0</v>
      </c>
      <c r="U146" s="73">
        <f t="shared" si="48"/>
        <v>0</v>
      </c>
      <c r="V146" s="73">
        <f t="shared" si="49"/>
        <v>0</v>
      </c>
      <c r="W146" s="73">
        <f t="shared" si="50"/>
        <v>0</v>
      </c>
      <c r="X146" s="81"/>
    </row>
    <row r="147" spans="1:24" ht="21.75" hidden="1">
      <c r="A147" s="69">
        <v>801</v>
      </c>
      <c r="B147" s="70">
        <v>8</v>
      </c>
      <c r="C147" s="71">
        <v>142</v>
      </c>
      <c r="D147" s="46" t="s">
        <v>401</v>
      </c>
      <c r="E147" s="72" t="s">
        <v>448</v>
      </c>
      <c r="F147" s="73">
        <v>-6090000000</v>
      </c>
      <c r="G147" s="73">
        <f t="shared" si="34"/>
        <v>0</v>
      </c>
      <c r="H147" s="73">
        <f t="shared" si="35"/>
        <v>0</v>
      </c>
      <c r="I147" s="73">
        <f t="shared" si="36"/>
        <v>0</v>
      </c>
      <c r="J147" s="73">
        <f t="shared" si="37"/>
        <v>0</v>
      </c>
      <c r="K147" s="73">
        <f t="shared" si="38"/>
        <v>-6090000000</v>
      </c>
      <c r="L147" s="73">
        <f t="shared" si="39"/>
        <v>0</v>
      </c>
      <c r="M147" s="73">
        <f t="shared" si="40"/>
        <v>0</v>
      </c>
      <c r="N147" s="73">
        <f t="shared" si="41"/>
        <v>0</v>
      </c>
      <c r="O147" s="73">
        <f t="shared" si="42"/>
        <v>0</v>
      </c>
      <c r="P147" s="73">
        <f t="shared" si="43"/>
        <v>0</v>
      </c>
      <c r="Q147" s="73">
        <f t="shared" si="44"/>
        <v>0</v>
      </c>
      <c r="R147" s="73">
        <f t="shared" si="45"/>
        <v>0</v>
      </c>
      <c r="S147" s="73">
        <f t="shared" si="46"/>
        <v>0</v>
      </c>
      <c r="T147" s="73">
        <f t="shared" si="47"/>
        <v>0</v>
      </c>
      <c r="U147" s="73">
        <f t="shared" si="48"/>
        <v>0</v>
      </c>
      <c r="V147" s="73">
        <f t="shared" si="49"/>
        <v>0</v>
      </c>
      <c r="W147" s="73">
        <f t="shared" si="50"/>
        <v>0</v>
      </c>
      <c r="X147" s="74"/>
    </row>
    <row r="148" spans="1:24" ht="21.75" hidden="1">
      <c r="A148" s="75">
        <v>701</v>
      </c>
      <c r="B148" s="76">
        <v>7</v>
      </c>
      <c r="C148" s="77">
        <v>143</v>
      </c>
      <c r="D148" s="78" t="s">
        <v>449</v>
      </c>
      <c r="E148" s="79" t="s">
        <v>448</v>
      </c>
      <c r="F148" s="80">
        <v>-3706355229</v>
      </c>
      <c r="G148" s="73">
        <f t="shared" si="34"/>
        <v>0</v>
      </c>
      <c r="H148" s="73">
        <f t="shared" si="35"/>
        <v>0</v>
      </c>
      <c r="I148" s="73">
        <f t="shared" si="36"/>
        <v>0</v>
      </c>
      <c r="J148" s="73">
        <f t="shared" si="37"/>
        <v>-3706355229</v>
      </c>
      <c r="K148" s="73">
        <f t="shared" si="38"/>
        <v>0</v>
      </c>
      <c r="L148" s="73">
        <f t="shared" si="39"/>
        <v>0</v>
      </c>
      <c r="M148" s="73">
        <f t="shared" si="40"/>
        <v>0</v>
      </c>
      <c r="N148" s="73">
        <f t="shared" si="41"/>
        <v>0</v>
      </c>
      <c r="O148" s="73">
        <f t="shared" si="42"/>
        <v>0</v>
      </c>
      <c r="P148" s="73">
        <f t="shared" si="43"/>
        <v>0</v>
      </c>
      <c r="Q148" s="73">
        <f t="shared" si="44"/>
        <v>0</v>
      </c>
      <c r="R148" s="73">
        <f t="shared" si="45"/>
        <v>0</v>
      </c>
      <c r="S148" s="73">
        <f t="shared" si="46"/>
        <v>0</v>
      </c>
      <c r="T148" s="73">
        <f t="shared" si="47"/>
        <v>0</v>
      </c>
      <c r="U148" s="73">
        <f t="shared" si="48"/>
        <v>0</v>
      </c>
      <c r="V148" s="73">
        <f t="shared" si="49"/>
        <v>0</v>
      </c>
      <c r="W148" s="73">
        <f t="shared" si="50"/>
        <v>0</v>
      </c>
      <c r="X148" s="81"/>
    </row>
    <row r="149" spans="1:24" ht="21.75" hidden="1">
      <c r="A149" s="69">
        <v>701</v>
      </c>
      <c r="B149" s="70">
        <v>7</v>
      </c>
      <c r="C149" s="71">
        <v>144</v>
      </c>
      <c r="D149" s="46" t="s">
        <v>452</v>
      </c>
      <c r="E149" s="72" t="s">
        <v>453</v>
      </c>
      <c r="F149" s="73">
        <v>45277712</v>
      </c>
      <c r="G149" s="73">
        <f t="shared" si="34"/>
        <v>0</v>
      </c>
      <c r="H149" s="73">
        <f t="shared" si="35"/>
        <v>0</v>
      </c>
      <c r="I149" s="73">
        <f t="shared" si="36"/>
        <v>0</v>
      </c>
      <c r="J149" s="73">
        <f t="shared" si="37"/>
        <v>45277712</v>
      </c>
      <c r="K149" s="73">
        <f t="shared" si="38"/>
        <v>0</v>
      </c>
      <c r="L149" s="73">
        <f t="shared" si="39"/>
        <v>0</v>
      </c>
      <c r="M149" s="73">
        <f t="shared" si="40"/>
        <v>0</v>
      </c>
      <c r="N149" s="73">
        <f t="shared" si="41"/>
        <v>0</v>
      </c>
      <c r="O149" s="73">
        <f t="shared" si="42"/>
        <v>0</v>
      </c>
      <c r="P149" s="73">
        <f t="shared" si="43"/>
        <v>0</v>
      </c>
      <c r="Q149" s="73">
        <f t="shared" si="44"/>
        <v>0</v>
      </c>
      <c r="R149" s="73">
        <f t="shared" si="45"/>
        <v>0</v>
      </c>
      <c r="S149" s="73">
        <f t="shared" si="46"/>
        <v>0</v>
      </c>
      <c r="T149" s="73">
        <f t="shared" si="47"/>
        <v>0</v>
      </c>
      <c r="U149" s="73">
        <f t="shared" si="48"/>
        <v>0</v>
      </c>
      <c r="V149" s="73">
        <f t="shared" si="49"/>
        <v>0</v>
      </c>
      <c r="W149" s="73">
        <f t="shared" si="50"/>
        <v>0</v>
      </c>
      <c r="X149" s="74"/>
    </row>
    <row r="150" spans="1:24" ht="21.75" hidden="1">
      <c r="A150" s="75">
        <v>801</v>
      </c>
      <c r="B150" s="76">
        <v>8</v>
      </c>
      <c r="C150" s="77">
        <v>145</v>
      </c>
      <c r="D150" s="78" t="s">
        <v>469</v>
      </c>
      <c r="E150" s="79" t="s">
        <v>470</v>
      </c>
      <c r="F150" s="80">
        <v>-1486218975</v>
      </c>
      <c r="G150" s="73">
        <f t="shared" si="34"/>
        <v>0</v>
      </c>
      <c r="H150" s="73">
        <f t="shared" si="35"/>
        <v>0</v>
      </c>
      <c r="I150" s="73">
        <f t="shared" si="36"/>
        <v>0</v>
      </c>
      <c r="J150" s="73">
        <f t="shared" si="37"/>
        <v>0</v>
      </c>
      <c r="K150" s="73">
        <f t="shared" si="38"/>
        <v>-1486218975</v>
      </c>
      <c r="L150" s="73">
        <f t="shared" si="39"/>
        <v>0</v>
      </c>
      <c r="M150" s="73">
        <f t="shared" si="40"/>
        <v>0</v>
      </c>
      <c r="N150" s="73">
        <f t="shared" si="41"/>
        <v>0</v>
      </c>
      <c r="O150" s="73">
        <f t="shared" si="42"/>
        <v>0</v>
      </c>
      <c r="P150" s="73">
        <f t="shared" si="43"/>
        <v>0</v>
      </c>
      <c r="Q150" s="73">
        <f t="shared" si="44"/>
        <v>0</v>
      </c>
      <c r="R150" s="73">
        <f t="shared" si="45"/>
        <v>0</v>
      </c>
      <c r="S150" s="73">
        <f t="shared" si="46"/>
        <v>0</v>
      </c>
      <c r="T150" s="73">
        <f t="shared" si="47"/>
        <v>0</v>
      </c>
      <c r="U150" s="73">
        <f t="shared" si="48"/>
        <v>0</v>
      </c>
      <c r="V150" s="73">
        <f t="shared" si="49"/>
        <v>0</v>
      </c>
      <c r="W150" s="73">
        <f t="shared" si="50"/>
        <v>0</v>
      </c>
      <c r="X150" s="81"/>
    </row>
    <row r="151" spans="1:24" ht="21.75" hidden="1">
      <c r="A151" s="69">
        <v>701</v>
      </c>
      <c r="B151" s="70">
        <v>7</v>
      </c>
      <c r="C151" s="71">
        <v>146</v>
      </c>
      <c r="D151" s="46" t="s">
        <v>460</v>
      </c>
      <c r="E151" s="72" t="s">
        <v>461</v>
      </c>
      <c r="F151" s="73">
        <v>1225745289457</v>
      </c>
      <c r="G151" s="73">
        <f t="shared" si="34"/>
        <v>0</v>
      </c>
      <c r="H151" s="73">
        <f t="shared" si="35"/>
        <v>0</v>
      </c>
      <c r="I151" s="73">
        <f t="shared" si="36"/>
        <v>0</v>
      </c>
      <c r="J151" s="73">
        <f t="shared" si="37"/>
        <v>1225745289457</v>
      </c>
      <c r="K151" s="73">
        <f t="shared" si="38"/>
        <v>0</v>
      </c>
      <c r="L151" s="73">
        <f t="shared" si="39"/>
        <v>0</v>
      </c>
      <c r="M151" s="73">
        <f t="shared" si="40"/>
        <v>0</v>
      </c>
      <c r="N151" s="73">
        <f t="shared" si="41"/>
        <v>0</v>
      </c>
      <c r="O151" s="73">
        <f t="shared" si="42"/>
        <v>0</v>
      </c>
      <c r="P151" s="73">
        <f t="shared" si="43"/>
        <v>0</v>
      </c>
      <c r="Q151" s="73">
        <f t="shared" si="44"/>
        <v>0</v>
      </c>
      <c r="R151" s="73">
        <f t="shared" si="45"/>
        <v>0</v>
      </c>
      <c r="S151" s="73">
        <f t="shared" si="46"/>
        <v>0</v>
      </c>
      <c r="T151" s="73">
        <f t="shared" si="47"/>
        <v>0</v>
      </c>
      <c r="U151" s="73">
        <f t="shared" si="48"/>
        <v>0</v>
      </c>
      <c r="V151" s="73">
        <f t="shared" si="49"/>
        <v>0</v>
      </c>
      <c r="W151" s="73">
        <f t="shared" si="50"/>
        <v>0</v>
      </c>
      <c r="X151" s="74"/>
    </row>
    <row r="152" spans="1:24" ht="21.75" hidden="1">
      <c r="A152" s="75">
        <v>908</v>
      </c>
      <c r="B152" s="76">
        <v>9</v>
      </c>
      <c r="C152" s="77">
        <v>147</v>
      </c>
      <c r="D152" s="78" t="s">
        <v>462</v>
      </c>
      <c r="E152" s="79" t="s">
        <v>463</v>
      </c>
      <c r="F152" s="80">
        <v>508597428076</v>
      </c>
      <c r="G152" s="73">
        <f t="shared" si="34"/>
        <v>0</v>
      </c>
      <c r="H152" s="73">
        <f t="shared" si="35"/>
        <v>0</v>
      </c>
      <c r="I152" s="73">
        <f t="shared" si="36"/>
        <v>0</v>
      </c>
      <c r="J152" s="73">
        <f t="shared" si="37"/>
        <v>0</v>
      </c>
      <c r="K152" s="73">
        <f t="shared" si="38"/>
        <v>0</v>
      </c>
      <c r="L152" s="73">
        <f t="shared" si="39"/>
        <v>508597428076</v>
      </c>
      <c r="M152" s="73">
        <f t="shared" si="40"/>
        <v>0</v>
      </c>
      <c r="N152" s="73">
        <f t="shared" si="41"/>
        <v>0</v>
      </c>
      <c r="O152" s="73">
        <f t="shared" si="42"/>
        <v>0</v>
      </c>
      <c r="P152" s="73">
        <f t="shared" si="43"/>
        <v>0</v>
      </c>
      <c r="Q152" s="73">
        <f t="shared" si="44"/>
        <v>0</v>
      </c>
      <c r="R152" s="73">
        <f t="shared" si="45"/>
        <v>0</v>
      </c>
      <c r="S152" s="73">
        <f t="shared" si="46"/>
        <v>0</v>
      </c>
      <c r="T152" s="73">
        <f t="shared" si="47"/>
        <v>0</v>
      </c>
      <c r="U152" s="73">
        <f t="shared" si="48"/>
        <v>0</v>
      </c>
      <c r="V152" s="73">
        <f t="shared" si="49"/>
        <v>0</v>
      </c>
      <c r="W152" s="73">
        <f t="shared" si="50"/>
        <v>0</v>
      </c>
      <c r="X152" s="81"/>
    </row>
    <row r="153" spans="1:24" ht="21.75" hidden="1">
      <c r="A153" s="69">
        <v>706</v>
      </c>
      <c r="B153" s="70">
        <v>7</v>
      </c>
      <c r="C153" s="71">
        <v>148</v>
      </c>
      <c r="D153" s="46" t="s">
        <v>395</v>
      </c>
      <c r="E153" s="72" t="s">
        <v>396</v>
      </c>
      <c r="F153" s="73">
        <v>-307310198</v>
      </c>
      <c r="G153" s="73">
        <f t="shared" si="34"/>
        <v>0</v>
      </c>
      <c r="H153" s="73">
        <f t="shared" si="35"/>
        <v>0</v>
      </c>
      <c r="I153" s="73">
        <f t="shared" si="36"/>
        <v>0</v>
      </c>
      <c r="J153" s="73">
        <f t="shared" si="37"/>
        <v>-307310198</v>
      </c>
      <c r="K153" s="73">
        <f t="shared" si="38"/>
        <v>0</v>
      </c>
      <c r="L153" s="73">
        <f t="shared" si="39"/>
        <v>0</v>
      </c>
      <c r="M153" s="73">
        <f t="shared" si="40"/>
        <v>0</v>
      </c>
      <c r="N153" s="73">
        <f t="shared" si="41"/>
        <v>0</v>
      </c>
      <c r="O153" s="73">
        <f t="shared" si="42"/>
        <v>0</v>
      </c>
      <c r="P153" s="73">
        <f t="shared" si="43"/>
        <v>0</v>
      </c>
      <c r="Q153" s="73">
        <f t="shared" si="44"/>
        <v>0</v>
      </c>
      <c r="R153" s="73">
        <f t="shared" si="45"/>
        <v>0</v>
      </c>
      <c r="S153" s="73">
        <f t="shared" si="46"/>
        <v>0</v>
      </c>
      <c r="T153" s="73">
        <f t="shared" si="47"/>
        <v>0</v>
      </c>
      <c r="U153" s="73">
        <f t="shared" si="48"/>
        <v>0</v>
      </c>
      <c r="V153" s="73">
        <f t="shared" si="49"/>
        <v>0</v>
      </c>
      <c r="W153" s="73">
        <f t="shared" si="50"/>
        <v>0</v>
      </c>
      <c r="X153" s="74"/>
    </row>
    <row r="154" spans="1:24" ht="21.75" hidden="1">
      <c r="A154" s="69">
        <v>706</v>
      </c>
      <c r="B154" s="76">
        <v>7</v>
      </c>
      <c r="C154" s="77">
        <v>149</v>
      </c>
      <c r="D154" s="78" t="s">
        <v>282</v>
      </c>
      <c r="E154" s="79" t="s">
        <v>283</v>
      </c>
      <c r="F154" s="80">
        <v>1644629417</v>
      </c>
      <c r="G154" s="73">
        <f t="shared" si="34"/>
        <v>0</v>
      </c>
      <c r="H154" s="73">
        <f t="shared" si="35"/>
        <v>0</v>
      </c>
      <c r="I154" s="73">
        <f t="shared" si="36"/>
        <v>0</v>
      </c>
      <c r="J154" s="73">
        <f t="shared" si="37"/>
        <v>1644629417</v>
      </c>
      <c r="K154" s="73">
        <f t="shared" si="38"/>
        <v>0</v>
      </c>
      <c r="L154" s="73">
        <f t="shared" si="39"/>
        <v>0</v>
      </c>
      <c r="M154" s="73">
        <f t="shared" si="40"/>
        <v>0</v>
      </c>
      <c r="N154" s="73">
        <f t="shared" si="41"/>
        <v>0</v>
      </c>
      <c r="O154" s="73">
        <f t="shared" si="42"/>
        <v>0</v>
      </c>
      <c r="P154" s="73">
        <f t="shared" si="43"/>
        <v>0</v>
      </c>
      <c r="Q154" s="73">
        <f t="shared" si="44"/>
        <v>0</v>
      </c>
      <c r="R154" s="73">
        <f t="shared" si="45"/>
        <v>0</v>
      </c>
      <c r="S154" s="73">
        <f t="shared" si="46"/>
        <v>0</v>
      </c>
      <c r="T154" s="73">
        <f t="shared" si="47"/>
        <v>0</v>
      </c>
      <c r="U154" s="73">
        <f t="shared" si="48"/>
        <v>0</v>
      </c>
      <c r="V154" s="73">
        <f t="shared" si="49"/>
        <v>0</v>
      </c>
      <c r="W154" s="73">
        <f t="shared" si="50"/>
        <v>0</v>
      </c>
      <c r="X154" s="81"/>
    </row>
    <row r="155" spans="1:24" ht="21.75" hidden="1">
      <c r="A155" s="69">
        <v>706</v>
      </c>
      <c r="B155" s="70">
        <v>7</v>
      </c>
      <c r="C155" s="71">
        <v>150</v>
      </c>
      <c r="D155" s="46" t="s">
        <v>76</v>
      </c>
      <c r="E155" s="72" t="s">
        <v>77</v>
      </c>
      <c r="F155" s="73">
        <v>84363</v>
      </c>
      <c r="G155" s="73">
        <f t="shared" si="34"/>
        <v>0</v>
      </c>
      <c r="H155" s="73">
        <f t="shared" si="35"/>
        <v>0</v>
      </c>
      <c r="I155" s="73">
        <f t="shared" si="36"/>
        <v>0</v>
      </c>
      <c r="J155" s="73">
        <f t="shared" si="37"/>
        <v>84363</v>
      </c>
      <c r="K155" s="73">
        <f t="shared" si="38"/>
        <v>0</v>
      </c>
      <c r="L155" s="73">
        <f t="shared" si="39"/>
        <v>0</v>
      </c>
      <c r="M155" s="73">
        <f t="shared" si="40"/>
        <v>0</v>
      </c>
      <c r="N155" s="73">
        <f t="shared" si="41"/>
        <v>0</v>
      </c>
      <c r="O155" s="73">
        <f t="shared" si="42"/>
        <v>0</v>
      </c>
      <c r="P155" s="73">
        <f t="shared" si="43"/>
        <v>0</v>
      </c>
      <c r="Q155" s="73">
        <f t="shared" si="44"/>
        <v>0</v>
      </c>
      <c r="R155" s="73">
        <f t="shared" si="45"/>
        <v>0</v>
      </c>
      <c r="S155" s="73">
        <f t="shared" si="46"/>
        <v>0</v>
      </c>
      <c r="T155" s="73">
        <f t="shared" si="47"/>
        <v>0</v>
      </c>
      <c r="U155" s="73">
        <f t="shared" si="48"/>
        <v>0</v>
      </c>
      <c r="V155" s="73">
        <f t="shared" si="49"/>
        <v>0</v>
      </c>
      <c r="W155" s="73">
        <f t="shared" si="50"/>
        <v>0</v>
      </c>
      <c r="X155" s="74"/>
    </row>
    <row r="156" spans="1:24" ht="21.75" hidden="1">
      <c r="A156" s="69">
        <v>706</v>
      </c>
      <c r="B156" s="76">
        <v>7</v>
      </c>
      <c r="C156" s="77">
        <v>151</v>
      </c>
      <c r="D156" s="78" t="s">
        <v>464</v>
      </c>
      <c r="E156" s="79" t="s">
        <v>311</v>
      </c>
      <c r="F156" s="80">
        <v>-818629503</v>
      </c>
      <c r="G156" s="73">
        <f t="shared" si="34"/>
        <v>0</v>
      </c>
      <c r="H156" s="73">
        <f t="shared" si="35"/>
        <v>0</v>
      </c>
      <c r="I156" s="73">
        <f t="shared" si="36"/>
        <v>0</v>
      </c>
      <c r="J156" s="73">
        <f t="shared" si="37"/>
        <v>-818629503</v>
      </c>
      <c r="K156" s="73">
        <f t="shared" si="38"/>
        <v>0</v>
      </c>
      <c r="L156" s="73">
        <f t="shared" si="39"/>
        <v>0</v>
      </c>
      <c r="M156" s="73">
        <f t="shared" si="40"/>
        <v>0</v>
      </c>
      <c r="N156" s="73">
        <f t="shared" si="41"/>
        <v>0</v>
      </c>
      <c r="O156" s="73">
        <f t="shared" si="42"/>
        <v>0</v>
      </c>
      <c r="P156" s="73">
        <f t="shared" si="43"/>
        <v>0</v>
      </c>
      <c r="Q156" s="73">
        <f t="shared" si="44"/>
        <v>0</v>
      </c>
      <c r="R156" s="73">
        <f t="shared" si="45"/>
        <v>0</v>
      </c>
      <c r="S156" s="73">
        <f t="shared" si="46"/>
        <v>0</v>
      </c>
      <c r="T156" s="73">
        <f t="shared" si="47"/>
        <v>0</v>
      </c>
      <c r="U156" s="73">
        <f t="shared" si="48"/>
        <v>0</v>
      </c>
      <c r="V156" s="73">
        <f t="shared" si="49"/>
        <v>0</v>
      </c>
      <c r="W156" s="73">
        <f t="shared" si="50"/>
        <v>0</v>
      </c>
      <c r="X156" s="81"/>
    </row>
    <row r="157" spans="1:24" ht="21.75" hidden="1">
      <c r="A157" s="69">
        <v>706</v>
      </c>
      <c r="B157" s="70">
        <v>7</v>
      </c>
      <c r="C157" s="71">
        <v>152</v>
      </c>
      <c r="D157" s="46" t="s">
        <v>594</v>
      </c>
      <c r="E157" s="72" t="s">
        <v>314</v>
      </c>
      <c r="F157" s="73">
        <v>-216479252</v>
      </c>
      <c r="G157" s="73">
        <f t="shared" si="34"/>
        <v>0</v>
      </c>
      <c r="H157" s="73">
        <f t="shared" si="35"/>
        <v>0</v>
      </c>
      <c r="I157" s="73">
        <f t="shared" si="36"/>
        <v>0</v>
      </c>
      <c r="J157" s="73">
        <f t="shared" si="37"/>
        <v>-216479252</v>
      </c>
      <c r="K157" s="73">
        <f t="shared" si="38"/>
        <v>0</v>
      </c>
      <c r="L157" s="73">
        <f t="shared" si="39"/>
        <v>0</v>
      </c>
      <c r="M157" s="73">
        <f t="shared" si="40"/>
        <v>0</v>
      </c>
      <c r="N157" s="73">
        <f t="shared" si="41"/>
        <v>0</v>
      </c>
      <c r="O157" s="73">
        <f t="shared" si="42"/>
        <v>0</v>
      </c>
      <c r="P157" s="73">
        <f t="shared" si="43"/>
        <v>0</v>
      </c>
      <c r="Q157" s="73">
        <f t="shared" si="44"/>
        <v>0</v>
      </c>
      <c r="R157" s="73">
        <f t="shared" si="45"/>
        <v>0</v>
      </c>
      <c r="S157" s="73">
        <f t="shared" si="46"/>
        <v>0</v>
      </c>
      <c r="T157" s="73">
        <f t="shared" si="47"/>
        <v>0</v>
      </c>
      <c r="U157" s="73">
        <f t="shared" si="48"/>
        <v>0</v>
      </c>
      <c r="V157" s="73">
        <f t="shared" si="49"/>
        <v>0</v>
      </c>
      <c r="W157" s="73">
        <f t="shared" si="50"/>
        <v>0</v>
      </c>
      <c r="X157" s="74"/>
    </row>
    <row r="158" spans="1:24" ht="21.75" hidden="1">
      <c r="A158" s="69">
        <v>706</v>
      </c>
      <c r="B158" s="76">
        <v>7</v>
      </c>
      <c r="C158" s="77">
        <v>153</v>
      </c>
      <c r="D158" s="78" t="s">
        <v>595</v>
      </c>
      <c r="E158" s="79" t="s">
        <v>315</v>
      </c>
      <c r="F158" s="80">
        <v>4049999</v>
      </c>
      <c r="G158" s="73">
        <f t="shared" si="34"/>
        <v>0</v>
      </c>
      <c r="H158" s="73">
        <f t="shared" si="35"/>
        <v>0</v>
      </c>
      <c r="I158" s="73">
        <f t="shared" si="36"/>
        <v>0</v>
      </c>
      <c r="J158" s="73">
        <f t="shared" si="37"/>
        <v>4049999</v>
      </c>
      <c r="K158" s="73">
        <f t="shared" si="38"/>
        <v>0</v>
      </c>
      <c r="L158" s="73">
        <f t="shared" si="39"/>
        <v>0</v>
      </c>
      <c r="M158" s="73">
        <f t="shared" si="40"/>
        <v>0</v>
      </c>
      <c r="N158" s="73">
        <f t="shared" si="41"/>
        <v>0</v>
      </c>
      <c r="O158" s="73">
        <f t="shared" si="42"/>
        <v>0</v>
      </c>
      <c r="P158" s="73">
        <f t="shared" si="43"/>
        <v>0</v>
      </c>
      <c r="Q158" s="73">
        <f t="shared" si="44"/>
        <v>0</v>
      </c>
      <c r="R158" s="73">
        <f t="shared" si="45"/>
        <v>0</v>
      </c>
      <c r="S158" s="73">
        <f t="shared" si="46"/>
        <v>0</v>
      </c>
      <c r="T158" s="73">
        <f t="shared" si="47"/>
        <v>0</v>
      </c>
      <c r="U158" s="73">
        <f t="shared" si="48"/>
        <v>0</v>
      </c>
      <c r="V158" s="73">
        <f t="shared" si="49"/>
        <v>0</v>
      </c>
      <c r="W158" s="73">
        <f t="shared" si="50"/>
        <v>0</v>
      </c>
      <c r="X158" s="81"/>
    </row>
    <row r="159" spans="1:24" ht="21.75" hidden="1">
      <c r="A159" s="69">
        <v>706</v>
      </c>
      <c r="B159" s="70">
        <v>7</v>
      </c>
      <c r="C159" s="71">
        <v>154</v>
      </c>
      <c r="D159" s="46" t="s">
        <v>333</v>
      </c>
      <c r="E159" s="72" t="s">
        <v>334</v>
      </c>
      <c r="F159" s="73">
        <v>-748507</v>
      </c>
      <c r="G159" s="73">
        <f t="shared" si="34"/>
        <v>0</v>
      </c>
      <c r="H159" s="73">
        <f t="shared" si="35"/>
        <v>0</v>
      </c>
      <c r="I159" s="73">
        <f t="shared" si="36"/>
        <v>0</v>
      </c>
      <c r="J159" s="73">
        <f t="shared" si="37"/>
        <v>-748507</v>
      </c>
      <c r="K159" s="73">
        <f t="shared" si="38"/>
        <v>0</v>
      </c>
      <c r="L159" s="73">
        <f t="shared" si="39"/>
        <v>0</v>
      </c>
      <c r="M159" s="73">
        <f t="shared" si="40"/>
        <v>0</v>
      </c>
      <c r="N159" s="73">
        <f t="shared" si="41"/>
        <v>0</v>
      </c>
      <c r="O159" s="73">
        <f t="shared" si="42"/>
        <v>0</v>
      </c>
      <c r="P159" s="73">
        <f t="shared" si="43"/>
        <v>0</v>
      </c>
      <c r="Q159" s="73">
        <f t="shared" si="44"/>
        <v>0</v>
      </c>
      <c r="R159" s="73">
        <f t="shared" si="45"/>
        <v>0</v>
      </c>
      <c r="S159" s="73">
        <f t="shared" si="46"/>
        <v>0</v>
      </c>
      <c r="T159" s="73">
        <f t="shared" si="47"/>
        <v>0</v>
      </c>
      <c r="U159" s="73">
        <f t="shared" si="48"/>
        <v>0</v>
      </c>
      <c r="V159" s="73">
        <f t="shared" si="49"/>
        <v>0</v>
      </c>
      <c r="W159" s="73">
        <f t="shared" si="50"/>
        <v>0</v>
      </c>
      <c r="X159" s="74"/>
    </row>
    <row r="160" spans="1:24" ht="21.75" hidden="1">
      <c r="A160" s="69">
        <v>706</v>
      </c>
      <c r="B160" s="76">
        <v>7</v>
      </c>
      <c r="C160" s="77">
        <v>155</v>
      </c>
      <c r="D160" s="78" t="s">
        <v>596</v>
      </c>
      <c r="E160" s="79" t="s">
        <v>318</v>
      </c>
      <c r="F160" s="80">
        <v>25101107988</v>
      </c>
      <c r="G160" s="73">
        <f t="shared" si="34"/>
        <v>0</v>
      </c>
      <c r="H160" s="73">
        <f t="shared" si="35"/>
        <v>0</v>
      </c>
      <c r="I160" s="73">
        <f t="shared" si="36"/>
        <v>0</v>
      </c>
      <c r="J160" s="73">
        <f t="shared" si="37"/>
        <v>25101107988</v>
      </c>
      <c r="K160" s="73">
        <f t="shared" si="38"/>
        <v>0</v>
      </c>
      <c r="L160" s="73">
        <f t="shared" si="39"/>
        <v>0</v>
      </c>
      <c r="M160" s="73">
        <f t="shared" si="40"/>
        <v>0</v>
      </c>
      <c r="N160" s="73">
        <f t="shared" si="41"/>
        <v>0</v>
      </c>
      <c r="O160" s="73">
        <f t="shared" si="42"/>
        <v>0</v>
      </c>
      <c r="P160" s="73">
        <f t="shared" si="43"/>
        <v>0</v>
      </c>
      <c r="Q160" s="73">
        <f t="shared" si="44"/>
        <v>0</v>
      </c>
      <c r="R160" s="73">
        <f t="shared" si="45"/>
        <v>0</v>
      </c>
      <c r="S160" s="73">
        <f t="shared" si="46"/>
        <v>0</v>
      </c>
      <c r="T160" s="73">
        <f t="shared" si="47"/>
        <v>0</v>
      </c>
      <c r="U160" s="73">
        <f t="shared" si="48"/>
        <v>0</v>
      </c>
      <c r="V160" s="73">
        <f t="shared" si="49"/>
        <v>0</v>
      </c>
      <c r="W160" s="73">
        <f t="shared" si="50"/>
        <v>0</v>
      </c>
      <c r="X160" s="81"/>
    </row>
    <row r="161" spans="1:24" ht="21.75" hidden="1">
      <c r="A161" s="69">
        <v>801</v>
      </c>
      <c r="B161" s="70">
        <v>8</v>
      </c>
      <c r="C161" s="71">
        <v>156</v>
      </c>
      <c r="D161" s="46" t="s">
        <v>319</v>
      </c>
      <c r="E161" s="72" t="s">
        <v>320</v>
      </c>
      <c r="F161" s="73">
        <v>27841483892</v>
      </c>
      <c r="G161" s="73">
        <f t="shared" si="34"/>
        <v>0</v>
      </c>
      <c r="H161" s="73">
        <f t="shared" si="35"/>
        <v>0</v>
      </c>
      <c r="I161" s="73">
        <f t="shared" si="36"/>
        <v>0</v>
      </c>
      <c r="J161" s="73">
        <f t="shared" si="37"/>
        <v>0</v>
      </c>
      <c r="K161" s="73">
        <f t="shared" si="38"/>
        <v>27841483892</v>
      </c>
      <c r="L161" s="73">
        <f t="shared" si="39"/>
        <v>0</v>
      </c>
      <c r="M161" s="73">
        <f t="shared" si="40"/>
        <v>0</v>
      </c>
      <c r="N161" s="73">
        <f t="shared" si="41"/>
        <v>0</v>
      </c>
      <c r="O161" s="73">
        <f t="shared" si="42"/>
        <v>0</v>
      </c>
      <c r="P161" s="73">
        <f t="shared" si="43"/>
        <v>0</v>
      </c>
      <c r="Q161" s="73">
        <f t="shared" si="44"/>
        <v>0</v>
      </c>
      <c r="R161" s="73">
        <f t="shared" si="45"/>
        <v>0</v>
      </c>
      <c r="S161" s="73">
        <f t="shared" si="46"/>
        <v>0</v>
      </c>
      <c r="T161" s="73">
        <f t="shared" si="47"/>
        <v>0</v>
      </c>
      <c r="U161" s="73">
        <f t="shared" si="48"/>
        <v>0</v>
      </c>
      <c r="V161" s="73">
        <f t="shared" si="49"/>
        <v>0</v>
      </c>
      <c r="W161" s="73">
        <f t="shared" si="50"/>
        <v>0</v>
      </c>
      <c r="X161" s="74"/>
    </row>
    <row r="162" spans="1:24" ht="21.75" hidden="1">
      <c r="A162" s="75">
        <v>803</v>
      </c>
      <c r="B162" s="76">
        <v>8</v>
      </c>
      <c r="C162" s="77">
        <v>157</v>
      </c>
      <c r="D162" s="78" t="s">
        <v>319</v>
      </c>
      <c r="E162" s="79" t="s">
        <v>320</v>
      </c>
      <c r="F162" s="80">
        <v>15311179216</v>
      </c>
      <c r="G162" s="73">
        <f t="shared" si="34"/>
        <v>0</v>
      </c>
      <c r="H162" s="73">
        <f t="shared" si="35"/>
        <v>0</v>
      </c>
      <c r="I162" s="73">
        <f t="shared" si="36"/>
        <v>0</v>
      </c>
      <c r="J162" s="73">
        <f t="shared" si="37"/>
        <v>0</v>
      </c>
      <c r="K162" s="73">
        <f t="shared" si="38"/>
        <v>15311179216</v>
      </c>
      <c r="L162" s="73">
        <f t="shared" si="39"/>
        <v>0</v>
      </c>
      <c r="M162" s="73">
        <f t="shared" si="40"/>
        <v>0</v>
      </c>
      <c r="N162" s="73">
        <f t="shared" si="41"/>
        <v>0</v>
      </c>
      <c r="O162" s="73">
        <f t="shared" si="42"/>
        <v>0</v>
      </c>
      <c r="P162" s="73">
        <f t="shared" si="43"/>
        <v>0</v>
      </c>
      <c r="Q162" s="73">
        <f t="shared" si="44"/>
        <v>0</v>
      </c>
      <c r="R162" s="73">
        <f t="shared" si="45"/>
        <v>0</v>
      </c>
      <c r="S162" s="73">
        <f t="shared" si="46"/>
        <v>0</v>
      </c>
      <c r="T162" s="73">
        <f t="shared" si="47"/>
        <v>0</v>
      </c>
      <c r="U162" s="73">
        <f t="shared" si="48"/>
        <v>0</v>
      </c>
      <c r="V162" s="73">
        <f t="shared" si="49"/>
        <v>0</v>
      </c>
      <c r="W162" s="73">
        <f t="shared" si="50"/>
        <v>0</v>
      </c>
      <c r="X162" s="81"/>
    </row>
    <row r="163" spans="1:24" ht="21.75" hidden="1">
      <c r="A163" s="69">
        <v>805</v>
      </c>
      <c r="B163" s="70">
        <v>8</v>
      </c>
      <c r="C163" s="71">
        <v>158</v>
      </c>
      <c r="D163" s="46" t="s">
        <v>321</v>
      </c>
      <c r="E163" s="72" t="s">
        <v>322</v>
      </c>
      <c r="F163" s="73">
        <v>1369384101</v>
      </c>
      <c r="G163" s="73">
        <f t="shared" si="34"/>
        <v>0</v>
      </c>
      <c r="H163" s="73">
        <f t="shared" si="35"/>
        <v>0</v>
      </c>
      <c r="I163" s="73">
        <f t="shared" si="36"/>
        <v>0</v>
      </c>
      <c r="J163" s="73">
        <f t="shared" si="37"/>
        <v>0</v>
      </c>
      <c r="K163" s="73">
        <f t="shared" si="38"/>
        <v>1369384101</v>
      </c>
      <c r="L163" s="73">
        <f t="shared" si="39"/>
        <v>0</v>
      </c>
      <c r="M163" s="73">
        <f t="shared" si="40"/>
        <v>0</v>
      </c>
      <c r="N163" s="73">
        <f t="shared" si="41"/>
        <v>0</v>
      </c>
      <c r="O163" s="73">
        <f t="shared" si="42"/>
        <v>0</v>
      </c>
      <c r="P163" s="73">
        <f t="shared" si="43"/>
        <v>0</v>
      </c>
      <c r="Q163" s="73">
        <f t="shared" si="44"/>
        <v>0</v>
      </c>
      <c r="R163" s="73">
        <f t="shared" si="45"/>
        <v>0</v>
      </c>
      <c r="S163" s="73">
        <f t="shared" si="46"/>
        <v>0</v>
      </c>
      <c r="T163" s="73">
        <f t="shared" si="47"/>
        <v>0</v>
      </c>
      <c r="U163" s="73">
        <f t="shared" si="48"/>
        <v>0</v>
      </c>
      <c r="V163" s="73">
        <f t="shared" si="49"/>
        <v>0</v>
      </c>
      <c r="W163" s="73">
        <f t="shared" si="50"/>
        <v>0</v>
      </c>
      <c r="X163" s="74"/>
    </row>
    <row r="164" spans="1:24" ht="21.75" hidden="1">
      <c r="A164" s="75">
        <v>907</v>
      </c>
      <c r="B164" s="76">
        <v>9</v>
      </c>
      <c r="C164" s="77">
        <v>159</v>
      </c>
      <c r="D164" s="78" t="s">
        <v>323</v>
      </c>
      <c r="E164" s="79" t="s">
        <v>324</v>
      </c>
      <c r="F164" s="80">
        <v>220455629811</v>
      </c>
      <c r="G164" s="73">
        <f t="shared" si="34"/>
        <v>0</v>
      </c>
      <c r="H164" s="73">
        <f t="shared" si="35"/>
        <v>0</v>
      </c>
      <c r="I164" s="73">
        <f t="shared" si="36"/>
        <v>0</v>
      </c>
      <c r="J164" s="73">
        <f t="shared" si="37"/>
        <v>0</v>
      </c>
      <c r="K164" s="73">
        <f t="shared" si="38"/>
        <v>0</v>
      </c>
      <c r="L164" s="73">
        <f t="shared" si="39"/>
        <v>220455629811</v>
      </c>
      <c r="M164" s="73">
        <f t="shared" si="40"/>
        <v>0</v>
      </c>
      <c r="N164" s="73">
        <f t="shared" si="41"/>
        <v>0</v>
      </c>
      <c r="O164" s="73">
        <f t="shared" si="42"/>
        <v>0</v>
      </c>
      <c r="P164" s="73">
        <f t="shared" si="43"/>
        <v>0</v>
      </c>
      <c r="Q164" s="73">
        <f t="shared" si="44"/>
        <v>0</v>
      </c>
      <c r="R164" s="73">
        <f t="shared" si="45"/>
        <v>0</v>
      </c>
      <c r="S164" s="73">
        <f t="shared" si="46"/>
        <v>0</v>
      </c>
      <c r="T164" s="73">
        <f t="shared" si="47"/>
        <v>0</v>
      </c>
      <c r="U164" s="73">
        <f t="shared" si="48"/>
        <v>0</v>
      </c>
      <c r="V164" s="73">
        <f t="shared" si="49"/>
        <v>0</v>
      </c>
      <c r="W164" s="73">
        <f t="shared" si="50"/>
        <v>0</v>
      </c>
      <c r="X164" s="81"/>
    </row>
    <row r="165" spans="1:24" ht="21.75" hidden="1">
      <c r="A165" s="69">
        <v>1801</v>
      </c>
      <c r="B165" s="70">
        <v>18</v>
      </c>
      <c r="C165" s="71">
        <v>160</v>
      </c>
      <c r="D165" s="46" t="s">
        <v>327</v>
      </c>
      <c r="E165" s="72" t="s">
        <v>328</v>
      </c>
      <c r="F165" s="73">
        <v>-12000000000000</v>
      </c>
      <c r="G165" s="73">
        <f t="shared" si="34"/>
        <v>0</v>
      </c>
      <c r="H165" s="73">
        <f t="shared" si="35"/>
        <v>0</v>
      </c>
      <c r="I165" s="73">
        <f t="shared" si="36"/>
        <v>0</v>
      </c>
      <c r="J165" s="73">
        <f t="shared" si="37"/>
        <v>0</v>
      </c>
      <c r="K165" s="73">
        <f t="shared" si="38"/>
        <v>0</v>
      </c>
      <c r="L165" s="73">
        <f t="shared" si="39"/>
        <v>0</v>
      </c>
      <c r="M165" s="73">
        <f t="shared" si="40"/>
        <v>0</v>
      </c>
      <c r="N165" s="73">
        <f t="shared" si="41"/>
        <v>0</v>
      </c>
      <c r="O165" s="73">
        <f t="shared" si="42"/>
        <v>0</v>
      </c>
      <c r="P165" s="73">
        <f t="shared" si="43"/>
        <v>0</v>
      </c>
      <c r="Q165" s="73">
        <f t="shared" si="44"/>
        <v>0</v>
      </c>
      <c r="R165" s="73">
        <f t="shared" si="45"/>
        <v>0</v>
      </c>
      <c r="S165" s="73">
        <f t="shared" si="46"/>
        <v>0</v>
      </c>
      <c r="T165" s="73">
        <f t="shared" si="47"/>
        <v>0</v>
      </c>
      <c r="U165" s="73">
        <f t="shared" si="48"/>
        <v>-12000000000000</v>
      </c>
      <c r="V165" s="73">
        <f t="shared" si="49"/>
        <v>0</v>
      </c>
      <c r="W165" s="73">
        <f t="shared" si="50"/>
        <v>0</v>
      </c>
      <c r="X165" s="74"/>
    </row>
    <row r="166" spans="1:24" ht="21.75" hidden="1">
      <c r="A166" s="75">
        <v>1901</v>
      </c>
      <c r="B166" s="76">
        <v>19</v>
      </c>
      <c r="C166" s="77">
        <v>161</v>
      </c>
      <c r="D166" s="78" t="s">
        <v>329</v>
      </c>
      <c r="E166" s="79" t="s">
        <v>330</v>
      </c>
      <c r="F166" s="80">
        <v>-500000</v>
      </c>
      <c r="G166" s="73">
        <f t="shared" si="34"/>
        <v>0</v>
      </c>
      <c r="H166" s="73">
        <f t="shared" si="35"/>
        <v>0</v>
      </c>
      <c r="I166" s="73">
        <f t="shared" si="36"/>
        <v>0</v>
      </c>
      <c r="J166" s="73">
        <f t="shared" si="37"/>
        <v>0</v>
      </c>
      <c r="K166" s="73">
        <f t="shared" si="38"/>
        <v>0</v>
      </c>
      <c r="L166" s="73">
        <f t="shared" si="39"/>
        <v>0</v>
      </c>
      <c r="M166" s="73">
        <f t="shared" si="40"/>
        <v>0</v>
      </c>
      <c r="N166" s="73">
        <f t="shared" si="41"/>
        <v>0</v>
      </c>
      <c r="O166" s="73">
        <f t="shared" si="42"/>
        <v>0</v>
      </c>
      <c r="P166" s="73">
        <f t="shared" si="43"/>
        <v>0</v>
      </c>
      <c r="Q166" s="73">
        <f t="shared" si="44"/>
        <v>0</v>
      </c>
      <c r="R166" s="73">
        <f t="shared" si="45"/>
        <v>0</v>
      </c>
      <c r="S166" s="73">
        <f t="shared" si="46"/>
        <v>0</v>
      </c>
      <c r="T166" s="73">
        <f t="shared" si="47"/>
        <v>0</v>
      </c>
      <c r="U166" s="73">
        <f t="shared" si="48"/>
        <v>0</v>
      </c>
      <c r="V166" s="73">
        <f t="shared" si="49"/>
        <v>-500000</v>
      </c>
      <c r="W166" s="73">
        <f t="shared" si="50"/>
        <v>0</v>
      </c>
      <c r="X166" s="81"/>
    </row>
    <row r="167" spans="1:24" ht="21.75" hidden="1">
      <c r="A167" s="69">
        <v>1901</v>
      </c>
      <c r="B167" s="70">
        <v>19</v>
      </c>
      <c r="C167" s="71">
        <v>162</v>
      </c>
      <c r="D167" s="46" t="s">
        <v>331</v>
      </c>
      <c r="E167" s="72" t="s">
        <v>332</v>
      </c>
      <c r="F167" s="73">
        <v>-8876565944</v>
      </c>
      <c r="G167" s="73">
        <f t="shared" si="34"/>
        <v>0</v>
      </c>
      <c r="H167" s="73">
        <f t="shared" si="35"/>
        <v>0</v>
      </c>
      <c r="I167" s="73">
        <f t="shared" si="36"/>
        <v>0</v>
      </c>
      <c r="J167" s="73">
        <f t="shared" si="37"/>
        <v>0</v>
      </c>
      <c r="K167" s="73">
        <f t="shared" si="38"/>
        <v>0</v>
      </c>
      <c r="L167" s="73">
        <f t="shared" si="39"/>
        <v>0</v>
      </c>
      <c r="M167" s="73">
        <f t="shared" si="40"/>
        <v>0</v>
      </c>
      <c r="N167" s="73">
        <f t="shared" si="41"/>
        <v>0</v>
      </c>
      <c r="O167" s="73">
        <f t="shared" si="42"/>
        <v>0</v>
      </c>
      <c r="P167" s="73">
        <f t="shared" si="43"/>
        <v>0</v>
      </c>
      <c r="Q167" s="73">
        <f t="shared" si="44"/>
        <v>0</v>
      </c>
      <c r="R167" s="73">
        <f t="shared" si="45"/>
        <v>0</v>
      </c>
      <c r="S167" s="73">
        <f t="shared" si="46"/>
        <v>0</v>
      </c>
      <c r="T167" s="73">
        <f t="shared" si="47"/>
        <v>0</v>
      </c>
      <c r="U167" s="73">
        <f t="shared" si="48"/>
        <v>0</v>
      </c>
      <c r="V167" s="73">
        <f t="shared" si="49"/>
        <v>-8876565944</v>
      </c>
      <c r="W167" s="73">
        <f t="shared" si="50"/>
        <v>0</v>
      </c>
      <c r="X167" s="74"/>
    </row>
    <row r="168" spans="1:24" ht="21.75" hidden="1">
      <c r="A168" s="75">
        <v>1601</v>
      </c>
      <c r="B168" s="76">
        <v>16</v>
      </c>
      <c r="C168" s="77">
        <v>163</v>
      </c>
      <c r="D168" s="78" t="s">
        <v>391</v>
      </c>
      <c r="E168" s="79" t="s">
        <v>392</v>
      </c>
      <c r="F168" s="80">
        <v>0</v>
      </c>
      <c r="G168" s="73">
        <f t="shared" si="34"/>
        <v>0</v>
      </c>
      <c r="H168" s="73">
        <f t="shared" si="35"/>
        <v>0</v>
      </c>
      <c r="I168" s="73">
        <f t="shared" si="36"/>
        <v>0</v>
      </c>
      <c r="J168" s="73">
        <f t="shared" si="37"/>
        <v>0</v>
      </c>
      <c r="K168" s="73">
        <f t="shared" si="38"/>
        <v>0</v>
      </c>
      <c r="L168" s="73">
        <f t="shared" si="39"/>
        <v>0</v>
      </c>
      <c r="M168" s="73">
        <f t="shared" si="40"/>
        <v>0</v>
      </c>
      <c r="N168" s="73">
        <f t="shared" si="41"/>
        <v>0</v>
      </c>
      <c r="O168" s="73">
        <f t="shared" si="42"/>
        <v>0</v>
      </c>
      <c r="P168" s="73">
        <f t="shared" si="43"/>
        <v>0</v>
      </c>
      <c r="Q168" s="73">
        <f t="shared" si="44"/>
        <v>0</v>
      </c>
      <c r="R168" s="73">
        <f t="shared" si="45"/>
        <v>0</v>
      </c>
      <c r="S168" s="73">
        <f t="shared" si="46"/>
        <v>0</v>
      </c>
      <c r="T168" s="73">
        <f t="shared" si="47"/>
        <v>0</v>
      </c>
      <c r="U168" s="73">
        <f t="shared" si="48"/>
        <v>0</v>
      </c>
      <c r="V168" s="73">
        <f t="shared" si="49"/>
        <v>0</v>
      </c>
      <c r="W168" s="73">
        <f t="shared" si="50"/>
        <v>0</v>
      </c>
      <c r="X168" s="81"/>
    </row>
    <row r="169" spans="1:24" ht="21.75" hidden="1">
      <c r="A169" s="69">
        <v>901</v>
      </c>
      <c r="B169" s="70">
        <v>9</v>
      </c>
      <c r="C169" s="71">
        <v>164</v>
      </c>
      <c r="D169" s="46" t="s">
        <v>112</v>
      </c>
      <c r="E169" s="72" t="s">
        <v>113</v>
      </c>
      <c r="F169" s="73">
        <v>1022028311474</v>
      </c>
      <c r="G169" s="73">
        <f t="shared" si="34"/>
        <v>0</v>
      </c>
      <c r="H169" s="73">
        <f t="shared" si="35"/>
        <v>0</v>
      </c>
      <c r="I169" s="73">
        <f t="shared" si="36"/>
        <v>0</v>
      </c>
      <c r="J169" s="73">
        <f t="shared" si="37"/>
        <v>0</v>
      </c>
      <c r="K169" s="73">
        <f t="shared" si="38"/>
        <v>0</v>
      </c>
      <c r="L169" s="73">
        <f t="shared" si="39"/>
        <v>1022028311474</v>
      </c>
      <c r="M169" s="73">
        <f t="shared" si="40"/>
        <v>0</v>
      </c>
      <c r="N169" s="73">
        <f t="shared" si="41"/>
        <v>0</v>
      </c>
      <c r="O169" s="73">
        <f t="shared" si="42"/>
        <v>0</v>
      </c>
      <c r="P169" s="73">
        <f t="shared" si="43"/>
        <v>0</v>
      </c>
      <c r="Q169" s="73">
        <f t="shared" si="44"/>
        <v>0</v>
      </c>
      <c r="R169" s="73">
        <f t="shared" si="45"/>
        <v>0</v>
      </c>
      <c r="S169" s="73">
        <f t="shared" si="46"/>
        <v>0</v>
      </c>
      <c r="T169" s="73">
        <f t="shared" si="47"/>
        <v>0</v>
      </c>
      <c r="U169" s="73">
        <f t="shared" si="48"/>
        <v>0</v>
      </c>
      <c r="V169" s="73">
        <f t="shared" si="49"/>
        <v>0</v>
      </c>
      <c r="W169" s="73">
        <f t="shared" si="50"/>
        <v>0</v>
      </c>
      <c r="X169" s="74"/>
    </row>
    <row r="170" spans="1:24" ht="21.75" hidden="1">
      <c r="A170" s="75">
        <v>902</v>
      </c>
      <c r="B170" s="76">
        <v>9</v>
      </c>
      <c r="C170" s="77">
        <v>165</v>
      </c>
      <c r="D170" s="78" t="s">
        <v>114</v>
      </c>
      <c r="E170" s="79" t="s">
        <v>104</v>
      </c>
      <c r="F170" s="80">
        <v>13932235776432</v>
      </c>
      <c r="G170" s="73">
        <f t="shared" si="34"/>
        <v>0</v>
      </c>
      <c r="H170" s="73">
        <f t="shared" si="35"/>
        <v>0</v>
      </c>
      <c r="I170" s="73">
        <f t="shared" si="36"/>
        <v>0</v>
      </c>
      <c r="J170" s="73">
        <f t="shared" si="37"/>
        <v>0</v>
      </c>
      <c r="K170" s="73">
        <f t="shared" si="38"/>
        <v>0</v>
      </c>
      <c r="L170" s="73">
        <f t="shared" si="39"/>
        <v>13932235776432</v>
      </c>
      <c r="M170" s="73">
        <f t="shared" si="40"/>
        <v>0</v>
      </c>
      <c r="N170" s="73">
        <f t="shared" si="41"/>
        <v>0</v>
      </c>
      <c r="O170" s="73">
        <f t="shared" si="42"/>
        <v>0</v>
      </c>
      <c r="P170" s="73">
        <f t="shared" si="43"/>
        <v>0</v>
      </c>
      <c r="Q170" s="73">
        <f t="shared" si="44"/>
        <v>0</v>
      </c>
      <c r="R170" s="73">
        <f t="shared" si="45"/>
        <v>0</v>
      </c>
      <c r="S170" s="73">
        <f t="shared" si="46"/>
        <v>0</v>
      </c>
      <c r="T170" s="73">
        <f t="shared" si="47"/>
        <v>0</v>
      </c>
      <c r="U170" s="73">
        <f t="shared" si="48"/>
        <v>0</v>
      </c>
      <c r="V170" s="73">
        <f t="shared" si="49"/>
        <v>0</v>
      </c>
      <c r="W170" s="73">
        <f t="shared" si="50"/>
        <v>0</v>
      </c>
      <c r="X170" s="81"/>
    </row>
    <row r="171" spans="1:24" ht="21.75" hidden="1">
      <c r="A171" s="69">
        <v>903</v>
      </c>
      <c r="B171" s="70">
        <v>9</v>
      </c>
      <c r="C171" s="71">
        <v>166</v>
      </c>
      <c r="D171" s="46" t="s">
        <v>105</v>
      </c>
      <c r="E171" s="72" t="s">
        <v>106</v>
      </c>
      <c r="F171" s="73">
        <v>338362562763</v>
      </c>
      <c r="G171" s="73">
        <f t="shared" si="34"/>
        <v>0</v>
      </c>
      <c r="H171" s="73">
        <f t="shared" si="35"/>
        <v>0</v>
      </c>
      <c r="I171" s="73">
        <f t="shared" si="36"/>
        <v>0</v>
      </c>
      <c r="J171" s="73">
        <f t="shared" si="37"/>
        <v>0</v>
      </c>
      <c r="K171" s="73">
        <f t="shared" si="38"/>
        <v>0</v>
      </c>
      <c r="L171" s="73">
        <f t="shared" si="39"/>
        <v>338362562763</v>
      </c>
      <c r="M171" s="73">
        <f t="shared" si="40"/>
        <v>0</v>
      </c>
      <c r="N171" s="73">
        <f t="shared" si="41"/>
        <v>0</v>
      </c>
      <c r="O171" s="73">
        <f t="shared" si="42"/>
        <v>0</v>
      </c>
      <c r="P171" s="73">
        <f t="shared" si="43"/>
        <v>0</v>
      </c>
      <c r="Q171" s="73">
        <f t="shared" si="44"/>
        <v>0</v>
      </c>
      <c r="R171" s="73">
        <f t="shared" si="45"/>
        <v>0</v>
      </c>
      <c r="S171" s="73">
        <f t="shared" si="46"/>
        <v>0</v>
      </c>
      <c r="T171" s="73">
        <f t="shared" si="47"/>
        <v>0</v>
      </c>
      <c r="U171" s="73">
        <f t="shared" si="48"/>
        <v>0</v>
      </c>
      <c r="V171" s="73">
        <f t="shared" si="49"/>
        <v>0</v>
      </c>
      <c r="W171" s="73">
        <f t="shared" si="50"/>
        <v>0</v>
      </c>
      <c r="X171" s="74"/>
    </row>
    <row r="172" spans="1:24" ht="21.75" hidden="1">
      <c r="A172" s="75">
        <v>905</v>
      </c>
      <c r="B172" s="76">
        <v>9</v>
      </c>
      <c r="C172" s="77">
        <v>167</v>
      </c>
      <c r="D172" s="78" t="s">
        <v>107</v>
      </c>
      <c r="E172" s="79" t="s">
        <v>148</v>
      </c>
      <c r="F172" s="80">
        <v>324731380283</v>
      </c>
      <c r="G172" s="73">
        <f t="shared" si="34"/>
        <v>0</v>
      </c>
      <c r="H172" s="73">
        <f t="shared" si="35"/>
        <v>0</v>
      </c>
      <c r="I172" s="73">
        <f t="shared" si="36"/>
        <v>0</v>
      </c>
      <c r="J172" s="73">
        <f t="shared" si="37"/>
        <v>0</v>
      </c>
      <c r="K172" s="73">
        <f t="shared" si="38"/>
        <v>0</v>
      </c>
      <c r="L172" s="73">
        <f t="shared" si="39"/>
        <v>324731380283</v>
      </c>
      <c r="M172" s="73">
        <f t="shared" si="40"/>
        <v>0</v>
      </c>
      <c r="N172" s="73">
        <f t="shared" si="41"/>
        <v>0</v>
      </c>
      <c r="O172" s="73">
        <f t="shared" si="42"/>
        <v>0</v>
      </c>
      <c r="P172" s="73">
        <f t="shared" si="43"/>
        <v>0</v>
      </c>
      <c r="Q172" s="73">
        <f t="shared" si="44"/>
        <v>0</v>
      </c>
      <c r="R172" s="73">
        <f t="shared" si="45"/>
        <v>0</v>
      </c>
      <c r="S172" s="73">
        <f t="shared" si="46"/>
        <v>0</v>
      </c>
      <c r="T172" s="73">
        <f t="shared" si="47"/>
        <v>0</v>
      </c>
      <c r="U172" s="73">
        <f t="shared" si="48"/>
        <v>0</v>
      </c>
      <c r="V172" s="73">
        <f t="shared" si="49"/>
        <v>0</v>
      </c>
      <c r="W172" s="73">
        <f t="shared" si="50"/>
        <v>0</v>
      </c>
      <c r="X172" s="81"/>
    </row>
    <row r="173" spans="1:24" ht="21.75" hidden="1">
      <c r="A173" s="69">
        <v>904</v>
      </c>
      <c r="B173" s="70">
        <v>9</v>
      </c>
      <c r="C173" s="71">
        <v>168</v>
      </c>
      <c r="D173" s="46" t="s">
        <v>149</v>
      </c>
      <c r="E173" s="72" t="s">
        <v>150</v>
      </c>
      <c r="F173" s="73">
        <v>59391451586</v>
      </c>
      <c r="G173" s="73">
        <f t="shared" si="34"/>
        <v>0</v>
      </c>
      <c r="H173" s="73">
        <f t="shared" si="35"/>
        <v>0</v>
      </c>
      <c r="I173" s="73">
        <f t="shared" si="36"/>
        <v>0</v>
      </c>
      <c r="J173" s="73">
        <f t="shared" si="37"/>
        <v>0</v>
      </c>
      <c r="K173" s="73">
        <f t="shared" si="38"/>
        <v>0</v>
      </c>
      <c r="L173" s="73">
        <f t="shared" si="39"/>
        <v>59391451586</v>
      </c>
      <c r="M173" s="73">
        <f t="shared" si="40"/>
        <v>0</v>
      </c>
      <c r="N173" s="73">
        <f t="shared" si="41"/>
        <v>0</v>
      </c>
      <c r="O173" s="73">
        <f t="shared" si="42"/>
        <v>0</v>
      </c>
      <c r="P173" s="73">
        <f t="shared" si="43"/>
        <v>0</v>
      </c>
      <c r="Q173" s="73">
        <f t="shared" si="44"/>
        <v>0</v>
      </c>
      <c r="R173" s="73">
        <f t="shared" si="45"/>
        <v>0</v>
      </c>
      <c r="S173" s="73">
        <f t="shared" si="46"/>
        <v>0</v>
      </c>
      <c r="T173" s="73">
        <f t="shared" si="47"/>
        <v>0</v>
      </c>
      <c r="U173" s="73">
        <f t="shared" si="48"/>
        <v>0</v>
      </c>
      <c r="V173" s="73">
        <f t="shared" si="49"/>
        <v>0</v>
      </c>
      <c r="W173" s="73">
        <f t="shared" si="50"/>
        <v>0</v>
      </c>
      <c r="X173" s="74"/>
    </row>
    <row r="174" spans="1:24" ht="21.75" hidden="1">
      <c r="A174" s="75">
        <v>902</v>
      </c>
      <c r="B174" s="76">
        <v>9</v>
      </c>
      <c r="C174" s="77">
        <v>169</v>
      </c>
      <c r="D174" s="78" t="s">
        <v>151</v>
      </c>
      <c r="E174" s="79" t="s">
        <v>508</v>
      </c>
      <c r="F174" s="80">
        <v>-5895064024294</v>
      </c>
      <c r="G174" s="73">
        <f t="shared" si="34"/>
        <v>0</v>
      </c>
      <c r="H174" s="73">
        <f t="shared" si="35"/>
        <v>0</v>
      </c>
      <c r="I174" s="73">
        <f t="shared" si="36"/>
        <v>0</v>
      </c>
      <c r="J174" s="73">
        <f t="shared" si="37"/>
        <v>0</v>
      </c>
      <c r="K174" s="73">
        <f t="shared" si="38"/>
        <v>0</v>
      </c>
      <c r="L174" s="73">
        <f t="shared" si="39"/>
        <v>-5895064024294</v>
      </c>
      <c r="M174" s="73">
        <f t="shared" si="40"/>
        <v>0</v>
      </c>
      <c r="N174" s="73">
        <f t="shared" si="41"/>
        <v>0</v>
      </c>
      <c r="O174" s="73">
        <f t="shared" si="42"/>
        <v>0</v>
      </c>
      <c r="P174" s="73">
        <f t="shared" si="43"/>
        <v>0</v>
      </c>
      <c r="Q174" s="73">
        <f t="shared" si="44"/>
        <v>0</v>
      </c>
      <c r="R174" s="73">
        <f t="shared" si="45"/>
        <v>0</v>
      </c>
      <c r="S174" s="73">
        <f t="shared" si="46"/>
        <v>0</v>
      </c>
      <c r="T174" s="73">
        <f t="shared" si="47"/>
        <v>0</v>
      </c>
      <c r="U174" s="73">
        <f t="shared" si="48"/>
        <v>0</v>
      </c>
      <c r="V174" s="73">
        <f t="shared" si="49"/>
        <v>0</v>
      </c>
      <c r="W174" s="73">
        <f t="shared" si="50"/>
        <v>0</v>
      </c>
      <c r="X174" s="81"/>
    </row>
    <row r="175" spans="1:24" ht="21.75" hidden="1">
      <c r="A175" s="69">
        <v>903</v>
      </c>
      <c r="B175" s="70">
        <v>9</v>
      </c>
      <c r="C175" s="71">
        <v>170</v>
      </c>
      <c r="D175" s="46" t="s">
        <v>509</v>
      </c>
      <c r="E175" s="72" t="s">
        <v>286</v>
      </c>
      <c r="F175" s="73">
        <v>-139447298285</v>
      </c>
      <c r="G175" s="73">
        <f t="shared" si="34"/>
        <v>0</v>
      </c>
      <c r="H175" s="73">
        <f t="shared" si="35"/>
        <v>0</v>
      </c>
      <c r="I175" s="73">
        <f t="shared" si="36"/>
        <v>0</v>
      </c>
      <c r="J175" s="73">
        <f t="shared" si="37"/>
        <v>0</v>
      </c>
      <c r="K175" s="73">
        <f t="shared" si="38"/>
        <v>0</v>
      </c>
      <c r="L175" s="73">
        <f t="shared" si="39"/>
        <v>-139447298285</v>
      </c>
      <c r="M175" s="73">
        <f t="shared" si="40"/>
        <v>0</v>
      </c>
      <c r="N175" s="73">
        <f t="shared" si="41"/>
        <v>0</v>
      </c>
      <c r="O175" s="73">
        <f t="shared" si="42"/>
        <v>0</v>
      </c>
      <c r="P175" s="73">
        <f t="shared" si="43"/>
        <v>0</v>
      </c>
      <c r="Q175" s="73">
        <f t="shared" si="44"/>
        <v>0</v>
      </c>
      <c r="R175" s="73">
        <f t="shared" si="45"/>
        <v>0</v>
      </c>
      <c r="S175" s="73">
        <f t="shared" si="46"/>
        <v>0</v>
      </c>
      <c r="T175" s="73">
        <f t="shared" si="47"/>
        <v>0</v>
      </c>
      <c r="U175" s="73">
        <f t="shared" si="48"/>
        <v>0</v>
      </c>
      <c r="V175" s="73">
        <f t="shared" si="49"/>
        <v>0</v>
      </c>
      <c r="W175" s="73">
        <f t="shared" si="50"/>
        <v>0</v>
      </c>
      <c r="X175" s="74"/>
    </row>
    <row r="176" spans="1:24" ht="21.75" hidden="1">
      <c r="A176" s="75">
        <v>905</v>
      </c>
      <c r="B176" s="76">
        <v>9</v>
      </c>
      <c r="C176" s="77">
        <v>171</v>
      </c>
      <c r="D176" s="78" t="s">
        <v>287</v>
      </c>
      <c r="E176" s="79" t="s">
        <v>288</v>
      </c>
      <c r="F176" s="80">
        <v>-192719258004</v>
      </c>
      <c r="G176" s="73">
        <f t="shared" si="34"/>
        <v>0</v>
      </c>
      <c r="H176" s="73">
        <f t="shared" si="35"/>
        <v>0</v>
      </c>
      <c r="I176" s="73">
        <f t="shared" si="36"/>
        <v>0</v>
      </c>
      <c r="J176" s="73">
        <f t="shared" si="37"/>
        <v>0</v>
      </c>
      <c r="K176" s="73">
        <f t="shared" si="38"/>
        <v>0</v>
      </c>
      <c r="L176" s="73">
        <f t="shared" si="39"/>
        <v>-192719258004</v>
      </c>
      <c r="M176" s="73">
        <f t="shared" si="40"/>
        <v>0</v>
      </c>
      <c r="N176" s="73">
        <f t="shared" si="41"/>
        <v>0</v>
      </c>
      <c r="O176" s="73">
        <f t="shared" si="42"/>
        <v>0</v>
      </c>
      <c r="P176" s="73">
        <f t="shared" si="43"/>
        <v>0</v>
      </c>
      <c r="Q176" s="73">
        <f t="shared" si="44"/>
        <v>0</v>
      </c>
      <c r="R176" s="73">
        <f t="shared" si="45"/>
        <v>0</v>
      </c>
      <c r="S176" s="73">
        <f t="shared" si="46"/>
        <v>0</v>
      </c>
      <c r="T176" s="73">
        <f t="shared" si="47"/>
        <v>0</v>
      </c>
      <c r="U176" s="73">
        <f t="shared" si="48"/>
        <v>0</v>
      </c>
      <c r="V176" s="73">
        <f t="shared" si="49"/>
        <v>0</v>
      </c>
      <c r="W176" s="73">
        <f t="shared" si="50"/>
        <v>0</v>
      </c>
      <c r="X176" s="81"/>
    </row>
    <row r="177" spans="1:24" ht="21.75" hidden="1">
      <c r="A177" s="69">
        <v>904</v>
      </c>
      <c r="B177" s="70">
        <v>9</v>
      </c>
      <c r="C177" s="71">
        <v>172</v>
      </c>
      <c r="D177" s="46" t="s">
        <v>289</v>
      </c>
      <c r="E177" s="72" t="s">
        <v>290</v>
      </c>
      <c r="F177" s="73">
        <v>-33263541669</v>
      </c>
      <c r="G177" s="73">
        <f t="shared" si="34"/>
        <v>0</v>
      </c>
      <c r="H177" s="73">
        <f t="shared" si="35"/>
        <v>0</v>
      </c>
      <c r="I177" s="73">
        <f t="shared" si="36"/>
        <v>0</v>
      </c>
      <c r="J177" s="73">
        <f t="shared" si="37"/>
        <v>0</v>
      </c>
      <c r="K177" s="73">
        <f t="shared" si="38"/>
        <v>0</v>
      </c>
      <c r="L177" s="73">
        <f t="shared" si="39"/>
        <v>-33263541669</v>
      </c>
      <c r="M177" s="73">
        <f t="shared" si="40"/>
        <v>0</v>
      </c>
      <c r="N177" s="73">
        <f t="shared" si="41"/>
        <v>0</v>
      </c>
      <c r="O177" s="73">
        <f t="shared" si="42"/>
        <v>0</v>
      </c>
      <c r="P177" s="73">
        <f t="shared" si="43"/>
        <v>0</v>
      </c>
      <c r="Q177" s="73">
        <f t="shared" si="44"/>
        <v>0</v>
      </c>
      <c r="R177" s="73">
        <f t="shared" si="45"/>
        <v>0</v>
      </c>
      <c r="S177" s="73">
        <f t="shared" si="46"/>
        <v>0</v>
      </c>
      <c r="T177" s="73">
        <f t="shared" si="47"/>
        <v>0</v>
      </c>
      <c r="U177" s="73">
        <f t="shared" si="48"/>
        <v>0</v>
      </c>
      <c r="V177" s="73">
        <f t="shared" si="49"/>
        <v>0</v>
      </c>
      <c r="W177" s="73">
        <f t="shared" si="50"/>
        <v>0</v>
      </c>
      <c r="X177" s="74"/>
    </row>
    <row r="178" spans="1:24" ht="21.75" hidden="1">
      <c r="A178" s="75">
        <v>1102</v>
      </c>
      <c r="B178" s="76">
        <v>11</v>
      </c>
      <c r="C178" s="77">
        <v>173</v>
      </c>
      <c r="D178" s="78" t="s">
        <v>291</v>
      </c>
      <c r="E178" s="79" t="s">
        <v>495</v>
      </c>
      <c r="F178" s="80">
        <v>1000000</v>
      </c>
      <c r="G178" s="73">
        <f t="shared" si="34"/>
        <v>0</v>
      </c>
      <c r="H178" s="73">
        <f t="shared" si="35"/>
        <v>0</v>
      </c>
      <c r="I178" s="73">
        <f t="shared" si="36"/>
        <v>0</v>
      </c>
      <c r="J178" s="73">
        <f t="shared" si="37"/>
        <v>0</v>
      </c>
      <c r="K178" s="73">
        <f t="shared" si="38"/>
        <v>0</v>
      </c>
      <c r="L178" s="73">
        <f t="shared" si="39"/>
        <v>0</v>
      </c>
      <c r="M178" s="73">
        <f t="shared" si="40"/>
        <v>0</v>
      </c>
      <c r="N178" s="73">
        <f t="shared" si="41"/>
        <v>1000000</v>
      </c>
      <c r="O178" s="73">
        <f t="shared" si="42"/>
        <v>0</v>
      </c>
      <c r="P178" s="73">
        <f t="shared" si="43"/>
        <v>0</v>
      </c>
      <c r="Q178" s="73">
        <f t="shared" si="44"/>
        <v>0</v>
      </c>
      <c r="R178" s="73">
        <f t="shared" si="45"/>
        <v>0</v>
      </c>
      <c r="S178" s="73">
        <f t="shared" si="46"/>
        <v>0</v>
      </c>
      <c r="T178" s="73">
        <f t="shared" si="47"/>
        <v>0</v>
      </c>
      <c r="U178" s="73">
        <f t="shared" si="48"/>
        <v>0</v>
      </c>
      <c r="V178" s="73">
        <f t="shared" si="49"/>
        <v>0</v>
      </c>
      <c r="W178" s="73">
        <f t="shared" si="50"/>
        <v>0</v>
      </c>
      <c r="X178" s="81"/>
    </row>
    <row r="179" spans="1:24" ht="21.75" hidden="1">
      <c r="A179" s="69">
        <v>1101</v>
      </c>
      <c r="B179" s="70">
        <v>11</v>
      </c>
      <c r="C179" s="71">
        <v>174</v>
      </c>
      <c r="D179" s="46" t="s">
        <v>610</v>
      </c>
      <c r="E179" s="72" t="s">
        <v>611</v>
      </c>
      <c r="F179" s="73">
        <v>23502950423</v>
      </c>
      <c r="G179" s="73">
        <f t="shared" si="34"/>
        <v>0</v>
      </c>
      <c r="H179" s="73">
        <f t="shared" si="35"/>
        <v>0</v>
      </c>
      <c r="I179" s="73">
        <f t="shared" si="36"/>
        <v>0</v>
      </c>
      <c r="J179" s="73">
        <f t="shared" si="37"/>
        <v>0</v>
      </c>
      <c r="K179" s="73">
        <f t="shared" si="38"/>
        <v>0</v>
      </c>
      <c r="L179" s="73">
        <f t="shared" si="39"/>
        <v>0</v>
      </c>
      <c r="M179" s="73">
        <f t="shared" si="40"/>
        <v>0</v>
      </c>
      <c r="N179" s="73">
        <f t="shared" si="41"/>
        <v>23502950423</v>
      </c>
      <c r="O179" s="73">
        <f t="shared" si="42"/>
        <v>0</v>
      </c>
      <c r="P179" s="73">
        <f t="shared" si="43"/>
        <v>0</v>
      </c>
      <c r="Q179" s="73">
        <f t="shared" si="44"/>
        <v>0</v>
      </c>
      <c r="R179" s="73">
        <f t="shared" si="45"/>
        <v>0</v>
      </c>
      <c r="S179" s="73">
        <f t="shared" si="46"/>
        <v>0</v>
      </c>
      <c r="T179" s="73">
        <f t="shared" si="47"/>
        <v>0</v>
      </c>
      <c r="U179" s="73">
        <f t="shared" si="48"/>
        <v>0</v>
      </c>
      <c r="V179" s="73">
        <f t="shared" si="49"/>
        <v>0</v>
      </c>
      <c r="W179" s="73">
        <f t="shared" si="50"/>
        <v>0</v>
      </c>
      <c r="X179" s="74"/>
    </row>
    <row r="180" spans="1:24" ht="21.75" hidden="1">
      <c r="A180" s="69">
        <v>706</v>
      </c>
      <c r="B180" s="76">
        <v>7</v>
      </c>
      <c r="C180" s="77">
        <v>175</v>
      </c>
      <c r="D180" s="78" t="s">
        <v>145</v>
      </c>
      <c r="E180" s="79" t="s">
        <v>496</v>
      </c>
      <c r="F180" s="80">
        <v>214844387</v>
      </c>
      <c r="G180" s="73">
        <f t="shared" si="34"/>
        <v>0</v>
      </c>
      <c r="H180" s="73">
        <f t="shared" si="35"/>
        <v>0</v>
      </c>
      <c r="I180" s="73">
        <f t="shared" si="36"/>
        <v>0</v>
      </c>
      <c r="J180" s="73">
        <f t="shared" si="37"/>
        <v>214844387</v>
      </c>
      <c r="K180" s="73">
        <f t="shared" si="38"/>
        <v>0</v>
      </c>
      <c r="L180" s="73">
        <f t="shared" si="39"/>
        <v>0</v>
      </c>
      <c r="M180" s="73">
        <f t="shared" si="40"/>
        <v>0</v>
      </c>
      <c r="N180" s="73">
        <f t="shared" si="41"/>
        <v>0</v>
      </c>
      <c r="O180" s="73">
        <f t="shared" si="42"/>
        <v>0</v>
      </c>
      <c r="P180" s="73">
        <f t="shared" si="43"/>
        <v>0</v>
      </c>
      <c r="Q180" s="73">
        <f t="shared" si="44"/>
        <v>0</v>
      </c>
      <c r="R180" s="73">
        <f t="shared" si="45"/>
        <v>0</v>
      </c>
      <c r="S180" s="73">
        <f t="shared" si="46"/>
        <v>0</v>
      </c>
      <c r="T180" s="73">
        <f t="shared" si="47"/>
        <v>0</v>
      </c>
      <c r="U180" s="73">
        <f t="shared" si="48"/>
        <v>0</v>
      </c>
      <c r="V180" s="73">
        <f t="shared" si="49"/>
        <v>0</v>
      </c>
      <c r="W180" s="73">
        <f t="shared" si="50"/>
        <v>0</v>
      </c>
      <c r="X180" s="81"/>
    </row>
    <row r="181" spans="1:24" ht="21.75" hidden="1">
      <c r="A181" s="69">
        <v>704</v>
      </c>
      <c r="B181" s="70">
        <v>7</v>
      </c>
      <c r="C181" s="71">
        <v>176</v>
      </c>
      <c r="D181" s="46" t="s">
        <v>497</v>
      </c>
      <c r="E181" s="72" t="s">
        <v>118</v>
      </c>
      <c r="F181" s="73">
        <v>3492328287</v>
      </c>
      <c r="G181" s="73">
        <f t="shared" si="34"/>
        <v>0</v>
      </c>
      <c r="H181" s="73">
        <f t="shared" si="35"/>
        <v>0</v>
      </c>
      <c r="I181" s="73">
        <f t="shared" si="36"/>
        <v>0</v>
      </c>
      <c r="J181" s="73">
        <f t="shared" si="37"/>
        <v>3492328287</v>
      </c>
      <c r="K181" s="73">
        <f t="shared" si="38"/>
        <v>0</v>
      </c>
      <c r="L181" s="73">
        <f t="shared" si="39"/>
        <v>0</v>
      </c>
      <c r="M181" s="73">
        <f t="shared" si="40"/>
        <v>0</v>
      </c>
      <c r="N181" s="73">
        <f t="shared" si="41"/>
        <v>0</v>
      </c>
      <c r="O181" s="73">
        <f t="shared" si="42"/>
        <v>0</v>
      </c>
      <c r="P181" s="73">
        <f t="shared" si="43"/>
        <v>0</v>
      </c>
      <c r="Q181" s="73">
        <f t="shared" si="44"/>
        <v>0</v>
      </c>
      <c r="R181" s="73">
        <f t="shared" si="45"/>
        <v>0</v>
      </c>
      <c r="S181" s="73">
        <f t="shared" si="46"/>
        <v>0</v>
      </c>
      <c r="T181" s="73">
        <f t="shared" si="47"/>
        <v>0</v>
      </c>
      <c r="U181" s="73">
        <f t="shared" si="48"/>
        <v>0</v>
      </c>
      <c r="V181" s="73">
        <f t="shared" si="49"/>
        <v>0</v>
      </c>
      <c r="W181" s="73">
        <f t="shared" si="50"/>
        <v>0</v>
      </c>
      <c r="X181" s="74"/>
    </row>
    <row r="182" spans="1:24" ht="21.75" hidden="1">
      <c r="A182" s="75">
        <v>704</v>
      </c>
      <c r="B182" s="76">
        <v>7</v>
      </c>
      <c r="C182" s="77">
        <v>177</v>
      </c>
      <c r="D182" s="78" t="s">
        <v>119</v>
      </c>
      <c r="E182" s="79" t="s">
        <v>120</v>
      </c>
      <c r="F182" s="80">
        <v>7886660835</v>
      </c>
      <c r="G182" s="73">
        <f t="shared" si="34"/>
        <v>0</v>
      </c>
      <c r="H182" s="73">
        <f t="shared" si="35"/>
        <v>0</v>
      </c>
      <c r="I182" s="73">
        <f t="shared" si="36"/>
        <v>0</v>
      </c>
      <c r="J182" s="73">
        <f t="shared" si="37"/>
        <v>7886660835</v>
      </c>
      <c r="K182" s="73">
        <f t="shared" si="38"/>
        <v>0</v>
      </c>
      <c r="L182" s="73">
        <f t="shared" si="39"/>
        <v>0</v>
      </c>
      <c r="M182" s="73">
        <f t="shared" si="40"/>
        <v>0</v>
      </c>
      <c r="N182" s="73">
        <f t="shared" si="41"/>
        <v>0</v>
      </c>
      <c r="O182" s="73">
        <f t="shared" si="42"/>
        <v>0</v>
      </c>
      <c r="P182" s="73">
        <f t="shared" si="43"/>
        <v>0</v>
      </c>
      <c r="Q182" s="73">
        <f t="shared" si="44"/>
        <v>0</v>
      </c>
      <c r="R182" s="73">
        <f t="shared" si="45"/>
        <v>0</v>
      </c>
      <c r="S182" s="73">
        <f t="shared" si="46"/>
        <v>0</v>
      </c>
      <c r="T182" s="73">
        <f t="shared" si="47"/>
        <v>0</v>
      </c>
      <c r="U182" s="73">
        <f t="shared" si="48"/>
        <v>0</v>
      </c>
      <c r="V182" s="73">
        <f t="shared" si="49"/>
        <v>0</v>
      </c>
      <c r="W182" s="73">
        <f t="shared" si="50"/>
        <v>0</v>
      </c>
      <c r="X182" s="81"/>
    </row>
    <row r="183" spans="1:24" ht="21.75" hidden="1">
      <c r="A183" s="69">
        <v>705</v>
      </c>
      <c r="B183" s="70">
        <v>7</v>
      </c>
      <c r="C183" s="71">
        <v>178</v>
      </c>
      <c r="D183" s="46" t="s">
        <v>123</v>
      </c>
      <c r="E183" s="72" t="s">
        <v>124</v>
      </c>
      <c r="F183" s="73">
        <v>32506568</v>
      </c>
      <c r="G183" s="73">
        <f t="shared" si="34"/>
        <v>0</v>
      </c>
      <c r="H183" s="73">
        <f t="shared" si="35"/>
        <v>0</v>
      </c>
      <c r="I183" s="73">
        <f t="shared" si="36"/>
        <v>0</v>
      </c>
      <c r="J183" s="73">
        <f t="shared" si="37"/>
        <v>32506568</v>
      </c>
      <c r="K183" s="73">
        <f t="shared" si="38"/>
        <v>0</v>
      </c>
      <c r="L183" s="73">
        <f t="shared" si="39"/>
        <v>0</v>
      </c>
      <c r="M183" s="73">
        <f t="shared" si="40"/>
        <v>0</v>
      </c>
      <c r="N183" s="73">
        <f t="shared" si="41"/>
        <v>0</v>
      </c>
      <c r="O183" s="73">
        <f t="shared" si="42"/>
        <v>0</v>
      </c>
      <c r="P183" s="73">
        <f t="shared" si="43"/>
        <v>0</v>
      </c>
      <c r="Q183" s="73">
        <f t="shared" si="44"/>
        <v>0</v>
      </c>
      <c r="R183" s="73">
        <f t="shared" si="45"/>
        <v>0</v>
      </c>
      <c r="S183" s="73">
        <f t="shared" si="46"/>
        <v>0</v>
      </c>
      <c r="T183" s="73">
        <f t="shared" si="47"/>
        <v>0</v>
      </c>
      <c r="U183" s="73">
        <f t="shared" si="48"/>
        <v>0</v>
      </c>
      <c r="V183" s="73">
        <f t="shared" si="49"/>
        <v>0</v>
      </c>
      <c r="W183" s="73">
        <f t="shared" si="50"/>
        <v>0</v>
      </c>
      <c r="X183" s="74"/>
    </row>
    <row r="184" spans="1:24" ht="21.75" hidden="1">
      <c r="A184" s="75">
        <v>1002</v>
      </c>
      <c r="B184" s="76">
        <v>10</v>
      </c>
      <c r="C184" s="77">
        <v>179</v>
      </c>
      <c r="D184" s="78" t="s">
        <v>125</v>
      </c>
      <c r="E184" s="79" t="s">
        <v>126</v>
      </c>
      <c r="F184" s="80">
        <v>10442616784</v>
      </c>
      <c r="G184" s="73">
        <f t="shared" si="34"/>
        <v>0</v>
      </c>
      <c r="H184" s="73">
        <f t="shared" si="35"/>
        <v>0</v>
      </c>
      <c r="I184" s="73">
        <f t="shared" si="36"/>
        <v>0</v>
      </c>
      <c r="J184" s="73">
        <f t="shared" si="37"/>
        <v>0</v>
      </c>
      <c r="K184" s="73">
        <f t="shared" si="38"/>
        <v>0</v>
      </c>
      <c r="L184" s="73">
        <f t="shared" si="39"/>
        <v>0</v>
      </c>
      <c r="M184" s="73">
        <f t="shared" si="40"/>
        <v>10442616784</v>
      </c>
      <c r="N184" s="73">
        <f t="shared" si="41"/>
        <v>0</v>
      </c>
      <c r="O184" s="73">
        <f t="shared" si="42"/>
        <v>0</v>
      </c>
      <c r="P184" s="73">
        <f t="shared" si="43"/>
        <v>0</v>
      </c>
      <c r="Q184" s="73">
        <f t="shared" si="44"/>
        <v>0</v>
      </c>
      <c r="R184" s="73">
        <f t="shared" si="45"/>
        <v>0</v>
      </c>
      <c r="S184" s="73">
        <f t="shared" si="46"/>
        <v>0</v>
      </c>
      <c r="T184" s="73">
        <f t="shared" si="47"/>
        <v>0</v>
      </c>
      <c r="U184" s="73">
        <f t="shared" si="48"/>
        <v>0</v>
      </c>
      <c r="V184" s="73">
        <f t="shared" si="49"/>
        <v>0</v>
      </c>
      <c r="W184" s="73">
        <f t="shared" si="50"/>
        <v>0</v>
      </c>
      <c r="X184" s="81"/>
    </row>
    <row r="185" spans="1:24" ht="21.75">
      <c r="A185" s="69">
        <v>602</v>
      </c>
      <c r="B185" s="70">
        <v>6</v>
      </c>
      <c r="C185" s="71">
        <v>180</v>
      </c>
      <c r="D185" s="46" t="s">
        <v>63</v>
      </c>
      <c r="E185" s="72" t="s">
        <v>559</v>
      </c>
      <c r="F185" s="73">
        <v>5920941658</v>
      </c>
      <c r="G185" s="73">
        <f t="shared" si="34"/>
        <v>0</v>
      </c>
      <c r="H185" s="73">
        <f t="shared" si="35"/>
        <v>0</v>
      </c>
      <c r="I185" s="73">
        <f t="shared" si="36"/>
        <v>5920941658</v>
      </c>
      <c r="J185" s="73">
        <f t="shared" si="37"/>
        <v>0</v>
      </c>
      <c r="K185" s="73">
        <f t="shared" si="38"/>
        <v>0</v>
      </c>
      <c r="L185" s="73">
        <f t="shared" si="39"/>
        <v>0</v>
      </c>
      <c r="M185" s="73">
        <f t="shared" si="40"/>
        <v>0</v>
      </c>
      <c r="N185" s="73">
        <f t="shared" si="41"/>
        <v>0</v>
      </c>
      <c r="O185" s="73">
        <f t="shared" si="42"/>
        <v>0</v>
      </c>
      <c r="P185" s="73">
        <f t="shared" si="43"/>
        <v>0</v>
      </c>
      <c r="Q185" s="73">
        <f t="shared" si="44"/>
        <v>0</v>
      </c>
      <c r="R185" s="73">
        <f t="shared" si="45"/>
        <v>0</v>
      </c>
      <c r="S185" s="73">
        <f t="shared" si="46"/>
        <v>0</v>
      </c>
      <c r="T185" s="73">
        <f t="shared" si="47"/>
        <v>0</v>
      </c>
      <c r="U185" s="73">
        <f t="shared" si="48"/>
        <v>0</v>
      </c>
      <c r="V185" s="73">
        <f t="shared" si="49"/>
        <v>0</v>
      </c>
      <c r="W185" s="73">
        <f t="shared" si="50"/>
        <v>0</v>
      </c>
      <c r="X185" s="74"/>
    </row>
    <row r="186" spans="1:24" ht="21.75" hidden="1">
      <c r="A186" s="75">
        <v>805</v>
      </c>
      <c r="B186" s="76">
        <v>8</v>
      </c>
      <c r="C186" s="77">
        <v>181</v>
      </c>
      <c r="D186" s="78" t="s">
        <v>69</v>
      </c>
      <c r="E186" s="79" t="s">
        <v>70</v>
      </c>
      <c r="F186" s="80">
        <v>436485900</v>
      </c>
      <c r="G186" s="73">
        <f t="shared" si="34"/>
        <v>0</v>
      </c>
      <c r="H186" s="73">
        <f t="shared" si="35"/>
        <v>0</v>
      </c>
      <c r="I186" s="73">
        <f t="shared" si="36"/>
        <v>0</v>
      </c>
      <c r="J186" s="73">
        <f t="shared" si="37"/>
        <v>0</v>
      </c>
      <c r="K186" s="73">
        <f t="shared" si="38"/>
        <v>436485900</v>
      </c>
      <c r="L186" s="73">
        <f t="shared" si="39"/>
        <v>0</v>
      </c>
      <c r="M186" s="73">
        <f t="shared" si="40"/>
        <v>0</v>
      </c>
      <c r="N186" s="73">
        <f t="shared" si="41"/>
        <v>0</v>
      </c>
      <c r="O186" s="73">
        <f t="shared" si="42"/>
        <v>0</v>
      </c>
      <c r="P186" s="73">
        <f t="shared" si="43"/>
        <v>0</v>
      </c>
      <c r="Q186" s="73">
        <f t="shared" si="44"/>
        <v>0</v>
      </c>
      <c r="R186" s="73">
        <f t="shared" si="45"/>
        <v>0</v>
      </c>
      <c r="S186" s="73">
        <f t="shared" si="46"/>
        <v>0</v>
      </c>
      <c r="T186" s="73">
        <f t="shared" si="47"/>
        <v>0</v>
      </c>
      <c r="U186" s="73">
        <f t="shared" si="48"/>
        <v>0</v>
      </c>
      <c r="V186" s="73">
        <f t="shared" si="49"/>
        <v>0</v>
      </c>
      <c r="W186" s="73">
        <f t="shared" si="50"/>
        <v>0</v>
      </c>
      <c r="X186" s="81"/>
    </row>
    <row r="187" spans="1:24" ht="21.75" hidden="1">
      <c r="A187" s="69">
        <v>907</v>
      </c>
      <c r="B187" s="70">
        <v>9</v>
      </c>
      <c r="C187" s="71">
        <v>182</v>
      </c>
      <c r="D187" s="46" t="s">
        <v>71</v>
      </c>
      <c r="E187" s="72" t="s">
        <v>72</v>
      </c>
      <c r="F187" s="73">
        <v>173617610701</v>
      </c>
      <c r="G187" s="73">
        <f t="shared" si="34"/>
        <v>0</v>
      </c>
      <c r="H187" s="73">
        <f t="shared" si="35"/>
        <v>0</v>
      </c>
      <c r="I187" s="73">
        <f t="shared" si="36"/>
        <v>0</v>
      </c>
      <c r="J187" s="73">
        <f t="shared" si="37"/>
        <v>0</v>
      </c>
      <c r="K187" s="73">
        <f t="shared" si="38"/>
        <v>0</v>
      </c>
      <c r="L187" s="73">
        <f t="shared" si="39"/>
        <v>173617610701</v>
      </c>
      <c r="M187" s="73">
        <f t="shared" si="40"/>
        <v>0</v>
      </c>
      <c r="N187" s="73">
        <f t="shared" si="41"/>
        <v>0</v>
      </c>
      <c r="O187" s="73">
        <f t="shared" si="42"/>
        <v>0</v>
      </c>
      <c r="P187" s="73">
        <f t="shared" si="43"/>
        <v>0</v>
      </c>
      <c r="Q187" s="73">
        <f t="shared" si="44"/>
        <v>0</v>
      </c>
      <c r="R187" s="73">
        <f t="shared" si="45"/>
        <v>0</v>
      </c>
      <c r="S187" s="73">
        <f t="shared" si="46"/>
        <v>0</v>
      </c>
      <c r="T187" s="73">
        <f t="shared" si="47"/>
        <v>0</v>
      </c>
      <c r="U187" s="73">
        <f t="shared" si="48"/>
        <v>0</v>
      </c>
      <c r="V187" s="73">
        <f t="shared" si="49"/>
        <v>0</v>
      </c>
      <c r="W187" s="73">
        <f t="shared" si="50"/>
        <v>0</v>
      </c>
      <c r="X187" s="74"/>
    </row>
    <row r="188" spans="1:24" ht="21.75">
      <c r="A188" s="75">
        <v>614</v>
      </c>
      <c r="B188" s="76">
        <v>6</v>
      </c>
      <c r="C188" s="77">
        <v>183</v>
      </c>
      <c r="D188" s="78" t="s">
        <v>73</v>
      </c>
      <c r="E188" s="79" t="s">
        <v>74</v>
      </c>
      <c r="F188" s="80">
        <v>3541820459</v>
      </c>
      <c r="G188" s="73">
        <f t="shared" si="34"/>
        <v>0</v>
      </c>
      <c r="H188" s="73">
        <f t="shared" si="35"/>
        <v>0</v>
      </c>
      <c r="I188" s="73">
        <f t="shared" si="36"/>
        <v>3541820459</v>
      </c>
      <c r="J188" s="73">
        <f t="shared" si="37"/>
        <v>0</v>
      </c>
      <c r="K188" s="73">
        <f t="shared" si="38"/>
        <v>0</v>
      </c>
      <c r="L188" s="73">
        <f t="shared" si="39"/>
        <v>0</v>
      </c>
      <c r="M188" s="73">
        <f t="shared" si="40"/>
        <v>0</v>
      </c>
      <c r="N188" s="73">
        <f t="shared" si="41"/>
        <v>0</v>
      </c>
      <c r="O188" s="73">
        <f t="shared" si="42"/>
        <v>0</v>
      </c>
      <c r="P188" s="73">
        <f t="shared" si="43"/>
        <v>0</v>
      </c>
      <c r="Q188" s="73">
        <f t="shared" si="44"/>
        <v>0</v>
      </c>
      <c r="R188" s="73">
        <f t="shared" si="45"/>
        <v>0</v>
      </c>
      <c r="S188" s="73">
        <f t="shared" si="46"/>
        <v>0</v>
      </c>
      <c r="T188" s="73">
        <f t="shared" si="47"/>
        <v>0</v>
      </c>
      <c r="U188" s="73">
        <f t="shared" si="48"/>
        <v>0</v>
      </c>
      <c r="V188" s="73">
        <f t="shared" si="49"/>
        <v>0</v>
      </c>
      <c r="W188" s="73">
        <f t="shared" si="50"/>
        <v>0</v>
      </c>
      <c r="X188" s="81"/>
    </row>
    <row r="189" spans="1:24" ht="21.75">
      <c r="A189" s="69">
        <v>612</v>
      </c>
      <c r="B189" s="70">
        <v>6</v>
      </c>
      <c r="C189" s="71">
        <v>184</v>
      </c>
      <c r="D189" s="46" t="s">
        <v>75</v>
      </c>
      <c r="E189" s="72" t="s">
        <v>406</v>
      </c>
      <c r="F189" s="73">
        <v>20689575079</v>
      </c>
      <c r="G189" s="73">
        <f t="shared" si="34"/>
        <v>0</v>
      </c>
      <c r="H189" s="73">
        <f t="shared" si="35"/>
        <v>0</v>
      </c>
      <c r="I189" s="73">
        <f t="shared" si="36"/>
        <v>20689575079</v>
      </c>
      <c r="J189" s="73">
        <f t="shared" si="37"/>
        <v>0</v>
      </c>
      <c r="K189" s="73">
        <f t="shared" si="38"/>
        <v>0</v>
      </c>
      <c r="L189" s="73">
        <f t="shared" si="39"/>
        <v>0</v>
      </c>
      <c r="M189" s="73">
        <f t="shared" si="40"/>
        <v>0</v>
      </c>
      <c r="N189" s="73">
        <f t="shared" si="41"/>
        <v>0</v>
      </c>
      <c r="O189" s="73">
        <f t="shared" si="42"/>
        <v>0</v>
      </c>
      <c r="P189" s="73">
        <f t="shared" si="43"/>
        <v>0</v>
      </c>
      <c r="Q189" s="73">
        <f t="shared" si="44"/>
        <v>0</v>
      </c>
      <c r="R189" s="73">
        <f t="shared" si="45"/>
        <v>0</v>
      </c>
      <c r="S189" s="73">
        <f t="shared" si="46"/>
        <v>0</v>
      </c>
      <c r="T189" s="73">
        <f t="shared" si="47"/>
        <v>0</v>
      </c>
      <c r="U189" s="73">
        <f t="shared" si="48"/>
        <v>0</v>
      </c>
      <c r="V189" s="73">
        <f t="shared" si="49"/>
        <v>0</v>
      </c>
      <c r="W189" s="73">
        <f t="shared" si="50"/>
        <v>0</v>
      </c>
      <c r="X189" s="74"/>
    </row>
    <row r="190" spans="1:24" ht="21.75">
      <c r="A190" s="75">
        <v>614</v>
      </c>
      <c r="B190" s="76">
        <v>6</v>
      </c>
      <c r="C190" s="77">
        <v>185</v>
      </c>
      <c r="D190" s="78" t="s">
        <v>407</v>
      </c>
      <c r="E190" s="79" t="s">
        <v>408</v>
      </c>
      <c r="F190" s="80">
        <v>199100360</v>
      </c>
      <c r="G190" s="73">
        <f t="shared" si="34"/>
        <v>0</v>
      </c>
      <c r="H190" s="73">
        <f t="shared" si="35"/>
        <v>0</v>
      </c>
      <c r="I190" s="73">
        <f t="shared" si="36"/>
        <v>199100360</v>
      </c>
      <c r="J190" s="73">
        <f t="shared" si="37"/>
        <v>0</v>
      </c>
      <c r="K190" s="73">
        <f t="shared" si="38"/>
        <v>0</v>
      </c>
      <c r="L190" s="73">
        <f t="shared" si="39"/>
        <v>0</v>
      </c>
      <c r="M190" s="73">
        <f t="shared" si="40"/>
        <v>0</v>
      </c>
      <c r="N190" s="73">
        <f t="shared" si="41"/>
        <v>0</v>
      </c>
      <c r="O190" s="73">
        <f t="shared" si="42"/>
        <v>0</v>
      </c>
      <c r="P190" s="73">
        <f t="shared" si="43"/>
        <v>0</v>
      </c>
      <c r="Q190" s="73">
        <f t="shared" si="44"/>
        <v>0</v>
      </c>
      <c r="R190" s="73">
        <f t="shared" si="45"/>
        <v>0</v>
      </c>
      <c r="S190" s="73">
        <f t="shared" si="46"/>
        <v>0</v>
      </c>
      <c r="T190" s="73">
        <f t="shared" si="47"/>
        <v>0</v>
      </c>
      <c r="U190" s="73">
        <f t="shared" si="48"/>
        <v>0</v>
      </c>
      <c r="V190" s="73">
        <f t="shared" si="49"/>
        <v>0</v>
      </c>
      <c r="W190" s="73">
        <f t="shared" si="50"/>
        <v>0</v>
      </c>
      <c r="X190" s="81"/>
    </row>
    <row r="191" spans="1:24" ht="21.75">
      <c r="A191" s="69">
        <v>614</v>
      </c>
      <c r="B191" s="70">
        <v>6</v>
      </c>
      <c r="C191" s="71">
        <v>186</v>
      </c>
      <c r="D191" s="46" t="s">
        <v>409</v>
      </c>
      <c r="E191" s="72" t="s">
        <v>410</v>
      </c>
      <c r="F191" s="73">
        <v>38842236</v>
      </c>
      <c r="G191" s="73">
        <f t="shared" si="34"/>
        <v>0</v>
      </c>
      <c r="H191" s="73">
        <f t="shared" si="35"/>
        <v>0</v>
      </c>
      <c r="I191" s="73">
        <f t="shared" si="36"/>
        <v>38842236</v>
      </c>
      <c r="J191" s="73">
        <f t="shared" si="37"/>
        <v>0</v>
      </c>
      <c r="K191" s="73">
        <f t="shared" si="38"/>
        <v>0</v>
      </c>
      <c r="L191" s="73">
        <f t="shared" si="39"/>
        <v>0</v>
      </c>
      <c r="M191" s="73">
        <f t="shared" si="40"/>
        <v>0</v>
      </c>
      <c r="N191" s="73">
        <f t="shared" si="41"/>
        <v>0</v>
      </c>
      <c r="O191" s="73">
        <f t="shared" si="42"/>
        <v>0</v>
      </c>
      <c r="P191" s="73">
        <f t="shared" si="43"/>
        <v>0</v>
      </c>
      <c r="Q191" s="73">
        <f t="shared" si="44"/>
        <v>0</v>
      </c>
      <c r="R191" s="73">
        <f t="shared" si="45"/>
        <v>0</v>
      </c>
      <c r="S191" s="73">
        <f t="shared" si="46"/>
        <v>0</v>
      </c>
      <c r="T191" s="73">
        <f t="shared" si="47"/>
        <v>0</v>
      </c>
      <c r="U191" s="73">
        <f t="shared" si="48"/>
        <v>0</v>
      </c>
      <c r="V191" s="73">
        <f t="shared" si="49"/>
        <v>0</v>
      </c>
      <c r="W191" s="73">
        <f t="shared" si="50"/>
        <v>0</v>
      </c>
      <c r="X191" s="74"/>
    </row>
    <row r="192" spans="1:24" ht="21.75" hidden="1">
      <c r="A192" s="75">
        <v>907</v>
      </c>
      <c r="B192" s="76">
        <v>9</v>
      </c>
      <c r="C192" s="77">
        <v>187</v>
      </c>
      <c r="D192" s="78" t="s">
        <v>411</v>
      </c>
      <c r="E192" s="79" t="s">
        <v>352</v>
      </c>
      <c r="F192" s="80">
        <v>468740693967</v>
      </c>
      <c r="G192" s="73">
        <f t="shared" si="34"/>
        <v>0</v>
      </c>
      <c r="H192" s="73">
        <f t="shared" si="35"/>
        <v>0</v>
      </c>
      <c r="I192" s="73">
        <f t="shared" si="36"/>
        <v>0</v>
      </c>
      <c r="J192" s="73">
        <f t="shared" si="37"/>
        <v>0</v>
      </c>
      <c r="K192" s="73">
        <f t="shared" si="38"/>
        <v>0</v>
      </c>
      <c r="L192" s="73">
        <f t="shared" si="39"/>
        <v>468740693967</v>
      </c>
      <c r="M192" s="73">
        <f t="shared" si="40"/>
        <v>0</v>
      </c>
      <c r="N192" s="73">
        <f t="shared" si="41"/>
        <v>0</v>
      </c>
      <c r="O192" s="73">
        <f t="shared" si="42"/>
        <v>0</v>
      </c>
      <c r="P192" s="73">
        <f t="shared" si="43"/>
        <v>0</v>
      </c>
      <c r="Q192" s="73">
        <f t="shared" si="44"/>
        <v>0</v>
      </c>
      <c r="R192" s="73">
        <f t="shared" si="45"/>
        <v>0</v>
      </c>
      <c r="S192" s="73">
        <f t="shared" si="46"/>
        <v>0</v>
      </c>
      <c r="T192" s="73">
        <f t="shared" si="47"/>
        <v>0</v>
      </c>
      <c r="U192" s="73">
        <f t="shared" si="48"/>
        <v>0</v>
      </c>
      <c r="V192" s="73">
        <f t="shared" si="49"/>
        <v>0</v>
      </c>
      <c r="W192" s="73">
        <f t="shared" si="50"/>
        <v>0</v>
      </c>
      <c r="X192" s="81"/>
    </row>
    <row r="193" spans="1:24" ht="21.75" hidden="1">
      <c r="A193" s="69">
        <v>805</v>
      </c>
      <c r="B193" s="70">
        <v>8</v>
      </c>
      <c r="C193" s="71">
        <v>188</v>
      </c>
      <c r="D193" s="46" t="s">
        <v>353</v>
      </c>
      <c r="E193" s="72" t="s">
        <v>354</v>
      </c>
      <c r="F193" s="73">
        <v>13178312009</v>
      </c>
      <c r="G193" s="73">
        <f t="shared" si="34"/>
        <v>0</v>
      </c>
      <c r="H193" s="73">
        <f t="shared" si="35"/>
        <v>0</v>
      </c>
      <c r="I193" s="73">
        <f t="shared" si="36"/>
        <v>0</v>
      </c>
      <c r="J193" s="73">
        <f t="shared" si="37"/>
        <v>0</v>
      </c>
      <c r="K193" s="73">
        <f t="shared" si="38"/>
        <v>13178312009</v>
      </c>
      <c r="L193" s="73">
        <f t="shared" si="39"/>
        <v>0</v>
      </c>
      <c r="M193" s="73">
        <f t="shared" si="40"/>
        <v>0</v>
      </c>
      <c r="N193" s="73">
        <f t="shared" si="41"/>
        <v>0</v>
      </c>
      <c r="O193" s="73">
        <f t="shared" si="42"/>
        <v>0</v>
      </c>
      <c r="P193" s="73">
        <f t="shared" si="43"/>
        <v>0</v>
      </c>
      <c r="Q193" s="73">
        <f t="shared" si="44"/>
        <v>0</v>
      </c>
      <c r="R193" s="73">
        <f t="shared" si="45"/>
        <v>0</v>
      </c>
      <c r="S193" s="73">
        <f t="shared" si="46"/>
        <v>0</v>
      </c>
      <c r="T193" s="73">
        <f t="shared" si="47"/>
        <v>0</v>
      </c>
      <c r="U193" s="73">
        <f t="shared" si="48"/>
        <v>0</v>
      </c>
      <c r="V193" s="73">
        <f t="shared" si="49"/>
        <v>0</v>
      </c>
      <c r="W193" s="73">
        <f t="shared" si="50"/>
        <v>0</v>
      </c>
      <c r="X193" s="74"/>
    </row>
    <row r="194" spans="1:24" ht="21.75" hidden="1">
      <c r="A194" s="69">
        <v>1215</v>
      </c>
      <c r="B194" s="76">
        <v>12</v>
      </c>
      <c r="C194" s="77">
        <v>189</v>
      </c>
      <c r="D194" s="78" t="s">
        <v>355</v>
      </c>
      <c r="E194" s="79" t="s">
        <v>356</v>
      </c>
      <c r="F194" s="80">
        <v>-4454292518</v>
      </c>
      <c r="G194" s="73">
        <f t="shared" si="34"/>
        <v>0</v>
      </c>
      <c r="H194" s="73">
        <f t="shared" si="35"/>
        <v>0</v>
      </c>
      <c r="I194" s="73">
        <f t="shared" si="36"/>
        <v>0</v>
      </c>
      <c r="J194" s="73">
        <f t="shared" si="37"/>
        <v>0</v>
      </c>
      <c r="K194" s="73">
        <f t="shared" si="38"/>
        <v>0</v>
      </c>
      <c r="L194" s="73">
        <f t="shared" si="39"/>
        <v>0</v>
      </c>
      <c r="M194" s="73">
        <f t="shared" si="40"/>
        <v>0</v>
      </c>
      <c r="N194" s="73">
        <f t="shared" si="41"/>
        <v>0</v>
      </c>
      <c r="O194" s="73">
        <f t="shared" si="42"/>
        <v>0</v>
      </c>
      <c r="P194" s="73">
        <f t="shared" si="43"/>
        <v>-4454292518</v>
      </c>
      <c r="Q194" s="73">
        <f t="shared" si="44"/>
        <v>0</v>
      </c>
      <c r="R194" s="73">
        <f t="shared" si="45"/>
        <v>0</v>
      </c>
      <c r="S194" s="73">
        <f t="shared" si="46"/>
        <v>0</v>
      </c>
      <c r="T194" s="73">
        <f t="shared" si="47"/>
        <v>0</v>
      </c>
      <c r="U194" s="73">
        <f t="shared" si="48"/>
        <v>0</v>
      </c>
      <c r="V194" s="73">
        <f t="shared" si="49"/>
        <v>0</v>
      </c>
      <c r="W194" s="73">
        <f t="shared" si="50"/>
        <v>0</v>
      </c>
      <c r="X194" s="81"/>
    </row>
    <row r="195" spans="1:24" ht="21.75" hidden="1">
      <c r="A195" s="69">
        <v>1215</v>
      </c>
      <c r="B195" s="70">
        <v>12</v>
      </c>
      <c r="C195" s="71">
        <v>190</v>
      </c>
      <c r="D195" s="46" t="s">
        <v>357</v>
      </c>
      <c r="E195" s="72" t="s">
        <v>358</v>
      </c>
      <c r="F195" s="73">
        <v>-1002504869</v>
      </c>
      <c r="G195" s="73">
        <f t="shared" si="34"/>
        <v>0</v>
      </c>
      <c r="H195" s="73">
        <f t="shared" si="35"/>
        <v>0</v>
      </c>
      <c r="I195" s="73">
        <f t="shared" si="36"/>
        <v>0</v>
      </c>
      <c r="J195" s="73">
        <f t="shared" si="37"/>
        <v>0</v>
      </c>
      <c r="K195" s="73">
        <f t="shared" si="38"/>
        <v>0</v>
      </c>
      <c r="L195" s="73">
        <f t="shared" si="39"/>
        <v>0</v>
      </c>
      <c r="M195" s="73">
        <f t="shared" si="40"/>
        <v>0</v>
      </c>
      <c r="N195" s="73">
        <f t="shared" si="41"/>
        <v>0</v>
      </c>
      <c r="O195" s="73">
        <f t="shared" si="42"/>
        <v>0</v>
      </c>
      <c r="P195" s="73">
        <f t="shared" si="43"/>
        <v>-1002504869</v>
      </c>
      <c r="Q195" s="73">
        <f t="shared" si="44"/>
        <v>0</v>
      </c>
      <c r="R195" s="73">
        <f t="shared" si="45"/>
        <v>0</v>
      </c>
      <c r="S195" s="73">
        <f t="shared" si="46"/>
        <v>0</v>
      </c>
      <c r="T195" s="73">
        <f t="shared" si="47"/>
        <v>0</v>
      </c>
      <c r="U195" s="73">
        <f t="shared" si="48"/>
        <v>0</v>
      </c>
      <c r="V195" s="73">
        <f t="shared" si="49"/>
        <v>0</v>
      </c>
      <c r="W195" s="73">
        <f t="shared" si="50"/>
        <v>0</v>
      </c>
      <c r="X195" s="74"/>
    </row>
    <row r="196" spans="1:24" ht="21.75" hidden="1">
      <c r="A196" s="69">
        <v>1215</v>
      </c>
      <c r="B196" s="76">
        <v>12</v>
      </c>
      <c r="C196" s="77">
        <v>191</v>
      </c>
      <c r="D196" s="78" t="s">
        <v>359</v>
      </c>
      <c r="E196" s="79" t="s">
        <v>215</v>
      </c>
      <c r="F196" s="80">
        <v>-2374000</v>
      </c>
      <c r="G196" s="73">
        <f t="shared" si="34"/>
        <v>0</v>
      </c>
      <c r="H196" s="73">
        <f t="shared" si="35"/>
        <v>0</v>
      </c>
      <c r="I196" s="73">
        <f t="shared" si="36"/>
        <v>0</v>
      </c>
      <c r="J196" s="73">
        <f t="shared" si="37"/>
        <v>0</v>
      </c>
      <c r="K196" s="73">
        <f t="shared" si="38"/>
        <v>0</v>
      </c>
      <c r="L196" s="73">
        <f t="shared" si="39"/>
        <v>0</v>
      </c>
      <c r="M196" s="73">
        <f t="shared" si="40"/>
        <v>0</v>
      </c>
      <c r="N196" s="73">
        <f t="shared" si="41"/>
        <v>0</v>
      </c>
      <c r="O196" s="73">
        <f t="shared" si="42"/>
        <v>0</v>
      </c>
      <c r="P196" s="73">
        <f t="shared" si="43"/>
        <v>-2374000</v>
      </c>
      <c r="Q196" s="73">
        <f t="shared" si="44"/>
        <v>0</v>
      </c>
      <c r="R196" s="73">
        <f t="shared" si="45"/>
        <v>0</v>
      </c>
      <c r="S196" s="73">
        <f t="shared" si="46"/>
        <v>0</v>
      </c>
      <c r="T196" s="73">
        <f t="shared" si="47"/>
        <v>0</v>
      </c>
      <c r="U196" s="73">
        <f t="shared" si="48"/>
        <v>0</v>
      </c>
      <c r="V196" s="73">
        <f t="shared" si="49"/>
        <v>0</v>
      </c>
      <c r="W196" s="73">
        <f t="shared" si="50"/>
        <v>0</v>
      </c>
      <c r="X196" s="81"/>
    </row>
    <row r="197" spans="1:24" ht="21.75" hidden="1">
      <c r="A197" s="69">
        <v>1215</v>
      </c>
      <c r="B197" s="70">
        <v>12</v>
      </c>
      <c r="C197" s="71">
        <v>192</v>
      </c>
      <c r="D197" s="46" t="s">
        <v>598</v>
      </c>
      <c r="E197" s="72" t="s">
        <v>599</v>
      </c>
      <c r="F197" s="73">
        <v>-47871768</v>
      </c>
      <c r="G197" s="73">
        <f t="shared" ref="G197:G246" si="51">IF($B197=$G$3,$F197,0)</f>
        <v>0</v>
      </c>
      <c r="H197" s="73">
        <f t="shared" ref="H197:H246" si="52">IF($B197=$H$3,$F197,0)</f>
        <v>0</v>
      </c>
      <c r="I197" s="73">
        <f t="shared" ref="I197:I246" si="53">IF($B197=$I$3,$F197,0)</f>
        <v>0</v>
      </c>
      <c r="J197" s="73">
        <f t="shared" ref="J197:J246" si="54">IF($B197=$J$3,$F197,0)</f>
        <v>0</v>
      </c>
      <c r="K197" s="73">
        <f t="shared" ref="K197:K246" si="55">IF($B197=$K$3,$F197,0)</f>
        <v>0</v>
      </c>
      <c r="L197" s="73">
        <f t="shared" ref="L197:L246" si="56">IF($B197=$L$3,$F197,0)</f>
        <v>0</v>
      </c>
      <c r="M197" s="73">
        <f t="shared" ref="M197:M246" si="57">IF($B197=$M$3,$F197,0)</f>
        <v>0</v>
      </c>
      <c r="N197" s="73">
        <f t="shared" ref="N197:N246" si="58">IF($B197=$N$3,$F197,0)</f>
        <v>0</v>
      </c>
      <c r="O197" s="73">
        <f t="shared" ref="O197:O246" si="59">IF($B197=$O$3,$F197,0)</f>
        <v>0</v>
      </c>
      <c r="P197" s="73">
        <f t="shared" ref="P197:P246" si="60">IF($B197=$P$3,$F197,0)</f>
        <v>-47871768</v>
      </c>
      <c r="Q197" s="73">
        <f t="shared" ref="Q197:Q246" si="61">IF($B197=$Q$3,$F197,0)</f>
        <v>0</v>
      </c>
      <c r="R197" s="73">
        <f t="shared" ref="R197:R246" si="62">IF($B197=$R$3,$F197,0)</f>
        <v>0</v>
      </c>
      <c r="S197" s="73">
        <f t="shared" ref="S197:S246" si="63">IF($B197=$S$3,$F197,0)</f>
        <v>0</v>
      </c>
      <c r="T197" s="73">
        <f t="shared" ref="T197:T246" si="64">IF($B197=$T$3,$F197,0)</f>
        <v>0</v>
      </c>
      <c r="U197" s="73">
        <f t="shared" ref="U197:U246" si="65">IF($B197=$U$3,$F197,0)</f>
        <v>0</v>
      </c>
      <c r="V197" s="73">
        <f t="shared" ref="V197:V246" si="66">IF($B197=$V$3,$F197,0)</f>
        <v>0</v>
      </c>
      <c r="W197" s="73">
        <f t="shared" ref="W197:W246" si="67">IF($B197=$W$3,$F197,0)</f>
        <v>0</v>
      </c>
      <c r="X197" s="74"/>
    </row>
    <row r="198" spans="1:24" ht="21.75" hidden="1">
      <c r="A198" s="75">
        <v>1401</v>
      </c>
      <c r="B198" s="76">
        <v>14</v>
      </c>
      <c r="C198" s="77">
        <v>193</v>
      </c>
      <c r="D198" s="78" t="s">
        <v>600</v>
      </c>
      <c r="E198" s="79" t="s">
        <v>601</v>
      </c>
      <c r="F198" s="80">
        <v>-2074105233.7425499</v>
      </c>
      <c r="G198" s="73">
        <f t="shared" si="51"/>
        <v>0</v>
      </c>
      <c r="H198" s="73">
        <f t="shared" si="52"/>
        <v>0</v>
      </c>
      <c r="I198" s="73">
        <f t="shared" si="53"/>
        <v>0</v>
      </c>
      <c r="J198" s="73">
        <f t="shared" si="54"/>
        <v>0</v>
      </c>
      <c r="K198" s="73">
        <f t="shared" si="55"/>
        <v>0</v>
      </c>
      <c r="L198" s="73">
        <f t="shared" si="56"/>
        <v>0</v>
      </c>
      <c r="M198" s="73">
        <f t="shared" si="57"/>
        <v>0</v>
      </c>
      <c r="N198" s="73">
        <f t="shared" si="58"/>
        <v>0</v>
      </c>
      <c r="O198" s="73">
        <f t="shared" si="59"/>
        <v>0</v>
      </c>
      <c r="P198" s="73">
        <f t="shared" si="60"/>
        <v>0</v>
      </c>
      <c r="Q198" s="73">
        <f t="shared" si="61"/>
        <v>-2074105233.7425499</v>
      </c>
      <c r="R198" s="73">
        <f t="shared" si="62"/>
        <v>0</v>
      </c>
      <c r="S198" s="73">
        <f t="shared" si="63"/>
        <v>0</v>
      </c>
      <c r="T198" s="73">
        <f t="shared" si="64"/>
        <v>0</v>
      </c>
      <c r="U198" s="73">
        <f t="shared" si="65"/>
        <v>0</v>
      </c>
      <c r="V198" s="73">
        <f t="shared" si="66"/>
        <v>0</v>
      </c>
      <c r="W198" s="73">
        <f t="shared" si="67"/>
        <v>0</v>
      </c>
      <c r="X198" s="81"/>
    </row>
    <row r="199" spans="1:24" ht="21.75" hidden="1">
      <c r="A199" s="69">
        <v>1215</v>
      </c>
      <c r="B199" s="70">
        <v>12</v>
      </c>
      <c r="C199" s="71">
        <v>194</v>
      </c>
      <c r="D199" s="46" t="s">
        <v>602</v>
      </c>
      <c r="E199" s="72" t="s">
        <v>603</v>
      </c>
      <c r="F199" s="73">
        <v>-1721018326</v>
      </c>
      <c r="G199" s="73">
        <f t="shared" si="51"/>
        <v>0</v>
      </c>
      <c r="H199" s="73">
        <f t="shared" si="52"/>
        <v>0</v>
      </c>
      <c r="I199" s="73">
        <f t="shared" si="53"/>
        <v>0</v>
      </c>
      <c r="J199" s="73">
        <f t="shared" si="54"/>
        <v>0</v>
      </c>
      <c r="K199" s="73">
        <f t="shared" si="55"/>
        <v>0</v>
      </c>
      <c r="L199" s="73">
        <f t="shared" si="56"/>
        <v>0</v>
      </c>
      <c r="M199" s="73">
        <f t="shared" si="57"/>
        <v>0</v>
      </c>
      <c r="N199" s="73">
        <f t="shared" si="58"/>
        <v>0</v>
      </c>
      <c r="O199" s="73">
        <f t="shared" si="59"/>
        <v>0</v>
      </c>
      <c r="P199" s="73">
        <f t="shared" si="60"/>
        <v>-1721018326</v>
      </c>
      <c r="Q199" s="73">
        <f t="shared" si="61"/>
        <v>0</v>
      </c>
      <c r="R199" s="73">
        <f t="shared" si="62"/>
        <v>0</v>
      </c>
      <c r="S199" s="73">
        <f t="shared" si="63"/>
        <v>0</v>
      </c>
      <c r="T199" s="73">
        <f t="shared" si="64"/>
        <v>0</v>
      </c>
      <c r="U199" s="73">
        <f t="shared" si="65"/>
        <v>0</v>
      </c>
      <c r="V199" s="73">
        <f t="shared" si="66"/>
        <v>0</v>
      </c>
      <c r="W199" s="73">
        <f t="shared" si="67"/>
        <v>0</v>
      </c>
      <c r="X199" s="74"/>
    </row>
    <row r="200" spans="1:24" ht="21.75" hidden="1">
      <c r="A200" s="75">
        <v>1201</v>
      </c>
      <c r="B200" s="76">
        <v>12</v>
      </c>
      <c r="C200" s="77">
        <v>195</v>
      </c>
      <c r="D200" s="78" t="s">
        <v>604</v>
      </c>
      <c r="E200" s="79" t="s">
        <v>532</v>
      </c>
      <c r="F200" s="80">
        <v>-1669572741463</v>
      </c>
      <c r="G200" s="73">
        <f t="shared" si="51"/>
        <v>0</v>
      </c>
      <c r="H200" s="73">
        <f t="shared" si="52"/>
        <v>0</v>
      </c>
      <c r="I200" s="73">
        <f t="shared" si="53"/>
        <v>0</v>
      </c>
      <c r="J200" s="73">
        <f t="shared" si="54"/>
        <v>0</v>
      </c>
      <c r="K200" s="73">
        <f t="shared" si="55"/>
        <v>0</v>
      </c>
      <c r="L200" s="73">
        <f t="shared" si="56"/>
        <v>0</v>
      </c>
      <c r="M200" s="73">
        <f t="shared" si="57"/>
        <v>0</v>
      </c>
      <c r="N200" s="73">
        <f t="shared" si="58"/>
        <v>0</v>
      </c>
      <c r="O200" s="73">
        <f t="shared" si="59"/>
        <v>0</v>
      </c>
      <c r="P200" s="73">
        <f t="shared" si="60"/>
        <v>-1669572741463</v>
      </c>
      <c r="Q200" s="73">
        <f t="shared" si="61"/>
        <v>0</v>
      </c>
      <c r="R200" s="73">
        <f t="shared" si="62"/>
        <v>0</v>
      </c>
      <c r="S200" s="73">
        <f t="shared" si="63"/>
        <v>0</v>
      </c>
      <c r="T200" s="73">
        <f t="shared" si="64"/>
        <v>0</v>
      </c>
      <c r="U200" s="73">
        <f t="shared" si="65"/>
        <v>0</v>
      </c>
      <c r="V200" s="73">
        <f t="shared" si="66"/>
        <v>0</v>
      </c>
      <c r="W200" s="73">
        <f t="shared" si="67"/>
        <v>0</v>
      </c>
      <c r="X200" s="81"/>
    </row>
    <row r="201" spans="1:24" ht="21.75" hidden="1">
      <c r="A201" s="69">
        <v>1212</v>
      </c>
      <c r="B201" s="70">
        <v>12</v>
      </c>
      <c r="C201" s="71">
        <v>196</v>
      </c>
      <c r="D201" s="46" t="s">
        <v>605</v>
      </c>
      <c r="E201" s="72" t="s">
        <v>227</v>
      </c>
      <c r="F201" s="73">
        <v>-672945455</v>
      </c>
      <c r="G201" s="73">
        <f t="shared" si="51"/>
        <v>0</v>
      </c>
      <c r="H201" s="73">
        <f t="shared" si="52"/>
        <v>0</v>
      </c>
      <c r="I201" s="73">
        <f t="shared" si="53"/>
        <v>0</v>
      </c>
      <c r="J201" s="73">
        <f t="shared" si="54"/>
        <v>0</v>
      </c>
      <c r="K201" s="73">
        <f t="shared" si="55"/>
        <v>0</v>
      </c>
      <c r="L201" s="73">
        <f t="shared" si="56"/>
        <v>0</v>
      </c>
      <c r="M201" s="73">
        <f t="shared" si="57"/>
        <v>0</v>
      </c>
      <c r="N201" s="73">
        <f t="shared" si="58"/>
        <v>0</v>
      </c>
      <c r="O201" s="73">
        <f t="shared" si="59"/>
        <v>0</v>
      </c>
      <c r="P201" s="73">
        <f t="shared" si="60"/>
        <v>-672945455</v>
      </c>
      <c r="Q201" s="73">
        <f t="shared" si="61"/>
        <v>0</v>
      </c>
      <c r="R201" s="73">
        <f t="shared" si="62"/>
        <v>0</v>
      </c>
      <c r="S201" s="73">
        <f t="shared" si="63"/>
        <v>0</v>
      </c>
      <c r="T201" s="73">
        <f t="shared" si="64"/>
        <v>0</v>
      </c>
      <c r="U201" s="73">
        <f t="shared" si="65"/>
        <v>0</v>
      </c>
      <c r="V201" s="73">
        <f t="shared" si="66"/>
        <v>0</v>
      </c>
      <c r="W201" s="73">
        <f t="shared" si="67"/>
        <v>0</v>
      </c>
      <c r="X201" s="74"/>
    </row>
    <row r="202" spans="1:24" ht="21.75" hidden="1">
      <c r="A202" s="69">
        <v>1212</v>
      </c>
      <c r="B202" s="76">
        <v>12</v>
      </c>
      <c r="C202" s="77">
        <v>197</v>
      </c>
      <c r="D202" s="78" t="s">
        <v>515</v>
      </c>
      <c r="E202" s="79" t="s">
        <v>516</v>
      </c>
      <c r="F202" s="80">
        <v>-238000000</v>
      </c>
      <c r="G202" s="73">
        <f t="shared" si="51"/>
        <v>0</v>
      </c>
      <c r="H202" s="73">
        <f t="shared" si="52"/>
        <v>0</v>
      </c>
      <c r="I202" s="73">
        <f t="shared" si="53"/>
        <v>0</v>
      </c>
      <c r="J202" s="73">
        <f t="shared" si="54"/>
        <v>0</v>
      </c>
      <c r="K202" s="73">
        <f t="shared" si="55"/>
        <v>0</v>
      </c>
      <c r="L202" s="73">
        <f t="shared" si="56"/>
        <v>0</v>
      </c>
      <c r="M202" s="73">
        <f t="shared" si="57"/>
        <v>0</v>
      </c>
      <c r="N202" s="73">
        <f t="shared" si="58"/>
        <v>0</v>
      </c>
      <c r="O202" s="73">
        <f t="shared" si="59"/>
        <v>0</v>
      </c>
      <c r="P202" s="73">
        <f t="shared" si="60"/>
        <v>-238000000</v>
      </c>
      <c r="Q202" s="73">
        <f t="shared" si="61"/>
        <v>0</v>
      </c>
      <c r="R202" s="73">
        <f t="shared" si="62"/>
        <v>0</v>
      </c>
      <c r="S202" s="73">
        <f t="shared" si="63"/>
        <v>0</v>
      </c>
      <c r="T202" s="73">
        <f t="shared" si="64"/>
        <v>0</v>
      </c>
      <c r="U202" s="73">
        <f t="shared" si="65"/>
        <v>0</v>
      </c>
      <c r="V202" s="73">
        <f t="shared" si="66"/>
        <v>0</v>
      </c>
      <c r="W202" s="73">
        <f t="shared" si="67"/>
        <v>0</v>
      </c>
      <c r="X202" s="81"/>
    </row>
    <row r="203" spans="1:24" ht="21.75" hidden="1">
      <c r="A203" s="69">
        <v>1501</v>
      </c>
      <c r="B203" s="70">
        <v>15</v>
      </c>
      <c r="C203" s="71">
        <v>198</v>
      </c>
      <c r="D203" s="46" t="s">
        <v>201</v>
      </c>
      <c r="E203" s="72" t="s">
        <v>400</v>
      </c>
      <c r="F203" s="73">
        <v>-48949936164.3881</v>
      </c>
      <c r="G203" s="73">
        <f t="shared" si="51"/>
        <v>0</v>
      </c>
      <c r="H203" s="73">
        <f t="shared" si="52"/>
        <v>0</v>
      </c>
      <c r="I203" s="73">
        <f t="shared" si="53"/>
        <v>0</v>
      </c>
      <c r="J203" s="73">
        <f t="shared" si="54"/>
        <v>0</v>
      </c>
      <c r="K203" s="73">
        <f t="shared" si="55"/>
        <v>0</v>
      </c>
      <c r="L203" s="73">
        <f t="shared" si="56"/>
        <v>0</v>
      </c>
      <c r="M203" s="73">
        <f t="shared" si="57"/>
        <v>0</v>
      </c>
      <c r="N203" s="73">
        <f t="shared" si="58"/>
        <v>0</v>
      </c>
      <c r="O203" s="73">
        <f t="shared" si="59"/>
        <v>0</v>
      </c>
      <c r="P203" s="73">
        <f t="shared" si="60"/>
        <v>0</v>
      </c>
      <c r="Q203" s="73">
        <f t="shared" si="61"/>
        <v>0</v>
      </c>
      <c r="R203" s="73">
        <f t="shared" si="62"/>
        <v>-48949936164.3881</v>
      </c>
      <c r="S203" s="73">
        <f t="shared" si="63"/>
        <v>0</v>
      </c>
      <c r="T203" s="73">
        <f t="shared" si="64"/>
        <v>0</v>
      </c>
      <c r="U203" s="73">
        <f t="shared" si="65"/>
        <v>0</v>
      </c>
      <c r="V203" s="73">
        <f t="shared" si="66"/>
        <v>0</v>
      </c>
      <c r="W203" s="73">
        <f t="shared" si="67"/>
        <v>0</v>
      </c>
      <c r="X203" s="74"/>
    </row>
    <row r="204" spans="1:24" ht="21.75" hidden="1">
      <c r="A204" s="69">
        <v>1212</v>
      </c>
      <c r="B204" s="76">
        <v>12</v>
      </c>
      <c r="C204" s="77">
        <v>198</v>
      </c>
      <c r="D204" s="78" t="s">
        <v>18</v>
      </c>
      <c r="E204" s="79" t="s">
        <v>228</v>
      </c>
      <c r="F204" s="80">
        <v>-2019147472</v>
      </c>
      <c r="G204" s="73">
        <f t="shared" si="51"/>
        <v>0</v>
      </c>
      <c r="H204" s="73">
        <f t="shared" si="52"/>
        <v>0</v>
      </c>
      <c r="I204" s="73">
        <f t="shared" si="53"/>
        <v>0</v>
      </c>
      <c r="J204" s="73">
        <f t="shared" si="54"/>
        <v>0</v>
      </c>
      <c r="K204" s="73">
        <f t="shared" si="55"/>
        <v>0</v>
      </c>
      <c r="L204" s="73">
        <f t="shared" si="56"/>
        <v>0</v>
      </c>
      <c r="M204" s="73">
        <f t="shared" si="57"/>
        <v>0</v>
      </c>
      <c r="N204" s="73">
        <f t="shared" si="58"/>
        <v>0</v>
      </c>
      <c r="O204" s="73">
        <f t="shared" si="59"/>
        <v>0</v>
      </c>
      <c r="P204" s="73">
        <f t="shared" si="60"/>
        <v>-2019147472</v>
      </c>
      <c r="Q204" s="73">
        <f t="shared" si="61"/>
        <v>0</v>
      </c>
      <c r="R204" s="73">
        <f t="shared" si="62"/>
        <v>0</v>
      </c>
      <c r="S204" s="73">
        <f t="shared" si="63"/>
        <v>0</v>
      </c>
      <c r="T204" s="73">
        <f t="shared" si="64"/>
        <v>0</v>
      </c>
      <c r="U204" s="73">
        <f t="shared" si="65"/>
        <v>0</v>
      </c>
      <c r="V204" s="73">
        <f t="shared" si="66"/>
        <v>0</v>
      </c>
      <c r="W204" s="73">
        <f t="shared" si="67"/>
        <v>0</v>
      </c>
      <c r="X204" s="81"/>
    </row>
    <row r="205" spans="1:24" ht="21.75" hidden="1">
      <c r="A205" s="69">
        <v>501</v>
      </c>
      <c r="B205" s="70">
        <v>5</v>
      </c>
      <c r="C205" s="71">
        <v>199</v>
      </c>
      <c r="D205" s="46" t="s">
        <v>19</v>
      </c>
      <c r="E205" s="72" t="s">
        <v>20</v>
      </c>
      <c r="F205" s="73">
        <v>1504887329639</v>
      </c>
      <c r="G205" s="73">
        <f t="shared" si="51"/>
        <v>0</v>
      </c>
      <c r="H205" s="73">
        <f t="shared" si="52"/>
        <v>1504887329639</v>
      </c>
      <c r="I205" s="73">
        <f t="shared" si="53"/>
        <v>0</v>
      </c>
      <c r="J205" s="73">
        <f t="shared" si="54"/>
        <v>0</v>
      </c>
      <c r="K205" s="73">
        <f t="shared" si="55"/>
        <v>0</v>
      </c>
      <c r="L205" s="73">
        <f t="shared" si="56"/>
        <v>0</v>
      </c>
      <c r="M205" s="73">
        <f t="shared" si="57"/>
        <v>0</v>
      </c>
      <c r="N205" s="73">
        <f t="shared" si="58"/>
        <v>0</v>
      </c>
      <c r="O205" s="73">
        <f t="shared" si="59"/>
        <v>0</v>
      </c>
      <c r="P205" s="73">
        <f t="shared" si="60"/>
        <v>0</v>
      </c>
      <c r="Q205" s="73">
        <f t="shared" si="61"/>
        <v>0</v>
      </c>
      <c r="R205" s="73">
        <f t="shared" si="62"/>
        <v>0</v>
      </c>
      <c r="S205" s="73">
        <f t="shared" si="63"/>
        <v>0</v>
      </c>
      <c r="T205" s="73">
        <f t="shared" si="64"/>
        <v>0</v>
      </c>
      <c r="U205" s="73">
        <f t="shared" si="65"/>
        <v>0</v>
      </c>
      <c r="V205" s="73">
        <f t="shared" si="66"/>
        <v>0</v>
      </c>
      <c r="W205" s="73">
        <f t="shared" si="67"/>
        <v>0</v>
      </c>
      <c r="X205" s="74"/>
    </row>
    <row r="206" spans="1:24" ht="21.75" hidden="1">
      <c r="A206" s="75">
        <v>1202</v>
      </c>
      <c r="B206" s="76">
        <v>12</v>
      </c>
      <c r="C206" s="77">
        <v>200</v>
      </c>
      <c r="D206" s="78" t="s">
        <v>21</v>
      </c>
      <c r="E206" s="79" t="s">
        <v>22</v>
      </c>
      <c r="F206" s="80">
        <v>-69659301512</v>
      </c>
      <c r="G206" s="73">
        <f t="shared" si="51"/>
        <v>0</v>
      </c>
      <c r="H206" s="73">
        <f t="shared" si="52"/>
        <v>0</v>
      </c>
      <c r="I206" s="73">
        <f t="shared" si="53"/>
        <v>0</v>
      </c>
      <c r="J206" s="73">
        <f t="shared" si="54"/>
        <v>0</v>
      </c>
      <c r="K206" s="73">
        <f t="shared" si="55"/>
        <v>0</v>
      </c>
      <c r="L206" s="73">
        <f t="shared" si="56"/>
        <v>0</v>
      </c>
      <c r="M206" s="73">
        <f t="shared" si="57"/>
        <v>0</v>
      </c>
      <c r="N206" s="73">
        <f t="shared" si="58"/>
        <v>0</v>
      </c>
      <c r="O206" s="73">
        <f t="shared" si="59"/>
        <v>0</v>
      </c>
      <c r="P206" s="73">
        <f t="shared" si="60"/>
        <v>-69659301512</v>
      </c>
      <c r="Q206" s="73">
        <f t="shared" si="61"/>
        <v>0</v>
      </c>
      <c r="R206" s="73">
        <f t="shared" si="62"/>
        <v>0</v>
      </c>
      <c r="S206" s="73">
        <f t="shared" si="63"/>
        <v>0</v>
      </c>
      <c r="T206" s="73">
        <f t="shared" si="64"/>
        <v>0</v>
      </c>
      <c r="U206" s="73">
        <f t="shared" si="65"/>
        <v>0</v>
      </c>
      <c r="V206" s="73">
        <f t="shared" si="66"/>
        <v>0</v>
      </c>
      <c r="W206" s="73">
        <f t="shared" si="67"/>
        <v>0</v>
      </c>
      <c r="X206" s="81"/>
    </row>
    <row r="207" spans="1:24" ht="21.75" hidden="1">
      <c r="A207" s="69">
        <v>1201</v>
      </c>
      <c r="B207" s="70">
        <v>12</v>
      </c>
      <c r="C207" s="71">
        <v>201</v>
      </c>
      <c r="D207" s="46" t="s">
        <v>23</v>
      </c>
      <c r="E207" s="72" t="s">
        <v>537</v>
      </c>
      <c r="F207" s="73">
        <v>-2285107560278</v>
      </c>
      <c r="G207" s="73">
        <f t="shared" si="51"/>
        <v>0</v>
      </c>
      <c r="H207" s="73">
        <f t="shared" si="52"/>
        <v>0</v>
      </c>
      <c r="I207" s="73">
        <f t="shared" si="53"/>
        <v>0</v>
      </c>
      <c r="J207" s="73">
        <f t="shared" si="54"/>
        <v>0</v>
      </c>
      <c r="K207" s="73">
        <f t="shared" si="55"/>
        <v>0</v>
      </c>
      <c r="L207" s="73">
        <f t="shared" si="56"/>
        <v>0</v>
      </c>
      <c r="M207" s="73">
        <f t="shared" si="57"/>
        <v>0</v>
      </c>
      <c r="N207" s="73">
        <f t="shared" si="58"/>
        <v>0</v>
      </c>
      <c r="O207" s="73">
        <f t="shared" si="59"/>
        <v>0</v>
      </c>
      <c r="P207" s="73">
        <f t="shared" si="60"/>
        <v>-2285107560278</v>
      </c>
      <c r="Q207" s="73">
        <f t="shared" si="61"/>
        <v>0</v>
      </c>
      <c r="R207" s="73">
        <f t="shared" si="62"/>
        <v>0</v>
      </c>
      <c r="S207" s="73">
        <f t="shared" si="63"/>
        <v>0</v>
      </c>
      <c r="T207" s="73">
        <f t="shared" si="64"/>
        <v>0</v>
      </c>
      <c r="U207" s="73">
        <f t="shared" si="65"/>
        <v>0</v>
      </c>
      <c r="V207" s="73">
        <f t="shared" si="66"/>
        <v>0</v>
      </c>
      <c r="W207" s="73">
        <f t="shared" si="67"/>
        <v>0</v>
      </c>
      <c r="X207" s="74"/>
    </row>
    <row r="208" spans="1:24" ht="21.75" hidden="1">
      <c r="A208" s="75">
        <v>1201</v>
      </c>
      <c r="B208" s="76">
        <v>12</v>
      </c>
      <c r="C208" s="77">
        <v>202</v>
      </c>
      <c r="D208" s="78" t="s">
        <v>538</v>
      </c>
      <c r="E208" s="79" t="s">
        <v>539</v>
      </c>
      <c r="F208" s="80">
        <v>-24866347713</v>
      </c>
      <c r="G208" s="73">
        <f t="shared" si="51"/>
        <v>0</v>
      </c>
      <c r="H208" s="73">
        <f t="shared" si="52"/>
        <v>0</v>
      </c>
      <c r="I208" s="73">
        <f t="shared" si="53"/>
        <v>0</v>
      </c>
      <c r="J208" s="73">
        <f t="shared" si="54"/>
        <v>0</v>
      </c>
      <c r="K208" s="73">
        <f t="shared" si="55"/>
        <v>0</v>
      </c>
      <c r="L208" s="73">
        <f t="shared" si="56"/>
        <v>0</v>
      </c>
      <c r="M208" s="73">
        <f t="shared" si="57"/>
        <v>0</v>
      </c>
      <c r="N208" s="73">
        <f t="shared" si="58"/>
        <v>0</v>
      </c>
      <c r="O208" s="73">
        <f t="shared" si="59"/>
        <v>0</v>
      </c>
      <c r="P208" s="73">
        <f t="shared" si="60"/>
        <v>-24866347713</v>
      </c>
      <c r="Q208" s="73">
        <f t="shared" si="61"/>
        <v>0</v>
      </c>
      <c r="R208" s="73">
        <f t="shared" si="62"/>
        <v>0</v>
      </c>
      <c r="S208" s="73">
        <f t="shared" si="63"/>
        <v>0</v>
      </c>
      <c r="T208" s="73">
        <f t="shared" si="64"/>
        <v>0</v>
      </c>
      <c r="U208" s="73">
        <f t="shared" si="65"/>
        <v>0</v>
      </c>
      <c r="V208" s="73">
        <f t="shared" si="66"/>
        <v>0</v>
      </c>
      <c r="W208" s="73">
        <f t="shared" si="67"/>
        <v>0</v>
      </c>
      <c r="X208" s="81"/>
    </row>
    <row r="209" spans="1:24" ht="21.75" hidden="1">
      <c r="A209" s="69">
        <v>1206</v>
      </c>
      <c r="B209" s="70">
        <v>12</v>
      </c>
      <c r="C209" s="71">
        <v>203</v>
      </c>
      <c r="D209" s="46" t="s">
        <v>540</v>
      </c>
      <c r="E209" s="72" t="s">
        <v>229</v>
      </c>
      <c r="F209" s="73">
        <v>-692186400</v>
      </c>
      <c r="G209" s="73">
        <f t="shared" si="51"/>
        <v>0</v>
      </c>
      <c r="H209" s="73">
        <f t="shared" si="52"/>
        <v>0</v>
      </c>
      <c r="I209" s="73">
        <f t="shared" si="53"/>
        <v>0</v>
      </c>
      <c r="J209" s="73">
        <f t="shared" si="54"/>
        <v>0</v>
      </c>
      <c r="K209" s="73">
        <f t="shared" si="55"/>
        <v>0</v>
      </c>
      <c r="L209" s="73">
        <f t="shared" si="56"/>
        <v>0</v>
      </c>
      <c r="M209" s="73">
        <f t="shared" si="57"/>
        <v>0</v>
      </c>
      <c r="N209" s="73">
        <f t="shared" si="58"/>
        <v>0</v>
      </c>
      <c r="O209" s="73">
        <f t="shared" si="59"/>
        <v>0</v>
      </c>
      <c r="P209" s="73">
        <f t="shared" si="60"/>
        <v>-692186400</v>
      </c>
      <c r="Q209" s="73">
        <f t="shared" si="61"/>
        <v>0</v>
      </c>
      <c r="R209" s="73">
        <f t="shared" si="62"/>
        <v>0</v>
      </c>
      <c r="S209" s="73">
        <f t="shared" si="63"/>
        <v>0</v>
      </c>
      <c r="T209" s="73">
        <f t="shared" si="64"/>
        <v>0</v>
      </c>
      <c r="U209" s="73">
        <f t="shared" si="65"/>
        <v>0</v>
      </c>
      <c r="V209" s="73">
        <f t="shared" si="66"/>
        <v>0</v>
      </c>
      <c r="W209" s="73">
        <f t="shared" si="67"/>
        <v>0</v>
      </c>
      <c r="X209" s="74"/>
    </row>
    <row r="210" spans="1:24" ht="21.75" hidden="1">
      <c r="A210" s="75">
        <v>1207</v>
      </c>
      <c r="B210" s="76">
        <v>12</v>
      </c>
      <c r="C210" s="77">
        <v>204</v>
      </c>
      <c r="D210" s="78" t="s">
        <v>543</v>
      </c>
      <c r="E210" s="79" t="s">
        <v>544</v>
      </c>
      <c r="F210" s="80">
        <v>-131791238583</v>
      </c>
      <c r="G210" s="73">
        <f t="shared" si="51"/>
        <v>0</v>
      </c>
      <c r="H210" s="73">
        <f t="shared" si="52"/>
        <v>0</v>
      </c>
      <c r="I210" s="73">
        <f t="shared" si="53"/>
        <v>0</v>
      </c>
      <c r="J210" s="73">
        <f t="shared" si="54"/>
        <v>0</v>
      </c>
      <c r="K210" s="73">
        <f t="shared" si="55"/>
        <v>0</v>
      </c>
      <c r="L210" s="73">
        <f t="shared" si="56"/>
        <v>0</v>
      </c>
      <c r="M210" s="73">
        <f t="shared" si="57"/>
        <v>0</v>
      </c>
      <c r="N210" s="73">
        <f t="shared" si="58"/>
        <v>0</v>
      </c>
      <c r="O210" s="73">
        <f t="shared" si="59"/>
        <v>0</v>
      </c>
      <c r="P210" s="73">
        <f t="shared" si="60"/>
        <v>-131791238583</v>
      </c>
      <c r="Q210" s="73">
        <f t="shared" si="61"/>
        <v>0</v>
      </c>
      <c r="R210" s="73">
        <f t="shared" si="62"/>
        <v>0</v>
      </c>
      <c r="S210" s="73">
        <f t="shared" si="63"/>
        <v>0</v>
      </c>
      <c r="T210" s="73">
        <f t="shared" si="64"/>
        <v>0</v>
      </c>
      <c r="U210" s="73">
        <f t="shared" si="65"/>
        <v>0</v>
      </c>
      <c r="V210" s="73">
        <f t="shared" si="66"/>
        <v>0</v>
      </c>
      <c r="W210" s="73">
        <f t="shared" si="67"/>
        <v>0</v>
      </c>
      <c r="X210" s="81"/>
    </row>
    <row r="211" spans="1:24" ht="21.75" hidden="1">
      <c r="A211" s="69">
        <v>1207</v>
      </c>
      <c r="B211" s="70">
        <v>12</v>
      </c>
      <c r="C211" s="71">
        <v>205</v>
      </c>
      <c r="D211" s="46" t="s">
        <v>545</v>
      </c>
      <c r="E211" s="72" t="s">
        <v>510</v>
      </c>
      <c r="F211" s="73">
        <v>-46700000</v>
      </c>
      <c r="G211" s="73">
        <f t="shared" si="51"/>
        <v>0</v>
      </c>
      <c r="H211" s="73">
        <f t="shared" si="52"/>
        <v>0</v>
      </c>
      <c r="I211" s="73">
        <f t="shared" si="53"/>
        <v>0</v>
      </c>
      <c r="J211" s="73">
        <f t="shared" si="54"/>
        <v>0</v>
      </c>
      <c r="K211" s="73">
        <f t="shared" si="55"/>
        <v>0</v>
      </c>
      <c r="L211" s="73">
        <f t="shared" si="56"/>
        <v>0</v>
      </c>
      <c r="M211" s="73">
        <f t="shared" si="57"/>
        <v>0</v>
      </c>
      <c r="N211" s="73">
        <f t="shared" si="58"/>
        <v>0</v>
      </c>
      <c r="O211" s="73">
        <f t="shared" si="59"/>
        <v>0</v>
      </c>
      <c r="P211" s="73">
        <f t="shared" si="60"/>
        <v>-46700000</v>
      </c>
      <c r="Q211" s="73">
        <f t="shared" si="61"/>
        <v>0</v>
      </c>
      <c r="R211" s="73">
        <f t="shared" si="62"/>
        <v>0</v>
      </c>
      <c r="S211" s="73">
        <f t="shared" si="63"/>
        <v>0</v>
      </c>
      <c r="T211" s="73">
        <f t="shared" si="64"/>
        <v>0</v>
      </c>
      <c r="U211" s="73">
        <f t="shared" si="65"/>
        <v>0</v>
      </c>
      <c r="V211" s="73">
        <f t="shared" si="66"/>
        <v>0</v>
      </c>
      <c r="W211" s="73">
        <f t="shared" si="67"/>
        <v>0</v>
      </c>
      <c r="X211" s="74"/>
    </row>
    <row r="212" spans="1:24" ht="21.75" hidden="1">
      <c r="A212" s="75">
        <v>1208</v>
      </c>
      <c r="B212" s="76">
        <v>12</v>
      </c>
      <c r="C212" s="77">
        <v>206</v>
      </c>
      <c r="D212" s="78" t="s">
        <v>511</v>
      </c>
      <c r="E212" s="79" t="s">
        <v>512</v>
      </c>
      <c r="F212" s="80">
        <v>-1009591644</v>
      </c>
      <c r="G212" s="73">
        <f t="shared" si="51"/>
        <v>0</v>
      </c>
      <c r="H212" s="73">
        <f t="shared" si="52"/>
        <v>0</v>
      </c>
      <c r="I212" s="73">
        <f t="shared" si="53"/>
        <v>0</v>
      </c>
      <c r="J212" s="73">
        <f t="shared" si="54"/>
        <v>0</v>
      </c>
      <c r="K212" s="73">
        <f t="shared" si="55"/>
        <v>0</v>
      </c>
      <c r="L212" s="73">
        <f t="shared" si="56"/>
        <v>0</v>
      </c>
      <c r="M212" s="73">
        <f t="shared" si="57"/>
        <v>0</v>
      </c>
      <c r="N212" s="73">
        <f t="shared" si="58"/>
        <v>0</v>
      </c>
      <c r="O212" s="73">
        <f t="shared" si="59"/>
        <v>0</v>
      </c>
      <c r="P212" s="73">
        <f t="shared" si="60"/>
        <v>-1009591644</v>
      </c>
      <c r="Q212" s="73">
        <f t="shared" si="61"/>
        <v>0</v>
      </c>
      <c r="R212" s="73">
        <f t="shared" si="62"/>
        <v>0</v>
      </c>
      <c r="S212" s="73">
        <f t="shared" si="63"/>
        <v>0</v>
      </c>
      <c r="T212" s="73">
        <f t="shared" si="64"/>
        <v>0</v>
      </c>
      <c r="U212" s="73">
        <f t="shared" si="65"/>
        <v>0</v>
      </c>
      <c r="V212" s="73">
        <f t="shared" si="66"/>
        <v>0</v>
      </c>
      <c r="W212" s="73">
        <f t="shared" si="67"/>
        <v>0</v>
      </c>
      <c r="X212" s="81"/>
    </row>
    <row r="213" spans="1:24" ht="21.75" hidden="1">
      <c r="A213" s="69">
        <v>1208</v>
      </c>
      <c r="B213" s="70">
        <v>12</v>
      </c>
      <c r="C213" s="71">
        <v>207</v>
      </c>
      <c r="D213" s="46" t="s">
        <v>513</v>
      </c>
      <c r="E213" s="72" t="s">
        <v>279</v>
      </c>
      <c r="F213" s="73">
        <v>-91373963989</v>
      </c>
      <c r="G213" s="73">
        <f t="shared" si="51"/>
        <v>0</v>
      </c>
      <c r="H213" s="73">
        <f t="shared" si="52"/>
        <v>0</v>
      </c>
      <c r="I213" s="73">
        <f t="shared" si="53"/>
        <v>0</v>
      </c>
      <c r="J213" s="73">
        <f t="shared" si="54"/>
        <v>0</v>
      </c>
      <c r="K213" s="73">
        <f t="shared" si="55"/>
        <v>0</v>
      </c>
      <c r="L213" s="73">
        <f t="shared" si="56"/>
        <v>0</v>
      </c>
      <c r="M213" s="73">
        <f t="shared" si="57"/>
        <v>0</v>
      </c>
      <c r="N213" s="73">
        <f t="shared" si="58"/>
        <v>0</v>
      </c>
      <c r="O213" s="73">
        <f t="shared" si="59"/>
        <v>0</v>
      </c>
      <c r="P213" s="73">
        <f t="shared" si="60"/>
        <v>-91373963989</v>
      </c>
      <c r="Q213" s="73">
        <f t="shared" si="61"/>
        <v>0</v>
      </c>
      <c r="R213" s="73">
        <f t="shared" si="62"/>
        <v>0</v>
      </c>
      <c r="S213" s="73">
        <f t="shared" si="63"/>
        <v>0</v>
      </c>
      <c r="T213" s="73">
        <f t="shared" si="64"/>
        <v>0</v>
      </c>
      <c r="U213" s="73">
        <f t="shared" si="65"/>
        <v>0</v>
      </c>
      <c r="V213" s="73">
        <f t="shared" si="66"/>
        <v>0</v>
      </c>
      <c r="W213" s="73">
        <f t="shared" si="67"/>
        <v>0</v>
      </c>
      <c r="X213" s="74"/>
    </row>
    <row r="214" spans="1:24" ht="21.75" hidden="1">
      <c r="A214" s="75">
        <v>1207</v>
      </c>
      <c r="B214" s="76">
        <v>12</v>
      </c>
      <c r="C214" s="77">
        <v>208</v>
      </c>
      <c r="D214" s="78" t="s">
        <v>499</v>
      </c>
      <c r="E214" s="79" t="s">
        <v>500</v>
      </c>
      <c r="F214" s="80">
        <v>-867937579</v>
      </c>
      <c r="G214" s="73">
        <f t="shared" si="51"/>
        <v>0</v>
      </c>
      <c r="H214" s="73">
        <f t="shared" si="52"/>
        <v>0</v>
      </c>
      <c r="I214" s="73">
        <f t="shared" si="53"/>
        <v>0</v>
      </c>
      <c r="J214" s="73">
        <f t="shared" si="54"/>
        <v>0</v>
      </c>
      <c r="K214" s="73">
        <f t="shared" si="55"/>
        <v>0</v>
      </c>
      <c r="L214" s="73">
        <f t="shared" si="56"/>
        <v>0</v>
      </c>
      <c r="M214" s="73">
        <f t="shared" si="57"/>
        <v>0</v>
      </c>
      <c r="N214" s="73">
        <f t="shared" si="58"/>
        <v>0</v>
      </c>
      <c r="O214" s="73">
        <f t="shared" si="59"/>
        <v>0</v>
      </c>
      <c r="P214" s="73">
        <f t="shared" si="60"/>
        <v>-867937579</v>
      </c>
      <c r="Q214" s="73">
        <f t="shared" si="61"/>
        <v>0</v>
      </c>
      <c r="R214" s="73">
        <f t="shared" si="62"/>
        <v>0</v>
      </c>
      <c r="S214" s="73">
        <f t="shared" si="63"/>
        <v>0</v>
      </c>
      <c r="T214" s="73">
        <f t="shared" si="64"/>
        <v>0</v>
      </c>
      <c r="U214" s="73">
        <f t="shared" si="65"/>
        <v>0</v>
      </c>
      <c r="V214" s="73">
        <f t="shared" si="66"/>
        <v>0</v>
      </c>
      <c r="W214" s="73">
        <f t="shared" si="67"/>
        <v>0</v>
      </c>
      <c r="X214" s="81"/>
    </row>
    <row r="215" spans="1:24" ht="21.75" hidden="1">
      <c r="A215" s="69">
        <v>1212</v>
      </c>
      <c r="B215" s="70">
        <v>12</v>
      </c>
      <c r="C215" s="71">
        <v>209</v>
      </c>
      <c r="D215" s="46" t="s">
        <v>501</v>
      </c>
      <c r="E215" s="72" t="s">
        <v>502</v>
      </c>
      <c r="F215" s="73">
        <v>-9587500</v>
      </c>
      <c r="G215" s="73">
        <f t="shared" si="51"/>
        <v>0</v>
      </c>
      <c r="H215" s="73">
        <f t="shared" si="52"/>
        <v>0</v>
      </c>
      <c r="I215" s="73">
        <f t="shared" si="53"/>
        <v>0</v>
      </c>
      <c r="J215" s="73">
        <f t="shared" si="54"/>
        <v>0</v>
      </c>
      <c r="K215" s="73">
        <f t="shared" si="55"/>
        <v>0</v>
      </c>
      <c r="L215" s="73">
        <f t="shared" si="56"/>
        <v>0</v>
      </c>
      <c r="M215" s="73">
        <f t="shared" si="57"/>
        <v>0</v>
      </c>
      <c r="N215" s="73">
        <f t="shared" si="58"/>
        <v>0</v>
      </c>
      <c r="O215" s="73">
        <f t="shared" si="59"/>
        <v>0</v>
      </c>
      <c r="P215" s="73">
        <f t="shared" si="60"/>
        <v>-9587500</v>
      </c>
      <c r="Q215" s="73">
        <f t="shared" si="61"/>
        <v>0</v>
      </c>
      <c r="R215" s="73">
        <f t="shared" si="62"/>
        <v>0</v>
      </c>
      <c r="S215" s="73">
        <f t="shared" si="63"/>
        <v>0</v>
      </c>
      <c r="T215" s="73">
        <f t="shared" si="64"/>
        <v>0</v>
      </c>
      <c r="U215" s="73">
        <f t="shared" si="65"/>
        <v>0</v>
      </c>
      <c r="V215" s="73">
        <f t="shared" si="66"/>
        <v>0</v>
      </c>
      <c r="W215" s="73">
        <f t="shared" si="67"/>
        <v>0</v>
      </c>
      <c r="X215" s="74"/>
    </row>
    <row r="216" spans="1:24" ht="21.75" hidden="1">
      <c r="A216" s="69">
        <v>1212</v>
      </c>
      <c r="B216" s="76">
        <v>12</v>
      </c>
      <c r="C216" s="77">
        <v>210</v>
      </c>
      <c r="D216" s="78" t="s">
        <v>503</v>
      </c>
      <c r="E216" s="79" t="s">
        <v>504</v>
      </c>
      <c r="F216" s="80">
        <v>-8697921504</v>
      </c>
      <c r="G216" s="73">
        <f t="shared" si="51"/>
        <v>0</v>
      </c>
      <c r="H216" s="73">
        <f t="shared" si="52"/>
        <v>0</v>
      </c>
      <c r="I216" s="73">
        <f t="shared" si="53"/>
        <v>0</v>
      </c>
      <c r="J216" s="73">
        <f t="shared" si="54"/>
        <v>0</v>
      </c>
      <c r="K216" s="73">
        <f t="shared" si="55"/>
        <v>0</v>
      </c>
      <c r="L216" s="73">
        <f t="shared" si="56"/>
        <v>0</v>
      </c>
      <c r="M216" s="73">
        <f t="shared" si="57"/>
        <v>0</v>
      </c>
      <c r="N216" s="73">
        <f t="shared" si="58"/>
        <v>0</v>
      </c>
      <c r="O216" s="73">
        <f t="shared" si="59"/>
        <v>0</v>
      </c>
      <c r="P216" s="73">
        <f t="shared" si="60"/>
        <v>-8697921504</v>
      </c>
      <c r="Q216" s="73">
        <f t="shared" si="61"/>
        <v>0</v>
      </c>
      <c r="R216" s="73">
        <f t="shared" si="62"/>
        <v>0</v>
      </c>
      <c r="S216" s="73">
        <f t="shared" si="63"/>
        <v>0</v>
      </c>
      <c r="T216" s="73">
        <f t="shared" si="64"/>
        <v>0</v>
      </c>
      <c r="U216" s="73">
        <f t="shared" si="65"/>
        <v>0</v>
      </c>
      <c r="V216" s="73">
        <f t="shared" si="66"/>
        <v>0</v>
      </c>
      <c r="W216" s="73">
        <f t="shared" si="67"/>
        <v>0</v>
      </c>
      <c r="X216" s="81"/>
    </row>
    <row r="217" spans="1:24" ht="21.75" hidden="1">
      <c r="A217" s="69">
        <v>1209</v>
      </c>
      <c r="B217" s="70">
        <v>12</v>
      </c>
      <c r="C217" s="71">
        <v>211</v>
      </c>
      <c r="D217" s="46" t="s">
        <v>505</v>
      </c>
      <c r="E217" s="72" t="s">
        <v>506</v>
      </c>
      <c r="F217" s="73">
        <v>-4720164816</v>
      </c>
      <c r="G217" s="73">
        <f t="shared" si="51"/>
        <v>0</v>
      </c>
      <c r="H217" s="73">
        <f t="shared" si="52"/>
        <v>0</v>
      </c>
      <c r="I217" s="73">
        <f t="shared" si="53"/>
        <v>0</v>
      </c>
      <c r="J217" s="73">
        <f t="shared" si="54"/>
        <v>0</v>
      </c>
      <c r="K217" s="73">
        <f t="shared" si="55"/>
        <v>0</v>
      </c>
      <c r="L217" s="73">
        <f t="shared" si="56"/>
        <v>0</v>
      </c>
      <c r="M217" s="73">
        <f t="shared" si="57"/>
        <v>0</v>
      </c>
      <c r="N217" s="73">
        <f t="shared" si="58"/>
        <v>0</v>
      </c>
      <c r="O217" s="73">
        <f t="shared" si="59"/>
        <v>0</v>
      </c>
      <c r="P217" s="73">
        <f t="shared" si="60"/>
        <v>-4720164816</v>
      </c>
      <c r="Q217" s="73">
        <f t="shared" si="61"/>
        <v>0</v>
      </c>
      <c r="R217" s="73">
        <f t="shared" si="62"/>
        <v>0</v>
      </c>
      <c r="S217" s="73">
        <f t="shared" si="63"/>
        <v>0</v>
      </c>
      <c r="T217" s="73">
        <f t="shared" si="64"/>
        <v>0</v>
      </c>
      <c r="U217" s="73">
        <f t="shared" si="65"/>
        <v>0</v>
      </c>
      <c r="V217" s="73">
        <f t="shared" si="66"/>
        <v>0</v>
      </c>
      <c r="W217" s="73">
        <f t="shared" si="67"/>
        <v>0</v>
      </c>
      <c r="X217" s="74"/>
    </row>
    <row r="218" spans="1:24" ht="21.75" hidden="1">
      <c r="A218" s="75">
        <v>1209</v>
      </c>
      <c r="B218" s="76">
        <v>12</v>
      </c>
      <c r="C218" s="77">
        <v>212</v>
      </c>
      <c r="D218" s="78" t="s">
        <v>507</v>
      </c>
      <c r="E218" s="79" t="s">
        <v>185</v>
      </c>
      <c r="F218" s="80">
        <v>-4940051426</v>
      </c>
      <c r="G218" s="73">
        <f t="shared" si="51"/>
        <v>0</v>
      </c>
      <c r="H218" s="73">
        <f t="shared" si="52"/>
        <v>0</v>
      </c>
      <c r="I218" s="73">
        <f t="shared" si="53"/>
        <v>0</v>
      </c>
      <c r="J218" s="73">
        <f t="shared" si="54"/>
        <v>0</v>
      </c>
      <c r="K218" s="73">
        <f t="shared" si="55"/>
        <v>0</v>
      </c>
      <c r="L218" s="73">
        <f t="shared" si="56"/>
        <v>0</v>
      </c>
      <c r="M218" s="73">
        <f t="shared" si="57"/>
        <v>0</v>
      </c>
      <c r="N218" s="73">
        <f t="shared" si="58"/>
        <v>0</v>
      </c>
      <c r="O218" s="73">
        <f t="shared" si="59"/>
        <v>0</v>
      </c>
      <c r="P218" s="73">
        <f t="shared" si="60"/>
        <v>-4940051426</v>
      </c>
      <c r="Q218" s="73">
        <f t="shared" si="61"/>
        <v>0</v>
      </c>
      <c r="R218" s="73">
        <f t="shared" si="62"/>
        <v>0</v>
      </c>
      <c r="S218" s="73">
        <f t="shared" si="63"/>
        <v>0</v>
      </c>
      <c r="T218" s="73">
        <f t="shared" si="64"/>
        <v>0</v>
      </c>
      <c r="U218" s="73">
        <f t="shared" si="65"/>
        <v>0</v>
      </c>
      <c r="V218" s="73">
        <f t="shared" si="66"/>
        <v>0</v>
      </c>
      <c r="W218" s="73">
        <f t="shared" si="67"/>
        <v>0</v>
      </c>
      <c r="X218" s="81"/>
    </row>
    <row r="219" spans="1:24" ht="21.75" hidden="1">
      <c r="A219" s="69">
        <v>1210</v>
      </c>
      <c r="B219" s="70">
        <v>12</v>
      </c>
      <c r="C219" s="71">
        <v>213</v>
      </c>
      <c r="D219" s="46" t="s">
        <v>186</v>
      </c>
      <c r="E219" s="72" t="s">
        <v>187</v>
      </c>
      <c r="F219" s="73">
        <v>-85931608</v>
      </c>
      <c r="G219" s="73">
        <f t="shared" si="51"/>
        <v>0</v>
      </c>
      <c r="H219" s="73">
        <f t="shared" si="52"/>
        <v>0</v>
      </c>
      <c r="I219" s="73">
        <f t="shared" si="53"/>
        <v>0</v>
      </c>
      <c r="J219" s="73">
        <f t="shared" si="54"/>
        <v>0</v>
      </c>
      <c r="K219" s="73">
        <f t="shared" si="55"/>
        <v>0</v>
      </c>
      <c r="L219" s="73">
        <f t="shared" si="56"/>
        <v>0</v>
      </c>
      <c r="M219" s="73">
        <f t="shared" si="57"/>
        <v>0</v>
      </c>
      <c r="N219" s="73">
        <f t="shared" si="58"/>
        <v>0</v>
      </c>
      <c r="O219" s="73">
        <f t="shared" si="59"/>
        <v>0</v>
      </c>
      <c r="P219" s="73">
        <f t="shared" si="60"/>
        <v>-85931608</v>
      </c>
      <c r="Q219" s="73">
        <f t="shared" si="61"/>
        <v>0</v>
      </c>
      <c r="R219" s="73">
        <f t="shared" si="62"/>
        <v>0</v>
      </c>
      <c r="S219" s="73">
        <f t="shared" si="63"/>
        <v>0</v>
      </c>
      <c r="T219" s="73">
        <f t="shared" si="64"/>
        <v>0</v>
      </c>
      <c r="U219" s="73">
        <f t="shared" si="65"/>
        <v>0</v>
      </c>
      <c r="V219" s="73">
        <f t="shared" si="66"/>
        <v>0</v>
      </c>
      <c r="W219" s="73">
        <f t="shared" si="67"/>
        <v>0</v>
      </c>
      <c r="X219" s="74"/>
    </row>
    <row r="220" spans="1:24" ht="21.75" hidden="1">
      <c r="A220" s="75">
        <v>1210</v>
      </c>
      <c r="B220" s="76">
        <v>12</v>
      </c>
      <c r="C220" s="77">
        <v>214</v>
      </c>
      <c r="D220" s="78" t="s">
        <v>188</v>
      </c>
      <c r="E220" s="79" t="s">
        <v>189</v>
      </c>
      <c r="F220" s="80">
        <v>-13330118272</v>
      </c>
      <c r="G220" s="73">
        <f t="shared" si="51"/>
        <v>0</v>
      </c>
      <c r="H220" s="73">
        <f t="shared" si="52"/>
        <v>0</v>
      </c>
      <c r="I220" s="73">
        <f t="shared" si="53"/>
        <v>0</v>
      </c>
      <c r="J220" s="73">
        <f t="shared" si="54"/>
        <v>0</v>
      </c>
      <c r="K220" s="73">
        <f t="shared" si="55"/>
        <v>0</v>
      </c>
      <c r="L220" s="73">
        <f t="shared" si="56"/>
        <v>0</v>
      </c>
      <c r="M220" s="73">
        <f t="shared" si="57"/>
        <v>0</v>
      </c>
      <c r="N220" s="73">
        <f t="shared" si="58"/>
        <v>0</v>
      </c>
      <c r="O220" s="73">
        <f t="shared" si="59"/>
        <v>0</v>
      </c>
      <c r="P220" s="73">
        <f t="shared" si="60"/>
        <v>-13330118272</v>
      </c>
      <c r="Q220" s="73">
        <f t="shared" si="61"/>
        <v>0</v>
      </c>
      <c r="R220" s="73">
        <f t="shared" si="62"/>
        <v>0</v>
      </c>
      <c r="S220" s="73">
        <f t="shared" si="63"/>
        <v>0</v>
      </c>
      <c r="T220" s="73">
        <f t="shared" si="64"/>
        <v>0</v>
      </c>
      <c r="U220" s="73">
        <f t="shared" si="65"/>
        <v>0</v>
      </c>
      <c r="V220" s="73">
        <f t="shared" si="66"/>
        <v>0</v>
      </c>
      <c r="W220" s="73">
        <f t="shared" si="67"/>
        <v>0</v>
      </c>
      <c r="X220" s="81"/>
    </row>
    <row r="221" spans="1:24" ht="21.75" hidden="1">
      <c r="A221" s="69">
        <v>1209</v>
      </c>
      <c r="B221" s="70">
        <v>12</v>
      </c>
      <c r="C221" s="71">
        <v>215</v>
      </c>
      <c r="D221" s="46" t="s">
        <v>190</v>
      </c>
      <c r="E221" s="72" t="s">
        <v>191</v>
      </c>
      <c r="F221" s="73">
        <v>-711546399</v>
      </c>
      <c r="G221" s="73">
        <f t="shared" si="51"/>
        <v>0</v>
      </c>
      <c r="H221" s="73">
        <f t="shared" si="52"/>
        <v>0</v>
      </c>
      <c r="I221" s="73">
        <f t="shared" si="53"/>
        <v>0</v>
      </c>
      <c r="J221" s="73">
        <f t="shared" si="54"/>
        <v>0</v>
      </c>
      <c r="K221" s="73">
        <f t="shared" si="55"/>
        <v>0</v>
      </c>
      <c r="L221" s="73">
        <f t="shared" si="56"/>
        <v>0</v>
      </c>
      <c r="M221" s="73">
        <f t="shared" si="57"/>
        <v>0</v>
      </c>
      <c r="N221" s="73">
        <f t="shared" si="58"/>
        <v>0</v>
      </c>
      <c r="O221" s="73">
        <f t="shared" si="59"/>
        <v>0</v>
      </c>
      <c r="P221" s="73">
        <f t="shared" si="60"/>
        <v>-711546399</v>
      </c>
      <c r="Q221" s="73">
        <f t="shared" si="61"/>
        <v>0</v>
      </c>
      <c r="R221" s="73">
        <f t="shared" si="62"/>
        <v>0</v>
      </c>
      <c r="S221" s="73">
        <f t="shared" si="63"/>
        <v>0</v>
      </c>
      <c r="T221" s="73">
        <f t="shared" si="64"/>
        <v>0</v>
      </c>
      <c r="U221" s="73">
        <f t="shared" si="65"/>
        <v>0</v>
      </c>
      <c r="V221" s="73">
        <f t="shared" si="66"/>
        <v>0</v>
      </c>
      <c r="W221" s="73">
        <f t="shared" si="67"/>
        <v>0</v>
      </c>
      <c r="X221" s="74"/>
    </row>
    <row r="222" spans="1:24" ht="21.75" hidden="1">
      <c r="A222" s="69">
        <v>1212</v>
      </c>
      <c r="B222" s="76">
        <v>12</v>
      </c>
      <c r="C222" s="77">
        <v>216</v>
      </c>
      <c r="D222" s="78" t="s">
        <v>192</v>
      </c>
      <c r="E222" s="79" t="s">
        <v>25</v>
      </c>
      <c r="F222" s="80">
        <v>-1691877000</v>
      </c>
      <c r="G222" s="73">
        <f t="shared" si="51"/>
        <v>0</v>
      </c>
      <c r="H222" s="73">
        <f t="shared" si="52"/>
        <v>0</v>
      </c>
      <c r="I222" s="73">
        <f t="shared" si="53"/>
        <v>0</v>
      </c>
      <c r="J222" s="73">
        <f t="shared" si="54"/>
        <v>0</v>
      </c>
      <c r="K222" s="73">
        <f t="shared" si="55"/>
        <v>0</v>
      </c>
      <c r="L222" s="73">
        <f t="shared" si="56"/>
        <v>0</v>
      </c>
      <c r="M222" s="73">
        <f t="shared" si="57"/>
        <v>0</v>
      </c>
      <c r="N222" s="73">
        <f t="shared" si="58"/>
        <v>0</v>
      </c>
      <c r="O222" s="73">
        <f t="shared" si="59"/>
        <v>0</v>
      </c>
      <c r="P222" s="73">
        <f t="shared" si="60"/>
        <v>-1691877000</v>
      </c>
      <c r="Q222" s="73">
        <f t="shared" si="61"/>
        <v>0</v>
      </c>
      <c r="R222" s="73">
        <f t="shared" si="62"/>
        <v>0</v>
      </c>
      <c r="S222" s="73">
        <f t="shared" si="63"/>
        <v>0</v>
      </c>
      <c r="T222" s="73">
        <f t="shared" si="64"/>
        <v>0</v>
      </c>
      <c r="U222" s="73">
        <f t="shared" si="65"/>
        <v>0</v>
      </c>
      <c r="V222" s="73">
        <f t="shared" si="66"/>
        <v>0</v>
      </c>
      <c r="W222" s="73">
        <f t="shared" si="67"/>
        <v>0</v>
      </c>
      <c r="X222" s="81"/>
    </row>
    <row r="223" spans="1:24" ht="21.75" hidden="1">
      <c r="A223" s="69">
        <v>403</v>
      </c>
      <c r="B223" s="70">
        <v>4</v>
      </c>
      <c r="C223" s="71">
        <v>217</v>
      </c>
      <c r="D223" s="46" t="s">
        <v>26</v>
      </c>
      <c r="E223" s="72" t="s">
        <v>27</v>
      </c>
      <c r="F223" s="73">
        <v>1080065647</v>
      </c>
      <c r="G223" s="73">
        <f t="shared" si="51"/>
        <v>1080065647</v>
      </c>
      <c r="H223" s="73">
        <f t="shared" si="52"/>
        <v>0</v>
      </c>
      <c r="I223" s="73">
        <f t="shared" si="53"/>
        <v>0</v>
      </c>
      <c r="J223" s="73">
        <f t="shared" si="54"/>
        <v>0</v>
      </c>
      <c r="K223" s="73">
        <f t="shared" si="55"/>
        <v>0</v>
      </c>
      <c r="L223" s="73">
        <f t="shared" si="56"/>
        <v>0</v>
      </c>
      <c r="M223" s="73">
        <f t="shared" si="57"/>
        <v>0</v>
      </c>
      <c r="N223" s="73">
        <f t="shared" si="58"/>
        <v>0</v>
      </c>
      <c r="O223" s="73">
        <f t="shared" si="59"/>
        <v>0</v>
      </c>
      <c r="P223" s="73">
        <f t="shared" si="60"/>
        <v>0</v>
      </c>
      <c r="Q223" s="73">
        <f t="shared" si="61"/>
        <v>0</v>
      </c>
      <c r="R223" s="73">
        <f t="shared" si="62"/>
        <v>0</v>
      </c>
      <c r="S223" s="73">
        <f t="shared" si="63"/>
        <v>0</v>
      </c>
      <c r="T223" s="73">
        <f t="shared" si="64"/>
        <v>0</v>
      </c>
      <c r="U223" s="73">
        <f t="shared" si="65"/>
        <v>0</v>
      </c>
      <c r="V223" s="73">
        <f t="shared" si="66"/>
        <v>0</v>
      </c>
      <c r="W223" s="73">
        <f t="shared" si="67"/>
        <v>0</v>
      </c>
      <c r="X223" s="74"/>
    </row>
    <row r="224" spans="1:24" ht="21.75" hidden="1">
      <c r="A224" s="75">
        <v>401</v>
      </c>
      <c r="B224" s="76">
        <v>4</v>
      </c>
      <c r="C224" s="77">
        <v>218</v>
      </c>
      <c r="D224" s="78" t="s">
        <v>28</v>
      </c>
      <c r="E224" s="79" t="s">
        <v>29</v>
      </c>
      <c r="F224" s="80">
        <v>10745000000</v>
      </c>
      <c r="G224" s="73">
        <f t="shared" si="51"/>
        <v>10745000000</v>
      </c>
      <c r="H224" s="73">
        <f t="shared" si="52"/>
        <v>0</v>
      </c>
      <c r="I224" s="73">
        <f t="shared" si="53"/>
        <v>0</v>
      </c>
      <c r="J224" s="73">
        <f t="shared" si="54"/>
        <v>0</v>
      </c>
      <c r="K224" s="73">
        <f t="shared" si="55"/>
        <v>0</v>
      </c>
      <c r="L224" s="73">
        <f t="shared" si="56"/>
        <v>0</v>
      </c>
      <c r="M224" s="73">
        <f t="shared" si="57"/>
        <v>0</v>
      </c>
      <c r="N224" s="73">
        <f t="shared" si="58"/>
        <v>0</v>
      </c>
      <c r="O224" s="73">
        <f t="shared" si="59"/>
        <v>0</v>
      </c>
      <c r="P224" s="73">
        <f t="shared" si="60"/>
        <v>0</v>
      </c>
      <c r="Q224" s="73">
        <f t="shared" si="61"/>
        <v>0</v>
      </c>
      <c r="R224" s="73">
        <f t="shared" si="62"/>
        <v>0</v>
      </c>
      <c r="S224" s="73">
        <f t="shared" si="63"/>
        <v>0</v>
      </c>
      <c r="T224" s="73">
        <f t="shared" si="64"/>
        <v>0</v>
      </c>
      <c r="U224" s="73">
        <f t="shared" si="65"/>
        <v>0</v>
      </c>
      <c r="V224" s="73">
        <f t="shared" si="66"/>
        <v>0</v>
      </c>
      <c r="W224" s="73">
        <f t="shared" si="67"/>
        <v>0</v>
      </c>
      <c r="X224" s="81"/>
    </row>
    <row r="225" spans="1:24" ht="21.75" hidden="1">
      <c r="A225" s="69">
        <v>402</v>
      </c>
      <c r="B225" s="70">
        <v>4</v>
      </c>
      <c r="C225" s="71">
        <v>219</v>
      </c>
      <c r="D225" s="46" t="s">
        <v>30</v>
      </c>
      <c r="E225" s="72" t="s">
        <v>31</v>
      </c>
      <c r="F225" s="73">
        <v>95910205572</v>
      </c>
      <c r="G225" s="73">
        <f t="shared" si="51"/>
        <v>95910205572</v>
      </c>
      <c r="H225" s="73">
        <f t="shared" si="52"/>
        <v>0</v>
      </c>
      <c r="I225" s="73">
        <f t="shared" si="53"/>
        <v>0</v>
      </c>
      <c r="J225" s="73">
        <f t="shared" si="54"/>
        <v>0</v>
      </c>
      <c r="K225" s="73">
        <f t="shared" si="55"/>
        <v>0</v>
      </c>
      <c r="L225" s="73">
        <f t="shared" si="56"/>
        <v>0</v>
      </c>
      <c r="M225" s="73">
        <f t="shared" si="57"/>
        <v>0</v>
      </c>
      <c r="N225" s="73">
        <f t="shared" si="58"/>
        <v>0</v>
      </c>
      <c r="O225" s="73">
        <f t="shared" si="59"/>
        <v>0</v>
      </c>
      <c r="P225" s="73">
        <f t="shared" si="60"/>
        <v>0</v>
      </c>
      <c r="Q225" s="73">
        <f t="shared" si="61"/>
        <v>0</v>
      </c>
      <c r="R225" s="73">
        <f t="shared" si="62"/>
        <v>0</v>
      </c>
      <c r="S225" s="73">
        <f t="shared" si="63"/>
        <v>0</v>
      </c>
      <c r="T225" s="73">
        <f t="shared" si="64"/>
        <v>0</v>
      </c>
      <c r="U225" s="73">
        <f t="shared" si="65"/>
        <v>0</v>
      </c>
      <c r="V225" s="73">
        <f t="shared" si="66"/>
        <v>0</v>
      </c>
      <c r="W225" s="73">
        <f t="shared" si="67"/>
        <v>0</v>
      </c>
      <c r="X225" s="74"/>
    </row>
    <row r="226" spans="1:24" ht="21.75" hidden="1">
      <c r="A226" s="75">
        <v>907</v>
      </c>
      <c r="B226" s="76">
        <v>9</v>
      </c>
      <c r="C226" s="77">
        <v>220</v>
      </c>
      <c r="D226" s="78" t="s">
        <v>32</v>
      </c>
      <c r="E226" s="79" t="s">
        <v>33</v>
      </c>
      <c r="F226" s="80">
        <v>56920449081</v>
      </c>
      <c r="G226" s="73">
        <f t="shared" si="51"/>
        <v>0</v>
      </c>
      <c r="H226" s="73">
        <f t="shared" si="52"/>
        <v>0</v>
      </c>
      <c r="I226" s="73">
        <f t="shared" si="53"/>
        <v>0</v>
      </c>
      <c r="J226" s="73">
        <f t="shared" si="54"/>
        <v>0</v>
      </c>
      <c r="K226" s="73">
        <f t="shared" si="55"/>
        <v>0</v>
      </c>
      <c r="L226" s="73">
        <f t="shared" si="56"/>
        <v>56920449081</v>
      </c>
      <c r="M226" s="73">
        <f t="shared" si="57"/>
        <v>0</v>
      </c>
      <c r="N226" s="73">
        <f t="shared" si="58"/>
        <v>0</v>
      </c>
      <c r="O226" s="73">
        <f t="shared" si="59"/>
        <v>0</v>
      </c>
      <c r="P226" s="73">
        <f t="shared" si="60"/>
        <v>0</v>
      </c>
      <c r="Q226" s="73">
        <f t="shared" si="61"/>
        <v>0</v>
      </c>
      <c r="R226" s="73">
        <f t="shared" si="62"/>
        <v>0</v>
      </c>
      <c r="S226" s="73">
        <f t="shared" si="63"/>
        <v>0</v>
      </c>
      <c r="T226" s="73">
        <f t="shared" si="64"/>
        <v>0</v>
      </c>
      <c r="U226" s="73">
        <f t="shared" si="65"/>
        <v>0</v>
      </c>
      <c r="V226" s="73">
        <f t="shared" si="66"/>
        <v>0</v>
      </c>
      <c r="W226" s="73">
        <f t="shared" si="67"/>
        <v>0</v>
      </c>
      <c r="X226" s="81"/>
    </row>
    <row r="227" spans="1:24" ht="21.75" hidden="1">
      <c r="A227" s="69">
        <v>803</v>
      </c>
      <c r="B227" s="70">
        <v>8</v>
      </c>
      <c r="C227" s="71">
        <v>221</v>
      </c>
      <c r="D227" s="46" t="s">
        <v>34</v>
      </c>
      <c r="E227" s="72" t="s">
        <v>35</v>
      </c>
      <c r="F227" s="73">
        <v>0</v>
      </c>
      <c r="G227" s="73">
        <f t="shared" si="51"/>
        <v>0</v>
      </c>
      <c r="H227" s="73">
        <f t="shared" si="52"/>
        <v>0</v>
      </c>
      <c r="I227" s="73">
        <f t="shared" si="53"/>
        <v>0</v>
      </c>
      <c r="J227" s="73">
        <f t="shared" si="54"/>
        <v>0</v>
      </c>
      <c r="K227" s="73">
        <f t="shared" si="55"/>
        <v>0</v>
      </c>
      <c r="L227" s="73">
        <f t="shared" si="56"/>
        <v>0</v>
      </c>
      <c r="M227" s="73">
        <f t="shared" si="57"/>
        <v>0</v>
      </c>
      <c r="N227" s="73">
        <f t="shared" si="58"/>
        <v>0</v>
      </c>
      <c r="O227" s="73">
        <f t="shared" si="59"/>
        <v>0</v>
      </c>
      <c r="P227" s="73">
        <f t="shared" si="60"/>
        <v>0</v>
      </c>
      <c r="Q227" s="73">
        <f t="shared" si="61"/>
        <v>0</v>
      </c>
      <c r="R227" s="73">
        <f t="shared" si="62"/>
        <v>0</v>
      </c>
      <c r="S227" s="73">
        <f t="shared" si="63"/>
        <v>0</v>
      </c>
      <c r="T227" s="73">
        <f t="shared" si="64"/>
        <v>0</v>
      </c>
      <c r="U227" s="73">
        <f t="shared" si="65"/>
        <v>0</v>
      </c>
      <c r="V227" s="73">
        <f t="shared" si="66"/>
        <v>0</v>
      </c>
      <c r="W227" s="73">
        <f t="shared" si="67"/>
        <v>0</v>
      </c>
      <c r="X227" s="74"/>
    </row>
    <row r="228" spans="1:24" ht="21.75" hidden="1">
      <c r="A228" s="75">
        <v>401</v>
      </c>
      <c r="B228" s="76">
        <v>4</v>
      </c>
      <c r="C228" s="77">
        <v>222</v>
      </c>
      <c r="D228" s="78" t="s">
        <v>36</v>
      </c>
      <c r="E228" s="79" t="s">
        <v>37</v>
      </c>
      <c r="F228" s="80">
        <v>100757943331</v>
      </c>
      <c r="G228" s="73">
        <f t="shared" si="51"/>
        <v>100757943331</v>
      </c>
      <c r="H228" s="73">
        <f t="shared" si="52"/>
        <v>0</v>
      </c>
      <c r="I228" s="73">
        <f t="shared" si="53"/>
        <v>0</v>
      </c>
      <c r="J228" s="73">
        <f t="shared" si="54"/>
        <v>0</v>
      </c>
      <c r="K228" s="73">
        <f t="shared" si="55"/>
        <v>0</v>
      </c>
      <c r="L228" s="73">
        <f t="shared" si="56"/>
        <v>0</v>
      </c>
      <c r="M228" s="73">
        <f t="shared" si="57"/>
        <v>0</v>
      </c>
      <c r="N228" s="73">
        <f t="shared" si="58"/>
        <v>0</v>
      </c>
      <c r="O228" s="73">
        <f t="shared" si="59"/>
        <v>0</v>
      </c>
      <c r="P228" s="73">
        <f t="shared" si="60"/>
        <v>0</v>
      </c>
      <c r="Q228" s="73">
        <f t="shared" si="61"/>
        <v>0</v>
      </c>
      <c r="R228" s="73">
        <f t="shared" si="62"/>
        <v>0</v>
      </c>
      <c r="S228" s="73">
        <f t="shared" si="63"/>
        <v>0</v>
      </c>
      <c r="T228" s="73">
        <f t="shared" si="64"/>
        <v>0</v>
      </c>
      <c r="U228" s="73">
        <f t="shared" si="65"/>
        <v>0</v>
      </c>
      <c r="V228" s="73">
        <f t="shared" si="66"/>
        <v>0</v>
      </c>
      <c r="W228" s="73">
        <f t="shared" si="67"/>
        <v>0</v>
      </c>
      <c r="X228" s="81"/>
    </row>
    <row r="229" spans="1:24" ht="21.75" hidden="1">
      <c r="A229" s="69">
        <v>401</v>
      </c>
      <c r="B229" s="70">
        <v>4</v>
      </c>
      <c r="C229" s="71">
        <v>223</v>
      </c>
      <c r="D229" s="46" t="s">
        <v>38</v>
      </c>
      <c r="E229" s="72" t="s">
        <v>624</v>
      </c>
      <c r="F229" s="73">
        <v>156663480846</v>
      </c>
      <c r="G229" s="73">
        <f t="shared" si="51"/>
        <v>156663480846</v>
      </c>
      <c r="H229" s="73">
        <f t="shared" si="52"/>
        <v>0</v>
      </c>
      <c r="I229" s="73">
        <f t="shared" si="53"/>
        <v>0</v>
      </c>
      <c r="J229" s="73">
        <f t="shared" si="54"/>
        <v>0</v>
      </c>
      <c r="K229" s="73">
        <f t="shared" si="55"/>
        <v>0</v>
      </c>
      <c r="L229" s="73">
        <f t="shared" si="56"/>
        <v>0</v>
      </c>
      <c r="M229" s="73">
        <f t="shared" si="57"/>
        <v>0</v>
      </c>
      <c r="N229" s="73">
        <f t="shared" si="58"/>
        <v>0</v>
      </c>
      <c r="O229" s="73">
        <f t="shared" si="59"/>
        <v>0</v>
      </c>
      <c r="P229" s="73">
        <f t="shared" si="60"/>
        <v>0</v>
      </c>
      <c r="Q229" s="73">
        <f t="shared" si="61"/>
        <v>0</v>
      </c>
      <c r="R229" s="73">
        <f t="shared" si="62"/>
        <v>0</v>
      </c>
      <c r="S229" s="73">
        <f t="shared" si="63"/>
        <v>0</v>
      </c>
      <c r="T229" s="73">
        <f t="shared" si="64"/>
        <v>0</v>
      </c>
      <c r="U229" s="73">
        <f t="shared" si="65"/>
        <v>0</v>
      </c>
      <c r="V229" s="73">
        <f t="shared" si="66"/>
        <v>0</v>
      </c>
      <c r="W229" s="73">
        <f t="shared" si="67"/>
        <v>0</v>
      </c>
      <c r="X229" s="74"/>
    </row>
    <row r="230" spans="1:24" ht="21.75" hidden="1">
      <c r="A230" s="75">
        <v>501</v>
      </c>
      <c r="B230" s="76">
        <v>5</v>
      </c>
      <c r="C230" s="77">
        <v>224</v>
      </c>
      <c r="D230" s="78" t="s">
        <v>608</v>
      </c>
      <c r="E230" s="79" t="s">
        <v>609</v>
      </c>
      <c r="F230" s="80">
        <v>-714828311218</v>
      </c>
      <c r="G230" s="73">
        <f t="shared" si="51"/>
        <v>0</v>
      </c>
      <c r="H230" s="73">
        <f t="shared" si="52"/>
        <v>-714828311218</v>
      </c>
      <c r="I230" s="73">
        <f t="shared" si="53"/>
        <v>0</v>
      </c>
      <c r="J230" s="73">
        <f t="shared" si="54"/>
        <v>0</v>
      </c>
      <c r="K230" s="73">
        <f t="shared" si="55"/>
        <v>0</v>
      </c>
      <c r="L230" s="73">
        <f t="shared" si="56"/>
        <v>0</v>
      </c>
      <c r="M230" s="73">
        <f t="shared" si="57"/>
        <v>0</v>
      </c>
      <c r="N230" s="73">
        <f t="shared" si="58"/>
        <v>0</v>
      </c>
      <c r="O230" s="73">
        <f t="shared" si="59"/>
        <v>0</v>
      </c>
      <c r="P230" s="73">
        <f t="shared" si="60"/>
        <v>0</v>
      </c>
      <c r="Q230" s="73">
        <f t="shared" si="61"/>
        <v>0</v>
      </c>
      <c r="R230" s="73">
        <f t="shared" si="62"/>
        <v>0</v>
      </c>
      <c r="S230" s="73">
        <f t="shared" si="63"/>
        <v>0</v>
      </c>
      <c r="T230" s="73">
        <f t="shared" si="64"/>
        <v>0</v>
      </c>
      <c r="U230" s="73">
        <f t="shared" si="65"/>
        <v>0</v>
      </c>
      <c r="V230" s="73">
        <f t="shared" si="66"/>
        <v>0</v>
      </c>
      <c r="W230" s="73">
        <f t="shared" si="67"/>
        <v>0</v>
      </c>
      <c r="X230" s="81"/>
    </row>
    <row r="231" spans="1:24" ht="21.75" hidden="1">
      <c r="A231" s="69">
        <v>1211</v>
      </c>
      <c r="B231" s="70">
        <v>12</v>
      </c>
      <c r="C231" s="71">
        <v>225</v>
      </c>
      <c r="D231" s="46" t="s">
        <v>586</v>
      </c>
      <c r="E231" s="72" t="s">
        <v>587</v>
      </c>
      <c r="F231" s="73">
        <v>-26051759207</v>
      </c>
      <c r="G231" s="73">
        <f t="shared" si="51"/>
        <v>0</v>
      </c>
      <c r="H231" s="73">
        <f t="shared" si="52"/>
        <v>0</v>
      </c>
      <c r="I231" s="73">
        <f t="shared" si="53"/>
        <v>0</v>
      </c>
      <c r="J231" s="73">
        <f t="shared" si="54"/>
        <v>0</v>
      </c>
      <c r="K231" s="73">
        <f t="shared" si="55"/>
        <v>0</v>
      </c>
      <c r="L231" s="73">
        <f t="shared" si="56"/>
        <v>0</v>
      </c>
      <c r="M231" s="73">
        <f t="shared" si="57"/>
        <v>0</v>
      </c>
      <c r="N231" s="73">
        <f t="shared" si="58"/>
        <v>0</v>
      </c>
      <c r="O231" s="73">
        <f t="shared" si="59"/>
        <v>0</v>
      </c>
      <c r="P231" s="73">
        <f t="shared" si="60"/>
        <v>-26051759207</v>
      </c>
      <c r="Q231" s="73">
        <f t="shared" si="61"/>
        <v>0</v>
      </c>
      <c r="R231" s="73">
        <f t="shared" si="62"/>
        <v>0</v>
      </c>
      <c r="S231" s="73">
        <f t="shared" si="63"/>
        <v>0</v>
      </c>
      <c r="T231" s="73">
        <f t="shared" si="64"/>
        <v>0</v>
      </c>
      <c r="U231" s="73">
        <f t="shared" si="65"/>
        <v>0</v>
      </c>
      <c r="V231" s="73">
        <f t="shared" si="66"/>
        <v>0</v>
      </c>
      <c r="W231" s="73">
        <f t="shared" si="67"/>
        <v>0</v>
      </c>
      <c r="X231" s="74"/>
    </row>
    <row r="232" spans="1:24" ht="21.75">
      <c r="A232" s="75">
        <v>608</v>
      </c>
      <c r="B232" s="76">
        <v>6</v>
      </c>
      <c r="C232" s="77">
        <v>226</v>
      </c>
      <c r="D232" s="78" t="s">
        <v>588</v>
      </c>
      <c r="E232" s="79" t="s">
        <v>468</v>
      </c>
      <c r="F232" s="80">
        <v>929530000</v>
      </c>
      <c r="G232" s="73">
        <f t="shared" si="51"/>
        <v>0</v>
      </c>
      <c r="H232" s="73">
        <f t="shared" si="52"/>
        <v>0</v>
      </c>
      <c r="I232" s="73">
        <f t="shared" si="53"/>
        <v>929530000</v>
      </c>
      <c r="J232" s="73">
        <f t="shared" si="54"/>
        <v>0</v>
      </c>
      <c r="K232" s="73">
        <f t="shared" si="55"/>
        <v>0</v>
      </c>
      <c r="L232" s="73">
        <f t="shared" si="56"/>
        <v>0</v>
      </c>
      <c r="M232" s="73">
        <f t="shared" si="57"/>
        <v>0</v>
      </c>
      <c r="N232" s="73">
        <f t="shared" si="58"/>
        <v>0</v>
      </c>
      <c r="O232" s="73">
        <f t="shared" si="59"/>
        <v>0</v>
      </c>
      <c r="P232" s="73">
        <f t="shared" si="60"/>
        <v>0</v>
      </c>
      <c r="Q232" s="73">
        <f t="shared" si="61"/>
        <v>0</v>
      </c>
      <c r="R232" s="73">
        <f t="shared" si="62"/>
        <v>0</v>
      </c>
      <c r="S232" s="73">
        <f t="shared" si="63"/>
        <v>0</v>
      </c>
      <c r="T232" s="73">
        <f t="shared" si="64"/>
        <v>0</v>
      </c>
      <c r="U232" s="73">
        <f t="shared" si="65"/>
        <v>0</v>
      </c>
      <c r="V232" s="73">
        <f t="shared" si="66"/>
        <v>0</v>
      </c>
      <c r="W232" s="73">
        <f t="shared" si="67"/>
        <v>0</v>
      </c>
      <c r="X232" s="81"/>
    </row>
    <row r="233" spans="1:24" ht="21.75" hidden="1">
      <c r="A233" s="69">
        <v>2001</v>
      </c>
      <c r="B233" s="70">
        <v>20</v>
      </c>
      <c r="C233" s="71">
        <v>227</v>
      </c>
      <c r="D233" s="83" t="s">
        <v>613</v>
      </c>
      <c r="E233" s="82" t="s">
        <v>614</v>
      </c>
      <c r="F233" s="73">
        <v>767077388376</v>
      </c>
      <c r="G233" s="73">
        <f t="shared" si="51"/>
        <v>0</v>
      </c>
      <c r="H233" s="73">
        <f t="shared" si="52"/>
        <v>0</v>
      </c>
      <c r="I233" s="73">
        <f t="shared" si="53"/>
        <v>0</v>
      </c>
      <c r="J233" s="73">
        <f t="shared" si="54"/>
        <v>0</v>
      </c>
      <c r="K233" s="73">
        <f t="shared" si="55"/>
        <v>0</v>
      </c>
      <c r="L233" s="73">
        <f t="shared" si="56"/>
        <v>0</v>
      </c>
      <c r="M233" s="73">
        <f t="shared" si="57"/>
        <v>0</v>
      </c>
      <c r="N233" s="73">
        <f t="shared" si="58"/>
        <v>0</v>
      </c>
      <c r="O233" s="73">
        <f t="shared" si="59"/>
        <v>0</v>
      </c>
      <c r="P233" s="73">
        <f t="shared" si="60"/>
        <v>0</v>
      </c>
      <c r="Q233" s="73">
        <f t="shared" si="61"/>
        <v>0</v>
      </c>
      <c r="R233" s="73">
        <f t="shared" si="62"/>
        <v>0</v>
      </c>
      <c r="S233" s="73">
        <f t="shared" si="63"/>
        <v>0</v>
      </c>
      <c r="T233" s="73">
        <f t="shared" si="64"/>
        <v>0</v>
      </c>
      <c r="U233" s="73">
        <f t="shared" si="65"/>
        <v>0</v>
      </c>
      <c r="V233" s="73">
        <f t="shared" si="66"/>
        <v>0</v>
      </c>
      <c r="W233" s="73">
        <f t="shared" si="67"/>
        <v>767077388376</v>
      </c>
      <c r="X233" s="74"/>
    </row>
    <row r="234" spans="1:24" ht="21.75" hidden="1">
      <c r="A234" s="75">
        <v>1901</v>
      </c>
      <c r="B234" s="76">
        <v>19</v>
      </c>
      <c r="C234" s="77">
        <v>228</v>
      </c>
      <c r="D234" s="78" t="s">
        <v>615</v>
      </c>
      <c r="E234" s="79" t="s">
        <v>616</v>
      </c>
      <c r="F234" s="80">
        <v>-473188</v>
      </c>
      <c r="G234" s="73">
        <f t="shared" si="51"/>
        <v>0</v>
      </c>
      <c r="H234" s="73">
        <f t="shared" si="52"/>
        <v>0</v>
      </c>
      <c r="I234" s="73">
        <f t="shared" si="53"/>
        <v>0</v>
      </c>
      <c r="J234" s="73">
        <f t="shared" si="54"/>
        <v>0</v>
      </c>
      <c r="K234" s="73">
        <f t="shared" si="55"/>
        <v>0</v>
      </c>
      <c r="L234" s="73">
        <f t="shared" si="56"/>
        <v>0</v>
      </c>
      <c r="M234" s="73">
        <f t="shared" si="57"/>
        <v>0</v>
      </c>
      <c r="N234" s="73">
        <f t="shared" si="58"/>
        <v>0</v>
      </c>
      <c r="O234" s="73">
        <f t="shared" si="59"/>
        <v>0</v>
      </c>
      <c r="P234" s="73">
        <f t="shared" si="60"/>
        <v>0</v>
      </c>
      <c r="Q234" s="73">
        <f t="shared" si="61"/>
        <v>0</v>
      </c>
      <c r="R234" s="73">
        <f t="shared" si="62"/>
        <v>0</v>
      </c>
      <c r="S234" s="73">
        <f t="shared" si="63"/>
        <v>0</v>
      </c>
      <c r="T234" s="73">
        <f t="shared" si="64"/>
        <v>0</v>
      </c>
      <c r="U234" s="73">
        <f t="shared" si="65"/>
        <v>0</v>
      </c>
      <c r="V234" s="73">
        <f t="shared" si="66"/>
        <v>-473188</v>
      </c>
      <c r="W234" s="73">
        <f t="shared" si="67"/>
        <v>0</v>
      </c>
      <c r="X234" s="81"/>
    </row>
    <row r="235" spans="1:24" ht="21.75" hidden="1">
      <c r="A235" s="69"/>
      <c r="B235" s="70"/>
      <c r="C235" s="71">
        <v>229</v>
      </c>
      <c r="D235" s="46" t="s">
        <v>617</v>
      </c>
      <c r="E235" s="72" t="s">
        <v>618</v>
      </c>
      <c r="F235" s="73">
        <v>900495281094</v>
      </c>
      <c r="G235" s="73">
        <f t="shared" si="51"/>
        <v>0</v>
      </c>
      <c r="H235" s="73">
        <f t="shared" si="52"/>
        <v>0</v>
      </c>
      <c r="I235" s="73">
        <f t="shared" si="53"/>
        <v>0</v>
      </c>
      <c r="J235" s="73">
        <f t="shared" si="54"/>
        <v>0</v>
      </c>
      <c r="K235" s="73">
        <f t="shared" si="55"/>
        <v>0</v>
      </c>
      <c r="L235" s="73">
        <f t="shared" si="56"/>
        <v>0</v>
      </c>
      <c r="M235" s="73">
        <f t="shared" si="57"/>
        <v>0</v>
      </c>
      <c r="N235" s="73">
        <f t="shared" si="58"/>
        <v>0</v>
      </c>
      <c r="O235" s="73">
        <f t="shared" si="59"/>
        <v>0</v>
      </c>
      <c r="P235" s="73">
        <f t="shared" si="60"/>
        <v>0</v>
      </c>
      <c r="Q235" s="73">
        <f t="shared" si="61"/>
        <v>0</v>
      </c>
      <c r="R235" s="73">
        <f t="shared" si="62"/>
        <v>0</v>
      </c>
      <c r="S235" s="73">
        <f t="shared" si="63"/>
        <v>0</v>
      </c>
      <c r="T235" s="73">
        <f t="shared" si="64"/>
        <v>0</v>
      </c>
      <c r="U235" s="73">
        <f t="shared" si="65"/>
        <v>0</v>
      </c>
      <c r="V235" s="73">
        <f t="shared" si="66"/>
        <v>0</v>
      </c>
      <c r="W235" s="73">
        <f t="shared" si="67"/>
        <v>0</v>
      </c>
      <c r="X235" s="74"/>
    </row>
    <row r="236" spans="1:24" ht="21.75" hidden="1">
      <c r="A236" s="75"/>
      <c r="B236" s="76"/>
      <c r="C236" s="77">
        <v>230</v>
      </c>
      <c r="D236" s="78" t="s">
        <v>619</v>
      </c>
      <c r="E236" s="79" t="s">
        <v>620</v>
      </c>
      <c r="F236" s="80">
        <v>-900495281094</v>
      </c>
      <c r="G236" s="73">
        <f t="shared" si="51"/>
        <v>0</v>
      </c>
      <c r="H236" s="73">
        <f t="shared" si="52"/>
        <v>0</v>
      </c>
      <c r="I236" s="73">
        <f t="shared" si="53"/>
        <v>0</v>
      </c>
      <c r="J236" s="73">
        <f t="shared" si="54"/>
        <v>0</v>
      </c>
      <c r="K236" s="73">
        <f t="shared" si="55"/>
        <v>0</v>
      </c>
      <c r="L236" s="73">
        <f t="shared" si="56"/>
        <v>0</v>
      </c>
      <c r="M236" s="73">
        <f t="shared" si="57"/>
        <v>0</v>
      </c>
      <c r="N236" s="73">
        <f t="shared" si="58"/>
        <v>0</v>
      </c>
      <c r="O236" s="73">
        <f t="shared" si="59"/>
        <v>0</v>
      </c>
      <c r="P236" s="73">
        <f t="shared" si="60"/>
        <v>0</v>
      </c>
      <c r="Q236" s="73">
        <f t="shared" si="61"/>
        <v>0</v>
      </c>
      <c r="R236" s="73">
        <f t="shared" si="62"/>
        <v>0</v>
      </c>
      <c r="S236" s="73">
        <f t="shared" si="63"/>
        <v>0</v>
      </c>
      <c r="T236" s="73">
        <f t="shared" si="64"/>
        <v>0</v>
      </c>
      <c r="U236" s="73">
        <f t="shared" si="65"/>
        <v>0</v>
      </c>
      <c r="V236" s="73">
        <f t="shared" si="66"/>
        <v>0</v>
      </c>
      <c r="W236" s="73">
        <f t="shared" si="67"/>
        <v>0</v>
      </c>
      <c r="X236" s="81"/>
    </row>
    <row r="237" spans="1:24" ht="21.75" hidden="1">
      <c r="A237" s="69">
        <v>706</v>
      </c>
      <c r="B237" s="70">
        <v>7</v>
      </c>
      <c r="C237" s="71">
        <v>231</v>
      </c>
      <c r="D237" s="46" t="s">
        <v>97</v>
      </c>
      <c r="E237" s="72" t="s">
        <v>95</v>
      </c>
      <c r="F237" s="73">
        <v>125257754193</v>
      </c>
      <c r="G237" s="73">
        <f t="shared" si="51"/>
        <v>0</v>
      </c>
      <c r="H237" s="73">
        <f t="shared" si="52"/>
        <v>0</v>
      </c>
      <c r="I237" s="73">
        <f t="shared" si="53"/>
        <v>0</v>
      </c>
      <c r="J237" s="73">
        <f t="shared" si="54"/>
        <v>125257754193</v>
      </c>
      <c r="K237" s="73">
        <f t="shared" si="55"/>
        <v>0</v>
      </c>
      <c r="L237" s="73">
        <f t="shared" si="56"/>
        <v>0</v>
      </c>
      <c r="M237" s="73">
        <f t="shared" si="57"/>
        <v>0</v>
      </c>
      <c r="N237" s="73">
        <f t="shared" si="58"/>
        <v>0</v>
      </c>
      <c r="O237" s="73">
        <f t="shared" si="59"/>
        <v>0</v>
      </c>
      <c r="P237" s="73">
        <f t="shared" si="60"/>
        <v>0</v>
      </c>
      <c r="Q237" s="73">
        <f t="shared" si="61"/>
        <v>0</v>
      </c>
      <c r="R237" s="73">
        <f t="shared" si="62"/>
        <v>0</v>
      </c>
      <c r="S237" s="73">
        <f t="shared" si="63"/>
        <v>0</v>
      </c>
      <c r="T237" s="73">
        <f t="shared" si="64"/>
        <v>0</v>
      </c>
      <c r="U237" s="73">
        <f t="shared" si="65"/>
        <v>0</v>
      </c>
      <c r="V237" s="73">
        <f t="shared" si="66"/>
        <v>0</v>
      </c>
      <c r="W237" s="73">
        <f t="shared" si="67"/>
        <v>0</v>
      </c>
      <c r="X237" s="74"/>
    </row>
    <row r="238" spans="1:24" ht="21.75" hidden="1">
      <c r="A238" s="69">
        <v>706</v>
      </c>
      <c r="B238" s="76">
        <v>7</v>
      </c>
      <c r="C238" s="77">
        <v>232</v>
      </c>
      <c r="D238" s="78" t="s">
        <v>471</v>
      </c>
      <c r="E238" s="79" t="s">
        <v>98</v>
      </c>
      <c r="F238" s="80">
        <v>36828220391</v>
      </c>
      <c r="G238" s="73">
        <f t="shared" si="51"/>
        <v>0</v>
      </c>
      <c r="H238" s="73">
        <f t="shared" si="52"/>
        <v>0</v>
      </c>
      <c r="I238" s="73">
        <f t="shared" si="53"/>
        <v>0</v>
      </c>
      <c r="J238" s="73">
        <f t="shared" si="54"/>
        <v>36828220391</v>
      </c>
      <c r="K238" s="73">
        <f t="shared" si="55"/>
        <v>0</v>
      </c>
      <c r="L238" s="73">
        <f t="shared" si="56"/>
        <v>0</v>
      </c>
      <c r="M238" s="73">
        <f t="shared" si="57"/>
        <v>0</v>
      </c>
      <c r="N238" s="73">
        <f t="shared" si="58"/>
        <v>0</v>
      </c>
      <c r="O238" s="73">
        <f t="shared" si="59"/>
        <v>0</v>
      </c>
      <c r="P238" s="73">
        <f t="shared" si="60"/>
        <v>0</v>
      </c>
      <c r="Q238" s="73">
        <f t="shared" si="61"/>
        <v>0</v>
      </c>
      <c r="R238" s="73">
        <f t="shared" si="62"/>
        <v>0</v>
      </c>
      <c r="S238" s="73">
        <f t="shared" si="63"/>
        <v>0</v>
      </c>
      <c r="T238" s="73">
        <f t="shared" si="64"/>
        <v>0</v>
      </c>
      <c r="U238" s="73">
        <f t="shared" si="65"/>
        <v>0</v>
      </c>
      <c r="V238" s="73">
        <f t="shared" si="66"/>
        <v>0</v>
      </c>
      <c r="W238" s="73">
        <f t="shared" si="67"/>
        <v>0</v>
      </c>
      <c r="X238" s="81"/>
    </row>
    <row r="239" spans="1:24" ht="21.75" hidden="1">
      <c r="A239" s="69">
        <v>706</v>
      </c>
      <c r="B239" s="70">
        <v>7</v>
      </c>
      <c r="C239" s="71">
        <v>233</v>
      </c>
      <c r="D239" s="46" t="s">
        <v>100</v>
      </c>
      <c r="E239" s="72" t="s">
        <v>99</v>
      </c>
      <c r="F239" s="73">
        <v>-1118265375</v>
      </c>
      <c r="G239" s="73">
        <f t="shared" si="51"/>
        <v>0</v>
      </c>
      <c r="H239" s="73">
        <f t="shared" si="52"/>
        <v>0</v>
      </c>
      <c r="I239" s="73">
        <f t="shared" si="53"/>
        <v>0</v>
      </c>
      <c r="J239" s="73">
        <f t="shared" si="54"/>
        <v>-1118265375</v>
      </c>
      <c r="K239" s="73">
        <f t="shared" si="55"/>
        <v>0</v>
      </c>
      <c r="L239" s="73">
        <f t="shared" si="56"/>
        <v>0</v>
      </c>
      <c r="M239" s="73">
        <f t="shared" si="57"/>
        <v>0</v>
      </c>
      <c r="N239" s="73">
        <f t="shared" si="58"/>
        <v>0</v>
      </c>
      <c r="O239" s="73">
        <f t="shared" si="59"/>
        <v>0</v>
      </c>
      <c r="P239" s="73">
        <f t="shared" si="60"/>
        <v>0</v>
      </c>
      <c r="Q239" s="73">
        <f t="shared" si="61"/>
        <v>0</v>
      </c>
      <c r="R239" s="73">
        <f t="shared" si="62"/>
        <v>0</v>
      </c>
      <c r="S239" s="73">
        <f t="shared" si="63"/>
        <v>0</v>
      </c>
      <c r="T239" s="73">
        <f t="shared" si="64"/>
        <v>0</v>
      </c>
      <c r="U239" s="73">
        <f t="shared" si="65"/>
        <v>0</v>
      </c>
      <c r="V239" s="73">
        <f t="shared" si="66"/>
        <v>0</v>
      </c>
      <c r="W239" s="73">
        <f t="shared" si="67"/>
        <v>0</v>
      </c>
      <c r="X239" s="74"/>
    </row>
    <row r="240" spans="1:24" ht="21.75" hidden="1">
      <c r="A240" s="69">
        <v>706</v>
      </c>
      <c r="B240" s="76">
        <v>7</v>
      </c>
      <c r="C240" s="77">
        <v>234</v>
      </c>
      <c r="D240" s="78" t="s">
        <v>593</v>
      </c>
      <c r="E240" s="79" t="s">
        <v>99</v>
      </c>
      <c r="F240" s="80">
        <v>8369440173</v>
      </c>
      <c r="G240" s="73">
        <f t="shared" si="51"/>
        <v>0</v>
      </c>
      <c r="H240" s="73">
        <f t="shared" si="52"/>
        <v>0</v>
      </c>
      <c r="I240" s="73">
        <f t="shared" si="53"/>
        <v>0</v>
      </c>
      <c r="J240" s="73">
        <f t="shared" si="54"/>
        <v>8369440173</v>
      </c>
      <c r="K240" s="73">
        <f t="shared" si="55"/>
        <v>0</v>
      </c>
      <c r="L240" s="73">
        <f t="shared" si="56"/>
        <v>0</v>
      </c>
      <c r="M240" s="73">
        <f t="shared" si="57"/>
        <v>0</v>
      </c>
      <c r="N240" s="73">
        <f t="shared" si="58"/>
        <v>0</v>
      </c>
      <c r="O240" s="73">
        <f t="shared" si="59"/>
        <v>0</v>
      </c>
      <c r="P240" s="73">
        <f t="shared" si="60"/>
        <v>0</v>
      </c>
      <c r="Q240" s="73">
        <f t="shared" si="61"/>
        <v>0</v>
      </c>
      <c r="R240" s="73">
        <f t="shared" si="62"/>
        <v>0</v>
      </c>
      <c r="S240" s="73">
        <f t="shared" si="63"/>
        <v>0</v>
      </c>
      <c r="T240" s="73">
        <f t="shared" si="64"/>
        <v>0</v>
      </c>
      <c r="U240" s="73">
        <f t="shared" si="65"/>
        <v>0</v>
      </c>
      <c r="V240" s="73">
        <f t="shared" si="66"/>
        <v>0</v>
      </c>
      <c r="W240" s="73">
        <f t="shared" si="67"/>
        <v>0</v>
      </c>
      <c r="X240" s="81"/>
    </row>
    <row r="241" spans="1:24" ht="21.75" hidden="1">
      <c r="A241" s="69">
        <v>706</v>
      </c>
      <c r="B241" s="70">
        <v>7</v>
      </c>
      <c r="C241" s="71">
        <v>235</v>
      </c>
      <c r="D241" s="46" t="s">
        <v>101</v>
      </c>
      <c r="E241" s="72" t="s">
        <v>102</v>
      </c>
      <c r="F241" s="73">
        <v>1126377302</v>
      </c>
      <c r="G241" s="73">
        <f t="shared" si="51"/>
        <v>0</v>
      </c>
      <c r="H241" s="73">
        <f t="shared" si="52"/>
        <v>0</v>
      </c>
      <c r="I241" s="73">
        <f t="shared" si="53"/>
        <v>0</v>
      </c>
      <c r="J241" s="73">
        <f t="shared" si="54"/>
        <v>1126377302</v>
      </c>
      <c r="K241" s="73">
        <f t="shared" si="55"/>
        <v>0</v>
      </c>
      <c r="L241" s="73">
        <f t="shared" si="56"/>
        <v>0</v>
      </c>
      <c r="M241" s="73">
        <f t="shared" si="57"/>
        <v>0</v>
      </c>
      <c r="N241" s="73">
        <f t="shared" si="58"/>
        <v>0</v>
      </c>
      <c r="O241" s="73">
        <f t="shared" si="59"/>
        <v>0</v>
      </c>
      <c r="P241" s="73">
        <f t="shared" si="60"/>
        <v>0</v>
      </c>
      <c r="Q241" s="73">
        <f t="shared" si="61"/>
        <v>0</v>
      </c>
      <c r="R241" s="73">
        <f t="shared" si="62"/>
        <v>0</v>
      </c>
      <c r="S241" s="73">
        <f t="shared" si="63"/>
        <v>0</v>
      </c>
      <c r="T241" s="73">
        <f t="shared" si="64"/>
        <v>0</v>
      </c>
      <c r="U241" s="73">
        <f t="shared" si="65"/>
        <v>0</v>
      </c>
      <c r="V241" s="73">
        <f t="shared" si="66"/>
        <v>0</v>
      </c>
      <c r="W241" s="73">
        <f t="shared" si="67"/>
        <v>0</v>
      </c>
      <c r="X241" s="74"/>
    </row>
    <row r="242" spans="1:24" ht="21.75" hidden="1">
      <c r="A242" s="75"/>
      <c r="B242" s="76"/>
      <c r="C242" s="77">
        <v>236</v>
      </c>
      <c r="D242" s="78" t="s">
        <v>621</v>
      </c>
      <c r="E242" s="79" t="s">
        <v>622</v>
      </c>
      <c r="F242" s="80">
        <v>120106954206</v>
      </c>
      <c r="G242" s="73">
        <f t="shared" si="51"/>
        <v>0</v>
      </c>
      <c r="H242" s="73">
        <f t="shared" si="52"/>
        <v>0</v>
      </c>
      <c r="I242" s="73">
        <f t="shared" si="53"/>
        <v>0</v>
      </c>
      <c r="J242" s="73">
        <f t="shared" si="54"/>
        <v>0</v>
      </c>
      <c r="K242" s="73">
        <f t="shared" si="55"/>
        <v>0</v>
      </c>
      <c r="L242" s="73">
        <f t="shared" si="56"/>
        <v>0</v>
      </c>
      <c r="M242" s="73">
        <f t="shared" si="57"/>
        <v>0</v>
      </c>
      <c r="N242" s="73">
        <f t="shared" si="58"/>
        <v>0</v>
      </c>
      <c r="O242" s="73">
        <f t="shared" si="59"/>
        <v>0</v>
      </c>
      <c r="P242" s="73">
        <f t="shared" si="60"/>
        <v>0</v>
      </c>
      <c r="Q242" s="73">
        <f t="shared" si="61"/>
        <v>0</v>
      </c>
      <c r="R242" s="73">
        <f t="shared" si="62"/>
        <v>0</v>
      </c>
      <c r="S242" s="73">
        <f t="shared" si="63"/>
        <v>0</v>
      </c>
      <c r="T242" s="73">
        <f t="shared" si="64"/>
        <v>0</v>
      </c>
      <c r="U242" s="73">
        <f t="shared" si="65"/>
        <v>0</v>
      </c>
      <c r="V242" s="73">
        <f t="shared" si="66"/>
        <v>0</v>
      </c>
      <c r="W242" s="73">
        <f t="shared" si="67"/>
        <v>0</v>
      </c>
      <c r="X242" s="81"/>
    </row>
    <row r="243" spans="1:24" ht="21.75" hidden="1">
      <c r="A243" s="69"/>
      <c r="B243" s="70"/>
      <c r="C243" s="71">
        <v>237</v>
      </c>
      <c r="D243" s="46" t="s">
        <v>623</v>
      </c>
      <c r="E243" s="72" t="s">
        <v>160</v>
      </c>
      <c r="F243" s="73">
        <v>-120106954206</v>
      </c>
      <c r="G243" s="73">
        <f t="shared" si="51"/>
        <v>0</v>
      </c>
      <c r="H243" s="73">
        <f t="shared" si="52"/>
        <v>0</v>
      </c>
      <c r="I243" s="73">
        <f t="shared" si="53"/>
        <v>0</v>
      </c>
      <c r="J243" s="73">
        <f t="shared" si="54"/>
        <v>0</v>
      </c>
      <c r="K243" s="73">
        <f t="shared" si="55"/>
        <v>0</v>
      </c>
      <c r="L243" s="73">
        <f t="shared" si="56"/>
        <v>0</v>
      </c>
      <c r="M243" s="73">
        <f t="shared" si="57"/>
        <v>0</v>
      </c>
      <c r="N243" s="73">
        <f t="shared" si="58"/>
        <v>0</v>
      </c>
      <c r="O243" s="73">
        <f t="shared" si="59"/>
        <v>0</v>
      </c>
      <c r="P243" s="73">
        <f t="shared" si="60"/>
        <v>0</v>
      </c>
      <c r="Q243" s="73">
        <f t="shared" si="61"/>
        <v>0</v>
      </c>
      <c r="R243" s="73">
        <f t="shared" si="62"/>
        <v>0</v>
      </c>
      <c r="S243" s="73">
        <f t="shared" si="63"/>
        <v>0</v>
      </c>
      <c r="T243" s="73">
        <f t="shared" si="64"/>
        <v>0</v>
      </c>
      <c r="U243" s="73">
        <f t="shared" si="65"/>
        <v>0</v>
      </c>
      <c r="V243" s="73">
        <f t="shared" si="66"/>
        <v>0</v>
      </c>
      <c r="W243" s="73">
        <f t="shared" si="67"/>
        <v>0</v>
      </c>
      <c r="X243" s="74"/>
    </row>
    <row r="244" spans="1:24" ht="21.75" hidden="1">
      <c r="A244" s="75">
        <v>1302</v>
      </c>
      <c r="B244" s="76">
        <v>13</v>
      </c>
      <c r="C244" s="77">
        <v>238</v>
      </c>
      <c r="D244" s="78" t="s">
        <v>245</v>
      </c>
      <c r="E244" s="79" t="s">
        <v>246</v>
      </c>
      <c r="F244" s="80">
        <v>-26196790951</v>
      </c>
      <c r="G244" s="73">
        <f t="shared" si="51"/>
        <v>0</v>
      </c>
      <c r="H244" s="73">
        <f t="shared" si="52"/>
        <v>0</v>
      </c>
      <c r="I244" s="73">
        <f t="shared" si="53"/>
        <v>0</v>
      </c>
      <c r="J244" s="73">
        <f t="shared" si="54"/>
        <v>0</v>
      </c>
      <c r="K244" s="73">
        <f t="shared" si="55"/>
        <v>0</v>
      </c>
      <c r="L244" s="73">
        <f t="shared" si="56"/>
        <v>0</v>
      </c>
      <c r="M244" s="73">
        <f t="shared" si="57"/>
        <v>0</v>
      </c>
      <c r="N244" s="73">
        <f t="shared" si="58"/>
        <v>0</v>
      </c>
      <c r="O244" s="73">
        <f t="shared" si="59"/>
        <v>-26196790951</v>
      </c>
      <c r="P244" s="73">
        <f t="shared" si="60"/>
        <v>0</v>
      </c>
      <c r="Q244" s="73">
        <f t="shared" si="61"/>
        <v>0</v>
      </c>
      <c r="R244" s="73">
        <f t="shared" si="62"/>
        <v>0</v>
      </c>
      <c r="S244" s="73">
        <f t="shared" si="63"/>
        <v>0</v>
      </c>
      <c r="T244" s="73">
        <f t="shared" si="64"/>
        <v>0</v>
      </c>
      <c r="U244" s="73">
        <f t="shared" si="65"/>
        <v>0</v>
      </c>
      <c r="V244" s="73">
        <f t="shared" si="66"/>
        <v>0</v>
      </c>
      <c r="W244" s="73">
        <f t="shared" si="67"/>
        <v>0</v>
      </c>
      <c r="X244" s="81"/>
    </row>
    <row r="245" spans="1:24" ht="21.75" hidden="1">
      <c r="A245" s="69">
        <v>706</v>
      </c>
      <c r="B245" s="70">
        <v>7</v>
      </c>
      <c r="C245" s="71">
        <v>239</v>
      </c>
      <c r="D245" s="46" t="s">
        <v>422</v>
      </c>
      <c r="E245" s="72" t="s">
        <v>248</v>
      </c>
      <c r="F245" s="73">
        <v>-16943359603</v>
      </c>
      <c r="G245" s="73">
        <f t="shared" si="51"/>
        <v>0</v>
      </c>
      <c r="H245" s="73">
        <f t="shared" si="52"/>
        <v>0</v>
      </c>
      <c r="I245" s="73">
        <f t="shared" si="53"/>
        <v>0</v>
      </c>
      <c r="J245" s="73">
        <f t="shared" si="54"/>
        <v>-16943359603</v>
      </c>
      <c r="K245" s="73">
        <f t="shared" si="55"/>
        <v>0</v>
      </c>
      <c r="L245" s="73">
        <f t="shared" si="56"/>
        <v>0</v>
      </c>
      <c r="M245" s="73">
        <f t="shared" si="57"/>
        <v>0</v>
      </c>
      <c r="N245" s="73">
        <f t="shared" si="58"/>
        <v>0</v>
      </c>
      <c r="O245" s="73">
        <f t="shared" si="59"/>
        <v>0</v>
      </c>
      <c r="P245" s="73">
        <f t="shared" si="60"/>
        <v>0</v>
      </c>
      <c r="Q245" s="73">
        <f t="shared" si="61"/>
        <v>0</v>
      </c>
      <c r="R245" s="73">
        <f t="shared" si="62"/>
        <v>0</v>
      </c>
      <c r="S245" s="73">
        <f t="shared" si="63"/>
        <v>0</v>
      </c>
      <c r="T245" s="73">
        <f t="shared" si="64"/>
        <v>0</v>
      </c>
      <c r="U245" s="73">
        <f t="shared" si="65"/>
        <v>0</v>
      </c>
      <c r="V245" s="73">
        <f t="shared" si="66"/>
        <v>0</v>
      </c>
      <c r="W245" s="73">
        <f t="shared" si="67"/>
        <v>0</v>
      </c>
      <c r="X245" s="74"/>
    </row>
    <row r="246" spans="1:24" ht="21.75" hidden="1">
      <c r="A246" s="75">
        <v>907</v>
      </c>
      <c r="B246" s="76">
        <v>9</v>
      </c>
      <c r="C246" s="77">
        <v>240</v>
      </c>
      <c r="D246" s="78" t="s">
        <v>247</v>
      </c>
      <c r="E246" s="79" t="s">
        <v>248</v>
      </c>
      <c r="F246" s="80">
        <v>16943359603</v>
      </c>
      <c r="G246" s="73">
        <f t="shared" si="51"/>
        <v>0</v>
      </c>
      <c r="H246" s="73">
        <f t="shared" si="52"/>
        <v>0</v>
      </c>
      <c r="I246" s="73">
        <f t="shared" si="53"/>
        <v>0</v>
      </c>
      <c r="J246" s="73">
        <f t="shared" si="54"/>
        <v>0</v>
      </c>
      <c r="K246" s="73">
        <f t="shared" si="55"/>
        <v>0</v>
      </c>
      <c r="L246" s="73">
        <f t="shared" si="56"/>
        <v>16943359603</v>
      </c>
      <c r="M246" s="73">
        <f t="shared" si="57"/>
        <v>0</v>
      </c>
      <c r="N246" s="73">
        <f t="shared" si="58"/>
        <v>0</v>
      </c>
      <c r="O246" s="73">
        <f t="shared" si="59"/>
        <v>0</v>
      </c>
      <c r="P246" s="73">
        <f t="shared" si="60"/>
        <v>0</v>
      </c>
      <c r="Q246" s="73">
        <f t="shared" si="61"/>
        <v>0</v>
      </c>
      <c r="R246" s="73">
        <f t="shared" si="62"/>
        <v>0</v>
      </c>
      <c r="S246" s="73">
        <f t="shared" si="63"/>
        <v>0</v>
      </c>
      <c r="T246" s="73">
        <f t="shared" si="64"/>
        <v>0</v>
      </c>
      <c r="U246" s="73">
        <f t="shared" si="65"/>
        <v>0</v>
      </c>
      <c r="V246" s="73">
        <f t="shared" si="66"/>
        <v>0</v>
      </c>
      <c r="W246" s="73">
        <f t="shared" si="67"/>
        <v>0</v>
      </c>
      <c r="X246" s="81"/>
    </row>
    <row r="247" spans="1:24" ht="24">
      <c r="A247" s="58"/>
      <c r="B247" s="59"/>
      <c r="C247" s="84"/>
      <c r="D247" s="85"/>
      <c r="E247" s="86"/>
      <c r="F247" s="87">
        <f>SUBTOTAL(9,F4:F246)</f>
        <v>121996826800</v>
      </c>
      <c r="G247" s="87">
        <f>SUBTOTAL(9,G4:G246)</f>
        <v>0</v>
      </c>
      <c r="H247" s="87">
        <f t="shared" ref="H247:X247" si="68">SUBTOTAL(9,H4:H246)</f>
        <v>0</v>
      </c>
      <c r="I247" s="87">
        <f t="shared" si="68"/>
        <v>121996826800</v>
      </c>
      <c r="J247" s="87">
        <f t="shared" si="68"/>
        <v>0</v>
      </c>
      <c r="K247" s="87">
        <f t="shared" si="68"/>
        <v>0</v>
      </c>
      <c r="L247" s="87">
        <f t="shared" si="68"/>
        <v>0</v>
      </c>
      <c r="M247" s="87">
        <f t="shared" si="68"/>
        <v>0</v>
      </c>
      <c r="N247" s="87">
        <f t="shared" si="68"/>
        <v>0</v>
      </c>
      <c r="O247" s="87">
        <f t="shared" si="68"/>
        <v>0</v>
      </c>
      <c r="P247" s="87">
        <f t="shared" si="68"/>
        <v>0</v>
      </c>
      <c r="Q247" s="87">
        <f t="shared" si="68"/>
        <v>0</v>
      </c>
      <c r="R247" s="87">
        <f t="shared" si="68"/>
        <v>0</v>
      </c>
      <c r="S247" s="87">
        <f t="shared" si="68"/>
        <v>0</v>
      </c>
      <c r="T247" s="87">
        <f t="shared" si="68"/>
        <v>0</v>
      </c>
      <c r="U247" s="87">
        <f t="shared" si="68"/>
        <v>0</v>
      </c>
      <c r="V247" s="87">
        <f t="shared" si="68"/>
        <v>0</v>
      </c>
      <c r="W247" s="87">
        <f t="shared" si="68"/>
        <v>0</v>
      </c>
      <c r="X247" s="87">
        <f t="shared" si="68"/>
        <v>0</v>
      </c>
    </row>
  </sheetData>
  <autoFilter ref="A3:X246">
    <filterColumn colId="1">
      <filters>
        <filter val="6"/>
      </filters>
    </filterColumn>
  </autoFilter>
  <mergeCells count="7">
    <mergeCell ref="X1:X3"/>
    <mergeCell ref="F1:F3"/>
    <mergeCell ref="D1:D3"/>
    <mergeCell ref="A1:A3"/>
    <mergeCell ref="B1:B3"/>
    <mergeCell ref="C1:C3"/>
    <mergeCell ref="E1:E3"/>
  </mergeCells>
  <pageMargins left="0.11811023622047245" right="0.11811023622047245" top="0.74803149606299213" bottom="0.74803149606299213" header="0.31496062992125984" footer="0.31496062992125984"/>
  <pageSetup paperSize="9" scale="9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243"/>
  <sheetViews>
    <sheetView rightToLeft="1" topLeftCell="A235" workbookViewId="0">
      <selection activeCell="F253" sqref="F253"/>
    </sheetView>
  </sheetViews>
  <sheetFormatPr defaultRowHeight="14.25"/>
  <cols>
    <col min="1" max="1" width="1.25" customWidth="1"/>
    <col min="2" max="2" width="1.125" customWidth="1"/>
    <col min="3" max="3" width="0.75" bestFit="1" customWidth="1"/>
    <col min="4" max="4" width="1.625" bestFit="1" customWidth="1"/>
    <col min="5" max="5" width="6.375" bestFit="1" customWidth="1"/>
    <col min="6" max="6" width="3.125" customWidth="1"/>
    <col min="7" max="7" width="2.75" bestFit="1" customWidth="1"/>
    <col min="8" max="8" width="2.875" bestFit="1" customWidth="1"/>
    <col min="9" max="9" width="3.25" bestFit="1" customWidth="1"/>
    <col min="10" max="10" width="2.875" bestFit="1" customWidth="1"/>
    <col min="11" max="11" width="3.125" bestFit="1" customWidth="1"/>
    <col min="12" max="12" width="2.875" bestFit="1" customWidth="1"/>
    <col min="13" max="13" width="2.625" bestFit="1" customWidth="1"/>
    <col min="14" max="14" width="3.375" bestFit="1" customWidth="1"/>
    <col min="15" max="15" width="2.5" bestFit="1" customWidth="1"/>
    <col min="16" max="16" width="1.75" bestFit="1" customWidth="1"/>
    <col min="17" max="17" width="3" bestFit="1" customWidth="1"/>
    <col min="18" max="18" width="3.25" bestFit="1" customWidth="1"/>
    <col min="19" max="19" width="3.375" bestFit="1" customWidth="1"/>
    <col min="20" max="20" width="3.25" bestFit="1" customWidth="1"/>
    <col min="21" max="21" width="2.625" bestFit="1" customWidth="1"/>
    <col min="22" max="22" width="2.875" bestFit="1" customWidth="1"/>
    <col min="23" max="23" width="2.5" bestFit="1" customWidth="1"/>
  </cols>
  <sheetData>
    <row r="1" spans="1:23" ht="20.25" customHeight="1">
      <c r="A1" s="3417" t="s">
        <v>379</v>
      </c>
      <c r="B1" s="3419" t="s">
        <v>380</v>
      </c>
      <c r="C1" s="3421" t="s">
        <v>61</v>
      </c>
      <c r="D1" s="3424" t="s">
        <v>381</v>
      </c>
      <c r="E1" s="3411" t="s">
        <v>62</v>
      </c>
      <c r="F1" s="3414" t="s">
        <v>592</v>
      </c>
      <c r="G1" s="18" t="s">
        <v>382</v>
      </c>
      <c r="H1" s="19" t="s">
        <v>383</v>
      </c>
      <c r="I1" s="20" t="s">
        <v>384</v>
      </c>
      <c r="J1" s="21" t="s">
        <v>385</v>
      </c>
      <c r="K1" s="22" t="s">
        <v>386</v>
      </c>
      <c r="L1" s="21" t="s">
        <v>387</v>
      </c>
      <c r="M1" s="21" t="s">
        <v>103</v>
      </c>
      <c r="N1" s="21" t="s">
        <v>388</v>
      </c>
      <c r="O1" s="20" t="s">
        <v>520</v>
      </c>
      <c r="P1" s="20" t="s">
        <v>389</v>
      </c>
      <c r="Q1" s="21" t="s">
        <v>390</v>
      </c>
      <c r="R1" s="20" t="s">
        <v>530</v>
      </c>
      <c r="S1" s="20" t="s">
        <v>194</v>
      </c>
      <c r="T1" s="20" t="s">
        <v>195</v>
      </c>
      <c r="U1" s="20" t="s">
        <v>202</v>
      </c>
      <c r="V1" s="23" t="s">
        <v>373</v>
      </c>
      <c r="W1" s="24"/>
    </row>
    <row r="2" spans="1:23" ht="20.25" customHeight="1">
      <c r="A2" s="3418"/>
      <c r="B2" s="3420"/>
      <c r="C2" s="3422"/>
      <c r="D2" s="3425"/>
      <c r="E2" s="3412"/>
      <c r="F2" s="3415"/>
      <c r="G2" s="25"/>
      <c r="H2" s="26" t="s">
        <v>592</v>
      </c>
      <c r="I2" s="27" t="s">
        <v>592</v>
      </c>
      <c r="J2" s="27" t="s">
        <v>592</v>
      </c>
      <c r="K2" s="27" t="s">
        <v>592</v>
      </c>
      <c r="L2" s="27" t="s">
        <v>592</v>
      </c>
      <c r="M2" s="27" t="s">
        <v>592</v>
      </c>
      <c r="N2" s="27" t="s">
        <v>592</v>
      </c>
      <c r="O2" s="27" t="s">
        <v>592</v>
      </c>
      <c r="P2" s="27" t="s">
        <v>592</v>
      </c>
      <c r="Q2" s="27" t="s">
        <v>592</v>
      </c>
      <c r="R2" s="27" t="s">
        <v>592</v>
      </c>
      <c r="S2" s="27" t="s">
        <v>592</v>
      </c>
      <c r="T2" s="27" t="s">
        <v>592</v>
      </c>
      <c r="U2" s="27" t="s">
        <v>592</v>
      </c>
      <c r="V2" s="28" t="s">
        <v>592</v>
      </c>
      <c r="W2" s="24"/>
    </row>
    <row r="3" spans="1:23" ht="20.25" customHeight="1" thickBot="1">
      <c r="A3" s="3418"/>
      <c r="B3" s="3420"/>
      <c r="C3" s="3423"/>
      <c r="D3" s="3426"/>
      <c r="E3" s="3413"/>
      <c r="F3" s="3416"/>
      <c r="G3" s="29"/>
      <c r="H3" s="30">
        <v>4</v>
      </c>
      <c r="I3" s="31">
        <v>5</v>
      </c>
      <c r="J3" s="32">
        <v>6</v>
      </c>
      <c r="K3" s="33">
        <v>7</v>
      </c>
      <c r="L3" s="32">
        <v>8</v>
      </c>
      <c r="M3" s="32">
        <v>14</v>
      </c>
      <c r="N3" s="34">
        <v>9</v>
      </c>
      <c r="O3" s="31">
        <v>10</v>
      </c>
      <c r="P3" s="31">
        <v>11</v>
      </c>
      <c r="Q3" s="32">
        <v>12</v>
      </c>
      <c r="R3" s="31">
        <v>13</v>
      </c>
      <c r="S3" s="31">
        <v>15</v>
      </c>
      <c r="T3" s="31">
        <v>16</v>
      </c>
      <c r="U3" s="31">
        <v>17</v>
      </c>
      <c r="V3" s="35">
        <v>18</v>
      </c>
      <c r="W3" s="24"/>
    </row>
    <row r="4" spans="1:23" ht="21.75">
      <c r="A4" s="36">
        <v>906</v>
      </c>
      <c r="B4" s="37">
        <v>9</v>
      </c>
      <c r="C4" s="38">
        <v>1</v>
      </c>
      <c r="D4" s="39" t="s">
        <v>374</v>
      </c>
      <c r="E4" s="40" t="s">
        <v>534</v>
      </c>
      <c r="F4" s="41">
        <v>3535340865</v>
      </c>
      <c r="G4" s="42"/>
      <c r="H4" s="43">
        <f>IF($B4=$H$3,$F4,0)</f>
        <v>0</v>
      </c>
      <c r="I4" s="43">
        <v>0</v>
      </c>
      <c r="J4" s="43">
        <v>0</v>
      </c>
      <c r="K4" s="43">
        <v>0</v>
      </c>
      <c r="L4" s="43">
        <v>0</v>
      </c>
      <c r="M4" s="43">
        <v>0</v>
      </c>
      <c r="N4" s="43">
        <v>3535340865</v>
      </c>
      <c r="O4" s="43">
        <v>0</v>
      </c>
      <c r="P4" s="43">
        <v>0</v>
      </c>
      <c r="Q4" s="43">
        <v>0</v>
      </c>
      <c r="R4" s="43">
        <v>0</v>
      </c>
      <c r="S4" s="43">
        <v>0</v>
      </c>
      <c r="T4" s="43">
        <v>0</v>
      </c>
      <c r="U4" s="43">
        <v>0</v>
      </c>
      <c r="V4" s="44">
        <v>0</v>
      </c>
      <c r="W4" s="24"/>
    </row>
    <row r="5" spans="1:23" ht="21.75">
      <c r="A5" s="36">
        <v>906</v>
      </c>
      <c r="B5" s="37">
        <v>9</v>
      </c>
      <c r="C5" s="45">
        <v>2</v>
      </c>
      <c r="D5" s="46" t="s">
        <v>375</v>
      </c>
      <c r="E5" s="47" t="s">
        <v>514</v>
      </c>
      <c r="F5" s="48">
        <v>23709360936</v>
      </c>
      <c r="G5" s="49"/>
      <c r="H5" s="43">
        <f t="shared" ref="H5:H68" si="0">IF($B5=$H$3,$F5,0)</f>
        <v>0</v>
      </c>
      <c r="I5" s="43">
        <v>0</v>
      </c>
      <c r="J5" s="43">
        <v>0</v>
      </c>
      <c r="K5" s="43">
        <v>0</v>
      </c>
      <c r="L5" s="43">
        <v>0</v>
      </c>
      <c r="M5" s="43">
        <v>0</v>
      </c>
      <c r="N5" s="43">
        <v>23709360936</v>
      </c>
      <c r="O5" s="43">
        <v>0</v>
      </c>
      <c r="P5" s="43">
        <v>0</v>
      </c>
      <c r="Q5" s="43">
        <v>0</v>
      </c>
      <c r="R5" s="43">
        <v>0</v>
      </c>
      <c r="S5" s="43">
        <v>0</v>
      </c>
      <c r="T5" s="43">
        <v>0</v>
      </c>
      <c r="U5" s="43">
        <v>0</v>
      </c>
      <c r="V5" s="44">
        <v>0</v>
      </c>
      <c r="W5" s="24"/>
    </row>
    <row r="6" spans="1:23" ht="21.75">
      <c r="A6" s="36">
        <v>906</v>
      </c>
      <c r="B6" s="37">
        <v>9</v>
      </c>
      <c r="C6" s="45">
        <v>3</v>
      </c>
      <c r="D6" s="46" t="s">
        <v>376</v>
      </c>
      <c r="E6" s="47" t="s">
        <v>232</v>
      </c>
      <c r="F6" s="48">
        <v>800000000</v>
      </c>
      <c r="G6" s="49"/>
      <c r="H6" s="43">
        <f t="shared" si="0"/>
        <v>0</v>
      </c>
      <c r="I6" s="43">
        <v>0</v>
      </c>
      <c r="J6" s="43">
        <v>0</v>
      </c>
      <c r="K6" s="43">
        <v>0</v>
      </c>
      <c r="L6" s="43">
        <v>0</v>
      </c>
      <c r="M6" s="43">
        <v>0</v>
      </c>
      <c r="N6" s="43">
        <v>800000000</v>
      </c>
      <c r="O6" s="43">
        <v>0</v>
      </c>
      <c r="P6" s="43">
        <v>0</v>
      </c>
      <c r="Q6" s="43">
        <v>0</v>
      </c>
      <c r="R6" s="43">
        <v>0</v>
      </c>
      <c r="S6" s="43">
        <v>0</v>
      </c>
      <c r="T6" s="43">
        <v>0</v>
      </c>
      <c r="U6" s="43">
        <v>0</v>
      </c>
      <c r="V6" s="44">
        <v>0</v>
      </c>
      <c r="W6" s="24"/>
    </row>
    <row r="7" spans="1:23" ht="21.75">
      <c r="A7" s="36">
        <v>906</v>
      </c>
      <c r="B7" s="37">
        <v>9</v>
      </c>
      <c r="C7" s="45">
        <v>4</v>
      </c>
      <c r="D7" s="46" t="s">
        <v>377</v>
      </c>
      <c r="E7" s="47" t="s">
        <v>233</v>
      </c>
      <c r="F7" s="48">
        <v>227398330662</v>
      </c>
      <c r="G7" s="49"/>
      <c r="H7" s="43">
        <f t="shared" si="0"/>
        <v>0</v>
      </c>
      <c r="I7" s="43">
        <v>0</v>
      </c>
      <c r="J7" s="43">
        <v>0</v>
      </c>
      <c r="K7" s="43">
        <v>0</v>
      </c>
      <c r="L7" s="43">
        <v>0</v>
      </c>
      <c r="M7" s="43">
        <v>0</v>
      </c>
      <c r="N7" s="43">
        <v>227398330662</v>
      </c>
      <c r="O7" s="43">
        <v>0</v>
      </c>
      <c r="P7" s="43">
        <v>0</v>
      </c>
      <c r="Q7" s="43">
        <v>0</v>
      </c>
      <c r="R7" s="43">
        <v>0</v>
      </c>
      <c r="S7" s="43">
        <v>0</v>
      </c>
      <c r="T7" s="43">
        <v>0</v>
      </c>
      <c r="U7" s="43">
        <v>0</v>
      </c>
      <c r="V7" s="44">
        <v>0</v>
      </c>
      <c r="W7" s="24"/>
    </row>
    <row r="8" spans="1:23" ht="21.75">
      <c r="A8" s="36">
        <v>906</v>
      </c>
      <c r="B8" s="37">
        <v>9</v>
      </c>
      <c r="C8" s="45">
        <v>5</v>
      </c>
      <c r="D8" s="46" t="s">
        <v>250</v>
      </c>
      <c r="E8" s="47" t="s">
        <v>251</v>
      </c>
      <c r="F8" s="48">
        <v>2350057537</v>
      </c>
      <c r="G8" s="49"/>
      <c r="H8" s="43">
        <f t="shared" si="0"/>
        <v>0</v>
      </c>
      <c r="I8" s="43">
        <v>0</v>
      </c>
      <c r="J8" s="43">
        <v>0</v>
      </c>
      <c r="K8" s="43">
        <v>0</v>
      </c>
      <c r="L8" s="43">
        <v>0</v>
      </c>
      <c r="M8" s="43">
        <v>0</v>
      </c>
      <c r="N8" s="43">
        <v>2350057537</v>
      </c>
      <c r="O8" s="43">
        <v>0</v>
      </c>
      <c r="P8" s="43">
        <v>0</v>
      </c>
      <c r="Q8" s="43">
        <v>0</v>
      </c>
      <c r="R8" s="43">
        <v>0</v>
      </c>
      <c r="S8" s="43">
        <v>0</v>
      </c>
      <c r="T8" s="43">
        <v>0</v>
      </c>
      <c r="U8" s="43">
        <v>0</v>
      </c>
      <c r="V8" s="44">
        <v>0</v>
      </c>
      <c r="W8" s="24"/>
    </row>
    <row r="9" spans="1:23" ht="21.75">
      <c r="A9" s="36">
        <v>906</v>
      </c>
      <c r="B9" s="37">
        <v>9</v>
      </c>
      <c r="C9" s="45">
        <v>6</v>
      </c>
      <c r="D9" s="46" t="s">
        <v>252</v>
      </c>
      <c r="E9" s="47" t="s">
        <v>533</v>
      </c>
      <c r="F9" s="48">
        <v>2938434931</v>
      </c>
      <c r="G9" s="49"/>
      <c r="H9" s="43">
        <f t="shared" si="0"/>
        <v>0</v>
      </c>
      <c r="I9" s="43">
        <v>0</v>
      </c>
      <c r="J9" s="43">
        <v>0</v>
      </c>
      <c r="K9" s="43">
        <v>0</v>
      </c>
      <c r="L9" s="43">
        <v>0</v>
      </c>
      <c r="M9" s="43">
        <v>0</v>
      </c>
      <c r="N9" s="43">
        <v>2938434931</v>
      </c>
      <c r="O9" s="43">
        <v>0</v>
      </c>
      <c r="P9" s="43">
        <v>0</v>
      </c>
      <c r="Q9" s="43">
        <v>0</v>
      </c>
      <c r="R9" s="43">
        <v>0</v>
      </c>
      <c r="S9" s="43">
        <v>0</v>
      </c>
      <c r="T9" s="43">
        <v>0</v>
      </c>
      <c r="U9" s="43">
        <v>0</v>
      </c>
      <c r="V9" s="44">
        <v>0</v>
      </c>
      <c r="W9" s="24"/>
    </row>
    <row r="10" spans="1:23" ht="21.75">
      <c r="A10" s="36">
        <v>906</v>
      </c>
      <c r="B10" s="37">
        <v>9</v>
      </c>
      <c r="C10" s="45">
        <v>7</v>
      </c>
      <c r="D10" s="46" t="s">
        <v>339</v>
      </c>
      <c r="E10" s="47" t="s">
        <v>340</v>
      </c>
      <c r="F10" s="48">
        <v>2886250000</v>
      </c>
      <c r="G10" s="49"/>
      <c r="H10" s="43">
        <f t="shared" si="0"/>
        <v>0</v>
      </c>
      <c r="I10" s="43">
        <v>0</v>
      </c>
      <c r="J10" s="43">
        <v>0</v>
      </c>
      <c r="K10" s="43">
        <v>0</v>
      </c>
      <c r="L10" s="43">
        <v>0</v>
      </c>
      <c r="M10" s="43">
        <v>0</v>
      </c>
      <c r="N10" s="43">
        <v>2886250000</v>
      </c>
      <c r="O10" s="43">
        <v>0</v>
      </c>
      <c r="P10" s="43">
        <v>0</v>
      </c>
      <c r="Q10" s="43">
        <v>0</v>
      </c>
      <c r="R10" s="43">
        <v>0</v>
      </c>
      <c r="S10" s="43">
        <v>0</v>
      </c>
      <c r="T10" s="43">
        <v>0</v>
      </c>
      <c r="U10" s="43">
        <v>0</v>
      </c>
      <c r="V10" s="44">
        <v>0</v>
      </c>
      <c r="W10" s="24"/>
    </row>
    <row r="11" spans="1:23" ht="21.75">
      <c r="A11" s="36">
        <v>906</v>
      </c>
      <c r="B11" s="37">
        <v>9</v>
      </c>
      <c r="C11" s="45">
        <v>8</v>
      </c>
      <c r="D11" s="46" t="s">
        <v>341</v>
      </c>
      <c r="E11" s="47" t="s">
        <v>398</v>
      </c>
      <c r="F11" s="48">
        <v>746849865716</v>
      </c>
      <c r="G11" s="49"/>
      <c r="H11" s="43">
        <f t="shared" si="0"/>
        <v>0</v>
      </c>
      <c r="I11" s="43">
        <v>0</v>
      </c>
      <c r="J11" s="43">
        <v>0</v>
      </c>
      <c r="K11" s="43">
        <v>0</v>
      </c>
      <c r="L11" s="43">
        <v>0</v>
      </c>
      <c r="M11" s="43">
        <v>0</v>
      </c>
      <c r="N11" s="43">
        <v>746849865716</v>
      </c>
      <c r="O11" s="43">
        <v>0</v>
      </c>
      <c r="P11" s="43">
        <v>0</v>
      </c>
      <c r="Q11" s="43">
        <v>0</v>
      </c>
      <c r="R11" s="43">
        <v>0</v>
      </c>
      <c r="S11" s="43">
        <v>0</v>
      </c>
      <c r="T11" s="43">
        <v>0</v>
      </c>
      <c r="U11" s="43">
        <v>0</v>
      </c>
      <c r="V11" s="44">
        <v>0</v>
      </c>
      <c r="W11" s="24"/>
    </row>
    <row r="12" spans="1:23" ht="21.75">
      <c r="A12" s="36">
        <v>906</v>
      </c>
      <c r="B12" s="37">
        <v>9</v>
      </c>
      <c r="C12" s="45">
        <v>9</v>
      </c>
      <c r="D12" s="46" t="s">
        <v>399</v>
      </c>
      <c r="E12" s="47" t="s">
        <v>413</v>
      </c>
      <c r="F12" s="48">
        <v>287634454165</v>
      </c>
      <c r="G12" s="49"/>
      <c r="H12" s="43">
        <f t="shared" si="0"/>
        <v>0</v>
      </c>
      <c r="I12" s="43">
        <v>0</v>
      </c>
      <c r="J12" s="43">
        <v>0</v>
      </c>
      <c r="K12" s="43">
        <v>0</v>
      </c>
      <c r="L12" s="43">
        <v>0</v>
      </c>
      <c r="M12" s="43">
        <v>0</v>
      </c>
      <c r="N12" s="43">
        <v>287634454165</v>
      </c>
      <c r="O12" s="43">
        <v>0</v>
      </c>
      <c r="P12" s="43">
        <v>0</v>
      </c>
      <c r="Q12" s="43">
        <v>0</v>
      </c>
      <c r="R12" s="43">
        <v>0</v>
      </c>
      <c r="S12" s="43">
        <v>0</v>
      </c>
      <c r="T12" s="43">
        <v>0</v>
      </c>
      <c r="U12" s="43">
        <v>0</v>
      </c>
      <c r="V12" s="44">
        <v>0</v>
      </c>
      <c r="W12" s="24"/>
    </row>
    <row r="13" spans="1:23" ht="21.75">
      <c r="A13" s="36">
        <v>906</v>
      </c>
      <c r="B13" s="37">
        <v>9</v>
      </c>
      <c r="C13" s="45">
        <v>10</v>
      </c>
      <c r="D13" s="46" t="s">
        <v>414</v>
      </c>
      <c r="E13" s="47" t="s">
        <v>234</v>
      </c>
      <c r="F13" s="48">
        <v>9621595996</v>
      </c>
      <c r="G13" s="49"/>
      <c r="H13" s="43">
        <f t="shared" si="0"/>
        <v>0</v>
      </c>
      <c r="I13" s="43">
        <v>0</v>
      </c>
      <c r="J13" s="43">
        <v>0</v>
      </c>
      <c r="K13" s="43">
        <v>0</v>
      </c>
      <c r="L13" s="43">
        <v>0</v>
      </c>
      <c r="M13" s="43">
        <v>0</v>
      </c>
      <c r="N13" s="43">
        <v>9621595996</v>
      </c>
      <c r="O13" s="43">
        <v>0</v>
      </c>
      <c r="P13" s="43">
        <v>0</v>
      </c>
      <c r="Q13" s="43">
        <v>0</v>
      </c>
      <c r="R13" s="43">
        <v>0</v>
      </c>
      <c r="S13" s="43">
        <v>0</v>
      </c>
      <c r="T13" s="43">
        <v>0</v>
      </c>
      <c r="U13" s="43">
        <v>0</v>
      </c>
      <c r="V13" s="44">
        <v>0</v>
      </c>
      <c r="W13" s="24"/>
    </row>
    <row r="14" spans="1:23" ht="21.75">
      <c r="A14" s="36">
        <v>906</v>
      </c>
      <c r="B14" s="37">
        <v>9</v>
      </c>
      <c r="C14" s="45">
        <v>11</v>
      </c>
      <c r="D14" s="46" t="s">
        <v>415</v>
      </c>
      <c r="E14" s="47" t="s">
        <v>416</v>
      </c>
      <c r="F14" s="48">
        <v>7344716337</v>
      </c>
      <c r="G14" s="49"/>
      <c r="H14" s="43">
        <f t="shared" si="0"/>
        <v>0</v>
      </c>
      <c r="I14" s="43">
        <v>0</v>
      </c>
      <c r="J14" s="43">
        <v>0</v>
      </c>
      <c r="K14" s="43">
        <v>0</v>
      </c>
      <c r="L14" s="43">
        <v>0</v>
      </c>
      <c r="M14" s="43">
        <v>0</v>
      </c>
      <c r="N14" s="43">
        <v>7344716337</v>
      </c>
      <c r="O14" s="43">
        <v>0</v>
      </c>
      <c r="P14" s="43">
        <v>0</v>
      </c>
      <c r="Q14" s="43">
        <v>0</v>
      </c>
      <c r="R14" s="43">
        <v>0</v>
      </c>
      <c r="S14" s="43">
        <v>0</v>
      </c>
      <c r="T14" s="43">
        <v>0</v>
      </c>
      <c r="U14" s="43">
        <v>0</v>
      </c>
      <c r="V14" s="44">
        <v>0</v>
      </c>
      <c r="W14" s="24"/>
    </row>
    <row r="15" spans="1:23" ht="21.75">
      <c r="A15" s="36">
        <v>906</v>
      </c>
      <c r="B15" s="37">
        <v>9</v>
      </c>
      <c r="C15" s="45">
        <v>12</v>
      </c>
      <c r="D15" s="46" t="s">
        <v>417</v>
      </c>
      <c r="E15" s="47" t="s">
        <v>231</v>
      </c>
      <c r="F15" s="48">
        <v>462600000</v>
      </c>
      <c r="G15" s="49"/>
      <c r="H15" s="43">
        <f t="shared" si="0"/>
        <v>0</v>
      </c>
      <c r="I15" s="43">
        <v>0</v>
      </c>
      <c r="J15" s="43">
        <v>0</v>
      </c>
      <c r="K15" s="43">
        <v>0</v>
      </c>
      <c r="L15" s="43">
        <v>0</v>
      </c>
      <c r="M15" s="43">
        <v>0</v>
      </c>
      <c r="N15" s="43">
        <v>462600000</v>
      </c>
      <c r="O15" s="43">
        <v>0</v>
      </c>
      <c r="P15" s="43">
        <v>0</v>
      </c>
      <c r="Q15" s="43">
        <v>0</v>
      </c>
      <c r="R15" s="43">
        <v>0</v>
      </c>
      <c r="S15" s="43">
        <v>0</v>
      </c>
      <c r="T15" s="43">
        <v>0</v>
      </c>
      <c r="U15" s="43">
        <v>0</v>
      </c>
      <c r="V15" s="44">
        <v>0</v>
      </c>
      <c r="W15" s="24"/>
    </row>
    <row r="16" spans="1:23" ht="21.75">
      <c r="A16" s="36">
        <v>906</v>
      </c>
      <c r="B16" s="37">
        <v>9</v>
      </c>
      <c r="C16" s="45">
        <v>13</v>
      </c>
      <c r="D16" s="46" t="s">
        <v>418</v>
      </c>
      <c r="E16" s="47" t="s">
        <v>197</v>
      </c>
      <c r="F16" s="48">
        <v>2296296812101</v>
      </c>
      <c r="G16" s="49"/>
      <c r="H16" s="43">
        <f t="shared" si="0"/>
        <v>0</v>
      </c>
      <c r="I16" s="43">
        <v>0</v>
      </c>
      <c r="J16" s="43">
        <v>0</v>
      </c>
      <c r="K16" s="43">
        <v>0</v>
      </c>
      <c r="L16" s="43">
        <v>0</v>
      </c>
      <c r="M16" s="43">
        <v>0</v>
      </c>
      <c r="N16" s="43">
        <v>2296296812101</v>
      </c>
      <c r="O16" s="43">
        <v>0</v>
      </c>
      <c r="P16" s="43">
        <v>0</v>
      </c>
      <c r="Q16" s="43">
        <v>0</v>
      </c>
      <c r="R16" s="43">
        <v>0</v>
      </c>
      <c r="S16" s="43">
        <v>0</v>
      </c>
      <c r="T16" s="43">
        <v>0</v>
      </c>
      <c r="U16" s="43">
        <v>0</v>
      </c>
      <c r="V16" s="44">
        <v>0</v>
      </c>
      <c r="W16" s="24"/>
    </row>
    <row r="17" spans="1:23" ht="21.75">
      <c r="A17" s="36">
        <v>906</v>
      </c>
      <c r="B17" s="37">
        <v>9</v>
      </c>
      <c r="C17" s="45">
        <v>14</v>
      </c>
      <c r="D17" s="46" t="s">
        <v>419</v>
      </c>
      <c r="E17" s="47" t="s">
        <v>420</v>
      </c>
      <c r="F17" s="48">
        <v>-41386116</v>
      </c>
      <c r="G17" s="48">
        <v>41386116</v>
      </c>
      <c r="H17" s="43">
        <f t="shared" si="0"/>
        <v>0</v>
      </c>
      <c r="I17" s="43">
        <v>0</v>
      </c>
      <c r="J17" s="43">
        <v>0</v>
      </c>
      <c r="K17" s="43">
        <v>0</v>
      </c>
      <c r="L17" s="43">
        <v>0</v>
      </c>
      <c r="M17" s="43">
        <v>0</v>
      </c>
      <c r="N17" s="43">
        <v>-41386116</v>
      </c>
      <c r="O17" s="43">
        <v>0</v>
      </c>
      <c r="P17" s="43">
        <v>0</v>
      </c>
      <c r="Q17" s="43">
        <v>0</v>
      </c>
      <c r="R17" s="43">
        <v>0</v>
      </c>
      <c r="S17" s="43">
        <v>0</v>
      </c>
      <c r="T17" s="43">
        <v>0</v>
      </c>
      <c r="U17" s="43">
        <v>0</v>
      </c>
      <c r="V17" s="44">
        <v>0</v>
      </c>
      <c r="W17" s="24"/>
    </row>
    <row r="18" spans="1:23" ht="21.75">
      <c r="A18" s="36">
        <v>906</v>
      </c>
      <c r="B18" s="37">
        <v>9</v>
      </c>
      <c r="C18" s="45">
        <v>15</v>
      </c>
      <c r="D18" s="46" t="s">
        <v>421</v>
      </c>
      <c r="E18" s="47" t="s">
        <v>423</v>
      </c>
      <c r="F18" s="48">
        <v>40064878661</v>
      </c>
      <c r="G18" s="49"/>
      <c r="H18" s="43">
        <f t="shared" si="0"/>
        <v>0</v>
      </c>
      <c r="I18" s="43">
        <v>0</v>
      </c>
      <c r="J18" s="43">
        <v>0</v>
      </c>
      <c r="K18" s="43">
        <v>0</v>
      </c>
      <c r="L18" s="43">
        <v>0</v>
      </c>
      <c r="M18" s="43">
        <v>0</v>
      </c>
      <c r="N18" s="43">
        <v>40064878661</v>
      </c>
      <c r="O18" s="43">
        <v>0</v>
      </c>
      <c r="P18" s="43">
        <v>0</v>
      </c>
      <c r="Q18" s="43">
        <v>0</v>
      </c>
      <c r="R18" s="43">
        <v>0</v>
      </c>
      <c r="S18" s="43">
        <v>0</v>
      </c>
      <c r="T18" s="43">
        <v>0</v>
      </c>
      <c r="U18" s="43">
        <v>0</v>
      </c>
      <c r="V18" s="44">
        <v>0</v>
      </c>
      <c r="W18" s="24"/>
    </row>
    <row r="19" spans="1:23" ht="21.75">
      <c r="A19" s="36">
        <v>906</v>
      </c>
      <c r="B19" s="37">
        <v>9</v>
      </c>
      <c r="C19" s="45">
        <v>16</v>
      </c>
      <c r="D19" s="46" t="s">
        <v>424</v>
      </c>
      <c r="E19" s="47" t="s">
        <v>198</v>
      </c>
      <c r="F19" s="48">
        <v>102847500</v>
      </c>
      <c r="G19" s="49"/>
      <c r="H19" s="43">
        <f t="shared" si="0"/>
        <v>0</v>
      </c>
      <c r="I19" s="43">
        <v>0</v>
      </c>
      <c r="J19" s="43">
        <v>0</v>
      </c>
      <c r="K19" s="43">
        <v>0</v>
      </c>
      <c r="L19" s="43">
        <v>0</v>
      </c>
      <c r="M19" s="43">
        <v>0</v>
      </c>
      <c r="N19" s="43">
        <v>102847500</v>
      </c>
      <c r="O19" s="43">
        <v>0</v>
      </c>
      <c r="P19" s="43">
        <v>0</v>
      </c>
      <c r="Q19" s="43">
        <v>0</v>
      </c>
      <c r="R19" s="43">
        <v>0</v>
      </c>
      <c r="S19" s="43">
        <v>0</v>
      </c>
      <c r="T19" s="43">
        <v>0</v>
      </c>
      <c r="U19" s="43">
        <v>0</v>
      </c>
      <c r="V19" s="44">
        <v>0</v>
      </c>
      <c r="W19" s="24"/>
    </row>
    <row r="20" spans="1:23" ht="21.75">
      <c r="A20" s="36">
        <v>1212</v>
      </c>
      <c r="B20" s="37">
        <v>12</v>
      </c>
      <c r="C20" s="45">
        <v>17</v>
      </c>
      <c r="D20" s="46" t="s">
        <v>425</v>
      </c>
      <c r="E20" s="47" t="s">
        <v>426</v>
      </c>
      <c r="F20" s="48">
        <v>-310000</v>
      </c>
      <c r="G20" s="48">
        <v>310000</v>
      </c>
      <c r="H20" s="43">
        <f t="shared" si="0"/>
        <v>0</v>
      </c>
      <c r="I20" s="43">
        <v>0</v>
      </c>
      <c r="J20" s="43">
        <v>0</v>
      </c>
      <c r="K20" s="43">
        <v>0</v>
      </c>
      <c r="L20" s="43">
        <v>0</v>
      </c>
      <c r="M20" s="43">
        <v>0</v>
      </c>
      <c r="N20" s="43">
        <v>0</v>
      </c>
      <c r="O20" s="43">
        <v>0</v>
      </c>
      <c r="P20" s="43">
        <v>0</v>
      </c>
      <c r="Q20" s="43">
        <v>-310000</v>
      </c>
      <c r="R20" s="43">
        <v>0</v>
      </c>
      <c r="S20" s="43">
        <v>0</v>
      </c>
      <c r="T20" s="43">
        <v>0</v>
      </c>
      <c r="U20" s="43">
        <v>0</v>
      </c>
      <c r="V20" s="44">
        <v>0</v>
      </c>
      <c r="W20" s="24"/>
    </row>
    <row r="21" spans="1:23" ht="21.75">
      <c r="A21" s="36">
        <v>1212</v>
      </c>
      <c r="B21" s="37">
        <v>12</v>
      </c>
      <c r="C21" s="45">
        <v>18</v>
      </c>
      <c r="D21" s="46" t="s">
        <v>427</v>
      </c>
      <c r="E21" s="47" t="s">
        <v>428</v>
      </c>
      <c r="F21" s="48">
        <v>-33118740</v>
      </c>
      <c r="G21" s="48">
        <v>33118740</v>
      </c>
      <c r="H21" s="43">
        <f t="shared" si="0"/>
        <v>0</v>
      </c>
      <c r="I21" s="43">
        <v>0</v>
      </c>
      <c r="J21" s="43">
        <v>0</v>
      </c>
      <c r="K21" s="43">
        <v>0</v>
      </c>
      <c r="L21" s="43">
        <v>0</v>
      </c>
      <c r="M21" s="43">
        <v>0</v>
      </c>
      <c r="N21" s="43">
        <v>0</v>
      </c>
      <c r="O21" s="43">
        <v>0</v>
      </c>
      <c r="P21" s="43">
        <v>0</v>
      </c>
      <c r="Q21" s="43">
        <v>-33118740</v>
      </c>
      <c r="R21" s="43">
        <v>0</v>
      </c>
      <c r="S21" s="43">
        <v>0</v>
      </c>
      <c r="T21" s="43">
        <v>0</v>
      </c>
      <c r="U21" s="43">
        <v>0</v>
      </c>
      <c r="V21" s="44">
        <v>0</v>
      </c>
      <c r="W21" s="24"/>
    </row>
    <row r="22" spans="1:23" ht="21.75">
      <c r="A22" s="36">
        <v>1212</v>
      </c>
      <c r="B22" s="37">
        <v>12</v>
      </c>
      <c r="C22" s="45">
        <v>19</v>
      </c>
      <c r="D22" s="46" t="s">
        <v>429</v>
      </c>
      <c r="E22" s="47" t="s">
        <v>193</v>
      </c>
      <c r="F22" s="48">
        <v>-1735513</v>
      </c>
      <c r="G22" s="48">
        <v>1735513</v>
      </c>
      <c r="H22" s="43">
        <f t="shared" si="0"/>
        <v>0</v>
      </c>
      <c r="I22" s="43">
        <v>0</v>
      </c>
      <c r="J22" s="43">
        <v>0</v>
      </c>
      <c r="K22" s="43">
        <v>0</v>
      </c>
      <c r="L22" s="43">
        <v>0</v>
      </c>
      <c r="M22" s="43">
        <v>0</v>
      </c>
      <c r="N22" s="43">
        <v>0</v>
      </c>
      <c r="O22" s="43">
        <v>0</v>
      </c>
      <c r="P22" s="43">
        <v>0</v>
      </c>
      <c r="Q22" s="43">
        <v>-1735513</v>
      </c>
      <c r="R22" s="43">
        <v>0</v>
      </c>
      <c r="S22" s="43">
        <v>0</v>
      </c>
      <c r="T22" s="43">
        <v>0</v>
      </c>
      <c r="U22" s="43">
        <v>0</v>
      </c>
      <c r="V22" s="44">
        <v>0</v>
      </c>
      <c r="W22" s="24"/>
    </row>
    <row r="23" spans="1:23" ht="21.75">
      <c r="A23" s="36">
        <v>614</v>
      </c>
      <c r="B23" s="37">
        <v>6</v>
      </c>
      <c r="C23" s="45">
        <v>20</v>
      </c>
      <c r="D23" s="46" t="s">
        <v>430</v>
      </c>
      <c r="E23" s="47" t="s">
        <v>431</v>
      </c>
      <c r="F23" s="48">
        <v>10020000</v>
      </c>
      <c r="G23" s="49"/>
      <c r="H23" s="43">
        <f t="shared" si="0"/>
        <v>0</v>
      </c>
      <c r="I23" s="43">
        <v>0</v>
      </c>
      <c r="J23" s="43">
        <v>10020000</v>
      </c>
      <c r="K23" s="43">
        <v>0</v>
      </c>
      <c r="L23" s="43">
        <v>0</v>
      </c>
      <c r="M23" s="43">
        <v>0</v>
      </c>
      <c r="N23" s="43">
        <v>0</v>
      </c>
      <c r="O23" s="43">
        <v>0</v>
      </c>
      <c r="P23" s="43">
        <v>0</v>
      </c>
      <c r="Q23" s="43">
        <v>0</v>
      </c>
      <c r="R23" s="43">
        <v>0</v>
      </c>
      <c r="S23" s="43">
        <v>0</v>
      </c>
      <c r="T23" s="43">
        <v>0</v>
      </c>
      <c r="U23" s="43">
        <v>0</v>
      </c>
      <c r="V23" s="44">
        <v>0</v>
      </c>
      <c r="W23" s="24"/>
    </row>
    <row r="24" spans="1:23" ht="21.75">
      <c r="A24" s="36">
        <v>614</v>
      </c>
      <c r="B24" s="37">
        <v>6</v>
      </c>
      <c r="C24" s="45">
        <v>21</v>
      </c>
      <c r="D24" s="46" t="s">
        <v>432</v>
      </c>
      <c r="E24" s="47" t="s">
        <v>433</v>
      </c>
      <c r="F24" s="48">
        <v>21585916</v>
      </c>
      <c r="G24" s="49"/>
      <c r="H24" s="43">
        <f t="shared" si="0"/>
        <v>0</v>
      </c>
      <c r="I24" s="43">
        <v>0</v>
      </c>
      <c r="J24" s="43">
        <v>21585916</v>
      </c>
      <c r="K24" s="43">
        <v>0</v>
      </c>
      <c r="L24" s="43">
        <v>0</v>
      </c>
      <c r="M24" s="43">
        <v>0</v>
      </c>
      <c r="N24" s="43">
        <v>0</v>
      </c>
      <c r="O24" s="43">
        <v>0</v>
      </c>
      <c r="P24" s="43">
        <v>0</v>
      </c>
      <c r="Q24" s="43">
        <v>0</v>
      </c>
      <c r="R24" s="43">
        <v>0</v>
      </c>
      <c r="S24" s="43">
        <v>0</v>
      </c>
      <c r="T24" s="43">
        <v>0</v>
      </c>
      <c r="U24" s="43">
        <v>0</v>
      </c>
      <c r="V24" s="44">
        <v>0</v>
      </c>
      <c r="W24" s="24"/>
    </row>
    <row r="25" spans="1:23" ht="21.75">
      <c r="A25" s="36">
        <v>614</v>
      </c>
      <c r="B25" s="37">
        <v>6</v>
      </c>
      <c r="C25" s="45">
        <v>22</v>
      </c>
      <c r="D25" s="46" t="s">
        <v>434</v>
      </c>
      <c r="E25" s="47" t="s">
        <v>435</v>
      </c>
      <c r="F25" s="48">
        <v>11851962</v>
      </c>
      <c r="G25" s="49"/>
      <c r="H25" s="43">
        <f t="shared" si="0"/>
        <v>0</v>
      </c>
      <c r="I25" s="43">
        <v>0</v>
      </c>
      <c r="J25" s="43">
        <v>11851962</v>
      </c>
      <c r="K25" s="43">
        <v>0</v>
      </c>
      <c r="L25" s="43">
        <v>0</v>
      </c>
      <c r="M25" s="43">
        <v>0</v>
      </c>
      <c r="N25" s="43">
        <v>0</v>
      </c>
      <c r="O25" s="43">
        <v>0</v>
      </c>
      <c r="P25" s="43">
        <v>0</v>
      </c>
      <c r="Q25" s="43">
        <v>0</v>
      </c>
      <c r="R25" s="43">
        <v>0</v>
      </c>
      <c r="S25" s="43">
        <v>0</v>
      </c>
      <c r="T25" s="43">
        <v>0</v>
      </c>
      <c r="U25" s="43">
        <v>0</v>
      </c>
      <c r="V25" s="44">
        <v>0</v>
      </c>
      <c r="W25" s="24"/>
    </row>
    <row r="26" spans="1:23" ht="21.75">
      <c r="A26" s="36">
        <v>614</v>
      </c>
      <c r="B26" s="37">
        <v>6</v>
      </c>
      <c r="C26" s="45">
        <v>23</v>
      </c>
      <c r="D26" s="46" t="s">
        <v>436</v>
      </c>
      <c r="E26" s="47" t="s">
        <v>437</v>
      </c>
      <c r="F26" s="48">
        <v>45216</v>
      </c>
      <c r="G26" s="49"/>
      <c r="H26" s="43">
        <f t="shared" si="0"/>
        <v>0</v>
      </c>
      <c r="I26" s="43">
        <v>0</v>
      </c>
      <c r="J26" s="43">
        <v>45216</v>
      </c>
      <c r="K26" s="43">
        <v>0</v>
      </c>
      <c r="L26" s="43">
        <v>0</v>
      </c>
      <c r="M26" s="43">
        <v>0</v>
      </c>
      <c r="N26" s="43">
        <v>0</v>
      </c>
      <c r="O26" s="43">
        <v>0</v>
      </c>
      <c r="P26" s="43">
        <v>0</v>
      </c>
      <c r="Q26" s="43">
        <v>0</v>
      </c>
      <c r="R26" s="43">
        <v>0</v>
      </c>
      <c r="S26" s="43">
        <v>0</v>
      </c>
      <c r="T26" s="43">
        <v>0</v>
      </c>
      <c r="U26" s="43">
        <v>0</v>
      </c>
      <c r="V26" s="44">
        <v>0</v>
      </c>
      <c r="W26" s="24"/>
    </row>
    <row r="27" spans="1:23" ht="21.75">
      <c r="A27" s="36">
        <v>1212</v>
      </c>
      <c r="B27" s="37">
        <v>12</v>
      </c>
      <c r="C27" s="45">
        <v>24</v>
      </c>
      <c r="D27" s="46" t="s">
        <v>438</v>
      </c>
      <c r="E27" s="47" t="s">
        <v>176</v>
      </c>
      <c r="F27" s="48">
        <v>-36381344</v>
      </c>
      <c r="G27" s="48">
        <v>36381344</v>
      </c>
      <c r="H27" s="43">
        <f t="shared" si="0"/>
        <v>0</v>
      </c>
      <c r="I27" s="43">
        <v>0</v>
      </c>
      <c r="J27" s="43">
        <v>0</v>
      </c>
      <c r="K27" s="43">
        <v>0</v>
      </c>
      <c r="L27" s="43">
        <v>0</v>
      </c>
      <c r="M27" s="43">
        <v>0</v>
      </c>
      <c r="N27" s="43">
        <v>0</v>
      </c>
      <c r="O27" s="43">
        <v>0</v>
      </c>
      <c r="P27" s="43">
        <v>0</v>
      </c>
      <c r="Q27" s="43">
        <v>-36381344</v>
      </c>
      <c r="R27" s="43">
        <v>0</v>
      </c>
      <c r="S27" s="43">
        <v>0</v>
      </c>
      <c r="T27" s="43">
        <v>0</v>
      </c>
      <c r="U27" s="43">
        <v>0</v>
      </c>
      <c r="V27" s="44">
        <v>0</v>
      </c>
      <c r="W27" s="24"/>
    </row>
    <row r="28" spans="1:23" ht="21.75">
      <c r="A28" s="36">
        <v>614</v>
      </c>
      <c r="B28" s="37">
        <v>6</v>
      </c>
      <c r="C28" s="45">
        <v>25</v>
      </c>
      <c r="D28" s="46" t="s">
        <v>472</v>
      </c>
      <c r="E28" s="47" t="s">
        <v>473</v>
      </c>
      <c r="F28" s="48">
        <v>1441679288</v>
      </c>
      <c r="G28" s="49"/>
      <c r="H28" s="43">
        <f t="shared" si="0"/>
        <v>0</v>
      </c>
      <c r="I28" s="43">
        <v>0</v>
      </c>
      <c r="J28" s="43">
        <v>1441679288</v>
      </c>
      <c r="K28" s="43">
        <v>0</v>
      </c>
      <c r="L28" s="43">
        <v>0</v>
      </c>
      <c r="M28" s="43">
        <v>0</v>
      </c>
      <c r="N28" s="43">
        <v>0</v>
      </c>
      <c r="O28" s="43">
        <v>0</v>
      </c>
      <c r="P28" s="43">
        <v>0</v>
      </c>
      <c r="Q28" s="43">
        <v>0</v>
      </c>
      <c r="R28" s="43">
        <v>0</v>
      </c>
      <c r="S28" s="43">
        <v>0</v>
      </c>
      <c r="T28" s="43">
        <v>0</v>
      </c>
      <c r="U28" s="43">
        <v>0</v>
      </c>
      <c r="V28" s="44">
        <v>0</v>
      </c>
      <c r="W28" s="24"/>
    </row>
    <row r="29" spans="1:23" ht="21.75">
      <c r="A29" s="36">
        <v>1212</v>
      </c>
      <c r="B29" s="37">
        <v>12</v>
      </c>
      <c r="C29" s="45">
        <v>26</v>
      </c>
      <c r="D29" s="46" t="s">
        <v>127</v>
      </c>
      <c r="E29" s="47" t="s">
        <v>230</v>
      </c>
      <c r="F29" s="48">
        <v>-797708</v>
      </c>
      <c r="G29" s="48">
        <v>797708</v>
      </c>
      <c r="H29" s="43">
        <f t="shared" si="0"/>
        <v>0</v>
      </c>
      <c r="I29" s="43">
        <v>0</v>
      </c>
      <c r="J29" s="43">
        <v>0</v>
      </c>
      <c r="K29" s="43">
        <v>0</v>
      </c>
      <c r="L29" s="43">
        <v>0</v>
      </c>
      <c r="M29" s="43">
        <v>0</v>
      </c>
      <c r="N29" s="43">
        <v>0</v>
      </c>
      <c r="O29" s="43">
        <v>0</v>
      </c>
      <c r="P29" s="43">
        <v>0</v>
      </c>
      <c r="Q29" s="43">
        <v>-797708</v>
      </c>
      <c r="R29" s="43">
        <v>0</v>
      </c>
      <c r="S29" s="43">
        <v>0</v>
      </c>
      <c r="T29" s="43">
        <v>0</v>
      </c>
      <c r="U29" s="43">
        <v>0</v>
      </c>
      <c r="V29" s="44">
        <v>0</v>
      </c>
      <c r="W29" s="24"/>
    </row>
    <row r="30" spans="1:23" ht="21.75">
      <c r="A30" s="36">
        <v>1212</v>
      </c>
      <c r="B30" s="37">
        <v>12</v>
      </c>
      <c r="C30" s="45">
        <v>27</v>
      </c>
      <c r="D30" s="46" t="s">
        <v>128</v>
      </c>
      <c r="E30" s="47" t="s">
        <v>129</v>
      </c>
      <c r="F30" s="48">
        <v>-79358071</v>
      </c>
      <c r="G30" s="48">
        <v>79358071</v>
      </c>
      <c r="H30" s="43">
        <f t="shared" si="0"/>
        <v>0</v>
      </c>
      <c r="I30" s="43">
        <v>0</v>
      </c>
      <c r="J30" s="43">
        <v>0</v>
      </c>
      <c r="K30" s="43">
        <v>0</v>
      </c>
      <c r="L30" s="43">
        <v>0</v>
      </c>
      <c r="M30" s="43">
        <v>0</v>
      </c>
      <c r="N30" s="43">
        <v>0</v>
      </c>
      <c r="O30" s="43">
        <v>0</v>
      </c>
      <c r="P30" s="43">
        <v>0</v>
      </c>
      <c r="Q30" s="43">
        <v>-79358071</v>
      </c>
      <c r="R30" s="43">
        <v>0</v>
      </c>
      <c r="S30" s="43">
        <v>0</v>
      </c>
      <c r="T30" s="43">
        <v>0</v>
      </c>
      <c r="U30" s="43">
        <v>0</v>
      </c>
      <c r="V30" s="44">
        <v>0</v>
      </c>
      <c r="W30" s="24"/>
    </row>
    <row r="31" spans="1:23" ht="21.75">
      <c r="A31" s="36">
        <v>1212</v>
      </c>
      <c r="B31" s="37">
        <v>12</v>
      </c>
      <c r="C31" s="45">
        <v>28</v>
      </c>
      <c r="D31" s="46" t="s">
        <v>130</v>
      </c>
      <c r="E31" s="47" t="s">
        <v>131</v>
      </c>
      <c r="F31" s="48">
        <v>-445357783</v>
      </c>
      <c r="G31" s="48">
        <v>445357783</v>
      </c>
      <c r="H31" s="43">
        <f t="shared" si="0"/>
        <v>0</v>
      </c>
      <c r="I31" s="43">
        <v>0</v>
      </c>
      <c r="J31" s="43">
        <v>0</v>
      </c>
      <c r="K31" s="43">
        <v>0</v>
      </c>
      <c r="L31" s="43">
        <v>0</v>
      </c>
      <c r="M31" s="43">
        <v>0</v>
      </c>
      <c r="N31" s="43">
        <v>0</v>
      </c>
      <c r="O31" s="43">
        <v>0</v>
      </c>
      <c r="P31" s="43">
        <v>0</v>
      </c>
      <c r="Q31" s="43">
        <v>-445357783</v>
      </c>
      <c r="R31" s="43">
        <v>0</v>
      </c>
      <c r="S31" s="43">
        <v>0</v>
      </c>
      <c r="T31" s="43">
        <v>0</v>
      </c>
      <c r="U31" s="43">
        <v>0</v>
      </c>
      <c r="V31" s="44">
        <v>0</v>
      </c>
      <c r="W31" s="24"/>
    </row>
    <row r="32" spans="1:23" ht="21.75">
      <c r="A32" s="36">
        <v>1206</v>
      </c>
      <c r="B32" s="37">
        <v>12</v>
      </c>
      <c r="C32" s="45">
        <v>29</v>
      </c>
      <c r="D32" s="46" t="s">
        <v>132</v>
      </c>
      <c r="E32" s="47" t="s">
        <v>133</v>
      </c>
      <c r="F32" s="48">
        <v>-1028851018</v>
      </c>
      <c r="G32" s="48">
        <v>1028851018</v>
      </c>
      <c r="H32" s="43">
        <f t="shared" si="0"/>
        <v>0</v>
      </c>
      <c r="I32" s="43">
        <v>0</v>
      </c>
      <c r="J32" s="43">
        <v>0</v>
      </c>
      <c r="K32" s="43">
        <v>0</v>
      </c>
      <c r="L32" s="43">
        <v>0</v>
      </c>
      <c r="M32" s="43">
        <v>0</v>
      </c>
      <c r="N32" s="43">
        <v>0</v>
      </c>
      <c r="O32" s="43">
        <v>0</v>
      </c>
      <c r="P32" s="43">
        <v>0</v>
      </c>
      <c r="Q32" s="43">
        <v>-1028851018</v>
      </c>
      <c r="R32" s="43">
        <v>0</v>
      </c>
      <c r="S32" s="43">
        <v>0</v>
      </c>
      <c r="T32" s="43">
        <v>0</v>
      </c>
      <c r="U32" s="43">
        <v>0</v>
      </c>
      <c r="V32" s="44">
        <v>0</v>
      </c>
      <c r="W32" s="24"/>
    </row>
    <row r="33" spans="1:23" ht="21.75">
      <c r="A33" s="36">
        <v>1301</v>
      </c>
      <c r="B33" s="37">
        <v>13</v>
      </c>
      <c r="C33" s="45">
        <v>30</v>
      </c>
      <c r="D33" s="46" t="s">
        <v>134</v>
      </c>
      <c r="E33" s="47" t="s">
        <v>135</v>
      </c>
      <c r="F33" s="48">
        <v>-6673170510</v>
      </c>
      <c r="G33" s="48">
        <v>6673170510</v>
      </c>
      <c r="H33" s="43">
        <f t="shared" si="0"/>
        <v>0</v>
      </c>
      <c r="I33" s="43">
        <v>0</v>
      </c>
      <c r="J33" s="43">
        <v>0</v>
      </c>
      <c r="K33" s="43">
        <v>0</v>
      </c>
      <c r="L33" s="43">
        <v>0</v>
      </c>
      <c r="M33" s="43">
        <v>0</v>
      </c>
      <c r="N33" s="43">
        <v>0</v>
      </c>
      <c r="O33" s="43">
        <v>0</v>
      </c>
      <c r="P33" s="43">
        <v>0</v>
      </c>
      <c r="Q33" s="43">
        <v>0</v>
      </c>
      <c r="R33" s="43">
        <v>-6673170510</v>
      </c>
      <c r="S33" s="43">
        <v>0</v>
      </c>
      <c r="T33" s="43">
        <v>0</v>
      </c>
      <c r="U33" s="43">
        <v>0</v>
      </c>
      <c r="V33" s="44">
        <v>0</v>
      </c>
      <c r="W33" s="24"/>
    </row>
    <row r="34" spans="1:23" ht="21.75">
      <c r="A34" s="36">
        <v>1212</v>
      </c>
      <c r="B34" s="37">
        <v>12</v>
      </c>
      <c r="C34" s="45">
        <v>31</v>
      </c>
      <c r="D34" s="46" t="s">
        <v>136</v>
      </c>
      <c r="E34" s="47" t="s">
        <v>82</v>
      </c>
      <c r="F34" s="48">
        <v>-76331388</v>
      </c>
      <c r="G34" s="48">
        <v>76331388</v>
      </c>
      <c r="H34" s="43">
        <f t="shared" si="0"/>
        <v>0</v>
      </c>
      <c r="I34" s="43">
        <v>0</v>
      </c>
      <c r="J34" s="43">
        <v>0</v>
      </c>
      <c r="K34" s="43">
        <v>0</v>
      </c>
      <c r="L34" s="43">
        <v>0</v>
      </c>
      <c r="M34" s="43">
        <v>0</v>
      </c>
      <c r="N34" s="43">
        <v>0</v>
      </c>
      <c r="O34" s="43">
        <v>0</v>
      </c>
      <c r="P34" s="43">
        <v>0</v>
      </c>
      <c r="Q34" s="43">
        <v>-76331388</v>
      </c>
      <c r="R34" s="43">
        <v>0</v>
      </c>
      <c r="S34" s="43">
        <v>0</v>
      </c>
      <c r="T34" s="43">
        <v>0</v>
      </c>
      <c r="U34" s="43">
        <v>0</v>
      </c>
      <c r="V34" s="44">
        <v>0</v>
      </c>
      <c r="W34" s="24"/>
    </row>
    <row r="35" spans="1:23" ht="21.75">
      <c r="A35" s="36">
        <v>1212</v>
      </c>
      <c r="B35" s="37">
        <v>12</v>
      </c>
      <c r="C35" s="45">
        <v>32</v>
      </c>
      <c r="D35" s="46" t="s">
        <v>83</v>
      </c>
      <c r="E35" s="47" t="s">
        <v>177</v>
      </c>
      <c r="F35" s="48">
        <v>-54000</v>
      </c>
      <c r="G35" s="48">
        <v>54000</v>
      </c>
      <c r="H35" s="43">
        <f t="shared" si="0"/>
        <v>0</v>
      </c>
      <c r="I35" s="43">
        <v>0</v>
      </c>
      <c r="J35" s="43">
        <v>0</v>
      </c>
      <c r="K35" s="43">
        <v>0</v>
      </c>
      <c r="L35" s="43">
        <v>0</v>
      </c>
      <c r="M35" s="43">
        <v>0</v>
      </c>
      <c r="N35" s="43">
        <v>0</v>
      </c>
      <c r="O35" s="43">
        <v>0</v>
      </c>
      <c r="P35" s="43">
        <v>0</v>
      </c>
      <c r="Q35" s="43">
        <v>-54000</v>
      </c>
      <c r="R35" s="43">
        <v>0</v>
      </c>
      <c r="S35" s="43">
        <v>0</v>
      </c>
      <c r="T35" s="43">
        <v>0</v>
      </c>
      <c r="U35" s="43">
        <v>0</v>
      </c>
      <c r="V35" s="44">
        <v>0</v>
      </c>
      <c r="W35" s="24"/>
    </row>
    <row r="36" spans="1:23" ht="21.75">
      <c r="A36" s="36">
        <v>614</v>
      </c>
      <c r="B36" s="37">
        <v>6</v>
      </c>
      <c r="C36" s="45">
        <v>33</v>
      </c>
      <c r="D36" s="46" t="s">
        <v>84</v>
      </c>
      <c r="E36" s="47" t="s">
        <v>85</v>
      </c>
      <c r="F36" s="48">
        <v>39608639</v>
      </c>
      <c r="G36" s="49"/>
      <c r="H36" s="43">
        <f t="shared" si="0"/>
        <v>0</v>
      </c>
      <c r="I36" s="43">
        <v>0</v>
      </c>
      <c r="J36" s="43">
        <v>39608639</v>
      </c>
      <c r="K36" s="43">
        <v>0</v>
      </c>
      <c r="L36" s="43">
        <v>0</v>
      </c>
      <c r="M36" s="43">
        <v>0</v>
      </c>
      <c r="N36" s="43">
        <v>0</v>
      </c>
      <c r="O36" s="43">
        <v>0</v>
      </c>
      <c r="P36" s="43">
        <v>0</v>
      </c>
      <c r="Q36" s="43">
        <v>0</v>
      </c>
      <c r="R36" s="43">
        <v>0</v>
      </c>
      <c r="S36" s="43">
        <v>0</v>
      </c>
      <c r="T36" s="43">
        <v>0</v>
      </c>
      <c r="U36" s="43">
        <v>0</v>
      </c>
      <c r="V36" s="44">
        <v>0</v>
      </c>
      <c r="W36" s="24"/>
    </row>
    <row r="37" spans="1:23" ht="21.75">
      <c r="A37" s="36">
        <v>614</v>
      </c>
      <c r="B37" s="37">
        <v>6</v>
      </c>
      <c r="C37" s="45">
        <v>34</v>
      </c>
      <c r="D37" s="46" t="s">
        <v>86</v>
      </c>
      <c r="E37" s="47" t="s">
        <v>178</v>
      </c>
      <c r="F37" s="48">
        <v>29085659</v>
      </c>
      <c r="G37" s="49"/>
      <c r="H37" s="43">
        <f t="shared" si="0"/>
        <v>0</v>
      </c>
      <c r="I37" s="43">
        <v>0</v>
      </c>
      <c r="J37" s="43">
        <v>29085659</v>
      </c>
      <c r="K37" s="43">
        <v>0</v>
      </c>
      <c r="L37" s="43">
        <v>0</v>
      </c>
      <c r="M37" s="43">
        <v>0</v>
      </c>
      <c r="N37" s="43">
        <v>0</v>
      </c>
      <c r="O37" s="43">
        <v>0</v>
      </c>
      <c r="P37" s="43">
        <v>0</v>
      </c>
      <c r="Q37" s="43">
        <v>0</v>
      </c>
      <c r="R37" s="43">
        <v>0</v>
      </c>
      <c r="S37" s="43">
        <v>0</v>
      </c>
      <c r="T37" s="43">
        <v>0</v>
      </c>
      <c r="U37" s="43">
        <v>0</v>
      </c>
      <c r="V37" s="44">
        <v>0</v>
      </c>
      <c r="W37" s="24"/>
    </row>
    <row r="38" spans="1:23" ht="21.75">
      <c r="A38" s="36">
        <v>1212</v>
      </c>
      <c r="B38" s="37">
        <v>12</v>
      </c>
      <c r="C38" s="45">
        <v>35</v>
      </c>
      <c r="D38" s="46" t="s">
        <v>87</v>
      </c>
      <c r="E38" s="47" t="s">
        <v>88</v>
      </c>
      <c r="F38" s="48">
        <v>-80000</v>
      </c>
      <c r="G38" s="48">
        <v>80000</v>
      </c>
      <c r="H38" s="43">
        <f t="shared" si="0"/>
        <v>0</v>
      </c>
      <c r="I38" s="43">
        <v>0</v>
      </c>
      <c r="J38" s="43">
        <v>0</v>
      </c>
      <c r="K38" s="43">
        <v>0</v>
      </c>
      <c r="L38" s="43">
        <v>0</v>
      </c>
      <c r="M38" s="43">
        <v>0</v>
      </c>
      <c r="N38" s="43">
        <v>0</v>
      </c>
      <c r="O38" s="43">
        <v>0</v>
      </c>
      <c r="P38" s="43">
        <v>0</v>
      </c>
      <c r="Q38" s="43">
        <v>-80000</v>
      </c>
      <c r="R38" s="43">
        <v>0</v>
      </c>
      <c r="S38" s="43">
        <v>0</v>
      </c>
      <c r="T38" s="43">
        <v>0</v>
      </c>
      <c r="U38" s="43">
        <v>0</v>
      </c>
      <c r="V38" s="44">
        <v>0</v>
      </c>
      <c r="W38" s="24"/>
    </row>
    <row r="39" spans="1:23" ht="21.75">
      <c r="A39" s="36">
        <v>1212</v>
      </c>
      <c r="B39" s="37">
        <v>12</v>
      </c>
      <c r="C39" s="45">
        <v>36</v>
      </c>
      <c r="D39" s="46" t="s">
        <v>89</v>
      </c>
      <c r="E39" s="47" t="s">
        <v>362</v>
      </c>
      <c r="F39" s="48">
        <v>-215000</v>
      </c>
      <c r="G39" s="48">
        <v>215000</v>
      </c>
      <c r="H39" s="43">
        <f t="shared" si="0"/>
        <v>0</v>
      </c>
      <c r="I39" s="43">
        <v>0</v>
      </c>
      <c r="J39" s="43">
        <v>0</v>
      </c>
      <c r="K39" s="43">
        <v>0</v>
      </c>
      <c r="L39" s="43">
        <v>0</v>
      </c>
      <c r="M39" s="43">
        <v>0</v>
      </c>
      <c r="N39" s="43">
        <v>0</v>
      </c>
      <c r="O39" s="43">
        <v>0</v>
      </c>
      <c r="P39" s="43">
        <v>0</v>
      </c>
      <c r="Q39" s="43">
        <v>-215000</v>
      </c>
      <c r="R39" s="43">
        <v>0</v>
      </c>
      <c r="S39" s="43">
        <v>0</v>
      </c>
      <c r="T39" s="43">
        <v>0</v>
      </c>
      <c r="U39" s="43">
        <v>0</v>
      </c>
      <c r="V39" s="44">
        <v>0</v>
      </c>
      <c r="W39" s="24"/>
    </row>
    <row r="40" spans="1:23" ht="21.75">
      <c r="A40" s="36">
        <v>1212</v>
      </c>
      <c r="B40" s="37">
        <v>12</v>
      </c>
      <c r="C40" s="45">
        <v>37</v>
      </c>
      <c r="D40" s="46" t="s">
        <v>90</v>
      </c>
      <c r="E40" s="47" t="s">
        <v>91</v>
      </c>
      <c r="F40" s="48">
        <v>-7554080</v>
      </c>
      <c r="G40" s="48">
        <v>7554080</v>
      </c>
      <c r="H40" s="43">
        <f t="shared" si="0"/>
        <v>0</v>
      </c>
      <c r="I40" s="43">
        <v>0</v>
      </c>
      <c r="J40" s="43">
        <v>0</v>
      </c>
      <c r="K40" s="43">
        <v>0</v>
      </c>
      <c r="L40" s="43">
        <v>0</v>
      </c>
      <c r="M40" s="43">
        <v>0</v>
      </c>
      <c r="N40" s="43">
        <v>0</v>
      </c>
      <c r="O40" s="43">
        <v>0</v>
      </c>
      <c r="P40" s="43">
        <v>0</v>
      </c>
      <c r="Q40" s="43">
        <v>-7554080</v>
      </c>
      <c r="R40" s="43">
        <v>0</v>
      </c>
      <c r="S40" s="43">
        <v>0</v>
      </c>
      <c r="T40" s="43">
        <v>0</v>
      </c>
      <c r="U40" s="43">
        <v>0</v>
      </c>
      <c r="V40" s="44">
        <v>0</v>
      </c>
      <c r="W40" s="24"/>
    </row>
    <row r="41" spans="1:23" ht="21.75">
      <c r="A41" s="36">
        <v>605</v>
      </c>
      <c r="B41" s="37">
        <v>6</v>
      </c>
      <c r="C41" s="45">
        <v>38</v>
      </c>
      <c r="D41" s="46" t="s">
        <v>92</v>
      </c>
      <c r="E41" s="47" t="s">
        <v>179</v>
      </c>
      <c r="F41" s="48">
        <v>14333354</v>
      </c>
      <c r="G41" s="49"/>
      <c r="H41" s="43">
        <f t="shared" si="0"/>
        <v>0</v>
      </c>
      <c r="I41" s="43">
        <v>0</v>
      </c>
      <c r="J41" s="43">
        <v>14333354</v>
      </c>
      <c r="K41" s="43">
        <v>0</v>
      </c>
      <c r="L41" s="43">
        <v>0</v>
      </c>
      <c r="M41" s="43">
        <v>0</v>
      </c>
      <c r="N41" s="43">
        <v>0</v>
      </c>
      <c r="O41" s="43">
        <v>0</v>
      </c>
      <c r="P41" s="43">
        <v>0</v>
      </c>
      <c r="Q41" s="43">
        <v>0</v>
      </c>
      <c r="R41" s="43">
        <v>0</v>
      </c>
      <c r="S41" s="43">
        <v>0</v>
      </c>
      <c r="T41" s="43">
        <v>0</v>
      </c>
      <c r="U41" s="43">
        <v>0</v>
      </c>
      <c r="V41" s="44">
        <v>0</v>
      </c>
      <c r="W41" s="24"/>
    </row>
    <row r="42" spans="1:23" ht="21.75">
      <c r="A42" s="36">
        <v>1212</v>
      </c>
      <c r="B42" s="37">
        <v>12</v>
      </c>
      <c r="C42" s="45">
        <v>39</v>
      </c>
      <c r="D42" s="46" t="s">
        <v>93</v>
      </c>
      <c r="E42" s="47" t="s">
        <v>561</v>
      </c>
      <c r="F42" s="48">
        <v>-600000</v>
      </c>
      <c r="G42" s="48">
        <v>600000</v>
      </c>
      <c r="H42" s="43">
        <f t="shared" si="0"/>
        <v>0</v>
      </c>
      <c r="I42" s="43">
        <v>0</v>
      </c>
      <c r="J42" s="43">
        <v>0</v>
      </c>
      <c r="K42" s="43">
        <v>0</v>
      </c>
      <c r="L42" s="43">
        <v>0</v>
      </c>
      <c r="M42" s="43">
        <v>0</v>
      </c>
      <c r="N42" s="43">
        <v>0</v>
      </c>
      <c r="O42" s="43">
        <v>0</v>
      </c>
      <c r="P42" s="43">
        <v>0</v>
      </c>
      <c r="Q42" s="43">
        <v>-600000</v>
      </c>
      <c r="R42" s="43">
        <v>0</v>
      </c>
      <c r="S42" s="43">
        <v>0</v>
      </c>
      <c r="T42" s="43">
        <v>0</v>
      </c>
      <c r="U42" s="43">
        <v>0</v>
      </c>
      <c r="V42" s="44">
        <v>0</v>
      </c>
      <c r="W42" s="24"/>
    </row>
    <row r="43" spans="1:23" ht="21.75">
      <c r="A43" s="36">
        <v>1212</v>
      </c>
      <c r="B43" s="37">
        <v>12</v>
      </c>
      <c r="C43" s="45">
        <v>40</v>
      </c>
      <c r="D43" s="46" t="s">
        <v>562</v>
      </c>
      <c r="E43" s="47" t="s">
        <v>563</v>
      </c>
      <c r="F43" s="48">
        <v>-390608</v>
      </c>
      <c r="G43" s="48">
        <v>390608</v>
      </c>
      <c r="H43" s="43">
        <f t="shared" si="0"/>
        <v>0</v>
      </c>
      <c r="I43" s="43">
        <v>0</v>
      </c>
      <c r="J43" s="43">
        <v>0</v>
      </c>
      <c r="K43" s="43">
        <v>0</v>
      </c>
      <c r="L43" s="43">
        <v>0</v>
      </c>
      <c r="M43" s="43">
        <v>0</v>
      </c>
      <c r="N43" s="43">
        <v>0</v>
      </c>
      <c r="O43" s="43">
        <v>0</v>
      </c>
      <c r="P43" s="43">
        <v>0</v>
      </c>
      <c r="Q43" s="43">
        <v>-390608</v>
      </c>
      <c r="R43" s="43">
        <v>0</v>
      </c>
      <c r="S43" s="43">
        <v>0</v>
      </c>
      <c r="T43" s="43">
        <v>0</v>
      </c>
      <c r="U43" s="43">
        <v>0</v>
      </c>
      <c r="V43" s="44">
        <v>0</v>
      </c>
      <c r="W43" s="24"/>
    </row>
    <row r="44" spans="1:23" ht="21.75">
      <c r="A44" s="36">
        <v>1212</v>
      </c>
      <c r="B44" s="37">
        <v>12</v>
      </c>
      <c r="C44" s="45">
        <v>41</v>
      </c>
      <c r="D44" s="46" t="s">
        <v>564</v>
      </c>
      <c r="E44" s="47" t="s">
        <v>183</v>
      </c>
      <c r="F44" s="48">
        <v>-1065760</v>
      </c>
      <c r="G44" s="48">
        <v>1065760</v>
      </c>
      <c r="H44" s="43">
        <f t="shared" si="0"/>
        <v>0</v>
      </c>
      <c r="I44" s="43">
        <v>0</v>
      </c>
      <c r="J44" s="43">
        <v>0</v>
      </c>
      <c r="K44" s="43">
        <v>0</v>
      </c>
      <c r="L44" s="43">
        <v>0</v>
      </c>
      <c r="M44" s="43">
        <v>0</v>
      </c>
      <c r="N44" s="43">
        <v>0</v>
      </c>
      <c r="O44" s="43">
        <v>0</v>
      </c>
      <c r="P44" s="43">
        <v>0</v>
      </c>
      <c r="Q44" s="43">
        <v>-1065760</v>
      </c>
      <c r="R44" s="43">
        <v>0</v>
      </c>
      <c r="S44" s="43">
        <v>0</v>
      </c>
      <c r="T44" s="43">
        <v>0</v>
      </c>
      <c r="U44" s="43">
        <v>0</v>
      </c>
      <c r="V44" s="44">
        <v>0</v>
      </c>
      <c r="W44" s="24"/>
    </row>
    <row r="45" spans="1:23" ht="21.75">
      <c r="A45" s="36">
        <v>605</v>
      </c>
      <c r="B45" s="37">
        <v>6</v>
      </c>
      <c r="C45" s="45">
        <v>42</v>
      </c>
      <c r="D45" s="46" t="s">
        <v>184</v>
      </c>
      <c r="E45" s="47" t="s">
        <v>161</v>
      </c>
      <c r="F45" s="48">
        <v>5266734</v>
      </c>
      <c r="G45" s="49"/>
      <c r="H45" s="43">
        <f t="shared" si="0"/>
        <v>0</v>
      </c>
      <c r="I45" s="43">
        <v>0</v>
      </c>
      <c r="J45" s="43">
        <v>5266734</v>
      </c>
      <c r="K45" s="43">
        <v>0</v>
      </c>
      <c r="L45" s="43">
        <v>0</v>
      </c>
      <c r="M45" s="43">
        <v>0</v>
      </c>
      <c r="N45" s="43">
        <v>0</v>
      </c>
      <c r="O45" s="43">
        <v>0</v>
      </c>
      <c r="P45" s="43">
        <v>0</v>
      </c>
      <c r="Q45" s="43">
        <v>0</v>
      </c>
      <c r="R45" s="43">
        <v>0</v>
      </c>
      <c r="S45" s="43">
        <v>0</v>
      </c>
      <c r="T45" s="43">
        <v>0</v>
      </c>
      <c r="U45" s="43">
        <v>0</v>
      </c>
      <c r="V45" s="44">
        <v>0</v>
      </c>
      <c r="W45" s="24"/>
    </row>
    <row r="46" spans="1:23" ht="21.75">
      <c r="A46" s="36">
        <v>1212</v>
      </c>
      <c r="B46" s="37">
        <v>12</v>
      </c>
      <c r="C46" s="45">
        <v>43</v>
      </c>
      <c r="D46" s="46" t="s">
        <v>479</v>
      </c>
      <c r="E46" s="47" t="s">
        <v>218</v>
      </c>
      <c r="F46" s="48">
        <v>-42446679</v>
      </c>
      <c r="G46" s="48">
        <v>42446679</v>
      </c>
      <c r="H46" s="43">
        <f t="shared" si="0"/>
        <v>0</v>
      </c>
      <c r="I46" s="43">
        <v>0</v>
      </c>
      <c r="J46" s="43">
        <v>0</v>
      </c>
      <c r="K46" s="43">
        <v>0</v>
      </c>
      <c r="L46" s="43">
        <v>0</v>
      </c>
      <c r="M46" s="43">
        <v>0</v>
      </c>
      <c r="N46" s="43">
        <v>0</v>
      </c>
      <c r="O46" s="43">
        <v>0</v>
      </c>
      <c r="P46" s="43">
        <v>0</v>
      </c>
      <c r="Q46" s="43">
        <v>-42446679</v>
      </c>
      <c r="R46" s="43">
        <v>0</v>
      </c>
      <c r="S46" s="43">
        <v>0</v>
      </c>
      <c r="T46" s="43">
        <v>0</v>
      </c>
      <c r="U46" s="43">
        <v>0</v>
      </c>
      <c r="V46" s="44">
        <v>0</v>
      </c>
      <c r="W46" s="24"/>
    </row>
    <row r="47" spans="1:23" ht="21.75">
      <c r="A47" s="36">
        <v>605</v>
      </c>
      <c r="B47" s="37">
        <v>6</v>
      </c>
      <c r="C47" s="45">
        <v>44</v>
      </c>
      <c r="D47" s="46" t="s">
        <v>480</v>
      </c>
      <c r="E47" s="47" t="s">
        <v>219</v>
      </c>
      <c r="F47" s="48">
        <v>122098166</v>
      </c>
      <c r="G47" s="49"/>
      <c r="H47" s="43">
        <f t="shared" si="0"/>
        <v>0</v>
      </c>
      <c r="I47" s="43">
        <v>0</v>
      </c>
      <c r="J47" s="43">
        <v>122098166</v>
      </c>
      <c r="K47" s="43">
        <v>0</v>
      </c>
      <c r="L47" s="43">
        <v>0</v>
      </c>
      <c r="M47" s="43">
        <v>0</v>
      </c>
      <c r="N47" s="43">
        <v>0</v>
      </c>
      <c r="O47" s="43">
        <v>0</v>
      </c>
      <c r="P47" s="43">
        <v>0</v>
      </c>
      <c r="Q47" s="43">
        <v>0</v>
      </c>
      <c r="R47" s="43">
        <v>0</v>
      </c>
      <c r="S47" s="43">
        <v>0</v>
      </c>
      <c r="T47" s="43">
        <v>0</v>
      </c>
      <c r="U47" s="43">
        <v>0</v>
      </c>
      <c r="V47" s="44">
        <v>0</v>
      </c>
      <c r="W47" s="24"/>
    </row>
    <row r="48" spans="1:23" ht="21.75">
      <c r="A48" s="36">
        <v>1212</v>
      </c>
      <c r="B48" s="37">
        <v>12</v>
      </c>
      <c r="C48" s="45">
        <v>45</v>
      </c>
      <c r="D48" s="46" t="s">
        <v>481</v>
      </c>
      <c r="E48" s="47" t="s">
        <v>482</v>
      </c>
      <c r="F48" s="48">
        <v>-3600000</v>
      </c>
      <c r="G48" s="48">
        <v>3600000</v>
      </c>
      <c r="H48" s="43">
        <f t="shared" si="0"/>
        <v>0</v>
      </c>
      <c r="I48" s="43">
        <v>0</v>
      </c>
      <c r="J48" s="43">
        <v>0</v>
      </c>
      <c r="K48" s="43">
        <v>0</v>
      </c>
      <c r="L48" s="43">
        <v>0</v>
      </c>
      <c r="M48" s="43">
        <v>0</v>
      </c>
      <c r="N48" s="43">
        <v>0</v>
      </c>
      <c r="O48" s="43">
        <v>0</v>
      </c>
      <c r="P48" s="43">
        <v>0</v>
      </c>
      <c r="Q48" s="43">
        <v>-3600000</v>
      </c>
      <c r="R48" s="43">
        <v>0</v>
      </c>
      <c r="S48" s="43">
        <v>0</v>
      </c>
      <c r="T48" s="43">
        <v>0</v>
      </c>
      <c r="U48" s="43">
        <v>0</v>
      </c>
      <c r="V48" s="44">
        <v>0</v>
      </c>
      <c r="W48" s="24"/>
    </row>
    <row r="49" spans="1:23" ht="21.75">
      <c r="A49" s="36">
        <v>605</v>
      </c>
      <c r="B49" s="37">
        <v>6</v>
      </c>
      <c r="C49" s="45">
        <v>46</v>
      </c>
      <c r="D49" s="46" t="s">
        <v>483</v>
      </c>
      <c r="E49" s="47" t="s">
        <v>484</v>
      </c>
      <c r="F49" s="48">
        <v>690000000</v>
      </c>
      <c r="G49" s="49"/>
      <c r="H49" s="43">
        <f t="shared" si="0"/>
        <v>0</v>
      </c>
      <c r="I49" s="43">
        <v>0</v>
      </c>
      <c r="J49" s="43">
        <v>690000000</v>
      </c>
      <c r="K49" s="43">
        <v>0</v>
      </c>
      <c r="L49" s="43">
        <v>0</v>
      </c>
      <c r="M49" s="43">
        <v>0</v>
      </c>
      <c r="N49" s="43">
        <v>0</v>
      </c>
      <c r="O49" s="43">
        <v>0</v>
      </c>
      <c r="P49" s="43">
        <v>0</v>
      </c>
      <c r="Q49" s="43">
        <v>0</v>
      </c>
      <c r="R49" s="43">
        <v>0</v>
      </c>
      <c r="S49" s="43">
        <v>0</v>
      </c>
      <c r="T49" s="43">
        <v>0</v>
      </c>
      <c r="U49" s="43">
        <v>0</v>
      </c>
      <c r="V49" s="44">
        <v>0</v>
      </c>
      <c r="W49" s="24"/>
    </row>
    <row r="50" spans="1:23" ht="21.75">
      <c r="A50" s="36">
        <v>1212</v>
      </c>
      <c r="B50" s="37">
        <v>12</v>
      </c>
      <c r="C50" s="45">
        <v>47</v>
      </c>
      <c r="D50" s="46" t="s">
        <v>0</v>
      </c>
      <c r="E50" s="47" t="s">
        <v>1</v>
      </c>
      <c r="F50" s="48">
        <v>-940000</v>
      </c>
      <c r="G50" s="48">
        <v>940000</v>
      </c>
      <c r="H50" s="43">
        <f t="shared" si="0"/>
        <v>0</v>
      </c>
      <c r="I50" s="43">
        <v>0</v>
      </c>
      <c r="J50" s="43">
        <v>0</v>
      </c>
      <c r="K50" s="43">
        <v>0</v>
      </c>
      <c r="L50" s="43">
        <v>0</v>
      </c>
      <c r="M50" s="43">
        <v>0</v>
      </c>
      <c r="N50" s="43">
        <v>0</v>
      </c>
      <c r="O50" s="43">
        <v>0</v>
      </c>
      <c r="P50" s="43">
        <v>0</v>
      </c>
      <c r="Q50" s="43">
        <v>-940000</v>
      </c>
      <c r="R50" s="43">
        <v>0</v>
      </c>
      <c r="S50" s="43">
        <v>0</v>
      </c>
      <c r="T50" s="43">
        <v>0</v>
      </c>
      <c r="U50" s="43">
        <v>0</v>
      </c>
      <c r="V50" s="44">
        <v>0</v>
      </c>
      <c r="W50" s="24"/>
    </row>
    <row r="51" spans="1:23" ht="21.75">
      <c r="A51" s="36">
        <v>605</v>
      </c>
      <c r="B51" s="37">
        <v>6</v>
      </c>
      <c r="C51" s="45">
        <v>48</v>
      </c>
      <c r="D51" s="46" t="s">
        <v>2</v>
      </c>
      <c r="E51" s="47" t="s">
        <v>475</v>
      </c>
      <c r="F51" s="48">
        <v>137875669</v>
      </c>
      <c r="G51" s="49"/>
      <c r="H51" s="43">
        <f t="shared" si="0"/>
        <v>0</v>
      </c>
      <c r="I51" s="43">
        <v>0</v>
      </c>
      <c r="J51" s="43">
        <v>137875669</v>
      </c>
      <c r="K51" s="43">
        <v>0</v>
      </c>
      <c r="L51" s="43">
        <v>0</v>
      </c>
      <c r="M51" s="43">
        <v>0</v>
      </c>
      <c r="N51" s="43">
        <v>0</v>
      </c>
      <c r="O51" s="43">
        <v>0</v>
      </c>
      <c r="P51" s="43">
        <v>0</v>
      </c>
      <c r="Q51" s="43">
        <v>0</v>
      </c>
      <c r="R51" s="43">
        <v>0</v>
      </c>
      <c r="S51" s="43">
        <v>0</v>
      </c>
      <c r="T51" s="43">
        <v>0</v>
      </c>
      <c r="U51" s="43">
        <v>0</v>
      </c>
      <c r="V51" s="44">
        <v>0</v>
      </c>
      <c r="W51" s="24"/>
    </row>
    <row r="52" spans="1:23" ht="21.75">
      <c r="A52" s="36">
        <v>605</v>
      </c>
      <c r="B52" s="37">
        <v>6</v>
      </c>
      <c r="C52" s="45">
        <v>49</v>
      </c>
      <c r="D52" s="46" t="s">
        <v>3</v>
      </c>
      <c r="E52" s="47" t="s">
        <v>439</v>
      </c>
      <c r="F52" s="48">
        <v>80000</v>
      </c>
      <c r="G52" s="49"/>
      <c r="H52" s="43">
        <f t="shared" si="0"/>
        <v>0</v>
      </c>
      <c r="I52" s="43">
        <v>0</v>
      </c>
      <c r="J52" s="43">
        <v>80000</v>
      </c>
      <c r="K52" s="43">
        <v>0</v>
      </c>
      <c r="L52" s="43">
        <v>0</v>
      </c>
      <c r="M52" s="43">
        <v>0</v>
      </c>
      <c r="N52" s="43">
        <v>0</v>
      </c>
      <c r="O52" s="43">
        <v>0</v>
      </c>
      <c r="P52" s="43">
        <v>0</v>
      </c>
      <c r="Q52" s="43">
        <v>0</v>
      </c>
      <c r="R52" s="43">
        <v>0</v>
      </c>
      <c r="S52" s="43">
        <v>0</v>
      </c>
      <c r="T52" s="43">
        <v>0</v>
      </c>
      <c r="U52" s="43">
        <v>0</v>
      </c>
      <c r="V52" s="44">
        <v>0</v>
      </c>
      <c r="W52" s="24"/>
    </row>
    <row r="53" spans="1:23" ht="21.75">
      <c r="A53" s="36">
        <v>1212</v>
      </c>
      <c r="B53" s="37">
        <v>12</v>
      </c>
      <c r="C53" s="45">
        <v>50</v>
      </c>
      <c r="D53" s="46" t="s">
        <v>4</v>
      </c>
      <c r="E53" s="47" t="s">
        <v>440</v>
      </c>
      <c r="F53" s="48">
        <v>-1248162991</v>
      </c>
      <c r="G53" s="48">
        <v>1248162991</v>
      </c>
      <c r="H53" s="43">
        <f t="shared" si="0"/>
        <v>0</v>
      </c>
      <c r="I53" s="43">
        <v>0</v>
      </c>
      <c r="J53" s="43">
        <v>0</v>
      </c>
      <c r="K53" s="43">
        <v>0</v>
      </c>
      <c r="L53" s="43">
        <v>0</v>
      </c>
      <c r="M53" s="43">
        <v>0</v>
      </c>
      <c r="N53" s="43">
        <v>0</v>
      </c>
      <c r="O53" s="43">
        <v>0</v>
      </c>
      <c r="P53" s="43">
        <v>0</v>
      </c>
      <c r="Q53" s="43">
        <v>-1248162991</v>
      </c>
      <c r="R53" s="43">
        <v>0</v>
      </c>
      <c r="S53" s="43">
        <v>0</v>
      </c>
      <c r="T53" s="43">
        <v>0</v>
      </c>
      <c r="U53" s="43">
        <v>0</v>
      </c>
      <c r="V53" s="44">
        <v>0</v>
      </c>
      <c r="W53" s="24"/>
    </row>
    <row r="54" spans="1:23" ht="21.75">
      <c r="A54" s="36">
        <v>1212</v>
      </c>
      <c r="B54" s="37">
        <v>12</v>
      </c>
      <c r="C54" s="45">
        <v>51</v>
      </c>
      <c r="D54" s="46" t="s">
        <v>5</v>
      </c>
      <c r="E54" s="47" t="s">
        <v>226</v>
      </c>
      <c r="F54" s="48">
        <v>-266473937</v>
      </c>
      <c r="G54" s="48">
        <v>266473937</v>
      </c>
      <c r="H54" s="43">
        <f t="shared" si="0"/>
        <v>0</v>
      </c>
      <c r="I54" s="43">
        <v>0</v>
      </c>
      <c r="J54" s="43">
        <v>0</v>
      </c>
      <c r="K54" s="43">
        <v>0</v>
      </c>
      <c r="L54" s="43">
        <v>0</v>
      </c>
      <c r="M54" s="43">
        <v>0</v>
      </c>
      <c r="N54" s="43">
        <v>0</v>
      </c>
      <c r="O54" s="43">
        <v>0</v>
      </c>
      <c r="P54" s="43">
        <v>0</v>
      </c>
      <c r="Q54" s="43">
        <v>-266473937</v>
      </c>
      <c r="R54" s="43">
        <v>0</v>
      </c>
      <c r="S54" s="43">
        <v>0</v>
      </c>
      <c r="T54" s="43">
        <v>0</v>
      </c>
      <c r="U54" s="43">
        <v>0</v>
      </c>
      <c r="V54" s="44">
        <v>0</v>
      </c>
      <c r="W54" s="24"/>
    </row>
    <row r="55" spans="1:23" ht="21.75">
      <c r="A55" s="36">
        <v>605</v>
      </c>
      <c r="B55" s="37">
        <v>6</v>
      </c>
      <c r="C55" s="45">
        <v>52</v>
      </c>
      <c r="D55" s="46" t="s">
        <v>6</v>
      </c>
      <c r="E55" s="47" t="s">
        <v>204</v>
      </c>
      <c r="F55" s="48">
        <v>1676667605</v>
      </c>
      <c r="G55" s="49"/>
      <c r="H55" s="43">
        <f t="shared" si="0"/>
        <v>0</v>
      </c>
      <c r="I55" s="43">
        <v>0</v>
      </c>
      <c r="J55" s="43">
        <v>1676667605</v>
      </c>
      <c r="K55" s="43">
        <v>0</v>
      </c>
      <c r="L55" s="43">
        <v>0</v>
      </c>
      <c r="M55" s="43">
        <v>0</v>
      </c>
      <c r="N55" s="43">
        <v>0</v>
      </c>
      <c r="O55" s="43">
        <v>0</v>
      </c>
      <c r="P55" s="43">
        <v>0</v>
      </c>
      <c r="Q55" s="43">
        <v>0</v>
      </c>
      <c r="R55" s="43">
        <v>0</v>
      </c>
      <c r="S55" s="43">
        <v>0</v>
      </c>
      <c r="T55" s="43">
        <v>0</v>
      </c>
      <c r="U55" s="43">
        <v>0</v>
      </c>
      <c r="V55" s="44">
        <v>0</v>
      </c>
      <c r="W55" s="24"/>
    </row>
    <row r="56" spans="1:23" ht="21.75">
      <c r="A56" s="36">
        <v>605</v>
      </c>
      <c r="B56" s="37">
        <v>6</v>
      </c>
      <c r="C56" s="45">
        <v>53</v>
      </c>
      <c r="D56" s="46" t="s">
        <v>7</v>
      </c>
      <c r="E56" s="47" t="s">
        <v>180</v>
      </c>
      <c r="F56" s="48">
        <v>576670455</v>
      </c>
      <c r="G56" s="49"/>
      <c r="H56" s="43">
        <f t="shared" si="0"/>
        <v>0</v>
      </c>
      <c r="I56" s="43">
        <v>0</v>
      </c>
      <c r="J56" s="43">
        <v>576670455</v>
      </c>
      <c r="K56" s="43">
        <v>0</v>
      </c>
      <c r="L56" s="43">
        <v>0</v>
      </c>
      <c r="M56" s="43">
        <v>0</v>
      </c>
      <c r="N56" s="43">
        <v>0</v>
      </c>
      <c r="O56" s="43">
        <v>0</v>
      </c>
      <c r="P56" s="43">
        <v>0</v>
      </c>
      <c r="Q56" s="43">
        <v>0</v>
      </c>
      <c r="R56" s="43">
        <v>0</v>
      </c>
      <c r="S56" s="43">
        <v>0</v>
      </c>
      <c r="T56" s="43">
        <v>0</v>
      </c>
      <c r="U56" s="43">
        <v>0</v>
      </c>
      <c r="V56" s="44">
        <v>0</v>
      </c>
      <c r="W56" s="24"/>
    </row>
    <row r="57" spans="1:23" ht="21.75">
      <c r="A57" s="36">
        <v>605</v>
      </c>
      <c r="B57" s="37">
        <v>6</v>
      </c>
      <c r="C57" s="45">
        <v>54</v>
      </c>
      <c r="D57" s="46" t="s">
        <v>8</v>
      </c>
      <c r="E57" s="47" t="s">
        <v>203</v>
      </c>
      <c r="F57" s="48">
        <v>46342927</v>
      </c>
      <c r="G57" s="49"/>
      <c r="H57" s="43">
        <f t="shared" si="0"/>
        <v>0</v>
      </c>
      <c r="I57" s="43">
        <v>0</v>
      </c>
      <c r="J57" s="43">
        <v>46342927</v>
      </c>
      <c r="K57" s="43">
        <v>0</v>
      </c>
      <c r="L57" s="43">
        <v>0</v>
      </c>
      <c r="M57" s="43">
        <v>0</v>
      </c>
      <c r="N57" s="43">
        <v>0</v>
      </c>
      <c r="O57" s="43">
        <v>0</v>
      </c>
      <c r="P57" s="43">
        <v>0</v>
      </c>
      <c r="Q57" s="43">
        <v>0</v>
      </c>
      <c r="R57" s="43">
        <v>0</v>
      </c>
      <c r="S57" s="43">
        <v>0</v>
      </c>
      <c r="T57" s="43">
        <v>0</v>
      </c>
      <c r="U57" s="43">
        <v>0</v>
      </c>
      <c r="V57" s="44">
        <v>0</v>
      </c>
      <c r="W57" s="24"/>
    </row>
    <row r="58" spans="1:23" ht="21.75">
      <c r="A58" s="36">
        <v>1302</v>
      </c>
      <c r="B58" s="37">
        <v>13</v>
      </c>
      <c r="C58" s="45">
        <v>55</v>
      </c>
      <c r="D58" s="46" t="s">
        <v>9</v>
      </c>
      <c r="E58" s="47" t="s">
        <v>10</v>
      </c>
      <c r="F58" s="48">
        <v>-832906481408</v>
      </c>
      <c r="G58" s="48">
        <v>832906481408</v>
      </c>
      <c r="H58" s="43">
        <f t="shared" si="0"/>
        <v>0</v>
      </c>
      <c r="I58" s="43">
        <v>0</v>
      </c>
      <c r="J58" s="43">
        <v>0</v>
      </c>
      <c r="K58" s="43">
        <v>0</v>
      </c>
      <c r="L58" s="43">
        <v>0</v>
      </c>
      <c r="M58" s="43">
        <v>0</v>
      </c>
      <c r="N58" s="43">
        <v>0</v>
      </c>
      <c r="O58" s="43">
        <v>0</v>
      </c>
      <c r="P58" s="43">
        <v>0</v>
      </c>
      <c r="Q58" s="43">
        <v>0</v>
      </c>
      <c r="R58" s="43">
        <v>-832906481408</v>
      </c>
      <c r="S58" s="43">
        <v>0</v>
      </c>
      <c r="T58" s="43">
        <v>0</v>
      </c>
      <c r="U58" s="43">
        <v>0</v>
      </c>
      <c r="V58" s="44">
        <v>0</v>
      </c>
      <c r="W58" s="24"/>
    </row>
    <row r="59" spans="1:23" ht="21.75">
      <c r="A59" s="36">
        <v>1212</v>
      </c>
      <c r="B59" s="37">
        <v>12</v>
      </c>
      <c r="C59" s="45">
        <v>56</v>
      </c>
      <c r="D59" s="46" t="s">
        <v>11</v>
      </c>
      <c r="E59" s="47" t="s">
        <v>551</v>
      </c>
      <c r="F59" s="48">
        <v>-65655046</v>
      </c>
      <c r="G59" s="48">
        <v>65655046</v>
      </c>
      <c r="H59" s="43">
        <f t="shared" si="0"/>
        <v>0</v>
      </c>
      <c r="I59" s="43">
        <v>0</v>
      </c>
      <c r="J59" s="43">
        <v>0</v>
      </c>
      <c r="K59" s="43">
        <v>0</v>
      </c>
      <c r="L59" s="43">
        <v>0</v>
      </c>
      <c r="M59" s="43">
        <v>0</v>
      </c>
      <c r="N59" s="43">
        <v>0</v>
      </c>
      <c r="O59" s="43">
        <v>0</v>
      </c>
      <c r="P59" s="43">
        <v>0</v>
      </c>
      <c r="Q59" s="43">
        <v>-65655046</v>
      </c>
      <c r="R59" s="43">
        <v>0</v>
      </c>
      <c r="S59" s="43">
        <v>0</v>
      </c>
      <c r="T59" s="43">
        <v>0</v>
      </c>
      <c r="U59" s="43">
        <v>0</v>
      </c>
      <c r="V59" s="44">
        <v>0</v>
      </c>
      <c r="W59" s="24"/>
    </row>
    <row r="60" spans="1:23" ht="21.75">
      <c r="A60" s="36">
        <v>605</v>
      </c>
      <c r="B60" s="37">
        <v>6</v>
      </c>
      <c r="C60" s="45">
        <v>57</v>
      </c>
      <c r="D60" s="46" t="s">
        <v>12</v>
      </c>
      <c r="E60" s="47" t="s">
        <v>13</v>
      </c>
      <c r="F60" s="48">
        <v>22010739</v>
      </c>
      <c r="G60" s="49"/>
      <c r="H60" s="43">
        <f t="shared" si="0"/>
        <v>0</v>
      </c>
      <c r="I60" s="43">
        <v>0</v>
      </c>
      <c r="J60" s="43">
        <v>22010739</v>
      </c>
      <c r="K60" s="43">
        <v>0</v>
      </c>
      <c r="L60" s="43">
        <v>0</v>
      </c>
      <c r="M60" s="43">
        <v>0</v>
      </c>
      <c r="N60" s="43">
        <v>0</v>
      </c>
      <c r="O60" s="43">
        <v>0</v>
      </c>
      <c r="P60" s="43">
        <v>0</v>
      </c>
      <c r="Q60" s="43">
        <v>0</v>
      </c>
      <c r="R60" s="43">
        <v>0</v>
      </c>
      <c r="S60" s="43">
        <v>0</v>
      </c>
      <c r="T60" s="43">
        <v>0</v>
      </c>
      <c r="U60" s="43">
        <v>0</v>
      </c>
      <c r="V60" s="44">
        <v>0</v>
      </c>
      <c r="W60" s="24"/>
    </row>
    <row r="61" spans="1:23" ht="21.75">
      <c r="A61" s="36">
        <v>1212</v>
      </c>
      <c r="B61" s="37">
        <v>12</v>
      </c>
      <c r="C61" s="45">
        <v>58</v>
      </c>
      <c r="D61" s="46" t="s">
        <v>14</v>
      </c>
      <c r="E61" s="47" t="s">
        <v>363</v>
      </c>
      <c r="F61" s="48">
        <v>-931084120</v>
      </c>
      <c r="G61" s="48">
        <v>931084120</v>
      </c>
      <c r="H61" s="43">
        <f t="shared" si="0"/>
        <v>0</v>
      </c>
      <c r="I61" s="43">
        <v>0</v>
      </c>
      <c r="J61" s="43">
        <v>0</v>
      </c>
      <c r="K61" s="43">
        <v>0</v>
      </c>
      <c r="L61" s="43">
        <v>0</v>
      </c>
      <c r="M61" s="43">
        <v>0</v>
      </c>
      <c r="N61" s="43">
        <v>0</v>
      </c>
      <c r="O61" s="43">
        <v>0</v>
      </c>
      <c r="P61" s="43">
        <v>0</v>
      </c>
      <c r="Q61" s="43">
        <v>-931084120</v>
      </c>
      <c r="R61" s="43">
        <v>0</v>
      </c>
      <c r="S61" s="43">
        <v>0</v>
      </c>
      <c r="T61" s="43">
        <v>0</v>
      </c>
      <c r="U61" s="43">
        <v>0</v>
      </c>
      <c r="V61" s="44">
        <v>0</v>
      </c>
      <c r="W61" s="24"/>
    </row>
    <row r="62" spans="1:23" ht="21.75">
      <c r="A62" s="36">
        <v>1212</v>
      </c>
      <c r="B62" s="37">
        <v>12</v>
      </c>
      <c r="C62" s="45">
        <v>59</v>
      </c>
      <c r="D62" s="46" t="s">
        <v>15</v>
      </c>
      <c r="E62" s="47" t="s">
        <v>552</v>
      </c>
      <c r="F62" s="48">
        <v>-91264000</v>
      </c>
      <c r="G62" s="48">
        <v>91264000</v>
      </c>
      <c r="H62" s="43">
        <f t="shared" si="0"/>
        <v>0</v>
      </c>
      <c r="I62" s="43">
        <v>0</v>
      </c>
      <c r="J62" s="43">
        <v>0</v>
      </c>
      <c r="K62" s="43">
        <v>0</v>
      </c>
      <c r="L62" s="43">
        <v>0</v>
      </c>
      <c r="M62" s="43">
        <v>0</v>
      </c>
      <c r="N62" s="43">
        <v>0</v>
      </c>
      <c r="O62" s="43">
        <v>0</v>
      </c>
      <c r="P62" s="43">
        <v>0</v>
      </c>
      <c r="Q62" s="43">
        <v>-91264000</v>
      </c>
      <c r="R62" s="43">
        <v>0</v>
      </c>
      <c r="S62" s="43">
        <v>0</v>
      </c>
      <c r="T62" s="43">
        <v>0</v>
      </c>
      <c r="U62" s="43">
        <v>0</v>
      </c>
      <c r="V62" s="44">
        <v>0</v>
      </c>
      <c r="W62" s="24"/>
    </row>
    <row r="63" spans="1:23" ht="21.75">
      <c r="A63" s="36">
        <v>1206</v>
      </c>
      <c r="B63" s="37">
        <v>12</v>
      </c>
      <c r="C63" s="45">
        <v>60</v>
      </c>
      <c r="D63" s="46" t="s">
        <v>39</v>
      </c>
      <c r="E63" s="47" t="s">
        <v>181</v>
      </c>
      <c r="F63" s="48">
        <v>-25580306524</v>
      </c>
      <c r="G63" s="48">
        <v>25580306524</v>
      </c>
      <c r="H63" s="43">
        <f t="shared" si="0"/>
        <v>0</v>
      </c>
      <c r="I63" s="43">
        <v>0</v>
      </c>
      <c r="J63" s="43">
        <v>0</v>
      </c>
      <c r="K63" s="43">
        <v>0</v>
      </c>
      <c r="L63" s="43">
        <v>0</v>
      </c>
      <c r="M63" s="43">
        <v>0</v>
      </c>
      <c r="N63" s="43">
        <v>0</v>
      </c>
      <c r="O63" s="43">
        <v>0</v>
      </c>
      <c r="P63" s="43">
        <v>0</v>
      </c>
      <c r="Q63" s="43">
        <v>-25580306524</v>
      </c>
      <c r="R63" s="43">
        <v>0</v>
      </c>
      <c r="S63" s="43">
        <v>0</v>
      </c>
      <c r="T63" s="43">
        <v>0</v>
      </c>
      <c r="U63" s="43">
        <v>0</v>
      </c>
      <c r="V63" s="44">
        <v>0</v>
      </c>
      <c r="W63" s="24"/>
    </row>
    <row r="64" spans="1:23" ht="21.75">
      <c r="A64" s="36">
        <v>1212</v>
      </c>
      <c r="B64" s="37">
        <v>12</v>
      </c>
      <c r="C64" s="45">
        <v>61</v>
      </c>
      <c r="D64" s="46" t="s">
        <v>40</v>
      </c>
      <c r="E64" s="47" t="s">
        <v>41</v>
      </c>
      <c r="F64" s="48">
        <v>-30025818</v>
      </c>
      <c r="G64" s="48">
        <v>30025818</v>
      </c>
      <c r="H64" s="43">
        <f t="shared" si="0"/>
        <v>0</v>
      </c>
      <c r="I64" s="43">
        <v>0</v>
      </c>
      <c r="J64" s="43">
        <v>0</v>
      </c>
      <c r="K64" s="43">
        <v>0</v>
      </c>
      <c r="L64" s="43">
        <v>0</v>
      </c>
      <c r="M64" s="43">
        <v>0</v>
      </c>
      <c r="N64" s="43">
        <v>0</v>
      </c>
      <c r="O64" s="43">
        <v>0</v>
      </c>
      <c r="P64" s="43">
        <v>0</v>
      </c>
      <c r="Q64" s="43">
        <v>-30025818</v>
      </c>
      <c r="R64" s="43">
        <v>0</v>
      </c>
      <c r="S64" s="43">
        <v>0</v>
      </c>
      <c r="T64" s="43">
        <v>0</v>
      </c>
      <c r="U64" s="43">
        <v>0</v>
      </c>
      <c r="V64" s="44">
        <v>0</v>
      </c>
      <c r="W64" s="24"/>
    </row>
    <row r="65" spans="1:23" ht="21.75">
      <c r="A65" s="36">
        <v>605</v>
      </c>
      <c r="B65" s="37">
        <v>6</v>
      </c>
      <c r="C65" s="45">
        <v>62</v>
      </c>
      <c r="D65" s="46" t="s">
        <v>42</v>
      </c>
      <c r="E65" s="47" t="s">
        <v>553</v>
      </c>
      <c r="F65" s="48">
        <v>1853400</v>
      </c>
      <c r="G65" s="49"/>
      <c r="H65" s="43">
        <f t="shared" si="0"/>
        <v>0</v>
      </c>
      <c r="I65" s="43">
        <v>0</v>
      </c>
      <c r="J65" s="43">
        <v>1853400</v>
      </c>
      <c r="K65" s="43">
        <v>0</v>
      </c>
      <c r="L65" s="43">
        <v>0</v>
      </c>
      <c r="M65" s="43">
        <v>0</v>
      </c>
      <c r="N65" s="43">
        <v>0</v>
      </c>
      <c r="O65" s="43">
        <v>0</v>
      </c>
      <c r="P65" s="43">
        <v>0</v>
      </c>
      <c r="Q65" s="43">
        <v>0</v>
      </c>
      <c r="R65" s="43">
        <v>0</v>
      </c>
      <c r="S65" s="43">
        <v>0</v>
      </c>
      <c r="T65" s="43">
        <v>0</v>
      </c>
      <c r="U65" s="43">
        <v>0</v>
      </c>
      <c r="V65" s="44">
        <v>0</v>
      </c>
      <c r="W65" s="24"/>
    </row>
    <row r="66" spans="1:23" ht="21.75">
      <c r="A66" s="36">
        <v>605</v>
      </c>
      <c r="B66" s="37">
        <v>6</v>
      </c>
      <c r="C66" s="45">
        <v>63</v>
      </c>
      <c r="D66" s="46" t="s">
        <v>43</v>
      </c>
      <c r="E66" s="47" t="s">
        <v>554</v>
      </c>
      <c r="F66" s="48">
        <v>3700980</v>
      </c>
      <c r="G66" s="49"/>
      <c r="H66" s="43">
        <f t="shared" si="0"/>
        <v>0</v>
      </c>
      <c r="I66" s="43">
        <v>0</v>
      </c>
      <c r="J66" s="43">
        <v>3700980</v>
      </c>
      <c r="K66" s="43">
        <v>0</v>
      </c>
      <c r="L66" s="43">
        <v>0</v>
      </c>
      <c r="M66" s="43">
        <v>0</v>
      </c>
      <c r="N66" s="43">
        <v>0</v>
      </c>
      <c r="O66" s="43">
        <v>0</v>
      </c>
      <c r="P66" s="43">
        <v>0</v>
      </c>
      <c r="Q66" s="43">
        <v>0</v>
      </c>
      <c r="R66" s="43">
        <v>0</v>
      </c>
      <c r="S66" s="43">
        <v>0</v>
      </c>
      <c r="T66" s="43">
        <v>0</v>
      </c>
      <c r="U66" s="43">
        <v>0</v>
      </c>
      <c r="V66" s="44">
        <v>0</v>
      </c>
      <c r="W66" s="24"/>
    </row>
    <row r="67" spans="1:23" ht="21.75">
      <c r="A67" s="36">
        <v>1212</v>
      </c>
      <c r="B67" s="37">
        <v>12</v>
      </c>
      <c r="C67" s="45">
        <v>64</v>
      </c>
      <c r="D67" s="46" t="s">
        <v>44</v>
      </c>
      <c r="E67" s="47" t="s">
        <v>182</v>
      </c>
      <c r="F67" s="48">
        <v>-550132</v>
      </c>
      <c r="G67" s="48">
        <v>550132</v>
      </c>
      <c r="H67" s="43">
        <f t="shared" si="0"/>
        <v>0</v>
      </c>
      <c r="I67" s="43">
        <v>0</v>
      </c>
      <c r="J67" s="43">
        <v>0</v>
      </c>
      <c r="K67" s="43">
        <v>0</v>
      </c>
      <c r="L67" s="43">
        <v>0</v>
      </c>
      <c r="M67" s="43">
        <v>0</v>
      </c>
      <c r="N67" s="43">
        <v>0</v>
      </c>
      <c r="O67" s="43">
        <v>0</v>
      </c>
      <c r="P67" s="43">
        <v>0</v>
      </c>
      <c r="Q67" s="43">
        <v>-550132</v>
      </c>
      <c r="R67" s="43">
        <v>0</v>
      </c>
      <c r="S67" s="43">
        <v>0</v>
      </c>
      <c r="T67" s="43">
        <v>0</v>
      </c>
      <c r="U67" s="43">
        <v>0</v>
      </c>
      <c r="V67" s="44">
        <v>0</v>
      </c>
      <c r="W67" s="24"/>
    </row>
    <row r="68" spans="1:23" ht="21.75">
      <c r="A68" s="36">
        <v>605</v>
      </c>
      <c r="B68" s="37">
        <v>6</v>
      </c>
      <c r="C68" s="45">
        <v>65</v>
      </c>
      <c r="D68" s="46" t="s">
        <v>45</v>
      </c>
      <c r="E68" s="47" t="s">
        <v>46</v>
      </c>
      <c r="F68" s="48">
        <v>1416535033</v>
      </c>
      <c r="G68" s="49"/>
      <c r="H68" s="43">
        <f t="shared" si="0"/>
        <v>0</v>
      </c>
      <c r="I68" s="43">
        <v>0</v>
      </c>
      <c r="J68" s="43">
        <v>1416535033</v>
      </c>
      <c r="K68" s="43">
        <v>0</v>
      </c>
      <c r="L68" s="43">
        <v>0</v>
      </c>
      <c r="M68" s="43">
        <v>0</v>
      </c>
      <c r="N68" s="43">
        <v>0</v>
      </c>
      <c r="O68" s="43">
        <v>0</v>
      </c>
      <c r="P68" s="43">
        <v>0</v>
      </c>
      <c r="Q68" s="43">
        <v>0</v>
      </c>
      <c r="R68" s="43">
        <v>0</v>
      </c>
      <c r="S68" s="43">
        <v>0</v>
      </c>
      <c r="T68" s="43">
        <v>0</v>
      </c>
      <c r="U68" s="43">
        <v>0</v>
      </c>
      <c r="V68" s="44">
        <v>0</v>
      </c>
      <c r="W68" s="24"/>
    </row>
    <row r="69" spans="1:23" ht="21.75">
      <c r="A69" s="36">
        <v>1212</v>
      </c>
      <c r="B69" s="37">
        <v>12</v>
      </c>
      <c r="C69" s="45">
        <v>66</v>
      </c>
      <c r="D69" s="46" t="s">
        <v>47</v>
      </c>
      <c r="E69" s="47" t="s">
        <v>555</v>
      </c>
      <c r="F69" s="48">
        <v>-686470126</v>
      </c>
      <c r="G69" s="48">
        <v>686470126</v>
      </c>
      <c r="H69" s="43">
        <f t="shared" ref="H69:H132" si="1">IF($B69=$H$3,$F69,0)</f>
        <v>0</v>
      </c>
      <c r="I69" s="43">
        <v>0</v>
      </c>
      <c r="J69" s="43">
        <v>0</v>
      </c>
      <c r="K69" s="43">
        <v>0</v>
      </c>
      <c r="L69" s="43">
        <v>0</v>
      </c>
      <c r="M69" s="43">
        <v>0</v>
      </c>
      <c r="N69" s="43">
        <v>0</v>
      </c>
      <c r="O69" s="43">
        <v>0</v>
      </c>
      <c r="P69" s="43">
        <v>0</v>
      </c>
      <c r="Q69" s="43">
        <v>-686470126</v>
      </c>
      <c r="R69" s="43">
        <v>0</v>
      </c>
      <c r="S69" s="43">
        <v>0</v>
      </c>
      <c r="T69" s="43">
        <v>0</v>
      </c>
      <c r="U69" s="43">
        <v>0</v>
      </c>
      <c r="V69" s="44">
        <v>0</v>
      </c>
      <c r="W69" s="24"/>
    </row>
    <row r="70" spans="1:23" ht="21.75">
      <c r="A70" s="36">
        <v>611</v>
      </c>
      <c r="B70" s="37">
        <v>6</v>
      </c>
      <c r="C70" s="45">
        <v>67</v>
      </c>
      <c r="D70" s="46" t="s">
        <v>48</v>
      </c>
      <c r="E70" s="47" t="s">
        <v>49</v>
      </c>
      <c r="F70" s="48">
        <v>18569699322</v>
      </c>
      <c r="G70" s="49"/>
      <c r="H70" s="43">
        <f t="shared" si="1"/>
        <v>0</v>
      </c>
      <c r="I70" s="43">
        <v>0</v>
      </c>
      <c r="J70" s="43">
        <v>18569699322</v>
      </c>
      <c r="K70" s="43">
        <v>0</v>
      </c>
      <c r="L70" s="43">
        <v>0</v>
      </c>
      <c r="M70" s="43">
        <v>0</v>
      </c>
      <c r="N70" s="43">
        <v>0</v>
      </c>
      <c r="O70" s="43">
        <v>0</v>
      </c>
      <c r="P70" s="43">
        <v>0</v>
      </c>
      <c r="Q70" s="43">
        <v>0</v>
      </c>
      <c r="R70" s="43">
        <v>0</v>
      </c>
      <c r="S70" s="43">
        <v>0</v>
      </c>
      <c r="T70" s="43">
        <v>0</v>
      </c>
      <c r="U70" s="43">
        <v>0</v>
      </c>
      <c r="V70" s="44">
        <v>0</v>
      </c>
      <c r="W70" s="24"/>
    </row>
    <row r="71" spans="1:23" ht="21.75">
      <c r="A71" s="36">
        <v>1202</v>
      </c>
      <c r="B71" s="37">
        <v>12</v>
      </c>
      <c r="C71" s="45">
        <v>68</v>
      </c>
      <c r="D71" s="46" t="s">
        <v>50</v>
      </c>
      <c r="E71" s="47" t="s">
        <v>205</v>
      </c>
      <c r="F71" s="48">
        <v>-7936991631</v>
      </c>
      <c r="G71" s="48">
        <v>6059303546</v>
      </c>
      <c r="H71" s="43">
        <f t="shared" si="1"/>
        <v>0</v>
      </c>
      <c r="I71" s="43">
        <v>0</v>
      </c>
      <c r="J71" s="43">
        <v>0</v>
      </c>
      <c r="K71" s="43">
        <v>0</v>
      </c>
      <c r="L71" s="43">
        <v>0</v>
      </c>
      <c r="M71" s="43">
        <v>0</v>
      </c>
      <c r="N71" s="43">
        <v>0</v>
      </c>
      <c r="O71" s="43">
        <v>0</v>
      </c>
      <c r="P71" s="43">
        <v>0</v>
      </c>
      <c r="Q71" s="43">
        <v>-7936991631</v>
      </c>
      <c r="R71" s="43">
        <v>0</v>
      </c>
      <c r="S71" s="43">
        <v>0</v>
      </c>
      <c r="T71" s="43">
        <v>0</v>
      </c>
      <c r="U71" s="43">
        <v>0</v>
      </c>
      <c r="V71" s="44">
        <v>0</v>
      </c>
      <c r="W71" s="24"/>
    </row>
    <row r="72" spans="1:23" ht="21.75">
      <c r="A72" s="36">
        <v>1202</v>
      </c>
      <c r="B72" s="37">
        <v>12</v>
      </c>
      <c r="C72" s="45">
        <v>69</v>
      </c>
      <c r="D72" s="46" t="s">
        <v>51</v>
      </c>
      <c r="E72" s="47" t="s">
        <v>155</v>
      </c>
      <c r="F72" s="48">
        <v>-784408434</v>
      </c>
      <c r="G72" s="48">
        <v>784408434</v>
      </c>
      <c r="H72" s="43">
        <f t="shared" si="1"/>
        <v>0</v>
      </c>
      <c r="I72" s="43">
        <v>0</v>
      </c>
      <c r="J72" s="43">
        <v>0</v>
      </c>
      <c r="K72" s="43">
        <v>0</v>
      </c>
      <c r="L72" s="43">
        <v>0</v>
      </c>
      <c r="M72" s="43">
        <v>0</v>
      </c>
      <c r="N72" s="43">
        <v>0</v>
      </c>
      <c r="O72" s="43">
        <v>0</v>
      </c>
      <c r="P72" s="43">
        <v>0</v>
      </c>
      <c r="Q72" s="43">
        <v>-784408434</v>
      </c>
      <c r="R72" s="43">
        <v>0</v>
      </c>
      <c r="S72" s="43">
        <v>0</v>
      </c>
      <c r="T72" s="43">
        <v>0</v>
      </c>
      <c r="U72" s="43">
        <v>0</v>
      </c>
      <c r="V72" s="44">
        <v>0</v>
      </c>
      <c r="W72" s="24"/>
    </row>
    <row r="73" spans="1:23" ht="21.75">
      <c r="A73" s="36">
        <v>601</v>
      </c>
      <c r="B73" s="37">
        <v>6</v>
      </c>
      <c r="C73" s="45">
        <v>70</v>
      </c>
      <c r="D73" s="46" t="s">
        <v>52</v>
      </c>
      <c r="E73" s="47" t="s">
        <v>206</v>
      </c>
      <c r="F73" s="48">
        <v>439285151</v>
      </c>
      <c r="G73" s="49"/>
      <c r="H73" s="43">
        <f t="shared" si="1"/>
        <v>0</v>
      </c>
      <c r="I73" s="43">
        <v>0</v>
      </c>
      <c r="J73" s="43">
        <v>439285151</v>
      </c>
      <c r="K73" s="43">
        <v>0</v>
      </c>
      <c r="L73" s="43">
        <v>0</v>
      </c>
      <c r="M73" s="43">
        <v>0</v>
      </c>
      <c r="N73" s="43">
        <v>0</v>
      </c>
      <c r="O73" s="43">
        <v>0</v>
      </c>
      <c r="P73" s="43">
        <v>0</v>
      </c>
      <c r="Q73" s="43">
        <v>0</v>
      </c>
      <c r="R73" s="43">
        <v>0</v>
      </c>
      <c r="S73" s="43">
        <v>0</v>
      </c>
      <c r="T73" s="43">
        <v>0</v>
      </c>
      <c r="U73" s="43">
        <v>0</v>
      </c>
      <c r="V73" s="44">
        <v>0</v>
      </c>
      <c r="W73" s="24"/>
    </row>
    <row r="74" spans="1:23" ht="21.75">
      <c r="A74" s="36">
        <v>601</v>
      </c>
      <c r="B74" s="37">
        <v>6</v>
      </c>
      <c r="C74" s="45">
        <v>71</v>
      </c>
      <c r="D74" s="46" t="s">
        <v>53</v>
      </c>
      <c r="E74" s="47" t="s">
        <v>465</v>
      </c>
      <c r="F74" s="48">
        <v>1144011729</v>
      </c>
      <c r="G74" s="49"/>
      <c r="H74" s="43">
        <f t="shared" si="1"/>
        <v>0</v>
      </c>
      <c r="I74" s="43">
        <v>0</v>
      </c>
      <c r="J74" s="43">
        <v>1144011729</v>
      </c>
      <c r="K74" s="43">
        <v>0</v>
      </c>
      <c r="L74" s="43">
        <v>0</v>
      </c>
      <c r="M74" s="43">
        <v>0</v>
      </c>
      <c r="N74" s="43">
        <v>0</v>
      </c>
      <c r="O74" s="43">
        <v>0</v>
      </c>
      <c r="P74" s="43">
        <v>0</v>
      </c>
      <c r="Q74" s="43">
        <v>0</v>
      </c>
      <c r="R74" s="43">
        <v>0</v>
      </c>
      <c r="S74" s="43">
        <v>0</v>
      </c>
      <c r="T74" s="43">
        <v>0</v>
      </c>
      <c r="U74" s="43">
        <v>0</v>
      </c>
      <c r="V74" s="44">
        <v>0</v>
      </c>
      <c r="W74" s="24"/>
    </row>
    <row r="75" spans="1:23" ht="21.75">
      <c r="A75" s="36">
        <v>601</v>
      </c>
      <c r="B75" s="37">
        <v>6</v>
      </c>
      <c r="C75" s="45">
        <v>72</v>
      </c>
      <c r="D75" s="46" t="s">
        <v>54</v>
      </c>
      <c r="E75" s="47" t="s">
        <v>138</v>
      </c>
      <c r="F75" s="48">
        <v>-459430516</v>
      </c>
      <c r="G75" s="48">
        <v>459430516</v>
      </c>
      <c r="H75" s="43">
        <f t="shared" si="1"/>
        <v>0</v>
      </c>
      <c r="I75" s="43">
        <v>0</v>
      </c>
      <c r="J75" s="43">
        <v>-459430516</v>
      </c>
      <c r="K75" s="43">
        <v>0</v>
      </c>
      <c r="L75" s="43">
        <v>0</v>
      </c>
      <c r="M75" s="43">
        <v>0</v>
      </c>
      <c r="N75" s="43">
        <v>0</v>
      </c>
      <c r="O75" s="43">
        <v>0</v>
      </c>
      <c r="P75" s="43">
        <v>0</v>
      </c>
      <c r="Q75" s="43">
        <v>0</v>
      </c>
      <c r="R75" s="43">
        <v>0</v>
      </c>
      <c r="S75" s="43">
        <v>0</v>
      </c>
      <c r="T75" s="43">
        <v>0</v>
      </c>
      <c r="U75" s="43">
        <v>0</v>
      </c>
      <c r="V75" s="44">
        <v>0</v>
      </c>
      <c r="W75" s="24"/>
    </row>
    <row r="76" spans="1:23" ht="21.75">
      <c r="A76" s="36">
        <v>1202</v>
      </c>
      <c r="B76" s="37">
        <v>12</v>
      </c>
      <c r="C76" s="45">
        <v>73</v>
      </c>
      <c r="D76" s="46" t="s">
        <v>55</v>
      </c>
      <c r="E76" s="47" t="s">
        <v>547</v>
      </c>
      <c r="F76" s="48">
        <v>-75989018</v>
      </c>
      <c r="G76" s="48">
        <v>75989018</v>
      </c>
      <c r="H76" s="43">
        <f t="shared" si="1"/>
        <v>0</v>
      </c>
      <c r="I76" s="43">
        <v>0</v>
      </c>
      <c r="J76" s="43">
        <v>0</v>
      </c>
      <c r="K76" s="43">
        <v>0</v>
      </c>
      <c r="L76" s="43">
        <v>0</v>
      </c>
      <c r="M76" s="43">
        <v>0</v>
      </c>
      <c r="N76" s="43">
        <v>0</v>
      </c>
      <c r="O76" s="43">
        <v>0</v>
      </c>
      <c r="P76" s="43">
        <v>0</v>
      </c>
      <c r="Q76" s="43">
        <v>-75989018</v>
      </c>
      <c r="R76" s="43">
        <v>0</v>
      </c>
      <c r="S76" s="43">
        <v>0</v>
      </c>
      <c r="T76" s="43">
        <v>0</v>
      </c>
      <c r="U76" s="43">
        <v>0</v>
      </c>
      <c r="V76" s="44">
        <v>0</v>
      </c>
      <c r="W76" s="24"/>
    </row>
    <row r="77" spans="1:23" ht="21.75">
      <c r="A77" s="36">
        <v>1202</v>
      </c>
      <c r="B77" s="37">
        <v>12</v>
      </c>
      <c r="C77" s="45">
        <v>74</v>
      </c>
      <c r="D77" s="46" t="s">
        <v>56</v>
      </c>
      <c r="E77" s="47" t="s">
        <v>597</v>
      </c>
      <c r="F77" s="48">
        <v>-1937100</v>
      </c>
      <c r="G77" s="48">
        <v>1937100</v>
      </c>
      <c r="H77" s="43">
        <f t="shared" si="1"/>
        <v>0</v>
      </c>
      <c r="I77" s="43">
        <v>0</v>
      </c>
      <c r="J77" s="43">
        <v>0</v>
      </c>
      <c r="K77" s="43">
        <v>0</v>
      </c>
      <c r="L77" s="43">
        <v>0</v>
      </c>
      <c r="M77" s="43">
        <v>0</v>
      </c>
      <c r="N77" s="43">
        <v>0</v>
      </c>
      <c r="O77" s="43">
        <v>0</v>
      </c>
      <c r="P77" s="43">
        <v>0</v>
      </c>
      <c r="Q77" s="43">
        <v>-1937100</v>
      </c>
      <c r="R77" s="43">
        <v>0</v>
      </c>
      <c r="S77" s="43">
        <v>0</v>
      </c>
      <c r="T77" s="43">
        <v>0</v>
      </c>
      <c r="U77" s="43">
        <v>0</v>
      </c>
      <c r="V77" s="44">
        <v>0</v>
      </c>
      <c r="W77" s="24"/>
    </row>
    <row r="78" spans="1:23" ht="21.75">
      <c r="A78" s="36">
        <v>1202</v>
      </c>
      <c r="B78" s="37">
        <v>12</v>
      </c>
      <c r="C78" s="45">
        <v>75</v>
      </c>
      <c r="D78" s="46" t="s">
        <v>57</v>
      </c>
      <c r="E78" s="47" t="s">
        <v>137</v>
      </c>
      <c r="F78" s="48">
        <v>-1222873070</v>
      </c>
      <c r="G78" s="48">
        <v>1222873070</v>
      </c>
      <c r="H78" s="43">
        <f t="shared" si="1"/>
        <v>0</v>
      </c>
      <c r="I78" s="43">
        <v>0</v>
      </c>
      <c r="J78" s="43">
        <v>0</v>
      </c>
      <c r="K78" s="43">
        <v>0</v>
      </c>
      <c r="L78" s="43">
        <v>0</v>
      </c>
      <c r="M78" s="43">
        <v>0</v>
      </c>
      <c r="N78" s="43">
        <v>0</v>
      </c>
      <c r="O78" s="43">
        <v>0</v>
      </c>
      <c r="P78" s="43">
        <v>0</v>
      </c>
      <c r="Q78" s="43">
        <v>-1222873070</v>
      </c>
      <c r="R78" s="43">
        <v>0</v>
      </c>
      <c r="S78" s="43">
        <v>0</v>
      </c>
      <c r="T78" s="43">
        <v>0</v>
      </c>
      <c r="U78" s="43">
        <v>0</v>
      </c>
      <c r="V78" s="44">
        <v>0</v>
      </c>
      <c r="W78" s="24"/>
    </row>
    <row r="79" spans="1:23" ht="21.75">
      <c r="A79" s="36">
        <v>1202</v>
      </c>
      <c r="B79" s="37">
        <v>12</v>
      </c>
      <c r="C79" s="45">
        <v>76</v>
      </c>
      <c r="D79" s="46" t="s">
        <v>58</v>
      </c>
      <c r="E79" s="47" t="s">
        <v>466</v>
      </c>
      <c r="F79" s="48">
        <v>-8239690595</v>
      </c>
      <c r="G79" s="48">
        <v>7680398717</v>
      </c>
      <c r="H79" s="43">
        <f t="shared" si="1"/>
        <v>0</v>
      </c>
      <c r="I79" s="43">
        <v>0</v>
      </c>
      <c r="J79" s="43">
        <v>0</v>
      </c>
      <c r="K79" s="43">
        <v>0</v>
      </c>
      <c r="L79" s="43">
        <v>0</v>
      </c>
      <c r="M79" s="43">
        <v>0</v>
      </c>
      <c r="N79" s="43">
        <v>0</v>
      </c>
      <c r="O79" s="43">
        <v>0</v>
      </c>
      <c r="P79" s="43">
        <v>0</v>
      </c>
      <c r="Q79" s="43">
        <v>-8239690595</v>
      </c>
      <c r="R79" s="43">
        <v>0</v>
      </c>
      <c r="S79" s="43">
        <v>0</v>
      </c>
      <c r="T79" s="43">
        <v>0</v>
      </c>
      <c r="U79" s="43">
        <v>0</v>
      </c>
      <c r="V79" s="44">
        <v>0</v>
      </c>
      <c r="W79" s="24"/>
    </row>
    <row r="80" spans="1:23" ht="21.75">
      <c r="A80" s="36">
        <v>502</v>
      </c>
      <c r="B80" s="37">
        <v>5</v>
      </c>
      <c r="C80" s="45">
        <v>77</v>
      </c>
      <c r="D80" s="46" t="s">
        <v>59</v>
      </c>
      <c r="E80" s="47" t="s">
        <v>342</v>
      </c>
      <c r="F80" s="48">
        <v>-215551154673</v>
      </c>
      <c r="G80" s="48">
        <v>61955995709</v>
      </c>
      <c r="H80" s="43">
        <f t="shared" si="1"/>
        <v>0</v>
      </c>
      <c r="I80" s="43">
        <v>-215551154673</v>
      </c>
      <c r="J80" s="43">
        <v>0</v>
      </c>
      <c r="K80" s="43">
        <v>0</v>
      </c>
      <c r="L80" s="43">
        <v>0</v>
      </c>
      <c r="M80" s="43">
        <v>0</v>
      </c>
      <c r="N80" s="43">
        <v>0</v>
      </c>
      <c r="O80" s="43">
        <v>0</v>
      </c>
      <c r="P80" s="43">
        <v>0</v>
      </c>
      <c r="Q80" s="43">
        <v>0</v>
      </c>
      <c r="R80" s="43">
        <v>0</v>
      </c>
      <c r="S80" s="43">
        <v>0</v>
      </c>
      <c r="T80" s="43">
        <v>0</v>
      </c>
      <c r="U80" s="43">
        <v>0</v>
      </c>
      <c r="V80" s="44">
        <v>0</v>
      </c>
      <c r="W80" s="24"/>
    </row>
    <row r="81" spans="1:23" ht="21.75">
      <c r="A81" s="36">
        <v>601</v>
      </c>
      <c r="B81" s="37">
        <v>6</v>
      </c>
      <c r="C81" s="45">
        <v>78</v>
      </c>
      <c r="D81" s="46" t="s">
        <v>60</v>
      </c>
      <c r="E81" s="47" t="s">
        <v>140</v>
      </c>
      <c r="F81" s="48">
        <v>50369234635</v>
      </c>
      <c r="G81" s="49"/>
      <c r="H81" s="43">
        <f t="shared" si="1"/>
        <v>0</v>
      </c>
      <c r="I81" s="43">
        <v>0</v>
      </c>
      <c r="J81" s="43">
        <v>50369234635</v>
      </c>
      <c r="K81" s="43">
        <v>0</v>
      </c>
      <c r="L81" s="43">
        <v>0</v>
      </c>
      <c r="M81" s="43">
        <v>0</v>
      </c>
      <c r="N81" s="43">
        <v>0</v>
      </c>
      <c r="O81" s="43">
        <v>0</v>
      </c>
      <c r="P81" s="43">
        <v>0</v>
      </c>
      <c r="Q81" s="43">
        <v>0</v>
      </c>
      <c r="R81" s="43">
        <v>0</v>
      </c>
      <c r="S81" s="43">
        <v>0</v>
      </c>
      <c r="T81" s="43">
        <v>0</v>
      </c>
      <c r="U81" s="43">
        <v>0</v>
      </c>
      <c r="V81" s="44">
        <v>0</v>
      </c>
      <c r="W81" s="24"/>
    </row>
    <row r="82" spans="1:23" ht="21.75">
      <c r="A82" s="36">
        <v>601</v>
      </c>
      <c r="B82" s="37">
        <v>6</v>
      </c>
      <c r="C82" s="45">
        <v>79</v>
      </c>
      <c r="D82" s="46" t="s">
        <v>567</v>
      </c>
      <c r="E82" s="47" t="s">
        <v>536</v>
      </c>
      <c r="F82" s="48">
        <v>3808000</v>
      </c>
      <c r="G82" s="49"/>
      <c r="H82" s="43">
        <f t="shared" si="1"/>
        <v>0</v>
      </c>
      <c r="I82" s="43">
        <v>0</v>
      </c>
      <c r="J82" s="43">
        <v>3808000</v>
      </c>
      <c r="K82" s="43">
        <v>0</v>
      </c>
      <c r="L82" s="43">
        <v>0</v>
      </c>
      <c r="M82" s="43">
        <v>0</v>
      </c>
      <c r="N82" s="43">
        <v>0</v>
      </c>
      <c r="O82" s="43">
        <v>0</v>
      </c>
      <c r="P82" s="43">
        <v>0</v>
      </c>
      <c r="Q82" s="43">
        <v>0</v>
      </c>
      <c r="R82" s="43">
        <v>0</v>
      </c>
      <c r="S82" s="43">
        <v>0</v>
      </c>
      <c r="T82" s="43">
        <v>0</v>
      </c>
      <c r="U82" s="43">
        <v>0</v>
      </c>
      <c r="V82" s="44">
        <v>0</v>
      </c>
      <c r="W82" s="24"/>
    </row>
    <row r="83" spans="1:23" ht="21.75">
      <c r="A83" s="36">
        <v>1202</v>
      </c>
      <c r="B83" s="37">
        <v>12</v>
      </c>
      <c r="C83" s="45">
        <v>80</v>
      </c>
      <c r="D83" s="46" t="s">
        <v>568</v>
      </c>
      <c r="E83" s="47" t="s">
        <v>153</v>
      </c>
      <c r="F83" s="48">
        <v>-2463430957</v>
      </c>
      <c r="G83" s="48">
        <v>2463430957</v>
      </c>
      <c r="H83" s="43">
        <f t="shared" si="1"/>
        <v>0</v>
      </c>
      <c r="I83" s="43">
        <v>0</v>
      </c>
      <c r="J83" s="43">
        <v>0</v>
      </c>
      <c r="K83" s="43">
        <v>0</v>
      </c>
      <c r="L83" s="43">
        <v>0</v>
      </c>
      <c r="M83" s="43">
        <v>0</v>
      </c>
      <c r="N83" s="43">
        <v>0</v>
      </c>
      <c r="O83" s="43">
        <v>0</v>
      </c>
      <c r="P83" s="43">
        <v>0</v>
      </c>
      <c r="Q83" s="43">
        <v>-2463430957</v>
      </c>
      <c r="R83" s="43">
        <v>0</v>
      </c>
      <c r="S83" s="43">
        <v>0</v>
      </c>
      <c r="T83" s="43">
        <v>0</v>
      </c>
      <c r="U83" s="43">
        <v>0</v>
      </c>
      <c r="V83" s="44">
        <v>0</v>
      </c>
      <c r="W83" s="24"/>
    </row>
    <row r="84" spans="1:23" ht="21.75">
      <c r="A84" s="36">
        <v>1202</v>
      </c>
      <c r="B84" s="37">
        <v>12</v>
      </c>
      <c r="C84" s="45">
        <v>81</v>
      </c>
      <c r="D84" s="46" t="s">
        <v>569</v>
      </c>
      <c r="E84" s="47" t="s">
        <v>154</v>
      </c>
      <c r="F84" s="48">
        <v>-99127256</v>
      </c>
      <c r="G84" s="48">
        <v>99127256</v>
      </c>
      <c r="H84" s="43">
        <f t="shared" si="1"/>
        <v>0</v>
      </c>
      <c r="I84" s="43">
        <v>0</v>
      </c>
      <c r="J84" s="43">
        <v>0</v>
      </c>
      <c r="K84" s="43">
        <v>0</v>
      </c>
      <c r="L84" s="43">
        <v>0</v>
      </c>
      <c r="M84" s="43">
        <v>0</v>
      </c>
      <c r="N84" s="43">
        <v>0</v>
      </c>
      <c r="O84" s="43">
        <v>0</v>
      </c>
      <c r="P84" s="43">
        <v>0</v>
      </c>
      <c r="Q84" s="43">
        <v>-99127256</v>
      </c>
      <c r="R84" s="43">
        <v>0</v>
      </c>
      <c r="S84" s="43">
        <v>0</v>
      </c>
      <c r="T84" s="43">
        <v>0</v>
      </c>
      <c r="U84" s="43">
        <v>0</v>
      </c>
      <c r="V84" s="44">
        <v>0</v>
      </c>
      <c r="W84" s="24"/>
    </row>
    <row r="85" spans="1:23" ht="21.75">
      <c r="A85" s="36">
        <v>601</v>
      </c>
      <c r="B85" s="37">
        <v>6</v>
      </c>
      <c r="C85" s="45">
        <v>82</v>
      </c>
      <c r="D85" s="46" t="s">
        <v>570</v>
      </c>
      <c r="E85" s="47" t="s">
        <v>257</v>
      </c>
      <c r="F85" s="48">
        <v>57452155</v>
      </c>
      <c r="G85" s="49"/>
      <c r="H85" s="43">
        <f t="shared" si="1"/>
        <v>0</v>
      </c>
      <c r="I85" s="43">
        <v>0</v>
      </c>
      <c r="J85" s="43">
        <v>57452155</v>
      </c>
      <c r="K85" s="43">
        <v>0</v>
      </c>
      <c r="L85" s="43">
        <v>0</v>
      </c>
      <c r="M85" s="43">
        <v>0</v>
      </c>
      <c r="N85" s="43">
        <v>0</v>
      </c>
      <c r="O85" s="43">
        <v>0</v>
      </c>
      <c r="P85" s="43">
        <v>0</v>
      </c>
      <c r="Q85" s="43">
        <v>0</v>
      </c>
      <c r="R85" s="43">
        <v>0</v>
      </c>
      <c r="S85" s="43">
        <v>0</v>
      </c>
      <c r="T85" s="43">
        <v>0</v>
      </c>
      <c r="U85" s="43">
        <v>0</v>
      </c>
      <c r="V85" s="44">
        <v>0</v>
      </c>
      <c r="W85" s="24"/>
    </row>
    <row r="86" spans="1:23" ht="21.75">
      <c r="A86" s="36">
        <v>601</v>
      </c>
      <c r="B86" s="37">
        <v>6</v>
      </c>
      <c r="C86" s="45">
        <v>83</v>
      </c>
      <c r="D86" s="46" t="s">
        <v>571</v>
      </c>
      <c r="E86" s="47" t="s">
        <v>259</v>
      </c>
      <c r="F86" s="48">
        <v>82111378</v>
      </c>
      <c r="G86" s="49"/>
      <c r="H86" s="43">
        <f t="shared" si="1"/>
        <v>0</v>
      </c>
      <c r="I86" s="43">
        <v>0</v>
      </c>
      <c r="J86" s="43">
        <v>82111378</v>
      </c>
      <c r="K86" s="43">
        <v>0</v>
      </c>
      <c r="L86" s="43">
        <v>0</v>
      </c>
      <c r="M86" s="43">
        <v>0</v>
      </c>
      <c r="N86" s="43">
        <v>0</v>
      </c>
      <c r="O86" s="43">
        <v>0</v>
      </c>
      <c r="P86" s="43">
        <v>0</v>
      </c>
      <c r="Q86" s="43">
        <v>0</v>
      </c>
      <c r="R86" s="43">
        <v>0</v>
      </c>
      <c r="S86" s="43">
        <v>0</v>
      </c>
      <c r="T86" s="43">
        <v>0</v>
      </c>
      <c r="U86" s="43">
        <v>0</v>
      </c>
      <c r="V86" s="44">
        <v>0</v>
      </c>
      <c r="W86" s="24"/>
    </row>
    <row r="87" spans="1:23" ht="21.75">
      <c r="A87" s="36">
        <v>601</v>
      </c>
      <c r="B87" s="37">
        <v>6</v>
      </c>
      <c r="C87" s="45">
        <v>84</v>
      </c>
      <c r="D87" s="46" t="s">
        <v>572</v>
      </c>
      <c r="E87" s="47" t="s">
        <v>168</v>
      </c>
      <c r="F87" s="48">
        <v>273392606</v>
      </c>
      <c r="G87" s="49"/>
      <c r="H87" s="43">
        <f t="shared" si="1"/>
        <v>0</v>
      </c>
      <c r="I87" s="43">
        <v>0</v>
      </c>
      <c r="J87" s="43">
        <v>273392606</v>
      </c>
      <c r="K87" s="43">
        <v>0</v>
      </c>
      <c r="L87" s="43">
        <v>0</v>
      </c>
      <c r="M87" s="43">
        <v>0</v>
      </c>
      <c r="N87" s="43">
        <v>0</v>
      </c>
      <c r="O87" s="43">
        <v>0</v>
      </c>
      <c r="P87" s="43">
        <v>0</v>
      </c>
      <c r="Q87" s="43">
        <v>0</v>
      </c>
      <c r="R87" s="43">
        <v>0</v>
      </c>
      <c r="S87" s="43">
        <v>0</v>
      </c>
      <c r="T87" s="43">
        <v>0</v>
      </c>
      <c r="U87" s="43">
        <v>0</v>
      </c>
      <c r="V87" s="44">
        <v>0</v>
      </c>
      <c r="W87" s="24"/>
    </row>
    <row r="88" spans="1:23" ht="21.75">
      <c r="A88" s="36">
        <v>601</v>
      </c>
      <c r="B88" s="37">
        <v>6</v>
      </c>
      <c r="C88" s="45">
        <v>85</v>
      </c>
      <c r="D88" s="46" t="s">
        <v>573</v>
      </c>
      <c r="E88" s="47" t="s">
        <v>574</v>
      </c>
      <c r="F88" s="48">
        <v>6551100</v>
      </c>
      <c r="G88" s="49"/>
      <c r="H88" s="43">
        <f t="shared" si="1"/>
        <v>0</v>
      </c>
      <c r="I88" s="43">
        <v>0</v>
      </c>
      <c r="J88" s="43">
        <v>6551100</v>
      </c>
      <c r="K88" s="43">
        <v>0</v>
      </c>
      <c r="L88" s="43">
        <v>0</v>
      </c>
      <c r="M88" s="43">
        <v>0</v>
      </c>
      <c r="N88" s="43">
        <v>0</v>
      </c>
      <c r="O88" s="43">
        <v>0</v>
      </c>
      <c r="P88" s="43">
        <v>0</v>
      </c>
      <c r="Q88" s="43">
        <v>0</v>
      </c>
      <c r="R88" s="43">
        <v>0</v>
      </c>
      <c r="S88" s="43">
        <v>0</v>
      </c>
      <c r="T88" s="43">
        <v>0</v>
      </c>
      <c r="U88" s="43">
        <v>0</v>
      </c>
      <c r="V88" s="44">
        <v>0</v>
      </c>
      <c r="W88" s="24"/>
    </row>
    <row r="89" spans="1:23" ht="21.75">
      <c r="A89" s="36">
        <v>601</v>
      </c>
      <c r="B89" s="37">
        <v>6</v>
      </c>
      <c r="C89" s="45">
        <v>86</v>
      </c>
      <c r="D89" s="46" t="s">
        <v>575</v>
      </c>
      <c r="E89" s="47" t="s">
        <v>576</v>
      </c>
      <c r="F89" s="48">
        <v>94774621</v>
      </c>
      <c r="G89" s="49"/>
      <c r="H89" s="43">
        <f t="shared" si="1"/>
        <v>0</v>
      </c>
      <c r="I89" s="43">
        <v>0</v>
      </c>
      <c r="J89" s="43">
        <v>94774621</v>
      </c>
      <c r="K89" s="43">
        <v>0</v>
      </c>
      <c r="L89" s="43">
        <v>0</v>
      </c>
      <c r="M89" s="43">
        <v>0</v>
      </c>
      <c r="N89" s="43">
        <v>0</v>
      </c>
      <c r="O89" s="43">
        <v>0</v>
      </c>
      <c r="P89" s="43">
        <v>0</v>
      </c>
      <c r="Q89" s="43">
        <v>0</v>
      </c>
      <c r="R89" s="43">
        <v>0</v>
      </c>
      <c r="S89" s="43">
        <v>0</v>
      </c>
      <c r="T89" s="43">
        <v>0</v>
      </c>
      <c r="U89" s="43">
        <v>0</v>
      </c>
      <c r="V89" s="44">
        <v>0</v>
      </c>
      <c r="W89" s="24"/>
    </row>
    <row r="90" spans="1:23" ht="21.75">
      <c r="A90" s="36">
        <v>601</v>
      </c>
      <c r="B90" s="37">
        <v>6</v>
      </c>
      <c r="C90" s="45">
        <v>87</v>
      </c>
      <c r="D90" s="46" t="s">
        <v>577</v>
      </c>
      <c r="E90" s="47" t="s">
        <v>578</v>
      </c>
      <c r="F90" s="48">
        <v>441307057</v>
      </c>
      <c r="G90" s="49"/>
      <c r="H90" s="43">
        <f t="shared" si="1"/>
        <v>0</v>
      </c>
      <c r="I90" s="43">
        <v>0</v>
      </c>
      <c r="J90" s="43">
        <v>441307057</v>
      </c>
      <c r="K90" s="43">
        <v>0</v>
      </c>
      <c r="L90" s="43">
        <v>0</v>
      </c>
      <c r="M90" s="43">
        <v>0</v>
      </c>
      <c r="N90" s="43">
        <v>0</v>
      </c>
      <c r="O90" s="43">
        <v>0</v>
      </c>
      <c r="P90" s="43">
        <v>0</v>
      </c>
      <c r="Q90" s="43">
        <v>0</v>
      </c>
      <c r="R90" s="43">
        <v>0</v>
      </c>
      <c r="S90" s="43">
        <v>0</v>
      </c>
      <c r="T90" s="43">
        <v>0</v>
      </c>
      <c r="U90" s="43">
        <v>0</v>
      </c>
      <c r="V90" s="44">
        <v>0</v>
      </c>
      <c r="W90" s="24"/>
    </row>
    <row r="91" spans="1:23" ht="21.75">
      <c r="A91" s="36">
        <v>601</v>
      </c>
      <c r="B91" s="37">
        <v>6</v>
      </c>
      <c r="C91" s="45">
        <v>88</v>
      </c>
      <c r="D91" s="46" t="s">
        <v>579</v>
      </c>
      <c r="E91" s="47" t="s">
        <v>580</v>
      </c>
      <c r="F91" s="48">
        <v>5865212711</v>
      </c>
      <c r="G91" s="49"/>
      <c r="H91" s="43">
        <f t="shared" si="1"/>
        <v>0</v>
      </c>
      <c r="I91" s="43">
        <v>0</v>
      </c>
      <c r="J91" s="43">
        <v>5865212711</v>
      </c>
      <c r="K91" s="43">
        <v>0</v>
      </c>
      <c r="L91" s="43">
        <v>0</v>
      </c>
      <c r="M91" s="43">
        <v>0</v>
      </c>
      <c r="N91" s="43">
        <v>0</v>
      </c>
      <c r="O91" s="43">
        <v>0</v>
      </c>
      <c r="P91" s="43">
        <v>0</v>
      </c>
      <c r="Q91" s="43">
        <v>0</v>
      </c>
      <c r="R91" s="43">
        <v>0</v>
      </c>
      <c r="S91" s="43">
        <v>0</v>
      </c>
      <c r="T91" s="43">
        <v>0</v>
      </c>
      <c r="U91" s="43">
        <v>0</v>
      </c>
      <c r="V91" s="44">
        <v>0</v>
      </c>
      <c r="W91" s="24"/>
    </row>
    <row r="92" spans="1:23" ht="21.75">
      <c r="A92" s="36">
        <v>601</v>
      </c>
      <c r="B92" s="37">
        <v>6</v>
      </c>
      <c r="C92" s="45">
        <v>89</v>
      </c>
      <c r="D92" s="46" t="s">
        <v>581</v>
      </c>
      <c r="E92" s="47" t="s">
        <v>169</v>
      </c>
      <c r="F92" s="48">
        <v>1920157499</v>
      </c>
      <c r="G92" s="49"/>
      <c r="H92" s="43">
        <f t="shared" si="1"/>
        <v>0</v>
      </c>
      <c r="I92" s="43">
        <v>0</v>
      </c>
      <c r="J92" s="43">
        <v>1920157499</v>
      </c>
      <c r="K92" s="43">
        <v>0</v>
      </c>
      <c r="L92" s="43">
        <v>0</v>
      </c>
      <c r="M92" s="43">
        <v>0</v>
      </c>
      <c r="N92" s="43">
        <v>0</v>
      </c>
      <c r="O92" s="43">
        <v>0</v>
      </c>
      <c r="P92" s="43">
        <v>0</v>
      </c>
      <c r="Q92" s="43">
        <v>0</v>
      </c>
      <c r="R92" s="43">
        <v>0</v>
      </c>
      <c r="S92" s="43">
        <v>0</v>
      </c>
      <c r="T92" s="43">
        <v>0</v>
      </c>
      <c r="U92" s="43">
        <v>0</v>
      </c>
      <c r="V92" s="44">
        <v>0</v>
      </c>
      <c r="W92" s="24"/>
    </row>
    <row r="93" spans="1:23" ht="21.75">
      <c r="A93" s="36">
        <v>601</v>
      </c>
      <c r="B93" s="37">
        <v>6</v>
      </c>
      <c r="C93" s="45">
        <v>90</v>
      </c>
      <c r="D93" s="46" t="s">
        <v>582</v>
      </c>
      <c r="E93" s="47" t="s">
        <v>583</v>
      </c>
      <c r="F93" s="48">
        <v>2607284</v>
      </c>
      <c r="G93" s="49"/>
      <c r="H93" s="43">
        <f t="shared" si="1"/>
        <v>0</v>
      </c>
      <c r="I93" s="43">
        <v>0</v>
      </c>
      <c r="J93" s="43">
        <v>2607284</v>
      </c>
      <c r="K93" s="43">
        <v>0</v>
      </c>
      <c r="L93" s="43">
        <v>0</v>
      </c>
      <c r="M93" s="43">
        <v>0</v>
      </c>
      <c r="N93" s="43">
        <v>0</v>
      </c>
      <c r="O93" s="43">
        <v>0</v>
      </c>
      <c r="P93" s="43">
        <v>0</v>
      </c>
      <c r="Q93" s="43">
        <v>0</v>
      </c>
      <c r="R93" s="43">
        <v>0</v>
      </c>
      <c r="S93" s="43">
        <v>0</v>
      </c>
      <c r="T93" s="43">
        <v>0</v>
      </c>
      <c r="U93" s="43">
        <v>0</v>
      </c>
      <c r="V93" s="44">
        <v>0</v>
      </c>
      <c r="W93" s="24"/>
    </row>
    <row r="94" spans="1:23" ht="21.75">
      <c r="A94" s="36">
        <v>601</v>
      </c>
      <c r="B94" s="37">
        <v>6</v>
      </c>
      <c r="C94" s="45">
        <v>91</v>
      </c>
      <c r="D94" s="46" t="s">
        <v>584</v>
      </c>
      <c r="E94" s="47" t="s">
        <v>585</v>
      </c>
      <c r="F94" s="48">
        <v>2160000</v>
      </c>
      <c r="G94" s="49"/>
      <c r="H94" s="43">
        <f t="shared" si="1"/>
        <v>0</v>
      </c>
      <c r="I94" s="43">
        <v>0</v>
      </c>
      <c r="J94" s="43">
        <v>2160000</v>
      </c>
      <c r="K94" s="43">
        <v>0</v>
      </c>
      <c r="L94" s="43">
        <v>0</v>
      </c>
      <c r="M94" s="43">
        <v>0</v>
      </c>
      <c r="N94" s="43">
        <v>0</v>
      </c>
      <c r="O94" s="43">
        <v>0</v>
      </c>
      <c r="P94" s="43">
        <v>0</v>
      </c>
      <c r="Q94" s="43">
        <v>0</v>
      </c>
      <c r="R94" s="43">
        <v>0</v>
      </c>
      <c r="S94" s="43">
        <v>0</v>
      </c>
      <c r="T94" s="43">
        <v>0</v>
      </c>
      <c r="U94" s="43">
        <v>0</v>
      </c>
      <c r="V94" s="44">
        <v>0</v>
      </c>
      <c r="W94" s="24"/>
    </row>
    <row r="95" spans="1:23" ht="21.75">
      <c r="A95" s="36">
        <v>601</v>
      </c>
      <c r="B95" s="37">
        <v>6</v>
      </c>
      <c r="C95" s="45">
        <v>92</v>
      </c>
      <c r="D95" s="46" t="s">
        <v>546</v>
      </c>
      <c r="E95" s="47" t="s">
        <v>170</v>
      </c>
      <c r="F95" s="48">
        <v>1060000</v>
      </c>
      <c r="G95" s="49"/>
      <c r="H95" s="43">
        <f t="shared" si="1"/>
        <v>0</v>
      </c>
      <c r="I95" s="43">
        <v>0</v>
      </c>
      <c r="J95" s="43">
        <v>1060000</v>
      </c>
      <c r="K95" s="43">
        <v>0</v>
      </c>
      <c r="L95" s="43">
        <v>0</v>
      </c>
      <c r="M95" s="43">
        <v>0</v>
      </c>
      <c r="N95" s="43">
        <v>0</v>
      </c>
      <c r="O95" s="43">
        <v>0</v>
      </c>
      <c r="P95" s="43">
        <v>0</v>
      </c>
      <c r="Q95" s="43">
        <v>0</v>
      </c>
      <c r="R95" s="43">
        <v>0</v>
      </c>
      <c r="S95" s="43">
        <v>0</v>
      </c>
      <c r="T95" s="43">
        <v>0</v>
      </c>
      <c r="U95" s="43">
        <v>0</v>
      </c>
      <c r="V95" s="44">
        <v>0</v>
      </c>
      <c r="W95" s="24"/>
    </row>
    <row r="96" spans="1:23" ht="21.75">
      <c r="A96" s="36">
        <v>601</v>
      </c>
      <c r="B96" s="37">
        <v>6</v>
      </c>
      <c r="C96" s="45">
        <v>93</v>
      </c>
      <c r="D96" s="46" t="s">
        <v>162</v>
      </c>
      <c r="E96" s="47" t="s">
        <v>171</v>
      </c>
      <c r="F96" s="48">
        <v>366450</v>
      </c>
      <c r="G96" s="49"/>
      <c r="H96" s="43">
        <f t="shared" si="1"/>
        <v>0</v>
      </c>
      <c r="I96" s="43">
        <v>0</v>
      </c>
      <c r="J96" s="43">
        <v>366450</v>
      </c>
      <c r="K96" s="43">
        <v>0</v>
      </c>
      <c r="L96" s="43">
        <v>0</v>
      </c>
      <c r="M96" s="43">
        <v>0</v>
      </c>
      <c r="N96" s="43">
        <v>0</v>
      </c>
      <c r="O96" s="43">
        <v>0</v>
      </c>
      <c r="P96" s="43">
        <v>0</v>
      </c>
      <c r="Q96" s="43">
        <v>0</v>
      </c>
      <c r="R96" s="43">
        <v>0</v>
      </c>
      <c r="S96" s="43">
        <v>0</v>
      </c>
      <c r="T96" s="43">
        <v>0</v>
      </c>
      <c r="U96" s="43">
        <v>0</v>
      </c>
      <c r="V96" s="44">
        <v>0</v>
      </c>
      <c r="W96" s="24"/>
    </row>
    <row r="97" spans="1:23" ht="21.75">
      <c r="A97" s="36">
        <v>601</v>
      </c>
      <c r="B97" s="37">
        <v>6</v>
      </c>
      <c r="C97" s="45">
        <v>94</v>
      </c>
      <c r="D97" s="46" t="s">
        <v>299</v>
      </c>
      <c r="E97" s="47" t="s">
        <v>300</v>
      </c>
      <c r="F97" s="48">
        <v>128326234</v>
      </c>
      <c r="G97" s="49"/>
      <c r="H97" s="43">
        <f t="shared" si="1"/>
        <v>0</v>
      </c>
      <c r="I97" s="43">
        <v>0</v>
      </c>
      <c r="J97" s="43">
        <v>128326234</v>
      </c>
      <c r="K97" s="43">
        <v>0</v>
      </c>
      <c r="L97" s="43">
        <v>0</v>
      </c>
      <c r="M97" s="43">
        <v>0</v>
      </c>
      <c r="N97" s="43">
        <v>0</v>
      </c>
      <c r="O97" s="43">
        <v>0</v>
      </c>
      <c r="P97" s="43">
        <v>0</v>
      </c>
      <c r="Q97" s="43">
        <v>0</v>
      </c>
      <c r="R97" s="43">
        <v>0</v>
      </c>
      <c r="S97" s="43">
        <v>0</v>
      </c>
      <c r="T97" s="43">
        <v>0</v>
      </c>
      <c r="U97" s="43">
        <v>0</v>
      </c>
      <c r="V97" s="44">
        <v>0</v>
      </c>
      <c r="W97" s="24"/>
    </row>
    <row r="98" spans="1:23" ht="21.75">
      <c r="A98" s="36">
        <v>1202</v>
      </c>
      <c r="B98" s="37">
        <v>12</v>
      </c>
      <c r="C98" s="45">
        <v>95</v>
      </c>
      <c r="D98" s="46" t="s">
        <v>301</v>
      </c>
      <c r="E98" s="47" t="s">
        <v>302</v>
      </c>
      <c r="F98" s="48">
        <v>-8999690</v>
      </c>
      <c r="G98" s="48">
        <v>8999690</v>
      </c>
      <c r="H98" s="43">
        <f t="shared" si="1"/>
        <v>0</v>
      </c>
      <c r="I98" s="43">
        <v>0</v>
      </c>
      <c r="J98" s="43">
        <v>0</v>
      </c>
      <c r="K98" s="43">
        <v>0</v>
      </c>
      <c r="L98" s="43">
        <v>0</v>
      </c>
      <c r="M98" s="43">
        <v>0</v>
      </c>
      <c r="N98" s="43">
        <v>0</v>
      </c>
      <c r="O98" s="43">
        <v>0</v>
      </c>
      <c r="P98" s="43">
        <v>0</v>
      </c>
      <c r="Q98" s="43">
        <v>-8999690</v>
      </c>
      <c r="R98" s="43">
        <v>0</v>
      </c>
      <c r="S98" s="43">
        <v>0</v>
      </c>
      <c r="T98" s="43">
        <v>0</v>
      </c>
      <c r="U98" s="43">
        <v>0</v>
      </c>
      <c r="V98" s="44">
        <v>0</v>
      </c>
      <c r="W98" s="24"/>
    </row>
    <row r="99" spans="1:23" ht="21.75">
      <c r="A99" s="36">
        <v>601</v>
      </c>
      <c r="B99" s="37">
        <v>6</v>
      </c>
      <c r="C99" s="45">
        <v>96</v>
      </c>
      <c r="D99" s="46" t="s">
        <v>303</v>
      </c>
      <c r="E99" s="47" t="s">
        <v>304</v>
      </c>
      <c r="F99" s="48">
        <v>44299247</v>
      </c>
      <c r="G99" s="49"/>
      <c r="H99" s="43">
        <f t="shared" si="1"/>
        <v>0</v>
      </c>
      <c r="I99" s="43">
        <v>0</v>
      </c>
      <c r="J99" s="43">
        <v>44299247</v>
      </c>
      <c r="K99" s="43">
        <v>0</v>
      </c>
      <c r="L99" s="43">
        <v>0</v>
      </c>
      <c r="M99" s="43">
        <v>0</v>
      </c>
      <c r="N99" s="43">
        <v>0</v>
      </c>
      <c r="O99" s="43">
        <v>0</v>
      </c>
      <c r="P99" s="43">
        <v>0</v>
      </c>
      <c r="Q99" s="43">
        <v>0</v>
      </c>
      <c r="R99" s="43">
        <v>0</v>
      </c>
      <c r="S99" s="43">
        <v>0</v>
      </c>
      <c r="T99" s="43">
        <v>0</v>
      </c>
      <c r="U99" s="43">
        <v>0</v>
      </c>
      <c r="V99" s="44">
        <v>0</v>
      </c>
      <c r="W99" s="24"/>
    </row>
    <row r="100" spans="1:23" ht="21.75">
      <c r="A100" s="36">
        <v>1202</v>
      </c>
      <c r="B100" s="37">
        <v>12</v>
      </c>
      <c r="C100" s="45">
        <v>97</v>
      </c>
      <c r="D100" s="46" t="s">
        <v>305</v>
      </c>
      <c r="E100" s="47" t="s">
        <v>172</v>
      </c>
      <c r="F100" s="48">
        <v>-772499035</v>
      </c>
      <c r="G100" s="48">
        <v>772499035</v>
      </c>
      <c r="H100" s="43">
        <f t="shared" si="1"/>
        <v>0</v>
      </c>
      <c r="I100" s="43">
        <v>0</v>
      </c>
      <c r="J100" s="43">
        <v>0</v>
      </c>
      <c r="K100" s="43">
        <v>0</v>
      </c>
      <c r="L100" s="43">
        <v>0</v>
      </c>
      <c r="M100" s="43">
        <v>0</v>
      </c>
      <c r="N100" s="43">
        <v>0</v>
      </c>
      <c r="O100" s="43">
        <v>0</v>
      </c>
      <c r="P100" s="43">
        <v>0</v>
      </c>
      <c r="Q100" s="43">
        <v>-772499035</v>
      </c>
      <c r="R100" s="43">
        <v>0</v>
      </c>
      <c r="S100" s="43">
        <v>0</v>
      </c>
      <c r="T100" s="43">
        <v>0</v>
      </c>
      <c r="U100" s="43">
        <v>0</v>
      </c>
      <c r="V100" s="44">
        <v>0</v>
      </c>
      <c r="W100" s="24"/>
    </row>
    <row r="101" spans="1:23" ht="21.75">
      <c r="A101" s="36">
        <v>1202</v>
      </c>
      <c r="B101" s="37">
        <v>12</v>
      </c>
      <c r="C101" s="45">
        <v>98</v>
      </c>
      <c r="D101" s="46" t="s">
        <v>306</v>
      </c>
      <c r="E101" s="47" t="s">
        <v>307</v>
      </c>
      <c r="F101" s="48">
        <v>-202440823</v>
      </c>
      <c r="G101" s="48">
        <v>202440823</v>
      </c>
      <c r="H101" s="43">
        <f t="shared" si="1"/>
        <v>0</v>
      </c>
      <c r="I101" s="43">
        <v>0</v>
      </c>
      <c r="J101" s="43">
        <v>0</v>
      </c>
      <c r="K101" s="43">
        <v>0</v>
      </c>
      <c r="L101" s="43">
        <v>0</v>
      </c>
      <c r="M101" s="43">
        <v>0</v>
      </c>
      <c r="N101" s="43">
        <v>0</v>
      </c>
      <c r="O101" s="43">
        <v>0</v>
      </c>
      <c r="P101" s="43">
        <v>0</v>
      </c>
      <c r="Q101" s="43">
        <v>-202440823</v>
      </c>
      <c r="R101" s="43">
        <v>0</v>
      </c>
      <c r="S101" s="43">
        <v>0</v>
      </c>
      <c r="T101" s="43">
        <v>0</v>
      </c>
      <c r="U101" s="43">
        <v>0</v>
      </c>
      <c r="V101" s="44">
        <v>0</v>
      </c>
      <c r="W101" s="24"/>
    </row>
    <row r="102" spans="1:23" ht="21.75">
      <c r="A102" s="36">
        <v>1202</v>
      </c>
      <c r="B102" s="37">
        <v>12</v>
      </c>
      <c r="C102" s="45">
        <v>99</v>
      </c>
      <c r="D102" s="46" t="s">
        <v>308</v>
      </c>
      <c r="E102" s="47" t="s">
        <v>309</v>
      </c>
      <c r="F102" s="48">
        <v>-18374388</v>
      </c>
      <c r="G102" s="48">
        <v>18374388</v>
      </c>
      <c r="H102" s="43">
        <f t="shared" si="1"/>
        <v>0</v>
      </c>
      <c r="I102" s="43">
        <v>0</v>
      </c>
      <c r="J102" s="43">
        <v>0</v>
      </c>
      <c r="K102" s="43">
        <v>0</v>
      </c>
      <c r="L102" s="43">
        <v>0</v>
      </c>
      <c r="M102" s="43">
        <v>0</v>
      </c>
      <c r="N102" s="43">
        <v>0</v>
      </c>
      <c r="O102" s="43">
        <v>0</v>
      </c>
      <c r="P102" s="43">
        <v>0</v>
      </c>
      <c r="Q102" s="43">
        <v>-18374388</v>
      </c>
      <c r="R102" s="43">
        <v>0</v>
      </c>
      <c r="S102" s="43">
        <v>0</v>
      </c>
      <c r="T102" s="43">
        <v>0</v>
      </c>
      <c r="U102" s="43">
        <v>0</v>
      </c>
      <c r="V102" s="44">
        <v>0</v>
      </c>
      <c r="W102" s="24"/>
    </row>
    <row r="103" spans="1:23" ht="21.75">
      <c r="A103" s="36">
        <v>1202</v>
      </c>
      <c r="B103" s="37">
        <v>12</v>
      </c>
      <c r="C103" s="45">
        <v>100</v>
      </c>
      <c r="D103" s="46" t="s">
        <v>310</v>
      </c>
      <c r="E103" s="47" t="s">
        <v>108</v>
      </c>
      <c r="F103" s="48">
        <v>-28702140</v>
      </c>
      <c r="G103" s="48">
        <v>28702140</v>
      </c>
      <c r="H103" s="43">
        <f t="shared" si="1"/>
        <v>0</v>
      </c>
      <c r="I103" s="43">
        <v>0</v>
      </c>
      <c r="J103" s="43">
        <v>0</v>
      </c>
      <c r="K103" s="43">
        <v>0</v>
      </c>
      <c r="L103" s="43">
        <v>0</v>
      </c>
      <c r="M103" s="43">
        <v>0</v>
      </c>
      <c r="N103" s="43">
        <v>0</v>
      </c>
      <c r="O103" s="43">
        <v>0</v>
      </c>
      <c r="P103" s="43">
        <v>0</v>
      </c>
      <c r="Q103" s="43">
        <v>-28702140</v>
      </c>
      <c r="R103" s="43">
        <v>0</v>
      </c>
      <c r="S103" s="43">
        <v>0</v>
      </c>
      <c r="T103" s="43">
        <v>0</v>
      </c>
      <c r="U103" s="43">
        <v>0</v>
      </c>
      <c r="V103" s="44">
        <v>0</v>
      </c>
      <c r="W103" s="24"/>
    </row>
    <row r="104" spans="1:23" ht="21.75">
      <c r="A104" s="36">
        <v>601</v>
      </c>
      <c r="B104" s="37">
        <v>6</v>
      </c>
      <c r="C104" s="45">
        <v>101</v>
      </c>
      <c r="D104" s="46" t="s">
        <v>109</v>
      </c>
      <c r="E104" s="47" t="s">
        <v>173</v>
      </c>
      <c r="F104" s="48">
        <v>608256000</v>
      </c>
      <c r="G104" s="49"/>
      <c r="H104" s="43">
        <f t="shared" si="1"/>
        <v>0</v>
      </c>
      <c r="I104" s="43">
        <v>0</v>
      </c>
      <c r="J104" s="43">
        <v>608256000</v>
      </c>
      <c r="K104" s="43">
        <v>0</v>
      </c>
      <c r="L104" s="43">
        <v>0</v>
      </c>
      <c r="M104" s="43">
        <v>0</v>
      </c>
      <c r="N104" s="43">
        <v>0</v>
      </c>
      <c r="O104" s="43">
        <v>0</v>
      </c>
      <c r="P104" s="43">
        <v>0</v>
      </c>
      <c r="Q104" s="43">
        <v>0</v>
      </c>
      <c r="R104" s="43">
        <v>0</v>
      </c>
      <c r="S104" s="43">
        <v>0</v>
      </c>
      <c r="T104" s="43">
        <v>0</v>
      </c>
      <c r="U104" s="43">
        <v>0</v>
      </c>
      <c r="V104" s="44">
        <v>0</v>
      </c>
      <c r="W104" s="24"/>
    </row>
    <row r="105" spans="1:23" ht="21.75">
      <c r="A105" s="36">
        <v>601</v>
      </c>
      <c r="B105" s="37">
        <v>6</v>
      </c>
      <c r="C105" s="45">
        <v>102</v>
      </c>
      <c r="D105" s="46" t="s">
        <v>110</v>
      </c>
      <c r="E105" s="47" t="s">
        <v>174</v>
      </c>
      <c r="F105" s="48">
        <v>225492627</v>
      </c>
      <c r="G105" s="49"/>
      <c r="H105" s="43">
        <f t="shared" si="1"/>
        <v>0</v>
      </c>
      <c r="I105" s="43">
        <v>0</v>
      </c>
      <c r="J105" s="43">
        <v>225492627</v>
      </c>
      <c r="K105" s="43">
        <v>0</v>
      </c>
      <c r="L105" s="43">
        <v>0</v>
      </c>
      <c r="M105" s="43">
        <v>0</v>
      </c>
      <c r="N105" s="43">
        <v>0</v>
      </c>
      <c r="O105" s="43">
        <v>0</v>
      </c>
      <c r="P105" s="43">
        <v>0</v>
      </c>
      <c r="Q105" s="43">
        <v>0</v>
      </c>
      <c r="R105" s="43">
        <v>0</v>
      </c>
      <c r="S105" s="43">
        <v>0</v>
      </c>
      <c r="T105" s="43">
        <v>0</v>
      </c>
      <c r="U105" s="43">
        <v>0</v>
      </c>
      <c r="V105" s="44">
        <v>0</v>
      </c>
      <c r="W105" s="24"/>
    </row>
    <row r="106" spans="1:23" ht="21.75">
      <c r="A106" s="36">
        <v>601</v>
      </c>
      <c r="B106" s="37">
        <v>6</v>
      </c>
      <c r="C106" s="45">
        <v>103</v>
      </c>
      <c r="D106" s="46" t="s">
        <v>335</v>
      </c>
      <c r="E106" s="47" t="s">
        <v>175</v>
      </c>
      <c r="F106" s="48">
        <v>5181185</v>
      </c>
      <c r="G106" s="49"/>
      <c r="H106" s="43">
        <f t="shared" si="1"/>
        <v>0</v>
      </c>
      <c r="I106" s="43">
        <v>0</v>
      </c>
      <c r="J106" s="43">
        <v>5181185</v>
      </c>
      <c r="K106" s="43">
        <v>0</v>
      </c>
      <c r="L106" s="43">
        <v>0</v>
      </c>
      <c r="M106" s="43">
        <v>0</v>
      </c>
      <c r="N106" s="43">
        <v>0</v>
      </c>
      <c r="O106" s="43">
        <v>0</v>
      </c>
      <c r="P106" s="43">
        <v>0</v>
      </c>
      <c r="Q106" s="43">
        <v>0</v>
      </c>
      <c r="R106" s="43">
        <v>0</v>
      </c>
      <c r="S106" s="43">
        <v>0</v>
      </c>
      <c r="T106" s="43">
        <v>0</v>
      </c>
      <c r="U106" s="43">
        <v>0</v>
      </c>
      <c r="V106" s="44">
        <v>0</v>
      </c>
      <c r="W106" s="24"/>
    </row>
    <row r="107" spans="1:23" ht="21.75">
      <c r="A107" s="36">
        <v>601</v>
      </c>
      <c r="B107" s="37">
        <v>6</v>
      </c>
      <c r="C107" s="45">
        <v>104</v>
      </c>
      <c r="D107" s="46" t="s">
        <v>336</v>
      </c>
      <c r="E107" s="47" t="s">
        <v>337</v>
      </c>
      <c r="F107" s="48">
        <v>5238000000</v>
      </c>
      <c r="G107" s="49"/>
      <c r="H107" s="43">
        <f t="shared" si="1"/>
        <v>0</v>
      </c>
      <c r="I107" s="43">
        <v>0</v>
      </c>
      <c r="J107" s="43">
        <v>5238000000</v>
      </c>
      <c r="K107" s="43">
        <v>0</v>
      </c>
      <c r="L107" s="43">
        <v>0</v>
      </c>
      <c r="M107" s="43">
        <v>0</v>
      </c>
      <c r="N107" s="43">
        <v>0</v>
      </c>
      <c r="O107" s="43">
        <v>0</v>
      </c>
      <c r="P107" s="43">
        <v>0</v>
      </c>
      <c r="Q107" s="43">
        <v>0</v>
      </c>
      <c r="R107" s="43">
        <v>0</v>
      </c>
      <c r="S107" s="43">
        <v>0</v>
      </c>
      <c r="T107" s="43">
        <v>0</v>
      </c>
      <c r="U107" s="43">
        <v>0</v>
      </c>
      <c r="V107" s="44">
        <v>0</v>
      </c>
      <c r="W107" s="24"/>
    </row>
    <row r="108" spans="1:23" ht="21.75">
      <c r="A108" s="36">
        <v>503</v>
      </c>
      <c r="B108" s="37">
        <v>5</v>
      </c>
      <c r="C108" s="45">
        <v>105</v>
      </c>
      <c r="D108" s="46" t="s">
        <v>336</v>
      </c>
      <c r="E108" s="47" t="s">
        <v>337</v>
      </c>
      <c r="F108" s="48">
        <v>1377089272</v>
      </c>
      <c r="G108" s="49"/>
      <c r="H108" s="43">
        <f t="shared" si="1"/>
        <v>0</v>
      </c>
      <c r="I108" s="43">
        <v>1377089272</v>
      </c>
      <c r="J108" s="43">
        <v>0</v>
      </c>
      <c r="K108" s="43">
        <v>0</v>
      </c>
      <c r="L108" s="43">
        <v>0</v>
      </c>
      <c r="M108" s="43">
        <v>0</v>
      </c>
      <c r="N108" s="43">
        <v>0</v>
      </c>
      <c r="O108" s="43">
        <v>0</v>
      </c>
      <c r="P108" s="43">
        <v>0</v>
      </c>
      <c r="Q108" s="43">
        <v>0</v>
      </c>
      <c r="R108" s="43">
        <v>0</v>
      </c>
      <c r="S108" s="43">
        <v>0</v>
      </c>
      <c r="T108" s="43">
        <v>0</v>
      </c>
      <c r="U108" s="43">
        <v>0</v>
      </c>
      <c r="V108" s="44">
        <v>0</v>
      </c>
      <c r="W108" s="24"/>
    </row>
    <row r="109" spans="1:23" ht="21.75">
      <c r="A109" s="36">
        <v>1202</v>
      </c>
      <c r="B109" s="37">
        <v>12</v>
      </c>
      <c r="C109" s="45">
        <v>106</v>
      </c>
      <c r="D109" s="46" t="s">
        <v>338</v>
      </c>
      <c r="E109" s="47" t="s">
        <v>152</v>
      </c>
      <c r="F109" s="48">
        <v>-9342497181</v>
      </c>
      <c r="G109" s="48">
        <v>9342497181</v>
      </c>
      <c r="H109" s="43">
        <f t="shared" si="1"/>
        <v>0</v>
      </c>
      <c r="I109" s="43">
        <v>0</v>
      </c>
      <c r="J109" s="43">
        <v>0</v>
      </c>
      <c r="K109" s="43">
        <v>0</v>
      </c>
      <c r="L109" s="43">
        <v>0</v>
      </c>
      <c r="M109" s="43">
        <v>0</v>
      </c>
      <c r="N109" s="43">
        <v>0</v>
      </c>
      <c r="O109" s="43">
        <v>0</v>
      </c>
      <c r="P109" s="43">
        <v>0</v>
      </c>
      <c r="Q109" s="43">
        <v>-9342497181</v>
      </c>
      <c r="R109" s="43">
        <v>0</v>
      </c>
      <c r="S109" s="43">
        <v>0</v>
      </c>
      <c r="T109" s="43">
        <v>0</v>
      </c>
      <c r="U109" s="43">
        <v>0</v>
      </c>
      <c r="V109" s="44">
        <v>0</v>
      </c>
      <c r="W109" s="24"/>
    </row>
    <row r="110" spans="1:23" ht="21.75">
      <c r="A110" s="36">
        <v>601</v>
      </c>
      <c r="B110" s="37">
        <v>6</v>
      </c>
      <c r="C110" s="45">
        <v>107</v>
      </c>
      <c r="D110" s="46" t="s">
        <v>527</v>
      </c>
      <c r="E110" s="47" t="s">
        <v>528</v>
      </c>
      <c r="F110" s="48">
        <v>457317997</v>
      </c>
      <c r="G110" s="49"/>
      <c r="H110" s="43">
        <f t="shared" si="1"/>
        <v>0</v>
      </c>
      <c r="I110" s="43">
        <v>0</v>
      </c>
      <c r="J110" s="43">
        <v>457317997</v>
      </c>
      <c r="K110" s="43">
        <v>0</v>
      </c>
      <c r="L110" s="43">
        <v>0</v>
      </c>
      <c r="M110" s="43">
        <v>0</v>
      </c>
      <c r="N110" s="43">
        <v>0</v>
      </c>
      <c r="O110" s="43">
        <v>0</v>
      </c>
      <c r="P110" s="43">
        <v>0</v>
      </c>
      <c r="Q110" s="43">
        <v>0</v>
      </c>
      <c r="R110" s="43">
        <v>0</v>
      </c>
      <c r="S110" s="43">
        <v>0</v>
      </c>
      <c r="T110" s="43">
        <v>0</v>
      </c>
      <c r="U110" s="43">
        <v>0</v>
      </c>
      <c r="V110" s="44">
        <v>0</v>
      </c>
      <c r="W110" s="24"/>
    </row>
    <row r="111" spans="1:23" ht="21.75">
      <c r="A111" s="36">
        <v>1202</v>
      </c>
      <c r="B111" s="37">
        <v>12</v>
      </c>
      <c r="C111" s="45">
        <v>108</v>
      </c>
      <c r="D111" s="46" t="s">
        <v>529</v>
      </c>
      <c r="E111" s="47" t="s">
        <v>156</v>
      </c>
      <c r="F111" s="48">
        <v>-5945128972</v>
      </c>
      <c r="G111" s="48">
        <v>5945128972</v>
      </c>
      <c r="H111" s="43">
        <f t="shared" si="1"/>
        <v>0</v>
      </c>
      <c r="I111" s="43">
        <v>0</v>
      </c>
      <c r="J111" s="43">
        <v>0</v>
      </c>
      <c r="K111" s="43">
        <v>0</v>
      </c>
      <c r="L111" s="43">
        <v>0</v>
      </c>
      <c r="M111" s="43">
        <v>0</v>
      </c>
      <c r="N111" s="43">
        <v>0</v>
      </c>
      <c r="O111" s="43">
        <v>0</v>
      </c>
      <c r="P111" s="43">
        <v>0</v>
      </c>
      <c r="Q111" s="43">
        <v>-5945128972</v>
      </c>
      <c r="R111" s="43">
        <v>0</v>
      </c>
      <c r="S111" s="43">
        <v>0</v>
      </c>
      <c r="T111" s="43">
        <v>0</v>
      </c>
      <c r="U111" s="43">
        <v>0</v>
      </c>
      <c r="V111" s="44">
        <v>0</v>
      </c>
      <c r="W111" s="24"/>
    </row>
    <row r="112" spans="1:23" ht="21.75">
      <c r="A112" s="36">
        <v>601</v>
      </c>
      <c r="B112" s="37">
        <v>6</v>
      </c>
      <c r="C112" s="45">
        <v>109</v>
      </c>
      <c r="D112" s="46" t="s">
        <v>157</v>
      </c>
      <c r="E112" s="47" t="s">
        <v>558</v>
      </c>
      <c r="F112" s="48">
        <v>263153974</v>
      </c>
      <c r="G112" s="49"/>
      <c r="H112" s="43">
        <f t="shared" si="1"/>
        <v>0</v>
      </c>
      <c r="I112" s="43">
        <v>0</v>
      </c>
      <c r="J112" s="43">
        <v>263153974</v>
      </c>
      <c r="K112" s="43">
        <v>0</v>
      </c>
      <c r="L112" s="43">
        <v>0</v>
      </c>
      <c r="M112" s="43">
        <v>0</v>
      </c>
      <c r="N112" s="43">
        <v>0</v>
      </c>
      <c r="O112" s="43">
        <v>0</v>
      </c>
      <c r="P112" s="43">
        <v>0</v>
      </c>
      <c r="Q112" s="43">
        <v>0</v>
      </c>
      <c r="R112" s="43">
        <v>0</v>
      </c>
      <c r="S112" s="43">
        <v>0</v>
      </c>
      <c r="T112" s="43">
        <v>0</v>
      </c>
      <c r="U112" s="43">
        <v>0</v>
      </c>
      <c r="V112" s="44">
        <v>0</v>
      </c>
      <c r="W112" s="24"/>
    </row>
    <row r="113" spans="1:23" ht="21.75">
      <c r="A113" s="36">
        <v>1202</v>
      </c>
      <c r="B113" s="37">
        <v>12</v>
      </c>
      <c r="C113" s="45">
        <v>110</v>
      </c>
      <c r="D113" s="46"/>
      <c r="E113" s="47"/>
      <c r="F113" s="50">
        <v>-3690228003</v>
      </c>
      <c r="G113" s="49"/>
      <c r="H113" s="43">
        <f t="shared" si="1"/>
        <v>0</v>
      </c>
      <c r="I113" s="43">
        <v>0</v>
      </c>
      <c r="J113" s="43">
        <v>0</v>
      </c>
      <c r="K113" s="43">
        <v>0</v>
      </c>
      <c r="L113" s="43">
        <v>0</v>
      </c>
      <c r="M113" s="43">
        <v>0</v>
      </c>
      <c r="N113" s="43">
        <v>0</v>
      </c>
      <c r="O113" s="43">
        <v>0</v>
      </c>
      <c r="P113" s="43">
        <v>0</v>
      </c>
      <c r="Q113" s="43">
        <v>-3690228003</v>
      </c>
      <c r="R113" s="43">
        <v>0</v>
      </c>
      <c r="S113" s="43">
        <v>0</v>
      </c>
      <c r="T113" s="43">
        <v>0</v>
      </c>
      <c r="U113" s="43">
        <v>0</v>
      </c>
      <c r="V113" s="44">
        <v>0</v>
      </c>
      <c r="W113" s="24"/>
    </row>
    <row r="114" spans="1:23" ht="21.75">
      <c r="A114" s="36">
        <v>1202</v>
      </c>
      <c r="B114" s="37">
        <v>12</v>
      </c>
      <c r="C114" s="45">
        <v>111</v>
      </c>
      <c r="D114" s="46" t="s">
        <v>158</v>
      </c>
      <c r="E114" s="47" t="s">
        <v>159</v>
      </c>
      <c r="F114" s="48">
        <v>-3235855199</v>
      </c>
      <c r="G114" s="48">
        <v>3235855199</v>
      </c>
      <c r="H114" s="43">
        <f t="shared" si="1"/>
        <v>0</v>
      </c>
      <c r="I114" s="43">
        <v>0</v>
      </c>
      <c r="J114" s="43">
        <v>0</v>
      </c>
      <c r="K114" s="43">
        <v>0</v>
      </c>
      <c r="L114" s="43">
        <v>0</v>
      </c>
      <c r="M114" s="43">
        <v>0</v>
      </c>
      <c r="N114" s="43">
        <v>0</v>
      </c>
      <c r="O114" s="43">
        <v>0</v>
      </c>
      <c r="P114" s="43">
        <v>0</v>
      </c>
      <c r="Q114" s="43">
        <v>-3235855199</v>
      </c>
      <c r="R114" s="43">
        <v>0</v>
      </c>
      <c r="S114" s="43">
        <v>0</v>
      </c>
      <c r="T114" s="43">
        <v>0</v>
      </c>
      <c r="U114" s="43">
        <v>0</v>
      </c>
      <c r="V114" s="44">
        <v>0</v>
      </c>
      <c r="W114" s="24"/>
    </row>
    <row r="115" spans="1:23" ht="21.75">
      <c r="A115" s="36">
        <v>1202</v>
      </c>
      <c r="B115" s="37">
        <v>12</v>
      </c>
      <c r="C115" s="45">
        <v>112</v>
      </c>
      <c r="D115" s="46" t="s">
        <v>521</v>
      </c>
      <c r="E115" s="47" t="s">
        <v>207</v>
      </c>
      <c r="F115" s="48">
        <v>-19991818404</v>
      </c>
      <c r="G115" s="48">
        <v>11630393026</v>
      </c>
      <c r="H115" s="43">
        <f t="shared" si="1"/>
        <v>0</v>
      </c>
      <c r="I115" s="43">
        <v>0</v>
      </c>
      <c r="J115" s="43">
        <v>0</v>
      </c>
      <c r="K115" s="43">
        <v>0</v>
      </c>
      <c r="L115" s="43">
        <v>0</v>
      </c>
      <c r="M115" s="43">
        <v>0</v>
      </c>
      <c r="N115" s="43">
        <v>0</v>
      </c>
      <c r="O115" s="43">
        <v>0</v>
      </c>
      <c r="P115" s="43">
        <v>0</v>
      </c>
      <c r="Q115" s="43">
        <v>-19991818404</v>
      </c>
      <c r="R115" s="43">
        <v>0</v>
      </c>
      <c r="S115" s="43">
        <v>0</v>
      </c>
      <c r="T115" s="43">
        <v>0</v>
      </c>
      <c r="U115" s="43">
        <v>0</v>
      </c>
      <c r="V115" s="44">
        <v>0</v>
      </c>
      <c r="W115" s="24"/>
    </row>
    <row r="116" spans="1:23" ht="21.75">
      <c r="A116" s="36">
        <v>1202</v>
      </c>
      <c r="B116" s="37">
        <v>12</v>
      </c>
      <c r="C116" s="45">
        <v>113</v>
      </c>
      <c r="D116" s="46" t="s">
        <v>208</v>
      </c>
      <c r="E116" s="47" t="s">
        <v>209</v>
      </c>
      <c r="F116" s="48">
        <v>-1555610105</v>
      </c>
      <c r="G116" s="48">
        <v>1555610105</v>
      </c>
      <c r="H116" s="43">
        <f t="shared" si="1"/>
        <v>0</v>
      </c>
      <c r="I116" s="43">
        <v>0</v>
      </c>
      <c r="J116" s="43">
        <v>0</v>
      </c>
      <c r="K116" s="43">
        <v>0</v>
      </c>
      <c r="L116" s="43">
        <v>0</v>
      </c>
      <c r="M116" s="43">
        <v>0</v>
      </c>
      <c r="N116" s="43">
        <v>0</v>
      </c>
      <c r="O116" s="43">
        <v>0</v>
      </c>
      <c r="P116" s="43">
        <v>0</v>
      </c>
      <c r="Q116" s="43">
        <v>-1555610105</v>
      </c>
      <c r="R116" s="43">
        <v>0</v>
      </c>
      <c r="S116" s="43">
        <v>0</v>
      </c>
      <c r="T116" s="43">
        <v>0</v>
      </c>
      <c r="U116" s="43">
        <v>0</v>
      </c>
      <c r="V116" s="44">
        <v>0</v>
      </c>
      <c r="W116" s="24"/>
    </row>
    <row r="117" spans="1:23" ht="21.75">
      <c r="A117" s="36">
        <v>1202</v>
      </c>
      <c r="B117" s="37">
        <v>12</v>
      </c>
      <c r="C117" s="45">
        <v>114</v>
      </c>
      <c r="D117" s="46" t="s">
        <v>343</v>
      </c>
      <c r="E117" s="47" t="s">
        <v>344</v>
      </c>
      <c r="F117" s="48">
        <v>-3179245660</v>
      </c>
      <c r="G117" s="48">
        <v>3179245660</v>
      </c>
      <c r="H117" s="43">
        <f t="shared" si="1"/>
        <v>0</v>
      </c>
      <c r="I117" s="43">
        <v>0</v>
      </c>
      <c r="J117" s="43">
        <v>0</v>
      </c>
      <c r="K117" s="43">
        <v>0</v>
      </c>
      <c r="L117" s="43">
        <v>0</v>
      </c>
      <c r="M117" s="43">
        <v>0</v>
      </c>
      <c r="N117" s="43">
        <v>0</v>
      </c>
      <c r="O117" s="43">
        <v>0</v>
      </c>
      <c r="P117" s="43">
        <v>0</v>
      </c>
      <c r="Q117" s="43">
        <v>-3179245660</v>
      </c>
      <c r="R117" s="43">
        <v>0</v>
      </c>
      <c r="S117" s="43">
        <v>0</v>
      </c>
      <c r="T117" s="43">
        <v>0</v>
      </c>
      <c r="U117" s="43">
        <v>0</v>
      </c>
      <c r="V117" s="44">
        <v>0</v>
      </c>
      <c r="W117" s="24"/>
    </row>
    <row r="118" spans="1:23" ht="21.75">
      <c r="A118" s="36">
        <v>601</v>
      </c>
      <c r="B118" s="37">
        <v>6</v>
      </c>
      <c r="C118" s="45">
        <v>115</v>
      </c>
      <c r="D118" s="46" t="s">
        <v>345</v>
      </c>
      <c r="E118" s="47" t="s">
        <v>346</v>
      </c>
      <c r="F118" s="48">
        <v>10761408</v>
      </c>
      <c r="G118" s="49"/>
      <c r="H118" s="43">
        <f t="shared" si="1"/>
        <v>0</v>
      </c>
      <c r="I118" s="43">
        <v>0</v>
      </c>
      <c r="J118" s="43">
        <v>10761408</v>
      </c>
      <c r="K118" s="43">
        <v>0</v>
      </c>
      <c r="L118" s="43">
        <v>0</v>
      </c>
      <c r="M118" s="43">
        <v>0</v>
      </c>
      <c r="N118" s="43">
        <v>0</v>
      </c>
      <c r="O118" s="43">
        <v>0</v>
      </c>
      <c r="P118" s="43">
        <v>0</v>
      </c>
      <c r="Q118" s="43">
        <v>0</v>
      </c>
      <c r="R118" s="43">
        <v>0</v>
      </c>
      <c r="S118" s="43">
        <v>0</v>
      </c>
      <c r="T118" s="43">
        <v>0</v>
      </c>
      <c r="U118" s="43">
        <v>0</v>
      </c>
      <c r="V118" s="44">
        <v>0</v>
      </c>
      <c r="W118" s="24"/>
    </row>
    <row r="119" spans="1:23" ht="21.75">
      <c r="A119" s="36">
        <v>1202</v>
      </c>
      <c r="B119" s="37">
        <v>12</v>
      </c>
      <c r="C119" s="45">
        <v>116</v>
      </c>
      <c r="D119" s="46" t="s">
        <v>347</v>
      </c>
      <c r="E119" s="47" t="s">
        <v>348</v>
      </c>
      <c r="F119" s="48">
        <v>-2723000</v>
      </c>
      <c r="G119" s="48">
        <v>2723000</v>
      </c>
      <c r="H119" s="43">
        <f t="shared" si="1"/>
        <v>0</v>
      </c>
      <c r="I119" s="43">
        <v>0</v>
      </c>
      <c r="J119" s="43">
        <v>0</v>
      </c>
      <c r="K119" s="43">
        <v>0</v>
      </c>
      <c r="L119" s="43">
        <v>0</v>
      </c>
      <c r="M119" s="43">
        <v>0</v>
      </c>
      <c r="N119" s="43">
        <v>0</v>
      </c>
      <c r="O119" s="43">
        <v>0</v>
      </c>
      <c r="P119" s="43">
        <v>0</v>
      </c>
      <c r="Q119" s="43">
        <v>-2723000</v>
      </c>
      <c r="R119" s="43">
        <v>0</v>
      </c>
      <c r="S119" s="43">
        <v>0</v>
      </c>
      <c r="T119" s="43">
        <v>0</v>
      </c>
      <c r="U119" s="43">
        <v>0</v>
      </c>
      <c r="V119" s="44">
        <v>0</v>
      </c>
      <c r="W119" s="24"/>
    </row>
    <row r="120" spans="1:23" ht="21.75">
      <c r="A120" s="36">
        <v>1202</v>
      </c>
      <c r="B120" s="37">
        <v>12</v>
      </c>
      <c r="C120" s="45">
        <v>117</v>
      </c>
      <c r="D120" s="46" t="s">
        <v>349</v>
      </c>
      <c r="E120" s="47" t="s">
        <v>285</v>
      </c>
      <c r="F120" s="48">
        <v>-1820613920</v>
      </c>
      <c r="G120" s="48">
        <v>1820613920</v>
      </c>
      <c r="H120" s="43">
        <f t="shared" si="1"/>
        <v>0</v>
      </c>
      <c r="I120" s="43">
        <v>0</v>
      </c>
      <c r="J120" s="43">
        <v>0</v>
      </c>
      <c r="K120" s="43">
        <v>0</v>
      </c>
      <c r="L120" s="43">
        <v>0</v>
      </c>
      <c r="M120" s="43">
        <v>0</v>
      </c>
      <c r="N120" s="43">
        <v>0</v>
      </c>
      <c r="O120" s="43">
        <v>0</v>
      </c>
      <c r="P120" s="43">
        <v>0</v>
      </c>
      <c r="Q120" s="43">
        <v>-1820613920</v>
      </c>
      <c r="R120" s="43">
        <v>0</v>
      </c>
      <c r="S120" s="43">
        <v>0</v>
      </c>
      <c r="T120" s="43">
        <v>0</v>
      </c>
      <c r="U120" s="43">
        <v>0</v>
      </c>
      <c r="V120" s="44">
        <v>0</v>
      </c>
      <c r="W120" s="24"/>
    </row>
    <row r="121" spans="1:23" ht="21.75">
      <c r="A121" s="36">
        <v>601</v>
      </c>
      <c r="B121" s="37">
        <v>6</v>
      </c>
      <c r="C121" s="45">
        <v>118</v>
      </c>
      <c r="D121" s="46" t="s">
        <v>235</v>
      </c>
      <c r="E121" s="47" t="s">
        <v>236</v>
      </c>
      <c r="F121" s="48">
        <v>5629408</v>
      </c>
      <c r="G121" s="49"/>
      <c r="H121" s="43">
        <f t="shared" si="1"/>
        <v>0</v>
      </c>
      <c r="I121" s="43">
        <v>0</v>
      </c>
      <c r="J121" s="43">
        <v>5629408</v>
      </c>
      <c r="K121" s="43">
        <v>0</v>
      </c>
      <c r="L121" s="43">
        <v>0</v>
      </c>
      <c r="M121" s="43">
        <v>0</v>
      </c>
      <c r="N121" s="43">
        <v>0</v>
      </c>
      <c r="O121" s="43">
        <v>0</v>
      </c>
      <c r="P121" s="43">
        <v>0</v>
      </c>
      <c r="Q121" s="43">
        <v>0</v>
      </c>
      <c r="R121" s="43">
        <v>0</v>
      </c>
      <c r="S121" s="43">
        <v>0</v>
      </c>
      <c r="T121" s="43">
        <v>0</v>
      </c>
      <c r="U121" s="43">
        <v>0</v>
      </c>
      <c r="V121" s="44">
        <v>0</v>
      </c>
      <c r="W121" s="24"/>
    </row>
    <row r="122" spans="1:23" ht="21.75">
      <c r="A122" s="36">
        <v>601</v>
      </c>
      <c r="B122" s="37">
        <v>6</v>
      </c>
      <c r="C122" s="45">
        <v>119</v>
      </c>
      <c r="D122" s="46" t="s">
        <v>237</v>
      </c>
      <c r="E122" s="47" t="s">
        <v>238</v>
      </c>
      <c r="F122" s="48">
        <v>17338884</v>
      </c>
      <c r="G122" s="49"/>
      <c r="H122" s="43">
        <f t="shared" si="1"/>
        <v>0</v>
      </c>
      <c r="I122" s="43">
        <v>0</v>
      </c>
      <c r="J122" s="43">
        <v>17338884</v>
      </c>
      <c r="K122" s="43">
        <v>0</v>
      </c>
      <c r="L122" s="43">
        <v>0</v>
      </c>
      <c r="M122" s="43">
        <v>0</v>
      </c>
      <c r="N122" s="43">
        <v>0</v>
      </c>
      <c r="O122" s="43">
        <v>0</v>
      </c>
      <c r="P122" s="43">
        <v>0</v>
      </c>
      <c r="Q122" s="43">
        <v>0</v>
      </c>
      <c r="R122" s="43">
        <v>0</v>
      </c>
      <c r="S122" s="43">
        <v>0</v>
      </c>
      <c r="T122" s="43">
        <v>0</v>
      </c>
      <c r="U122" s="43">
        <v>0</v>
      </c>
      <c r="V122" s="44">
        <v>0</v>
      </c>
      <c r="W122" s="24"/>
    </row>
    <row r="123" spans="1:23" ht="21.75">
      <c r="A123" s="36">
        <v>1202</v>
      </c>
      <c r="B123" s="37">
        <v>12</v>
      </c>
      <c r="C123" s="45">
        <v>120</v>
      </c>
      <c r="D123" s="46" t="s">
        <v>239</v>
      </c>
      <c r="E123" s="47" t="s">
        <v>240</v>
      </c>
      <c r="F123" s="48">
        <v>-1268247</v>
      </c>
      <c r="G123" s="48">
        <v>1268247</v>
      </c>
      <c r="H123" s="43">
        <f t="shared" si="1"/>
        <v>0</v>
      </c>
      <c r="I123" s="43">
        <v>0</v>
      </c>
      <c r="J123" s="43">
        <v>0</v>
      </c>
      <c r="K123" s="43">
        <v>0</v>
      </c>
      <c r="L123" s="43">
        <v>0</v>
      </c>
      <c r="M123" s="43">
        <v>0</v>
      </c>
      <c r="N123" s="43">
        <v>0</v>
      </c>
      <c r="O123" s="43">
        <v>0</v>
      </c>
      <c r="P123" s="43">
        <v>0</v>
      </c>
      <c r="Q123" s="43">
        <v>-1268247</v>
      </c>
      <c r="R123" s="43">
        <v>0</v>
      </c>
      <c r="S123" s="43">
        <v>0</v>
      </c>
      <c r="T123" s="43">
        <v>0</v>
      </c>
      <c r="U123" s="43">
        <v>0</v>
      </c>
      <c r="V123" s="44">
        <v>0</v>
      </c>
      <c r="W123" s="24"/>
    </row>
    <row r="124" spans="1:23" ht="21.75">
      <c r="A124" s="36">
        <v>601</v>
      </c>
      <c r="B124" s="37">
        <v>6</v>
      </c>
      <c r="C124" s="45">
        <v>121</v>
      </c>
      <c r="D124" s="46" t="s">
        <v>241</v>
      </c>
      <c r="E124" s="47" t="s">
        <v>242</v>
      </c>
      <c r="F124" s="48">
        <v>163503166</v>
      </c>
      <c r="G124" s="49"/>
      <c r="H124" s="43">
        <f t="shared" si="1"/>
        <v>0</v>
      </c>
      <c r="I124" s="43">
        <v>0</v>
      </c>
      <c r="J124" s="43">
        <v>163503166</v>
      </c>
      <c r="K124" s="43">
        <v>0</v>
      </c>
      <c r="L124" s="43">
        <v>0</v>
      </c>
      <c r="M124" s="43">
        <v>0</v>
      </c>
      <c r="N124" s="43">
        <v>0</v>
      </c>
      <c r="O124" s="43">
        <v>0</v>
      </c>
      <c r="P124" s="43">
        <v>0</v>
      </c>
      <c r="Q124" s="43">
        <v>0</v>
      </c>
      <c r="R124" s="43">
        <v>0</v>
      </c>
      <c r="S124" s="43">
        <v>0</v>
      </c>
      <c r="T124" s="43">
        <v>0</v>
      </c>
      <c r="U124" s="43">
        <v>0</v>
      </c>
      <c r="V124" s="44">
        <v>0</v>
      </c>
      <c r="W124" s="24"/>
    </row>
    <row r="125" spans="1:23" ht="21.75">
      <c r="A125" s="36">
        <v>601</v>
      </c>
      <c r="B125" s="37">
        <v>6</v>
      </c>
      <c r="C125" s="45">
        <v>122</v>
      </c>
      <c r="D125" s="46" t="s">
        <v>491</v>
      </c>
      <c r="E125" s="47" t="s">
        <v>492</v>
      </c>
      <c r="F125" s="48">
        <v>484247</v>
      </c>
      <c r="G125" s="49"/>
      <c r="H125" s="43">
        <f t="shared" si="1"/>
        <v>0</v>
      </c>
      <c r="I125" s="43">
        <v>0</v>
      </c>
      <c r="J125" s="43">
        <v>484247</v>
      </c>
      <c r="K125" s="43">
        <v>0</v>
      </c>
      <c r="L125" s="43">
        <v>0</v>
      </c>
      <c r="M125" s="43">
        <v>0</v>
      </c>
      <c r="N125" s="43">
        <v>0</v>
      </c>
      <c r="O125" s="43">
        <v>0</v>
      </c>
      <c r="P125" s="43">
        <v>0</v>
      </c>
      <c r="Q125" s="43">
        <v>0</v>
      </c>
      <c r="R125" s="43">
        <v>0</v>
      </c>
      <c r="S125" s="43">
        <v>0</v>
      </c>
      <c r="T125" s="43">
        <v>0</v>
      </c>
      <c r="U125" s="43">
        <v>0</v>
      </c>
      <c r="V125" s="44">
        <v>0</v>
      </c>
      <c r="W125" s="24"/>
    </row>
    <row r="126" spans="1:23" ht="21.75">
      <c r="A126" s="36">
        <v>601</v>
      </c>
      <c r="B126" s="37">
        <v>6</v>
      </c>
      <c r="C126" s="45">
        <v>123</v>
      </c>
      <c r="D126" s="46" t="s">
        <v>493</v>
      </c>
      <c r="E126" s="47" t="s">
        <v>494</v>
      </c>
      <c r="F126" s="48">
        <v>1018710</v>
      </c>
      <c r="G126" s="49"/>
      <c r="H126" s="43">
        <f t="shared" si="1"/>
        <v>0</v>
      </c>
      <c r="I126" s="43">
        <v>0</v>
      </c>
      <c r="J126" s="43">
        <v>1018710</v>
      </c>
      <c r="K126" s="43">
        <v>0</v>
      </c>
      <c r="L126" s="43">
        <v>0</v>
      </c>
      <c r="M126" s="43">
        <v>0</v>
      </c>
      <c r="N126" s="43">
        <v>0</v>
      </c>
      <c r="O126" s="43">
        <v>0</v>
      </c>
      <c r="P126" s="43">
        <v>0</v>
      </c>
      <c r="Q126" s="43">
        <v>0</v>
      </c>
      <c r="R126" s="43">
        <v>0</v>
      </c>
      <c r="S126" s="43">
        <v>0</v>
      </c>
      <c r="T126" s="43">
        <v>0</v>
      </c>
      <c r="U126" s="43">
        <v>0</v>
      </c>
      <c r="V126" s="44">
        <v>0</v>
      </c>
      <c r="W126" s="24"/>
    </row>
    <row r="127" spans="1:23" ht="21.75">
      <c r="A127" s="36">
        <v>601</v>
      </c>
      <c r="B127" s="37">
        <v>6</v>
      </c>
      <c r="C127" s="45">
        <v>124</v>
      </c>
      <c r="D127" s="46" t="s">
        <v>560</v>
      </c>
      <c r="E127" s="47" t="s">
        <v>115</v>
      </c>
      <c r="F127" s="48">
        <v>42231000</v>
      </c>
      <c r="G127" s="49"/>
      <c r="H127" s="43">
        <f t="shared" si="1"/>
        <v>0</v>
      </c>
      <c r="I127" s="43">
        <v>0</v>
      </c>
      <c r="J127" s="43">
        <v>42231000</v>
      </c>
      <c r="K127" s="43">
        <v>0</v>
      </c>
      <c r="L127" s="43">
        <v>0</v>
      </c>
      <c r="M127" s="43">
        <v>0</v>
      </c>
      <c r="N127" s="43">
        <v>0</v>
      </c>
      <c r="O127" s="43">
        <v>0</v>
      </c>
      <c r="P127" s="43">
        <v>0</v>
      </c>
      <c r="Q127" s="43">
        <v>0</v>
      </c>
      <c r="R127" s="43">
        <v>0</v>
      </c>
      <c r="S127" s="43">
        <v>0</v>
      </c>
      <c r="T127" s="43">
        <v>0</v>
      </c>
      <c r="U127" s="43">
        <v>0</v>
      </c>
      <c r="V127" s="44">
        <v>0</v>
      </c>
      <c r="W127" s="24"/>
    </row>
    <row r="128" spans="1:23" ht="21.75">
      <c r="A128" s="36">
        <v>1212</v>
      </c>
      <c r="B128" s="37">
        <v>12</v>
      </c>
      <c r="C128" s="45">
        <v>125</v>
      </c>
      <c r="D128" s="46" t="s">
        <v>116</v>
      </c>
      <c r="E128" s="47" t="s">
        <v>117</v>
      </c>
      <c r="F128" s="48">
        <v>-22020000</v>
      </c>
      <c r="G128" s="48">
        <v>22020000</v>
      </c>
      <c r="H128" s="43">
        <f t="shared" si="1"/>
        <v>0</v>
      </c>
      <c r="I128" s="43">
        <v>0</v>
      </c>
      <c r="J128" s="43">
        <v>0</v>
      </c>
      <c r="K128" s="43">
        <v>0</v>
      </c>
      <c r="L128" s="43">
        <v>0</v>
      </c>
      <c r="M128" s="43">
        <v>0</v>
      </c>
      <c r="N128" s="43">
        <v>0</v>
      </c>
      <c r="O128" s="43">
        <v>0</v>
      </c>
      <c r="P128" s="43">
        <v>0</v>
      </c>
      <c r="Q128" s="43">
        <v>-22020000</v>
      </c>
      <c r="R128" s="43">
        <v>0</v>
      </c>
      <c r="S128" s="43">
        <v>0</v>
      </c>
      <c r="T128" s="43">
        <v>0</v>
      </c>
      <c r="U128" s="43">
        <v>0</v>
      </c>
      <c r="V128" s="44">
        <v>0</v>
      </c>
      <c r="W128" s="24"/>
    </row>
    <row r="129" spans="1:23" ht="21.75">
      <c r="A129" s="36">
        <v>614</v>
      </c>
      <c r="B129" s="37">
        <v>6</v>
      </c>
      <c r="C129" s="45">
        <v>126</v>
      </c>
      <c r="D129" s="46" t="s">
        <v>485</v>
      </c>
      <c r="E129" s="47" t="s">
        <v>486</v>
      </c>
      <c r="F129" s="48">
        <v>3097560</v>
      </c>
      <c r="G129" s="49"/>
      <c r="H129" s="43">
        <f t="shared" si="1"/>
        <v>0</v>
      </c>
      <c r="I129" s="43">
        <v>0</v>
      </c>
      <c r="J129" s="43">
        <v>3097560</v>
      </c>
      <c r="K129" s="43">
        <v>0</v>
      </c>
      <c r="L129" s="43">
        <v>0</v>
      </c>
      <c r="M129" s="43">
        <v>0</v>
      </c>
      <c r="N129" s="43">
        <v>0</v>
      </c>
      <c r="O129" s="43">
        <v>0</v>
      </c>
      <c r="P129" s="43">
        <v>0</v>
      </c>
      <c r="Q129" s="43">
        <v>0</v>
      </c>
      <c r="R129" s="43">
        <v>0</v>
      </c>
      <c r="S129" s="43">
        <v>0</v>
      </c>
      <c r="T129" s="43">
        <v>0</v>
      </c>
      <c r="U129" s="43">
        <v>0</v>
      </c>
      <c r="V129" s="44">
        <v>0</v>
      </c>
      <c r="W129" s="24"/>
    </row>
    <row r="130" spans="1:23" ht="21.75">
      <c r="A130" s="36">
        <v>1212</v>
      </c>
      <c r="B130" s="37">
        <v>12</v>
      </c>
      <c r="C130" s="45">
        <v>127</v>
      </c>
      <c r="D130" s="46" t="s">
        <v>487</v>
      </c>
      <c r="E130" s="47" t="s">
        <v>488</v>
      </c>
      <c r="F130" s="48">
        <v>-2032500</v>
      </c>
      <c r="G130" s="48">
        <v>2032500</v>
      </c>
      <c r="H130" s="43">
        <f t="shared" si="1"/>
        <v>0</v>
      </c>
      <c r="I130" s="43">
        <v>0</v>
      </c>
      <c r="J130" s="43">
        <v>0</v>
      </c>
      <c r="K130" s="43">
        <v>0</v>
      </c>
      <c r="L130" s="43">
        <v>0</v>
      </c>
      <c r="M130" s="43">
        <v>0</v>
      </c>
      <c r="N130" s="43">
        <v>0</v>
      </c>
      <c r="O130" s="43">
        <v>0</v>
      </c>
      <c r="P130" s="43">
        <v>0</v>
      </c>
      <c r="Q130" s="43">
        <v>-2032500</v>
      </c>
      <c r="R130" s="43">
        <v>0</v>
      </c>
      <c r="S130" s="43">
        <v>0</v>
      </c>
      <c r="T130" s="43">
        <v>0</v>
      </c>
      <c r="U130" s="43">
        <v>0</v>
      </c>
      <c r="V130" s="44">
        <v>0</v>
      </c>
      <c r="W130" s="24"/>
    </row>
    <row r="131" spans="1:23" ht="21.75">
      <c r="A131" s="36">
        <v>614</v>
      </c>
      <c r="B131" s="37">
        <v>6</v>
      </c>
      <c r="C131" s="45">
        <v>128</v>
      </c>
      <c r="D131" s="46" t="s">
        <v>489</v>
      </c>
      <c r="E131" s="47" t="s">
        <v>292</v>
      </c>
      <c r="F131" s="48">
        <v>72320783</v>
      </c>
      <c r="G131" s="49"/>
      <c r="H131" s="43">
        <f t="shared" si="1"/>
        <v>0</v>
      </c>
      <c r="I131" s="43">
        <v>0</v>
      </c>
      <c r="J131" s="43">
        <v>72320783</v>
      </c>
      <c r="K131" s="43">
        <v>0</v>
      </c>
      <c r="L131" s="43">
        <v>0</v>
      </c>
      <c r="M131" s="43">
        <v>0</v>
      </c>
      <c r="N131" s="43">
        <v>0</v>
      </c>
      <c r="O131" s="43">
        <v>0</v>
      </c>
      <c r="P131" s="43">
        <v>0</v>
      </c>
      <c r="Q131" s="43">
        <v>0</v>
      </c>
      <c r="R131" s="43">
        <v>0</v>
      </c>
      <c r="S131" s="43">
        <v>0</v>
      </c>
      <c r="T131" s="43">
        <v>0</v>
      </c>
      <c r="U131" s="43">
        <v>0</v>
      </c>
      <c r="V131" s="44">
        <v>0</v>
      </c>
      <c r="W131" s="24"/>
    </row>
    <row r="132" spans="1:23" ht="21.75">
      <c r="A132" s="36">
        <v>611</v>
      </c>
      <c r="B132" s="37">
        <v>6</v>
      </c>
      <c r="C132" s="45">
        <v>129</v>
      </c>
      <c r="D132" s="46" t="s">
        <v>293</v>
      </c>
      <c r="E132" s="47" t="s">
        <v>467</v>
      </c>
      <c r="F132" s="48">
        <v>12195337816</v>
      </c>
      <c r="G132" s="49"/>
      <c r="H132" s="43">
        <f t="shared" si="1"/>
        <v>0</v>
      </c>
      <c r="I132" s="43">
        <v>0</v>
      </c>
      <c r="J132" s="43">
        <v>12195337816</v>
      </c>
      <c r="K132" s="43">
        <v>0</v>
      </c>
      <c r="L132" s="43">
        <v>0</v>
      </c>
      <c r="M132" s="43">
        <v>0</v>
      </c>
      <c r="N132" s="43">
        <v>0</v>
      </c>
      <c r="O132" s="43">
        <v>0</v>
      </c>
      <c r="P132" s="43">
        <v>0</v>
      </c>
      <c r="Q132" s="43">
        <v>0</v>
      </c>
      <c r="R132" s="43">
        <v>0</v>
      </c>
      <c r="S132" s="43">
        <v>0</v>
      </c>
      <c r="T132" s="43">
        <v>0</v>
      </c>
      <c r="U132" s="43">
        <v>0</v>
      </c>
      <c r="V132" s="44">
        <v>0</v>
      </c>
      <c r="W132" s="24"/>
    </row>
    <row r="133" spans="1:23" ht="21.75">
      <c r="A133" s="36">
        <v>805</v>
      </c>
      <c r="B133" s="37">
        <v>8</v>
      </c>
      <c r="C133" s="45">
        <v>130</v>
      </c>
      <c r="D133" s="46" t="s">
        <v>294</v>
      </c>
      <c r="E133" s="47" t="s">
        <v>295</v>
      </c>
      <c r="F133" s="48">
        <v>3078710255</v>
      </c>
      <c r="G133" s="49"/>
      <c r="H133" s="43">
        <f t="shared" ref="H133:H196" si="2">IF($B133=$H$3,$F133,0)</f>
        <v>0</v>
      </c>
      <c r="I133" s="43">
        <v>0</v>
      </c>
      <c r="J133" s="43">
        <v>0</v>
      </c>
      <c r="K133" s="43">
        <v>0</v>
      </c>
      <c r="L133" s="43">
        <v>3078710255</v>
      </c>
      <c r="M133" s="43">
        <v>0</v>
      </c>
      <c r="N133" s="43">
        <v>0</v>
      </c>
      <c r="O133" s="43">
        <v>0</v>
      </c>
      <c r="P133" s="43">
        <v>0</v>
      </c>
      <c r="Q133" s="43">
        <v>0</v>
      </c>
      <c r="R133" s="43">
        <v>0</v>
      </c>
      <c r="S133" s="43">
        <v>0</v>
      </c>
      <c r="T133" s="43">
        <v>0</v>
      </c>
      <c r="U133" s="43">
        <v>0</v>
      </c>
      <c r="V133" s="44">
        <v>0</v>
      </c>
      <c r="W133" s="24"/>
    </row>
    <row r="134" spans="1:23" ht="21.75">
      <c r="A134" s="36">
        <v>805</v>
      </c>
      <c r="B134" s="37">
        <v>8</v>
      </c>
      <c r="C134" s="45">
        <v>131</v>
      </c>
      <c r="D134" s="46" t="s">
        <v>296</v>
      </c>
      <c r="E134" s="47" t="s">
        <v>297</v>
      </c>
      <c r="F134" s="48">
        <v>217090642734</v>
      </c>
      <c r="G134" s="49"/>
      <c r="H134" s="43">
        <f t="shared" si="2"/>
        <v>0</v>
      </c>
      <c r="I134" s="43">
        <v>0</v>
      </c>
      <c r="J134" s="43">
        <v>0</v>
      </c>
      <c r="K134" s="43">
        <v>0</v>
      </c>
      <c r="L134" s="43">
        <v>217090642734</v>
      </c>
      <c r="M134" s="43">
        <v>0</v>
      </c>
      <c r="N134" s="43">
        <v>0</v>
      </c>
      <c r="O134" s="43">
        <v>0</v>
      </c>
      <c r="P134" s="43">
        <v>0</v>
      </c>
      <c r="Q134" s="43">
        <v>0</v>
      </c>
      <c r="R134" s="43">
        <v>0</v>
      </c>
      <c r="S134" s="43">
        <v>0</v>
      </c>
      <c r="T134" s="43">
        <v>0</v>
      </c>
      <c r="U134" s="43">
        <v>0</v>
      </c>
      <c r="V134" s="44">
        <v>0</v>
      </c>
      <c r="W134" s="24"/>
    </row>
    <row r="135" spans="1:23" ht="21.75">
      <c r="A135" s="36">
        <v>805</v>
      </c>
      <c r="B135" s="37">
        <v>8</v>
      </c>
      <c r="C135" s="45">
        <v>132</v>
      </c>
      <c r="D135" s="46" t="s">
        <v>298</v>
      </c>
      <c r="E135" s="47" t="s">
        <v>78</v>
      </c>
      <c r="F135" s="48">
        <v>-4193017055</v>
      </c>
      <c r="G135" s="48">
        <v>4193017055</v>
      </c>
      <c r="H135" s="43">
        <f t="shared" si="2"/>
        <v>0</v>
      </c>
      <c r="I135" s="43">
        <v>0</v>
      </c>
      <c r="J135" s="43">
        <v>0</v>
      </c>
      <c r="K135" s="43">
        <v>0</v>
      </c>
      <c r="L135" s="43">
        <v>-4193017055</v>
      </c>
      <c r="M135" s="43">
        <v>0</v>
      </c>
      <c r="N135" s="43">
        <v>0</v>
      </c>
      <c r="O135" s="43">
        <v>0</v>
      </c>
      <c r="P135" s="43">
        <v>0</v>
      </c>
      <c r="Q135" s="43">
        <v>0</v>
      </c>
      <c r="R135" s="43">
        <v>0</v>
      </c>
      <c r="S135" s="43">
        <v>0</v>
      </c>
      <c r="T135" s="43">
        <v>0</v>
      </c>
      <c r="U135" s="43">
        <v>0</v>
      </c>
      <c r="V135" s="44">
        <v>0</v>
      </c>
      <c r="W135" s="24"/>
    </row>
    <row r="136" spans="1:23" ht="21.75">
      <c r="A136" s="36">
        <v>805</v>
      </c>
      <c r="B136" s="37">
        <v>8</v>
      </c>
      <c r="C136" s="45">
        <v>133</v>
      </c>
      <c r="D136" s="46" t="s">
        <v>79</v>
      </c>
      <c r="E136" s="47" t="s">
        <v>80</v>
      </c>
      <c r="F136" s="48">
        <v>-13985182555</v>
      </c>
      <c r="G136" s="48">
        <v>13985182555</v>
      </c>
      <c r="H136" s="43">
        <f t="shared" si="2"/>
        <v>0</v>
      </c>
      <c r="I136" s="43">
        <v>0</v>
      </c>
      <c r="J136" s="43">
        <v>0</v>
      </c>
      <c r="K136" s="43">
        <v>0</v>
      </c>
      <c r="L136" s="43">
        <v>-13985182555</v>
      </c>
      <c r="M136" s="43">
        <v>0</v>
      </c>
      <c r="N136" s="43">
        <v>0</v>
      </c>
      <c r="O136" s="43">
        <v>0</v>
      </c>
      <c r="P136" s="43">
        <v>0</v>
      </c>
      <c r="Q136" s="43">
        <v>0</v>
      </c>
      <c r="R136" s="43">
        <v>0</v>
      </c>
      <c r="S136" s="43">
        <v>0</v>
      </c>
      <c r="T136" s="43">
        <v>0</v>
      </c>
      <c r="U136" s="43">
        <v>0</v>
      </c>
      <c r="V136" s="44">
        <v>0</v>
      </c>
      <c r="W136" s="24"/>
    </row>
    <row r="137" spans="1:23" ht="21.75">
      <c r="A137" s="36">
        <v>805</v>
      </c>
      <c r="B137" s="37">
        <v>8</v>
      </c>
      <c r="C137" s="45">
        <v>134</v>
      </c>
      <c r="D137" s="46" t="s">
        <v>443</v>
      </c>
      <c r="E137" s="47" t="s">
        <v>444</v>
      </c>
      <c r="F137" s="48">
        <v>-15272510964</v>
      </c>
      <c r="G137" s="48">
        <v>15272510964</v>
      </c>
      <c r="H137" s="43">
        <f t="shared" si="2"/>
        <v>0</v>
      </c>
      <c r="I137" s="43">
        <v>0</v>
      </c>
      <c r="J137" s="43">
        <v>0</v>
      </c>
      <c r="K137" s="43">
        <v>0</v>
      </c>
      <c r="L137" s="43">
        <v>-15272510964</v>
      </c>
      <c r="M137" s="43">
        <v>0</v>
      </c>
      <c r="N137" s="43">
        <v>0</v>
      </c>
      <c r="O137" s="43">
        <v>0</v>
      </c>
      <c r="P137" s="43">
        <v>0</v>
      </c>
      <c r="Q137" s="43">
        <v>0</v>
      </c>
      <c r="R137" s="43">
        <v>0</v>
      </c>
      <c r="S137" s="43">
        <v>0</v>
      </c>
      <c r="T137" s="43">
        <v>0</v>
      </c>
      <c r="U137" s="43">
        <v>0</v>
      </c>
      <c r="V137" s="44">
        <v>0</v>
      </c>
      <c r="W137" s="24"/>
    </row>
    <row r="138" spans="1:23" ht="21.75">
      <c r="A138" s="36">
        <v>805</v>
      </c>
      <c r="B138" s="37">
        <v>8</v>
      </c>
      <c r="C138" s="45">
        <v>135</v>
      </c>
      <c r="D138" s="46" t="s">
        <v>445</v>
      </c>
      <c r="E138" s="47" t="s">
        <v>446</v>
      </c>
      <c r="F138" s="48">
        <v>179073243</v>
      </c>
      <c r="G138" s="49"/>
      <c r="H138" s="43">
        <f t="shared" si="2"/>
        <v>0</v>
      </c>
      <c r="I138" s="43">
        <v>0</v>
      </c>
      <c r="J138" s="43">
        <v>0</v>
      </c>
      <c r="K138" s="43">
        <v>0</v>
      </c>
      <c r="L138" s="43">
        <v>179073243</v>
      </c>
      <c r="M138" s="43">
        <v>0</v>
      </c>
      <c r="N138" s="43">
        <v>0</v>
      </c>
      <c r="O138" s="43">
        <v>0</v>
      </c>
      <c r="P138" s="43">
        <v>0</v>
      </c>
      <c r="Q138" s="43">
        <v>0</v>
      </c>
      <c r="R138" s="43">
        <v>0</v>
      </c>
      <c r="S138" s="43">
        <v>0</v>
      </c>
      <c r="T138" s="43">
        <v>0</v>
      </c>
      <c r="U138" s="43">
        <v>0</v>
      </c>
      <c r="V138" s="44">
        <v>0</v>
      </c>
      <c r="W138" s="24"/>
    </row>
    <row r="139" spans="1:23" ht="21.75">
      <c r="A139" s="36">
        <v>701</v>
      </c>
      <c r="B139" s="37">
        <v>7</v>
      </c>
      <c r="C139" s="45">
        <v>136</v>
      </c>
      <c r="D139" s="46" t="s">
        <v>447</v>
      </c>
      <c r="E139" s="47" t="s">
        <v>448</v>
      </c>
      <c r="F139" s="48">
        <v>58054696</v>
      </c>
      <c r="G139" s="49"/>
      <c r="H139" s="43">
        <f t="shared" si="2"/>
        <v>0</v>
      </c>
      <c r="I139" s="43">
        <v>0</v>
      </c>
      <c r="J139" s="43">
        <v>0</v>
      </c>
      <c r="K139" s="43">
        <v>58054696</v>
      </c>
      <c r="L139" s="43">
        <v>0</v>
      </c>
      <c r="M139" s="43">
        <v>0</v>
      </c>
      <c r="N139" s="43">
        <v>0</v>
      </c>
      <c r="O139" s="43">
        <v>0</v>
      </c>
      <c r="P139" s="43">
        <v>0</v>
      </c>
      <c r="Q139" s="43">
        <v>0</v>
      </c>
      <c r="R139" s="43">
        <v>0</v>
      </c>
      <c r="S139" s="43">
        <v>0</v>
      </c>
      <c r="T139" s="43">
        <v>0</v>
      </c>
      <c r="U139" s="43">
        <v>0</v>
      </c>
      <c r="V139" s="44">
        <v>0</v>
      </c>
      <c r="W139" s="24"/>
    </row>
    <row r="140" spans="1:23" ht="21.75">
      <c r="A140" s="36">
        <v>701</v>
      </c>
      <c r="B140" s="37">
        <v>7</v>
      </c>
      <c r="C140" s="45">
        <v>137</v>
      </c>
      <c r="D140" s="46" t="s">
        <v>449</v>
      </c>
      <c r="E140" s="47" t="s">
        <v>448</v>
      </c>
      <c r="F140" s="48">
        <v>487794604</v>
      </c>
      <c r="G140" s="49"/>
      <c r="H140" s="43">
        <f t="shared" si="2"/>
        <v>0</v>
      </c>
      <c r="I140" s="43">
        <v>0</v>
      </c>
      <c r="J140" s="43">
        <v>0</v>
      </c>
      <c r="K140" s="43">
        <v>487794604</v>
      </c>
      <c r="L140" s="43">
        <v>0</v>
      </c>
      <c r="M140" s="43">
        <v>0</v>
      </c>
      <c r="N140" s="43">
        <v>0</v>
      </c>
      <c r="O140" s="43">
        <v>0</v>
      </c>
      <c r="P140" s="43">
        <v>0</v>
      </c>
      <c r="Q140" s="43">
        <v>0</v>
      </c>
      <c r="R140" s="43">
        <v>0</v>
      </c>
      <c r="S140" s="43">
        <v>0</v>
      </c>
      <c r="T140" s="43">
        <v>0</v>
      </c>
      <c r="U140" s="43">
        <v>0</v>
      </c>
      <c r="V140" s="44">
        <v>0</v>
      </c>
      <c r="W140" s="24"/>
    </row>
    <row r="141" spans="1:23" ht="21.75">
      <c r="A141" s="36">
        <v>701</v>
      </c>
      <c r="B141" s="37">
        <v>7</v>
      </c>
      <c r="C141" s="45">
        <v>138</v>
      </c>
      <c r="D141" s="46" t="s">
        <v>450</v>
      </c>
      <c r="E141" s="47" t="s">
        <v>451</v>
      </c>
      <c r="F141" s="48">
        <v>3553641</v>
      </c>
      <c r="G141" s="49"/>
      <c r="H141" s="43">
        <f t="shared" si="2"/>
        <v>0</v>
      </c>
      <c r="I141" s="43">
        <v>0</v>
      </c>
      <c r="J141" s="43">
        <v>0</v>
      </c>
      <c r="K141" s="43">
        <v>3553641</v>
      </c>
      <c r="L141" s="43">
        <v>0</v>
      </c>
      <c r="M141" s="43">
        <v>0</v>
      </c>
      <c r="N141" s="43">
        <v>0</v>
      </c>
      <c r="O141" s="43">
        <v>0</v>
      </c>
      <c r="P141" s="43">
        <v>0</v>
      </c>
      <c r="Q141" s="43">
        <v>0</v>
      </c>
      <c r="R141" s="43">
        <v>0</v>
      </c>
      <c r="S141" s="43">
        <v>0</v>
      </c>
      <c r="T141" s="43">
        <v>0</v>
      </c>
      <c r="U141" s="43">
        <v>0</v>
      </c>
      <c r="V141" s="44">
        <v>0</v>
      </c>
      <c r="W141" s="24"/>
    </row>
    <row r="142" spans="1:23" ht="21.75">
      <c r="A142" s="36">
        <v>701</v>
      </c>
      <c r="B142" s="37">
        <v>7</v>
      </c>
      <c r="C142" s="45">
        <v>139</v>
      </c>
      <c r="D142" s="46" t="s">
        <v>452</v>
      </c>
      <c r="E142" s="47" t="s">
        <v>453</v>
      </c>
      <c r="F142" s="48">
        <v>53940391</v>
      </c>
      <c r="G142" s="49"/>
      <c r="H142" s="43">
        <f t="shared" si="2"/>
        <v>0</v>
      </c>
      <c r="I142" s="43">
        <v>0</v>
      </c>
      <c r="J142" s="43">
        <v>0</v>
      </c>
      <c r="K142" s="43">
        <v>53940391</v>
      </c>
      <c r="L142" s="43">
        <v>0</v>
      </c>
      <c r="M142" s="43">
        <v>0</v>
      </c>
      <c r="N142" s="43">
        <v>0</v>
      </c>
      <c r="O142" s="43">
        <v>0</v>
      </c>
      <c r="P142" s="43">
        <v>0</v>
      </c>
      <c r="Q142" s="43">
        <v>0</v>
      </c>
      <c r="R142" s="43">
        <v>0</v>
      </c>
      <c r="S142" s="43">
        <v>0</v>
      </c>
      <c r="T142" s="43">
        <v>0</v>
      </c>
      <c r="U142" s="43">
        <v>0</v>
      </c>
      <c r="V142" s="44">
        <v>0</v>
      </c>
      <c r="W142" s="24"/>
    </row>
    <row r="143" spans="1:23" ht="21.75">
      <c r="A143" s="36">
        <v>701</v>
      </c>
      <c r="B143" s="37">
        <v>7</v>
      </c>
      <c r="C143" s="45">
        <v>140</v>
      </c>
      <c r="D143" s="46" t="s">
        <v>454</v>
      </c>
      <c r="E143" s="47" t="s">
        <v>455</v>
      </c>
      <c r="F143" s="48">
        <v>914641953</v>
      </c>
      <c r="G143" s="49"/>
      <c r="H143" s="43">
        <f t="shared" si="2"/>
        <v>0</v>
      </c>
      <c r="I143" s="43">
        <v>0</v>
      </c>
      <c r="J143" s="43">
        <v>0</v>
      </c>
      <c r="K143" s="43">
        <v>914641953</v>
      </c>
      <c r="L143" s="43">
        <v>0</v>
      </c>
      <c r="M143" s="43">
        <v>0</v>
      </c>
      <c r="N143" s="43">
        <v>0</v>
      </c>
      <c r="O143" s="43">
        <v>0</v>
      </c>
      <c r="P143" s="43">
        <v>0</v>
      </c>
      <c r="Q143" s="43">
        <v>0</v>
      </c>
      <c r="R143" s="43">
        <v>0</v>
      </c>
      <c r="S143" s="43">
        <v>0</v>
      </c>
      <c r="T143" s="43">
        <v>0</v>
      </c>
      <c r="U143" s="43">
        <v>0</v>
      </c>
      <c r="V143" s="44">
        <v>0</v>
      </c>
      <c r="W143" s="24"/>
    </row>
    <row r="144" spans="1:23" ht="21.75">
      <c r="A144" s="36">
        <v>805</v>
      </c>
      <c r="B144" s="37">
        <v>8</v>
      </c>
      <c r="C144" s="45">
        <v>141</v>
      </c>
      <c r="D144" s="46" t="s">
        <v>456</v>
      </c>
      <c r="E144" s="47" t="s">
        <v>457</v>
      </c>
      <c r="F144" s="48">
        <v>-120126360</v>
      </c>
      <c r="G144" s="48">
        <v>120126360</v>
      </c>
      <c r="H144" s="43">
        <f t="shared" si="2"/>
        <v>0</v>
      </c>
      <c r="I144" s="43">
        <v>0</v>
      </c>
      <c r="J144" s="43">
        <v>0</v>
      </c>
      <c r="K144" s="43">
        <v>0</v>
      </c>
      <c r="L144" s="43">
        <v>-120126360</v>
      </c>
      <c r="M144" s="43">
        <v>0</v>
      </c>
      <c r="N144" s="43">
        <v>0</v>
      </c>
      <c r="O144" s="43">
        <v>0</v>
      </c>
      <c r="P144" s="43">
        <v>0</v>
      </c>
      <c r="Q144" s="43">
        <v>0</v>
      </c>
      <c r="R144" s="43">
        <v>0</v>
      </c>
      <c r="S144" s="43">
        <v>0</v>
      </c>
      <c r="T144" s="43">
        <v>0</v>
      </c>
      <c r="U144" s="43">
        <v>0</v>
      </c>
      <c r="V144" s="44">
        <v>0</v>
      </c>
      <c r="W144" s="24"/>
    </row>
    <row r="145" spans="1:23" ht="21.75">
      <c r="A145" s="36">
        <v>801</v>
      </c>
      <c r="B145" s="37">
        <v>8</v>
      </c>
      <c r="C145" s="45">
        <v>142</v>
      </c>
      <c r="D145" s="46" t="s">
        <v>458</v>
      </c>
      <c r="E145" s="47" t="s">
        <v>459</v>
      </c>
      <c r="F145" s="48">
        <v>-24920366496</v>
      </c>
      <c r="G145" s="48">
        <v>24920366496</v>
      </c>
      <c r="H145" s="43">
        <f t="shared" si="2"/>
        <v>0</v>
      </c>
      <c r="I145" s="43">
        <v>0</v>
      </c>
      <c r="J145" s="43">
        <v>0</v>
      </c>
      <c r="K145" s="43">
        <v>0</v>
      </c>
      <c r="L145" s="43">
        <v>-24920366496</v>
      </c>
      <c r="M145" s="43">
        <v>0</v>
      </c>
      <c r="N145" s="43">
        <v>0</v>
      </c>
      <c r="O145" s="43">
        <v>0</v>
      </c>
      <c r="P145" s="43">
        <v>0</v>
      </c>
      <c r="Q145" s="43">
        <v>0</v>
      </c>
      <c r="R145" s="43">
        <v>0</v>
      </c>
      <c r="S145" s="43">
        <v>0</v>
      </c>
      <c r="T145" s="43">
        <v>0</v>
      </c>
      <c r="U145" s="43">
        <v>0</v>
      </c>
      <c r="V145" s="44">
        <v>0</v>
      </c>
      <c r="W145" s="24"/>
    </row>
    <row r="146" spans="1:23" ht="21.75">
      <c r="A146" s="36">
        <v>701</v>
      </c>
      <c r="B146" s="37">
        <v>7</v>
      </c>
      <c r="C146" s="45">
        <v>143</v>
      </c>
      <c r="D146" s="46" t="s">
        <v>460</v>
      </c>
      <c r="E146" s="47" t="s">
        <v>461</v>
      </c>
      <c r="F146" s="48">
        <v>1113378586897</v>
      </c>
      <c r="G146" s="49"/>
      <c r="H146" s="43">
        <f t="shared" si="2"/>
        <v>0</v>
      </c>
      <c r="I146" s="43">
        <v>0</v>
      </c>
      <c r="J146" s="43">
        <v>0</v>
      </c>
      <c r="K146" s="43">
        <v>1113378586897</v>
      </c>
      <c r="L146" s="43">
        <v>0</v>
      </c>
      <c r="M146" s="43">
        <v>0</v>
      </c>
      <c r="N146" s="43">
        <v>0</v>
      </c>
      <c r="O146" s="43">
        <v>0</v>
      </c>
      <c r="P146" s="43">
        <v>0</v>
      </c>
      <c r="Q146" s="43">
        <v>0</v>
      </c>
      <c r="R146" s="43">
        <v>0</v>
      </c>
      <c r="S146" s="43">
        <v>0</v>
      </c>
      <c r="T146" s="43">
        <v>0</v>
      </c>
      <c r="U146" s="43">
        <v>0</v>
      </c>
      <c r="V146" s="44">
        <v>0</v>
      </c>
      <c r="W146" s="24"/>
    </row>
    <row r="147" spans="1:23" ht="21.75">
      <c r="A147" s="36">
        <v>908</v>
      </c>
      <c r="B147" s="37">
        <v>9</v>
      </c>
      <c r="C147" s="45">
        <v>144</v>
      </c>
      <c r="D147" s="46" t="s">
        <v>462</v>
      </c>
      <c r="E147" s="47" t="s">
        <v>463</v>
      </c>
      <c r="F147" s="48">
        <v>495230071539</v>
      </c>
      <c r="G147" s="49"/>
      <c r="H147" s="43">
        <f t="shared" si="2"/>
        <v>0</v>
      </c>
      <c r="I147" s="43">
        <v>0</v>
      </c>
      <c r="J147" s="43">
        <v>0</v>
      </c>
      <c r="K147" s="43">
        <v>0</v>
      </c>
      <c r="L147" s="43">
        <v>0</v>
      </c>
      <c r="M147" s="43">
        <v>0</v>
      </c>
      <c r="N147" s="43">
        <v>495230071539</v>
      </c>
      <c r="O147" s="43">
        <v>0</v>
      </c>
      <c r="P147" s="43">
        <v>0</v>
      </c>
      <c r="Q147" s="43">
        <v>0</v>
      </c>
      <c r="R147" s="43">
        <v>0</v>
      </c>
      <c r="S147" s="43">
        <v>0</v>
      </c>
      <c r="T147" s="43">
        <v>0</v>
      </c>
      <c r="U147" s="43">
        <v>0</v>
      </c>
      <c r="V147" s="44">
        <v>0</v>
      </c>
      <c r="W147" s="24"/>
    </row>
    <row r="148" spans="1:23" ht="21.75">
      <c r="A148" s="36">
        <v>805</v>
      </c>
      <c r="B148" s="37">
        <v>8</v>
      </c>
      <c r="C148" s="45">
        <v>145</v>
      </c>
      <c r="D148" s="46" t="s">
        <v>163</v>
      </c>
      <c r="E148" s="47" t="s">
        <v>164</v>
      </c>
      <c r="F148" s="48">
        <v>1005693949</v>
      </c>
      <c r="G148" s="49"/>
      <c r="H148" s="43">
        <f t="shared" si="2"/>
        <v>0</v>
      </c>
      <c r="I148" s="43">
        <v>0</v>
      </c>
      <c r="J148" s="43">
        <v>0</v>
      </c>
      <c r="K148" s="43">
        <v>0</v>
      </c>
      <c r="L148" s="43">
        <v>1005693949</v>
      </c>
      <c r="M148" s="43">
        <v>0</v>
      </c>
      <c r="N148" s="43">
        <v>0</v>
      </c>
      <c r="O148" s="43">
        <v>0</v>
      </c>
      <c r="P148" s="43">
        <v>0</v>
      </c>
      <c r="Q148" s="43">
        <v>0</v>
      </c>
      <c r="R148" s="43">
        <v>0</v>
      </c>
      <c r="S148" s="43">
        <v>0</v>
      </c>
      <c r="T148" s="43">
        <v>0</v>
      </c>
      <c r="U148" s="43">
        <v>0</v>
      </c>
      <c r="V148" s="44">
        <v>0</v>
      </c>
      <c r="W148" s="24"/>
    </row>
    <row r="149" spans="1:23" ht="21.75">
      <c r="A149" s="36">
        <v>805</v>
      </c>
      <c r="B149" s="37">
        <v>8</v>
      </c>
      <c r="C149" s="45">
        <v>146</v>
      </c>
      <c r="D149" s="46" t="s">
        <v>165</v>
      </c>
      <c r="E149" s="47" t="s">
        <v>166</v>
      </c>
      <c r="F149" s="48">
        <v>15035358409</v>
      </c>
      <c r="G149" s="49"/>
      <c r="H149" s="43">
        <f t="shared" si="2"/>
        <v>0</v>
      </c>
      <c r="I149" s="43">
        <v>0</v>
      </c>
      <c r="J149" s="43">
        <v>0</v>
      </c>
      <c r="K149" s="43">
        <v>0</v>
      </c>
      <c r="L149" s="43">
        <v>15035358409</v>
      </c>
      <c r="M149" s="43">
        <v>0</v>
      </c>
      <c r="N149" s="43">
        <v>0</v>
      </c>
      <c r="O149" s="43">
        <v>0</v>
      </c>
      <c r="P149" s="43">
        <v>0</v>
      </c>
      <c r="Q149" s="43">
        <v>0</v>
      </c>
      <c r="R149" s="43">
        <v>0</v>
      </c>
      <c r="S149" s="43">
        <v>0</v>
      </c>
      <c r="T149" s="43">
        <v>0</v>
      </c>
      <c r="U149" s="43">
        <v>0</v>
      </c>
      <c r="V149" s="44">
        <v>0</v>
      </c>
      <c r="W149" s="24"/>
    </row>
    <row r="150" spans="1:23" ht="21.75">
      <c r="A150" s="36">
        <v>801</v>
      </c>
      <c r="B150" s="37">
        <v>8</v>
      </c>
      <c r="C150" s="45">
        <v>147</v>
      </c>
      <c r="D150" s="46" t="s">
        <v>167</v>
      </c>
      <c r="E150" s="47" t="s">
        <v>281</v>
      </c>
      <c r="F150" s="48">
        <v>93281</v>
      </c>
      <c r="G150" s="49"/>
      <c r="H150" s="43">
        <f t="shared" si="2"/>
        <v>0</v>
      </c>
      <c r="I150" s="43">
        <v>0</v>
      </c>
      <c r="J150" s="43">
        <v>0</v>
      </c>
      <c r="K150" s="43">
        <v>0</v>
      </c>
      <c r="L150" s="43">
        <v>93281</v>
      </c>
      <c r="M150" s="43">
        <v>0</v>
      </c>
      <c r="N150" s="43">
        <v>0</v>
      </c>
      <c r="O150" s="43">
        <v>0</v>
      </c>
      <c r="P150" s="43">
        <v>0</v>
      </c>
      <c r="Q150" s="43">
        <v>0</v>
      </c>
      <c r="R150" s="43">
        <v>0</v>
      </c>
      <c r="S150" s="43">
        <v>0</v>
      </c>
      <c r="T150" s="43">
        <v>0</v>
      </c>
      <c r="U150" s="43">
        <v>0</v>
      </c>
      <c r="V150" s="44">
        <v>0</v>
      </c>
      <c r="W150" s="24"/>
    </row>
    <row r="151" spans="1:23" ht="21.75">
      <c r="A151" s="36">
        <v>805</v>
      </c>
      <c r="B151" s="37">
        <v>8</v>
      </c>
      <c r="C151" s="45">
        <v>148</v>
      </c>
      <c r="D151" s="46" t="s">
        <v>282</v>
      </c>
      <c r="E151" s="47" t="s">
        <v>283</v>
      </c>
      <c r="F151" s="48">
        <v>1276078692</v>
      </c>
      <c r="G151" s="49"/>
      <c r="H151" s="43">
        <f t="shared" si="2"/>
        <v>0</v>
      </c>
      <c r="I151" s="43">
        <v>0</v>
      </c>
      <c r="J151" s="43">
        <v>0</v>
      </c>
      <c r="K151" s="43">
        <v>0</v>
      </c>
      <c r="L151" s="43">
        <v>1276078692</v>
      </c>
      <c r="M151" s="43">
        <v>0</v>
      </c>
      <c r="N151" s="43">
        <v>0</v>
      </c>
      <c r="O151" s="43">
        <v>0</v>
      </c>
      <c r="P151" s="43">
        <v>0</v>
      </c>
      <c r="Q151" s="43">
        <v>0</v>
      </c>
      <c r="R151" s="43">
        <v>0</v>
      </c>
      <c r="S151" s="43">
        <v>0</v>
      </c>
      <c r="T151" s="43">
        <v>0</v>
      </c>
      <c r="U151" s="43">
        <v>0</v>
      </c>
      <c r="V151" s="44">
        <v>0</v>
      </c>
      <c r="W151" s="24"/>
    </row>
    <row r="152" spans="1:23" ht="21.75">
      <c r="A152" s="36">
        <v>801</v>
      </c>
      <c r="B152" s="37">
        <v>8</v>
      </c>
      <c r="C152" s="45">
        <v>149</v>
      </c>
      <c r="D152" s="46" t="s">
        <v>76</v>
      </c>
      <c r="E152" s="47" t="s">
        <v>77</v>
      </c>
      <c r="F152" s="48">
        <v>84070</v>
      </c>
      <c r="G152" s="49"/>
      <c r="H152" s="43">
        <f t="shared" si="2"/>
        <v>0</v>
      </c>
      <c r="I152" s="43">
        <v>0</v>
      </c>
      <c r="J152" s="43">
        <v>0</v>
      </c>
      <c r="K152" s="43">
        <v>0</v>
      </c>
      <c r="L152" s="43">
        <v>84070</v>
      </c>
      <c r="M152" s="43">
        <v>0</v>
      </c>
      <c r="N152" s="43">
        <v>0</v>
      </c>
      <c r="O152" s="43">
        <v>0</v>
      </c>
      <c r="P152" s="43">
        <v>0</v>
      </c>
      <c r="Q152" s="43">
        <v>0</v>
      </c>
      <c r="R152" s="43">
        <v>0</v>
      </c>
      <c r="S152" s="43">
        <v>0</v>
      </c>
      <c r="T152" s="43">
        <v>0</v>
      </c>
      <c r="U152" s="43">
        <v>0</v>
      </c>
      <c r="V152" s="44">
        <v>0</v>
      </c>
      <c r="W152" s="24"/>
    </row>
    <row r="153" spans="1:23" ht="21.75">
      <c r="A153" s="36">
        <v>805</v>
      </c>
      <c r="B153" s="37">
        <v>8</v>
      </c>
      <c r="C153" s="45">
        <v>150</v>
      </c>
      <c r="D153" s="46" t="s">
        <v>464</v>
      </c>
      <c r="E153" s="47" t="s">
        <v>311</v>
      </c>
      <c r="F153" s="48">
        <v>1160863066</v>
      </c>
      <c r="G153" s="49"/>
      <c r="H153" s="43">
        <f t="shared" si="2"/>
        <v>0</v>
      </c>
      <c r="I153" s="43">
        <v>0</v>
      </c>
      <c r="J153" s="43">
        <v>0</v>
      </c>
      <c r="K153" s="43">
        <v>0</v>
      </c>
      <c r="L153" s="43">
        <v>1160863066</v>
      </c>
      <c r="M153" s="43">
        <v>0</v>
      </c>
      <c r="N153" s="43">
        <v>0</v>
      </c>
      <c r="O153" s="43">
        <v>0</v>
      </c>
      <c r="P153" s="43">
        <v>0</v>
      </c>
      <c r="Q153" s="43">
        <v>0</v>
      </c>
      <c r="R153" s="43">
        <v>0</v>
      </c>
      <c r="S153" s="43">
        <v>0</v>
      </c>
      <c r="T153" s="43">
        <v>0</v>
      </c>
      <c r="U153" s="43">
        <v>0</v>
      </c>
      <c r="V153" s="44">
        <v>0</v>
      </c>
      <c r="W153" s="24"/>
    </row>
    <row r="154" spans="1:23" ht="21.75">
      <c r="A154" s="36">
        <v>805</v>
      </c>
      <c r="B154" s="37">
        <v>8</v>
      </c>
      <c r="C154" s="45">
        <v>151</v>
      </c>
      <c r="D154" s="46" t="s">
        <v>312</v>
      </c>
      <c r="E154" s="47" t="s">
        <v>313</v>
      </c>
      <c r="F154" s="48">
        <v>-1799248</v>
      </c>
      <c r="G154" s="48">
        <v>1799248</v>
      </c>
      <c r="H154" s="43">
        <f t="shared" si="2"/>
        <v>0</v>
      </c>
      <c r="I154" s="43">
        <v>0</v>
      </c>
      <c r="J154" s="43">
        <v>0</v>
      </c>
      <c r="K154" s="43">
        <v>0</v>
      </c>
      <c r="L154" s="43">
        <v>-1799248</v>
      </c>
      <c r="M154" s="43">
        <v>0</v>
      </c>
      <c r="N154" s="43">
        <v>0</v>
      </c>
      <c r="O154" s="43">
        <v>0</v>
      </c>
      <c r="P154" s="43">
        <v>0</v>
      </c>
      <c r="Q154" s="43">
        <v>0</v>
      </c>
      <c r="R154" s="43">
        <v>0</v>
      </c>
      <c r="S154" s="43">
        <v>0</v>
      </c>
      <c r="T154" s="43">
        <v>0</v>
      </c>
      <c r="U154" s="43">
        <v>0</v>
      </c>
      <c r="V154" s="44">
        <v>0</v>
      </c>
      <c r="W154" s="24"/>
    </row>
    <row r="155" spans="1:23" ht="21.75">
      <c r="A155" s="36">
        <v>805</v>
      </c>
      <c r="B155" s="37">
        <v>8</v>
      </c>
      <c r="C155" s="45">
        <v>152</v>
      </c>
      <c r="D155" s="46" t="s">
        <v>594</v>
      </c>
      <c r="E155" s="47" t="s">
        <v>314</v>
      </c>
      <c r="F155" s="48">
        <v>-19501457</v>
      </c>
      <c r="G155" s="48">
        <v>19501457</v>
      </c>
      <c r="H155" s="43">
        <f t="shared" si="2"/>
        <v>0</v>
      </c>
      <c r="I155" s="43">
        <v>0</v>
      </c>
      <c r="J155" s="43">
        <v>0</v>
      </c>
      <c r="K155" s="43">
        <v>0</v>
      </c>
      <c r="L155" s="43">
        <v>-19501457</v>
      </c>
      <c r="M155" s="43">
        <v>0</v>
      </c>
      <c r="N155" s="43">
        <v>0</v>
      </c>
      <c r="O155" s="43">
        <v>0</v>
      </c>
      <c r="P155" s="43">
        <v>0</v>
      </c>
      <c r="Q155" s="43">
        <v>0</v>
      </c>
      <c r="R155" s="43">
        <v>0</v>
      </c>
      <c r="S155" s="43">
        <v>0</v>
      </c>
      <c r="T155" s="43">
        <v>0</v>
      </c>
      <c r="U155" s="43">
        <v>0</v>
      </c>
      <c r="V155" s="44">
        <v>0</v>
      </c>
      <c r="W155" s="24"/>
    </row>
    <row r="156" spans="1:23" ht="21.75">
      <c r="A156" s="36">
        <v>805</v>
      </c>
      <c r="B156" s="37">
        <v>8</v>
      </c>
      <c r="C156" s="45">
        <v>153</v>
      </c>
      <c r="D156" s="46" t="s">
        <v>595</v>
      </c>
      <c r="E156" s="47" t="s">
        <v>315</v>
      </c>
      <c r="F156" s="48">
        <v>-103939513</v>
      </c>
      <c r="G156" s="48">
        <v>103939513</v>
      </c>
      <c r="H156" s="43">
        <f t="shared" si="2"/>
        <v>0</v>
      </c>
      <c r="I156" s="43">
        <v>0</v>
      </c>
      <c r="J156" s="43">
        <v>0</v>
      </c>
      <c r="K156" s="43">
        <v>0</v>
      </c>
      <c r="L156" s="43">
        <v>-103939513</v>
      </c>
      <c r="M156" s="43">
        <v>0</v>
      </c>
      <c r="N156" s="43">
        <v>0</v>
      </c>
      <c r="O156" s="43">
        <v>0</v>
      </c>
      <c r="P156" s="43">
        <v>0</v>
      </c>
      <c r="Q156" s="43">
        <v>0</v>
      </c>
      <c r="R156" s="43">
        <v>0</v>
      </c>
      <c r="S156" s="43">
        <v>0</v>
      </c>
      <c r="T156" s="43">
        <v>0</v>
      </c>
      <c r="U156" s="43">
        <v>0</v>
      </c>
      <c r="V156" s="44">
        <v>0</v>
      </c>
      <c r="W156" s="24"/>
    </row>
    <row r="157" spans="1:23" ht="21.75">
      <c r="A157" s="36">
        <v>801</v>
      </c>
      <c r="B157" s="37">
        <v>8</v>
      </c>
      <c r="C157" s="45">
        <v>154</v>
      </c>
      <c r="D157" s="46" t="s">
        <v>316</v>
      </c>
      <c r="E157" s="47" t="s">
        <v>317</v>
      </c>
      <c r="F157" s="48">
        <v>53</v>
      </c>
      <c r="G157" s="49"/>
      <c r="H157" s="43">
        <f t="shared" si="2"/>
        <v>0</v>
      </c>
      <c r="I157" s="43">
        <v>0</v>
      </c>
      <c r="J157" s="43">
        <v>0</v>
      </c>
      <c r="K157" s="43">
        <v>0</v>
      </c>
      <c r="L157" s="43">
        <v>53</v>
      </c>
      <c r="M157" s="43">
        <v>0</v>
      </c>
      <c r="N157" s="43">
        <v>0</v>
      </c>
      <c r="O157" s="43">
        <v>0</v>
      </c>
      <c r="P157" s="43">
        <v>0</v>
      </c>
      <c r="Q157" s="43">
        <v>0</v>
      </c>
      <c r="R157" s="43">
        <v>0</v>
      </c>
      <c r="S157" s="43">
        <v>0</v>
      </c>
      <c r="T157" s="43">
        <v>0</v>
      </c>
      <c r="U157" s="43">
        <v>0</v>
      </c>
      <c r="V157" s="44">
        <v>0</v>
      </c>
      <c r="W157" s="24"/>
    </row>
    <row r="158" spans="1:23" ht="21.75">
      <c r="A158" s="36">
        <v>805</v>
      </c>
      <c r="B158" s="37">
        <v>8</v>
      </c>
      <c r="C158" s="45">
        <v>155</v>
      </c>
      <c r="D158" s="46" t="s">
        <v>596</v>
      </c>
      <c r="E158" s="47" t="s">
        <v>318</v>
      </c>
      <c r="F158" s="48">
        <v>98077499964</v>
      </c>
      <c r="G158" s="49"/>
      <c r="H158" s="43">
        <f t="shared" si="2"/>
        <v>0</v>
      </c>
      <c r="I158" s="43">
        <v>0</v>
      </c>
      <c r="J158" s="43">
        <v>0</v>
      </c>
      <c r="K158" s="43">
        <v>0</v>
      </c>
      <c r="L158" s="43">
        <v>98077499964</v>
      </c>
      <c r="M158" s="43">
        <v>0</v>
      </c>
      <c r="N158" s="43">
        <v>0</v>
      </c>
      <c r="O158" s="43">
        <v>0</v>
      </c>
      <c r="P158" s="43">
        <v>0</v>
      </c>
      <c r="Q158" s="43">
        <v>0</v>
      </c>
      <c r="R158" s="43">
        <v>0</v>
      </c>
      <c r="S158" s="43">
        <v>0</v>
      </c>
      <c r="T158" s="43">
        <v>0</v>
      </c>
      <c r="U158" s="43">
        <v>0</v>
      </c>
      <c r="V158" s="44">
        <v>0</v>
      </c>
      <c r="W158" s="24"/>
    </row>
    <row r="159" spans="1:23" ht="21.75">
      <c r="A159" s="36">
        <v>801</v>
      </c>
      <c r="B159" s="37">
        <v>8</v>
      </c>
      <c r="C159" s="45">
        <v>156</v>
      </c>
      <c r="D159" s="46" t="s">
        <v>319</v>
      </c>
      <c r="E159" s="47" t="s">
        <v>320</v>
      </c>
      <c r="F159" s="48">
        <v>78855841648</v>
      </c>
      <c r="G159" s="49"/>
      <c r="H159" s="43">
        <f t="shared" si="2"/>
        <v>0</v>
      </c>
      <c r="I159" s="43">
        <v>0</v>
      </c>
      <c r="J159" s="43">
        <v>0</v>
      </c>
      <c r="K159" s="43">
        <v>0</v>
      </c>
      <c r="L159" s="43">
        <v>78855841648</v>
      </c>
      <c r="M159" s="43">
        <v>0</v>
      </c>
      <c r="N159" s="43">
        <v>0</v>
      </c>
      <c r="O159" s="43">
        <v>0</v>
      </c>
      <c r="P159" s="43">
        <v>0</v>
      </c>
      <c r="Q159" s="43">
        <v>0</v>
      </c>
      <c r="R159" s="43">
        <v>0</v>
      </c>
      <c r="S159" s="43">
        <v>0</v>
      </c>
      <c r="T159" s="43">
        <v>0</v>
      </c>
      <c r="U159" s="43">
        <v>0</v>
      </c>
      <c r="V159" s="44">
        <v>0</v>
      </c>
      <c r="W159" s="24"/>
    </row>
    <row r="160" spans="1:23" ht="21.75">
      <c r="A160" s="36">
        <v>803</v>
      </c>
      <c r="B160" s="37">
        <v>8</v>
      </c>
      <c r="C160" s="45">
        <v>157</v>
      </c>
      <c r="D160" s="46" t="s">
        <v>321</v>
      </c>
      <c r="E160" s="47" t="s">
        <v>322</v>
      </c>
      <c r="F160" s="48">
        <v>4119660250</v>
      </c>
      <c r="G160" s="49"/>
      <c r="H160" s="43">
        <f t="shared" si="2"/>
        <v>0</v>
      </c>
      <c r="I160" s="43">
        <v>0</v>
      </c>
      <c r="J160" s="43">
        <v>0</v>
      </c>
      <c r="K160" s="43">
        <v>0</v>
      </c>
      <c r="L160" s="43">
        <v>4119660250</v>
      </c>
      <c r="M160" s="43">
        <v>0</v>
      </c>
      <c r="N160" s="43">
        <v>0</v>
      </c>
      <c r="O160" s="43">
        <v>0</v>
      </c>
      <c r="P160" s="43">
        <v>0</v>
      </c>
      <c r="Q160" s="43">
        <v>0</v>
      </c>
      <c r="R160" s="43">
        <v>0</v>
      </c>
      <c r="S160" s="43">
        <v>0</v>
      </c>
      <c r="T160" s="43">
        <v>0</v>
      </c>
      <c r="U160" s="43">
        <v>0</v>
      </c>
      <c r="V160" s="44">
        <v>0</v>
      </c>
      <c r="W160" s="24"/>
    </row>
    <row r="161" spans="1:23" ht="21.75">
      <c r="A161" s="36">
        <v>907</v>
      </c>
      <c r="B161" s="37">
        <v>9</v>
      </c>
      <c r="C161" s="45">
        <v>158</v>
      </c>
      <c r="D161" s="46" t="s">
        <v>323</v>
      </c>
      <c r="E161" s="47" t="s">
        <v>324</v>
      </c>
      <c r="F161" s="48">
        <v>291688110466</v>
      </c>
      <c r="G161" s="49"/>
      <c r="H161" s="43">
        <f t="shared" si="2"/>
        <v>0</v>
      </c>
      <c r="I161" s="43">
        <v>0</v>
      </c>
      <c r="J161" s="43">
        <v>0</v>
      </c>
      <c r="K161" s="43">
        <v>0</v>
      </c>
      <c r="L161" s="43">
        <v>0</v>
      </c>
      <c r="M161" s="43">
        <v>0</v>
      </c>
      <c r="N161" s="43">
        <v>291688110466</v>
      </c>
      <c r="O161" s="43">
        <v>0</v>
      </c>
      <c r="P161" s="43">
        <v>0</v>
      </c>
      <c r="Q161" s="43">
        <v>0</v>
      </c>
      <c r="R161" s="43">
        <v>0</v>
      </c>
      <c r="S161" s="43">
        <v>0</v>
      </c>
      <c r="T161" s="43">
        <v>0</v>
      </c>
      <c r="U161" s="43">
        <v>0</v>
      </c>
      <c r="V161" s="44">
        <v>0</v>
      </c>
      <c r="W161" s="24"/>
    </row>
    <row r="162" spans="1:23" ht="21.75">
      <c r="A162" s="36">
        <v>907</v>
      </c>
      <c r="B162" s="37">
        <v>9</v>
      </c>
      <c r="C162" s="45">
        <v>159</v>
      </c>
      <c r="D162" s="46" t="s">
        <v>325</v>
      </c>
      <c r="E162" s="47" t="s">
        <v>326</v>
      </c>
      <c r="F162" s="48">
        <v>138130000</v>
      </c>
      <c r="G162" s="49"/>
      <c r="H162" s="43">
        <f t="shared" si="2"/>
        <v>0</v>
      </c>
      <c r="I162" s="43">
        <v>0</v>
      </c>
      <c r="J162" s="43">
        <v>0</v>
      </c>
      <c r="K162" s="43">
        <v>0</v>
      </c>
      <c r="L162" s="43">
        <v>0</v>
      </c>
      <c r="M162" s="43">
        <v>0</v>
      </c>
      <c r="N162" s="43">
        <v>138130000</v>
      </c>
      <c r="O162" s="43">
        <v>0</v>
      </c>
      <c r="P162" s="43">
        <v>0</v>
      </c>
      <c r="Q162" s="43">
        <v>0</v>
      </c>
      <c r="R162" s="43">
        <v>0</v>
      </c>
      <c r="S162" s="43">
        <v>0</v>
      </c>
      <c r="T162" s="43">
        <v>0</v>
      </c>
      <c r="U162" s="43">
        <v>0</v>
      </c>
      <c r="V162" s="44">
        <v>0</v>
      </c>
      <c r="W162" s="24"/>
    </row>
    <row r="163" spans="1:23" ht="21.75">
      <c r="A163" s="36">
        <v>1601</v>
      </c>
      <c r="B163" s="37">
        <v>16</v>
      </c>
      <c r="C163" s="45">
        <v>160</v>
      </c>
      <c r="D163" s="46" t="s">
        <v>327</v>
      </c>
      <c r="E163" s="47" t="s">
        <v>328</v>
      </c>
      <c r="F163" s="48">
        <v>-9507722000000</v>
      </c>
      <c r="G163" s="48">
        <v>9507722000000</v>
      </c>
      <c r="H163" s="43">
        <f t="shared" si="2"/>
        <v>0</v>
      </c>
      <c r="I163" s="43">
        <v>0</v>
      </c>
      <c r="J163" s="43">
        <v>0</v>
      </c>
      <c r="K163" s="43">
        <v>0</v>
      </c>
      <c r="L163" s="43">
        <v>0</v>
      </c>
      <c r="M163" s="43">
        <v>0</v>
      </c>
      <c r="N163" s="43">
        <v>0</v>
      </c>
      <c r="O163" s="43">
        <v>0</v>
      </c>
      <c r="P163" s="43">
        <v>0</v>
      </c>
      <c r="Q163" s="43">
        <v>0</v>
      </c>
      <c r="R163" s="43">
        <v>0</v>
      </c>
      <c r="S163" s="43">
        <v>0</v>
      </c>
      <c r="T163" s="43">
        <v>-9507722000000</v>
      </c>
      <c r="U163" s="43">
        <v>0</v>
      </c>
      <c r="V163" s="44">
        <v>0</v>
      </c>
      <c r="W163" s="24"/>
    </row>
    <row r="164" spans="1:23" ht="21.75">
      <c r="A164" s="36">
        <v>1701</v>
      </c>
      <c r="B164" s="37">
        <v>17</v>
      </c>
      <c r="C164" s="45">
        <v>161</v>
      </c>
      <c r="D164" s="46" t="s">
        <v>329</v>
      </c>
      <c r="E164" s="47" t="s">
        <v>330</v>
      </c>
      <c r="F164" s="48">
        <v>-500000</v>
      </c>
      <c r="G164" s="48">
        <v>500000</v>
      </c>
      <c r="H164" s="43">
        <f t="shared" si="2"/>
        <v>0</v>
      </c>
      <c r="I164" s="43">
        <v>0</v>
      </c>
      <c r="J164" s="43">
        <v>0</v>
      </c>
      <c r="K164" s="43">
        <v>0</v>
      </c>
      <c r="L164" s="43">
        <v>0</v>
      </c>
      <c r="M164" s="43">
        <v>0</v>
      </c>
      <c r="N164" s="43">
        <v>0</v>
      </c>
      <c r="O164" s="43">
        <v>0</v>
      </c>
      <c r="P164" s="43">
        <v>0</v>
      </c>
      <c r="Q164" s="43">
        <v>0</v>
      </c>
      <c r="R164" s="43">
        <v>0</v>
      </c>
      <c r="S164" s="43">
        <v>0</v>
      </c>
      <c r="T164" s="43">
        <v>0</v>
      </c>
      <c r="U164" s="43">
        <v>-500000</v>
      </c>
      <c r="V164" s="44">
        <v>0</v>
      </c>
      <c r="W164" s="24"/>
    </row>
    <row r="165" spans="1:23" ht="21.75">
      <c r="A165" s="36">
        <v>1702</v>
      </c>
      <c r="B165" s="37">
        <v>17</v>
      </c>
      <c r="C165" s="45">
        <v>162</v>
      </c>
      <c r="D165" s="46" t="s">
        <v>331</v>
      </c>
      <c r="E165" s="47" t="s">
        <v>332</v>
      </c>
      <c r="F165" s="48">
        <v>-8876565944</v>
      </c>
      <c r="G165" s="48">
        <v>8876565944</v>
      </c>
      <c r="H165" s="43">
        <f t="shared" si="2"/>
        <v>0</v>
      </c>
      <c r="I165" s="43">
        <v>0</v>
      </c>
      <c r="J165" s="43">
        <v>0</v>
      </c>
      <c r="K165" s="43">
        <v>0</v>
      </c>
      <c r="L165" s="43">
        <v>0</v>
      </c>
      <c r="M165" s="43">
        <v>0</v>
      </c>
      <c r="N165" s="43">
        <v>0</v>
      </c>
      <c r="O165" s="43">
        <v>0</v>
      </c>
      <c r="P165" s="43">
        <v>0</v>
      </c>
      <c r="Q165" s="43">
        <v>0</v>
      </c>
      <c r="R165" s="43">
        <v>0</v>
      </c>
      <c r="S165" s="43">
        <v>0</v>
      </c>
      <c r="T165" s="43">
        <v>0</v>
      </c>
      <c r="U165" s="43">
        <v>-8876565944</v>
      </c>
      <c r="V165" s="44">
        <v>0</v>
      </c>
      <c r="W165" s="24"/>
    </row>
    <row r="166" spans="1:23" ht="21.75">
      <c r="A166" s="36">
        <v>1501</v>
      </c>
      <c r="B166" s="37">
        <v>15</v>
      </c>
      <c r="C166" s="45">
        <v>163</v>
      </c>
      <c r="D166" s="46" t="s">
        <v>391</v>
      </c>
      <c r="E166" s="47" t="s">
        <v>392</v>
      </c>
      <c r="F166" s="48">
        <v>-3089410104170</v>
      </c>
      <c r="G166" s="48">
        <v>3089410104170</v>
      </c>
      <c r="H166" s="43">
        <f t="shared" si="2"/>
        <v>0</v>
      </c>
      <c r="I166" s="43">
        <v>0</v>
      </c>
      <c r="J166" s="43">
        <v>0</v>
      </c>
      <c r="K166" s="43">
        <v>0</v>
      </c>
      <c r="L166" s="43">
        <v>0</v>
      </c>
      <c r="M166" s="43">
        <v>0</v>
      </c>
      <c r="N166" s="43">
        <v>0</v>
      </c>
      <c r="O166" s="43">
        <v>0</v>
      </c>
      <c r="P166" s="43">
        <v>0</v>
      </c>
      <c r="Q166" s="43">
        <v>0</v>
      </c>
      <c r="R166" s="43">
        <v>0</v>
      </c>
      <c r="S166" s="43">
        <v>-3089410104170</v>
      </c>
      <c r="T166" s="43">
        <v>0</v>
      </c>
      <c r="U166" s="43">
        <v>0</v>
      </c>
      <c r="V166" s="44">
        <v>0</v>
      </c>
      <c r="W166" s="24"/>
    </row>
    <row r="167" spans="1:23" ht="21.75">
      <c r="A167" s="36">
        <v>901</v>
      </c>
      <c r="B167" s="37">
        <v>9</v>
      </c>
      <c r="C167" s="45">
        <v>164</v>
      </c>
      <c r="D167" s="46" t="s">
        <v>112</v>
      </c>
      <c r="E167" s="47" t="s">
        <v>113</v>
      </c>
      <c r="F167" s="48">
        <v>936994371396</v>
      </c>
      <c r="G167" s="49"/>
      <c r="H167" s="43">
        <f t="shared" si="2"/>
        <v>0</v>
      </c>
      <c r="I167" s="43">
        <v>0</v>
      </c>
      <c r="J167" s="43">
        <v>0</v>
      </c>
      <c r="K167" s="43">
        <v>0</v>
      </c>
      <c r="L167" s="43">
        <v>0</v>
      </c>
      <c r="M167" s="43">
        <v>0</v>
      </c>
      <c r="N167" s="43">
        <v>936994371396</v>
      </c>
      <c r="O167" s="43">
        <v>0</v>
      </c>
      <c r="P167" s="43">
        <v>0</v>
      </c>
      <c r="Q167" s="43">
        <v>0</v>
      </c>
      <c r="R167" s="43">
        <v>0</v>
      </c>
      <c r="S167" s="43">
        <v>0</v>
      </c>
      <c r="T167" s="43">
        <v>0</v>
      </c>
      <c r="U167" s="43">
        <v>0</v>
      </c>
      <c r="V167" s="44">
        <v>0</v>
      </c>
      <c r="W167" s="24"/>
    </row>
    <row r="168" spans="1:23" ht="21.75">
      <c r="A168" s="36">
        <v>902</v>
      </c>
      <c r="B168" s="37">
        <v>9</v>
      </c>
      <c r="C168" s="45">
        <v>165</v>
      </c>
      <c r="D168" s="46" t="s">
        <v>114</v>
      </c>
      <c r="E168" s="47" t="s">
        <v>104</v>
      </c>
      <c r="F168" s="48">
        <v>13697863137414</v>
      </c>
      <c r="G168" s="49"/>
      <c r="H168" s="43">
        <f t="shared" si="2"/>
        <v>0</v>
      </c>
      <c r="I168" s="43">
        <v>0</v>
      </c>
      <c r="J168" s="43">
        <v>0</v>
      </c>
      <c r="K168" s="43">
        <v>0</v>
      </c>
      <c r="L168" s="43">
        <v>0</v>
      </c>
      <c r="M168" s="43">
        <v>0</v>
      </c>
      <c r="N168" s="43">
        <v>13697863137414</v>
      </c>
      <c r="O168" s="43">
        <v>0</v>
      </c>
      <c r="P168" s="43">
        <v>0</v>
      </c>
      <c r="Q168" s="43">
        <v>0</v>
      </c>
      <c r="R168" s="43">
        <v>0</v>
      </c>
      <c r="S168" s="43">
        <v>0</v>
      </c>
      <c r="T168" s="43">
        <v>0</v>
      </c>
      <c r="U168" s="43">
        <v>0</v>
      </c>
      <c r="V168" s="44">
        <v>0</v>
      </c>
      <c r="W168" s="24"/>
    </row>
    <row r="169" spans="1:23" ht="21.75">
      <c r="A169" s="36">
        <v>903</v>
      </c>
      <c r="B169" s="37">
        <v>9</v>
      </c>
      <c r="C169" s="45">
        <v>166</v>
      </c>
      <c r="D169" s="46" t="s">
        <v>105</v>
      </c>
      <c r="E169" s="47" t="s">
        <v>106</v>
      </c>
      <c r="F169" s="48">
        <v>273609742531</v>
      </c>
      <c r="G169" s="49"/>
      <c r="H169" s="43">
        <f t="shared" si="2"/>
        <v>0</v>
      </c>
      <c r="I169" s="43">
        <v>0</v>
      </c>
      <c r="J169" s="43">
        <v>0</v>
      </c>
      <c r="K169" s="43">
        <v>0</v>
      </c>
      <c r="L169" s="43">
        <v>0</v>
      </c>
      <c r="M169" s="43">
        <v>0</v>
      </c>
      <c r="N169" s="43">
        <v>273609742531</v>
      </c>
      <c r="O169" s="43">
        <v>0</v>
      </c>
      <c r="P169" s="43">
        <v>0</v>
      </c>
      <c r="Q169" s="43">
        <v>0</v>
      </c>
      <c r="R169" s="43">
        <v>0</v>
      </c>
      <c r="S169" s="43">
        <v>0</v>
      </c>
      <c r="T169" s="43">
        <v>0</v>
      </c>
      <c r="U169" s="43">
        <v>0</v>
      </c>
      <c r="V169" s="44">
        <v>0</v>
      </c>
      <c r="W169" s="24"/>
    </row>
    <row r="170" spans="1:23" ht="21.75">
      <c r="A170" s="36">
        <v>905</v>
      </c>
      <c r="B170" s="37">
        <v>9</v>
      </c>
      <c r="C170" s="45">
        <v>167</v>
      </c>
      <c r="D170" s="46" t="s">
        <v>107</v>
      </c>
      <c r="E170" s="47" t="s">
        <v>148</v>
      </c>
      <c r="F170" s="48">
        <v>293297280761</v>
      </c>
      <c r="G170" s="49"/>
      <c r="H170" s="43">
        <f t="shared" si="2"/>
        <v>0</v>
      </c>
      <c r="I170" s="43">
        <v>0</v>
      </c>
      <c r="J170" s="43">
        <v>0</v>
      </c>
      <c r="K170" s="43">
        <v>0</v>
      </c>
      <c r="L170" s="43">
        <v>0</v>
      </c>
      <c r="M170" s="43">
        <v>0</v>
      </c>
      <c r="N170" s="43">
        <v>293297280761</v>
      </c>
      <c r="O170" s="43">
        <v>0</v>
      </c>
      <c r="P170" s="43">
        <v>0</v>
      </c>
      <c r="Q170" s="43">
        <v>0</v>
      </c>
      <c r="R170" s="43">
        <v>0</v>
      </c>
      <c r="S170" s="43">
        <v>0</v>
      </c>
      <c r="T170" s="43">
        <v>0</v>
      </c>
      <c r="U170" s="43">
        <v>0</v>
      </c>
      <c r="V170" s="44">
        <v>0</v>
      </c>
      <c r="W170" s="24"/>
    </row>
    <row r="171" spans="1:23" ht="21.75">
      <c r="A171" s="36">
        <v>904</v>
      </c>
      <c r="B171" s="37">
        <v>9</v>
      </c>
      <c r="C171" s="45">
        <v>168</v>
      </c>
      <c r="D171" s="46" t="s">
        <v>149</v>
      </c>
      <c r="E171" s="47" t="s">
        <v>150</v>
      </c>
      <c r="F171" s="48">
        <v>49506890958</v>
      </c>
      <c r="G171" s="49"/>
      <c r="H171" s="43">
        <f t="shared" si="2"/>
        <v>0</v>
      </c>
      <c r="I171" s="43">
        <v>0</v>
      </c>
      <c r="J171" s="43">
        <v>0</v>
      </c>
      <c r="K171" s="43">
        <v>0</v>
      </c>
      <c r="L171" s="43">
        <v>0</v>
      </c>
      <c r="M171" s="43">
        <v>0</v>
      </c>
      <c r="N171" s="43">
        <v>49506890958</v>
      </c>
      <c r="O171" s="43">
        <v>0</v>
      </c>
      <c r="P171" s="43">
        <v>0</v>
      </c>
      <c r="Q171" s="43">
        <v>0</v>
      </c>
      <c r="R171" s="43">
        <v>0</v>
      </c>
      <c r="S171" s="43">
        <v>0</v>
      </c>
      <c r="T171" s="43">
        <v>0</v>
      </c>
      <c r="U171" s="43">
        <v>0</v>
      </c>
      <c r="V171" s="44">
        <v>0</v>
      </c>
      <c r="W171" s="24"/>
    </row>
    <row r="172" spans="1:23" ht="21.75">
      <c r="A172" s="36">
        <v>902</v>
      </c>
      <c r="B172" s="37">
        <v>9</v>
      </c>
      <c r="C172" s="45">
        <v>169</v>
      </c>
      <c r="D172" s="46" t="s">
        <v>151</v>
      </c>
      <c r="E172" s="47" t="s">
        <v>508</v>
      </c>
      <c r="F172" s="48">
        <v>-4767674743818</v>
      </c>
      <c r="G172" s="48">
        <v>4767674743818</v>
      </c>
      <c r="H172" s="43">
        <f t="shared" si="2"/>
        <v>0</v>
      </c>
      <c r="I172" s="43">
        <v>0</v>
      </c>
      <c r="J172" s="43">
        <v>0</v>
      </c>
      <c r="K172" s="43">
        <v>0</v>
      </c>
      <c r="L172" s="43">
        <v>0</v>
      </c>
      <c r="M172" s="43">
        <v>0</v>
      </c>
      <c r="N172" s="43">
        <v>-4767674743818</v>
      </c>
      <c r="O172" s="43">
        <v>0</v>
      </c>
      <c r="P172" s="43">
        <v>0</v>
      </c>
      <c r="Q172" s="43">
        <v>0</v>
      </c>
      <c r="R172" s="43">
        <v>0</v>
      </c>
      <c r="S172" s="43">
        <v>0</v>
      </c>
      <c r="T172" s="43">
        <v>0</v>
      </c>
      <c r="U172" s="43">
        <v>0</v>
      </c>
      <c r="V172" s="44">
        <v>0</v>
      </c>
      <c r="W172" s="24"/>
    </row>
    <row r="173" spans="1:23" ht="21.75">
      <c r="A173" s="36">
        <v>903</v>
      </c>
      <c r="B173" s="37">
        <v>9</v>
      </c>
      <c r="C173" s="45">
        <v>170</v>
      </c>
      <c r="D173" s="46" t="s">
        <v>509</v>
      </c>
      <c r="E173" s="47" t="s">
        <v>286</v>
      </c>
      <c r="F173" s="48">
        <v>-111397898668</v>
      </c>
      <c r="G173" s="48">
        <v>111397898668</v>
      </c>
      <c r="H173" s="43">
        <f t="shared" si="2"/>
        <v>0</v>
      </c>
      <c r="I173" s="43">
        <v>0</v>
      </c>
      <c r="J173" s="43">
        <v>0</v>
      </c>
      <c r="K173" s="43">
        <v>0</v>
      </c>
      <c r="L173" s="43">
        <v>0</v>
      </c>
      <c r="M173" s="43">
        <v>0</v>
      </c>
      <c r="N173" s="43">
        <v>-111397898668</v>
      </c>
      <c r="O173" s="43">
        <v>0</v>
      </c>
      <c r="P173" s="43">
        <v>0</v>
      </c>
      <c r="Q173" s="43">
        <v>0</v>
      </c>
      <c r="R173" s="43">
        <v>0</v>
      </c>
      <c r="S173" s="43">
        <v>0</v>
      </c>
      <c r="T173" s="43">
        <v>0</v>
      </c>
      <c r="U173" s="43">
        <v>0</v>
      </c>
      <c r="V173" s="44">
        <v>0</v>
      </c>
      <c r="W173" s="24"/>
    </row>
    <row r="174" spans="1:23" ht="21.75">
      <c r="A174" s="36">
        <v>905</v>
      </c>
      <c r="B174" s="37">
        <v>9</v>
      </c>
      <c r="C174" s="45">
        <v>171</v>
      </c>
      <c r="D174" s="46" t="s">
        <v>287</v>
      </c>
      <c r="E174" s="47" t="s">
        <v>288</v>
      </c>
      <c r="F174" s="48">
        <v>-154100180924</v>
      </c>
      <c r="G174" s="48">
        <v>154100180924</v>
      </c>
      <c r="H174" s="43">
        <f t="shared" si="2"/>
        <v>0</v>
      </c>
      <c r="I174" s="43">
        <v>0</v>
      </c>
      <c r="J174" s="43">
        <v>0</v>
      </c>
      <c r="K174" s="43">
        <v>0</v>
      </c>
      <c r="L174" s="43">
        <v>0</v>
      </c>
      <c r="M174" s="43">
        <v>0</v>
      </c>
      <c r="N174" s="43">
        <v>-154100180924</v>
      </c>
      <c r="O174" s="43">
        <v>0</v>
      </c>
      <c r="P174" s="43">
        <v>0</v>
      </c>
      <c r="Q174" s="43">
        <v>0</v>
      </c>
      <c r="R174" s="43">
        <v>0</v>
      </c>
      <c r="S174" s="43">
        <v>0</v>
      </c>
      <c r="T174" s="43">
        <v>0</v>
      </c>
      <c r="U174" s="43">
        <v>0</v>
      </c>
      <c r="V174" s="44">
        <v>0</v>
      </c>
      <c r="W174" s="24"/>
    </row>
    <row r="175" spans="1:23" ht="21.75">
      <c r="A175" s="36">
        <v>904</v>
      </c>
      <c r="B175" s="37">
        <v>9</v>
      </c>
      <c r="C175" s="45">
        <v>172</v>
      </c>
      <c r="D175" s="46" t="s">
        <v>289</v>
      </c>
      <c r="E175" s="47" t="s">
        <v>290</v>
      </c>
      <c r="F175" s="48">
        <v>-28253244456</v>
      </c>
      <c r="G175" s="48">
        <v>28253244456</v>
      </c>
      <c r="H175" s="43">
        <f t="shared" si="2"/>
        <v>0</v>
      </c>
      <c r="I175" s="43">
        <v>0</v>
      </c>
      <c r="J175" s="43">
        <v>0</v>
      </c>
      <c r="K175" s="43">
        <v>0</v>
      </c>
      <c r="L175" s="43">
        <v>0</v>
      </c>
      <c r="M175" s="43">
        <v>0</v>
      </c>
      <c r="N175" s="43">
        <v>-28253244456</v>
      </c>
      <c r="O175" s="43">
        <v>0</v>
      </c>
      <c r="P175" s="43">
        <v>0</v>
      </c>
      <c r="Q175" s="43">
        <v>0</v>
      </c>
      <c r="R175" s="43">
        <v>0</v>
      </c>
      <c r="S175" s="43">
        <v>0</v>
      </c>
      <c r="T175" s="43">
        <v>0</v>
      </c>
      <c r="U175" s="43">
        <v>0</v>
      </c>
      <c r="V175" s="44">
        <v>0</v>
      </c>
      <c r="W175" s="24"/>
    </row>
    <row r="176" spans="1:23" ht="21.75">
      <c r="A176" s="36">
        <v>1101</v>
      </c>
      <c r="B176" s="37">
        <v>11</v>
      </c>
      <c r="C176" s="45">
        <v>173</v>
      </c>
      <c r="D176" s="46" t="s">
        <v>291</v>
      </c>
      <c r="E176" s="47" t="s">
        <v>495</v>
      </c>
      <c r="F176" s="48">
        <v>1000000</v>
      </c>
      <c r="G176" s="49"/>
      <c r="H176" s="43">
        <f t="shared" si="2"/>
        <v>0</v>
      </c>
      <c r="I176" s="43">
        <v>0</v>
      </c>
      <c r="J176" s="43">
        <v>0</v>
      </c>
      <c r="K176" s="43">
        <v>0</v>
      </c>
      <c r="L176" s="43">
        <v>0</v>
      </c>
      <c r="M176" s="43">
        <v>0</v>
      </c>
      <c r="N176" s="43">
        <v>0</v>
      </c>
      <c r="O176" s="43">
        <v>0</v>
      </c>
      <c r="P176" s="43">
        <v>1000000</v>
      </c>
      <c r="Q176" s="43">
        <v>0</v>
      </c>
      <c r="R176" s="43">
        <v>0</v>
      </c>
      <c r="S176" s="43">
        <v>0</v>
      </c>
      <c r="T176" s="43">
        <v>0</v>
      </c>
      <c r="U176" s="43">
        <v>0</v>
      </c>
      <c r="V176" s="44">
        <v>0</v>
      </c>
      <c r="W176" s="24"/>
    </row>
    <row r="177" spans="1:23" ht="21.75">
      <c r="A177" s="36">
        <v>805</v>
      </c>
      <c r="B177" s="37">
        <v>8</v>
      </c>
      <c r="C177" s="45">
        <v>174</v>
      </c>
      <c r="D177" s="46" t="s">
        <v>145</v>
      </c>
      <c r="E177" s="47" t="s">
        <v>496</v>
      </c>
      <c r="F177" s="48">
        <v>214844387</v>
      </c>
      <c r="G177" s="49"/>
      <c r="H177" s="43">
        <f t="shared" si="2"/>
        <v>0</v>
      </c>
      <c r="I177" s="43">
        <v>0</v>
      </c>
      <c r="J177" s="43">
        <v>0</v>
      </c>
      <c r="K177" s="43">
        <v>0</v>
      </c>
      <c r="L177" s="43">
        <v>214844387</v>
      </c>
      <c r="M177" s="43">
        <v>0</v>
      </c>
      <c r="N177" s="43">
        <v>0</v>
      </c>
      <c r="O177" s="43">
        <v>0</v>
      </c>
      <c r="P177" s="43">
        <v>0</v>
      </c>
      <c r="Q177" s="43">
        <v>0</v>
      </c>
      <c r="R177" s="43">
        <v>0</v>
      </c>
      <c r="S177" s="43">
        <v>0</v>
      </c>
      <c r="T177" s="43">
        <v>0</v>
      </c>
      <c r="U177" s="43">
        <v>0</v>
      </c>
      <c r="V177" s="44">
        <v>0</v>
      </c>
      <c r="W177" s="24"/>
    </row>
    <row r="178" spans="1:23" ht="21.75">
      <c r="A178" s="36">
        <v>704</v>
      </c>
      <c r="B178" s="37">
        <v>7</v>
      </c>
      <c r="C178" s="45">
        <v>175</v>
      </c>
      <c r="D178" s="46" t="s">
        <v>497</v>
      </c>
      <c r="E178" s="47" t="s">
        <v>118</v>
      </c>
      <c r="F178" s="48">
        <v>4827678059</v>
      </c>
      <c r="G178" s="49"/>
      <c r="H178" s="43">
        <f t="shared" si="2"/>
        <v>0</v>
      </c>
      <c r="I178" s="43">
        <v>0</v>
      </c>
      <c r="J178" s="43">
        <v>0</v>
      </c>
      <c r="K178" s="43">
        <v>4827678059</v>
      </c>
      <c r="L178" s="43">
        <v>0</v>
      </c>
      <c r="M178" s="43">
        <v>0</v>
      </c>
      <c r="N178" s="43">
        <v>0</v>
      </c>
      <c r="O178" s="43">
        <v>0</v>
      </c>
      <c r="P178" s="43">
        <v>0</v>
      </c>
      <c r="Q178" s="43">
        <v>0</v>
      </c>
      <c r="R178" s="43">
        <v>0</v>
      </c>
      <c r="S178" s="43">
        <v>0</v>
      </c>
      <c r="T178" s="43">
        <v>0</v>
      </c>
      <c r="U178" s="43">
        <v>0</v>
      </c>
      <c r="V178" s="44">
        <v>0</v>
      </c>
      <c r="W178" s="24"/>
    </row>
    <row r="179" spans="1:23" ht="21.75">
      <c r="A179" s="36">
        <v>704</v>
      </c>
      <c r="B179" s="37">
        <v>7</v>
      </c>
      <c r="C179" s="45">
        <v>176</v>
      </c>
      <c r="D179" s="46" t="s">
        <v>119</v>
      </c>
      <c r="E179" s="47" t="s">
        <v>120</v>
      </c>
      <c r="F179" s="48">
        <v>23533028725</v>
      </c>
      <c r="G179" s="49"/>
      <c r="H179" s="43">
        <f t="shared" si="2"/>
        <v>0</v>
      </c>
      <c r="I179" s="43">
        <v>0</v>
      </c>
      <c r="J179" s="43">
        <v>0</v>
      </c>
      <c r="K179" s="43">
        <v>23533028725</v>
      </c>
      <c r="L179" s="43">
        <v>0</v>
      </c>
      <c r="M179" s="43">
        <v>0</v>
      </c>
      <c r="N179" s="43">
        <v>0</v>
      </c>
      <c r="O179" s="43">
        <v>0</v>
      </c>
      <c r="P179" s="43">
        <v>0</v>
      </c>
      <c r="Q179" s="43">
        <v>0</v>
      </c>
      <c r="R179" s="43">
        <v>0</v>
      </c>
      <c r="S179" s="43">
        <v>0</v>
      </c>
      <c r="T179" s="43">
        <v>0</v>
      </c>
      <c r="U179" s="43">
        <v>0</v>
      </c>
      <c r="V179" s="44">
        <v>0</v>
      </c>
      <c r="W179" s="24"/>
    </row>
    <row r="180" spans="1:23" ht="21.75">
      <c r="A180" s="36">
        <v>1212</v>
      </c>
      <c r="B180" s="37">
        <v>12</v>
      </c>
      <c r="C180" s="45">
        <v>177</v>
      </c>
      <c r="D180" s="46" t="s">
        <v>121</v>
      </c>
      <c r="E180" s="47" t="s">
        <v>122</v>
      </c>
      <c r="F180" s="48">
        <v>-26007660516</v>
      </c>
      <c r="G180" s="48">
        <v>26007660516</v>
      </c>
      <c r="H180" s="43">
        <f t="shared" si="2"/>
        <v>0</v>
      </c>
      <c r="I180" s="43">
        <v>0</v>
      </c>
      <c r="J180" s="43">
        <v>0</v>
      </c>
      <c r="K180" s="43">
        <v>0</v>
      </c>
      <c r="L180" s="43">
        <v>0</v>
      </c>
      <c r="M180" s="43">
        <v>0</v>
      </c>
      <c r="N180" s="43">
        <v>0</v>
      </c>
      <c r="O180" s="43">
        <v>0</v>
      </c>
      <c r="P180" s="43">
        <v>0</v>
      </c>
      <c r="Q180" s="43">
        <v>-26007660516</v>
      </c>
      <c r="R180" s="43">
        <v>0</v>
      </c>
      <c r="S180" s="43">
        <v>0</v>
      </c>
      <c r="T180" s="43">
        <v>0</v>
      </c>
      <c r="U180" s="43">
        <v>0</v>
      </c>
      <c r="V180" s="44">
        <v>0</v>
      </c>
      <c r="W180" s="24"/>
    </row>
    <row r="181" spans="1:23" ht="21.75">
      <c r="A181" s="36">
        <v>701</v>
      </c>
      <c r="B181" s="37">
        <v>7</v>
      </c>
      <c r="C181" s="45">
        <v>178</v>
      </c>
      <c r="D181" s="46" t="s">
        <v>123</v>
      </c>
      <c r="E181" s="47" t="s">
        <v>124</v>
      </c>
      <c r="F181" s="48">
        <v>-4978</v>
      </c>
      <c r="G181" s="48">
        <v>4978</v>
      </c>
      <c r="H181" s="43">
        <f t="shared" si="2"/>
        <v>0</v>
      </c>
      <c r="I181" s="43">
        <v>0</v>
      </c>
      <c r="J181" s="43">
        <v>0</v>
      </c>
      <c r="K181" s="43">
        <v>-4978</v>
      </c>
      <c r="L181" s="43">
        <v>0</v>
      </c>
      <c r="M181" s="43">
        <v>0</v>
      </c>
      <c r="N181" s="43">
        <v>0</v>
      </c>
      <c r="O181" s="43">
        <v>0</v>
      </c>
      <c r="P181" s="43">
        <v>0</v>
      </c>
      <c r="Q181" s="43">
        <v>0</v>
      </c>
      <c r="R181" s="43">
        <v>0</v>
      </c>
      <c r="S181" s="43">
        <v>0</v>
      </c>
      <c r="T181" s="43">
        <v>0</v>
      </c>
      <c r="U181" s="43">
        <v>0</v>
      </c>
      <c r="V181" s="44">
        <v>0</v>
      </c>
      <c r="W181" s="24"/>
    </row>
    <row r="182" spans="1:23" ht="21.75">
      <c r="A182" s="36">
        <v>1001</v>
      </c>
      <c r="B182" s="37">
        <v>10</v>
      </c>
      <c r="C182" s="45">
        <v>179</v>
      </c>
      <c r="D182" s="46" t="s">
        <v>125</v>
      </c>
      <c r="E182" s="47" t="s">
        <v>126</v>
      </c>
      <c r="F182" s="48">
        <v>5392785921</v>
      </c>
      <c r="G182" s="49"/>
      <c r="H182" s="43">
        <f t="shared" si="2"/>
        <v>0</v>
      </c>
      <c r="I182" s="43">
        <v>0</v>
      </c>
      <c r="J182" s="43">
        <v>0</v>
      </c>
      <c r="K182" s="43">
        <v>0</v>
      </c>
      <c r="L182" s="43">
        <v>0</v>
      </c>
      <c r="M182" s="43">
        <v>0</v>
      </c>
      <c r="N182" s="43">
        <v>0</v>
      </c>
      <c r="O182" s="43">
        <v>5392785921</v>
      </c>
      <c r="P182" s="43">
        <v>0</v>
      </c>
      <c r="Q182" s="43">
        <v>0</v>
      </c>
      <c r="R182" s="43">
        <v>0</v>
      </c>
      <c r="S182" s="43">
        <v>0</v>
      </c>
      <c r="T182" s="43">
        <v>0</v>
      </c>
      <c r="U182" s="43">
        <v>0</v>
      </c>
      <c r="V182" s="44">
        <v>0</v>
      </c>
      <c r="W182" s="24"/>
    </row>
    <row r="183" spans="1:23" ht="21.75">
      <c r="A183" s="36">
        <v>602</v>
      </c>
      <c r="B183" s="37">
        <v>6</v>
      </c>
      <c r="C183" s="45">
        <v>180</v>
      </c>
      <c r="D183" s="46" t="s">
        <v>63</v>
      </c>
      <c r="E183" s="47" t="s">
        <v>559</v>
      </c>
      <c r="F183" s="48">
        <v>7966060000</v>
      </c>
      <c r="G183" s="49"/>
      <c r="H183" s="43">
        <f t="shared" si="2"/>
        <v>0</v>
      </c>
      <c r="I183" s="43">
        <v>0</v>
      </c>
      <c r="J183" s="43">
        <v>7966060000</v>
      </c>
      <c r="K183" s="43">
        <v>0</v>
      </c>
      <c r="L183" s="43">
        <v>0</v>
      </c>
      <c r="M183" s="43">
        <v>0</v>
      </c>
      <c r="N183" s="43">
        <v>0</v>
      </c>
      <c r="O183" s="43">
        <v>0</v>
      </c>
      <c r="P183" s="43">
        <v>0</v>
      </c>
      <c r="Q183" s="43">
        <v>0</v>
      </c>
      <c r="R183" s="43">
        <v>0</v>
      </c>
      <c r="S183" s="43">
        <v>0</v>
      </c>
      <c r="T183" s="43">
        <v>0</v>
      </c>
      <c r="U183" s="43">
        <v>0</v>
      </c>
      <c r="V183" s="44">
        <v>0</v>
      </c>
      <c r="W183" s="24"/>
    </row>
    <row r="184" spans="1:23" ht="21.75">
      <c r="A184" s="36">
        <v>805</v>
      </c>
      <c r="B184" s="37">
        <v>8</v>
      </c>
      <c r="C184" s="45">
        <v>181</v>
      </c>
      <c r="D184" s="46" t="s">
        <v>69</v>
      </c>
      <c r="E184" s="47" t="s">
        <v>70</v>
      </c>
      <c r="F184" s="48">
        <v>1327524000</v>
      </c>
      <c r="G184" s="49"/>
      <c r="H184" s="43">
        <f t="shared" si="2"/>
        <v>0</v>
      </c>
      <c r="I184" s="43">
        <v>0</v>
      </c>
      <c r="J184" s="43">
        <v>0</v>
      </c>
      <c r="K184" s="43">
        <v>0</v>
      </c>
      <c r="L184" s="43">
        <v>1327524000</v>
      </c>
      <c r="M184" s="43">
        <v>0</v>
      </c>
      <c r="N184" s="43">
        <v>0</v>
      </c>
      <c r="O184" s="43">
        <v>0</v>
      </c>
      <c r="P184" s="43">
        <v>0</v>
      </c>
      <c r="Q184" s="43">
        <v>0</v>
      </c>
      <c r="R184" s="43">
        <v>0</v>
      </c>
      <c r="S184" s="43">
        <v>0</v>
      </c>
      <c r="T184" s="43">
        <v>0</v>
      </c>
      <c r="U184" s="43">
        <v>0</v>
      </c>
      <c r="V184" s="44">
        <v>0</v>
      </c>
      <c r="W184" s="24"/>
    </row>
    <row r="185" spans="1:23" ht="21.75">
      <c r="A185" s="36">
        <v>907</v>
      </c>
      <c r="B185" s="37">
        <v>9</v>
      </c>
      <c r="C185" s="45">
        <v>182</v>
      </c>
      <c r="D185" s="46" t="s">
        <v>71</v>
      </c>
      <c r="E185" s="47" t="s">
        <v>72</v>
      </c>
      <c r="F185" s="48">
        <v>85617868582</v>
      </c>
      <c r="G185" s="49"/>
      <c r="H185" s="43">
        <f t="shared" si="2"/>
        <v>0</v>
      </c>
      <c r="I185" s="43">
        <v>0</v>
      </c>
      <c r="J185" s="43">
        <v>0</v>
      </c>
      <c r="K185" s="43">
        <v>0</v>
      </c>
      <c r="L185" s="43">
        <v>0</v>
      </c>
      <c r="M185" s="43">
        <v>0</v>
      </c>
      <c r="N185" s="43">
        <v>85617868582</v>
      </c>
      <c r="O185" s="43">
        <v>0</v>
      </c>
      <c r="P185" s="43">
        <v>0</v>
      </c>
      <c r="Q185" s="43">
        <v>0</v>
      </c>
      <c r="R185" s="43">
        <v>0</v>
      </c>
      <c r="S185" s="43">
        <v>0</v>
      </c>
      <c r="T185" s="43">
        <v>0</v>
      </c>
      <c r="U185" s="43">
        <v>0</v>
      </c>
      <c r="V185" s="44">
        <v>0</v>
      </c>
      <c r="W185" s="24"/>
    </row>
    <row r="186" spans="1:23" ht="21.75">
      <c r="A186" s="36">
        <v>614</v>
      </c>
      <c r="B186" s="37">
        <v>6</v>
      </c>
      <c r="C186" s="45">
        <v>183</v>
      </c>
      <c r="D186" s="46" t="s">
        <v>73</v>
      </c>
      <c r="E186" s="47" t="s">
        <v>74</v>
      </c>
      <c r="F186" s="48">
        <v>9210856480</v>
      </c>
      <c r="G186" s="49"/>
      <c r="H186" s="43">
        <f t="shared" si="2"/>
        <v>0</v>
      </c>
      <c r="I186" s="43">
        <v>0</v>
      </c>
      <c r="J186" s="43">
        <v>9210856480</v>
      </c>
      <c r="K186" s="43">
        <v>0</v>
      </c>
      <c r="L186" s="43">
        <v>0</v>
      </c>
      <c r="M186" s="43">
        <v>0</v>
      </c>
      <c r="N186" s="43">
        <v>0</v>
      </c>
      <c r="O186" s="43">
        <v>0</v>
      </c>
      <c r="P186" s="43">
        <v>0</v>
      </c>
      <c r="Q186" s="43">
        <v>0</v>
      </c>
      <c r="R186" s="43">
        <v>0</v>
      </c>
      <c r="S186" s="43">
        <v>0</v>
      </c>
      <c r="T186" s="43">
        <v>0</v>
      </c>
      <c r="U186" s="43">
        <v>0</v>
      </c>
      <c r="V186" s="44">
        <v>0</v>
      </c>
      <c r="W186" s="24"/>
    </row>
    <row r="187" spans="1:23" ht="21.75">
      <c r="A187" s="36">
        <v>612</v>
      </c>
      <c r="B187" s="37">
        <v>6</v>
      </c>
      <c r="C187" s="45">
        <v>184</v>
      </c>
      <c r="D187" s="46" t="s">
        <v>75</v>
      </c>
      <c r="E187" s="47" t="s">
        <v>406</v>
      </c>
      <c r="F187" s="48">
        <v>30828127416</v>
      </c>
      <c r="G187" s="49"/>
      <c r="H187" s="43">
        <f t="shared" si="2"/>
        <v>0</v>
      </c>
      <c r="I187" s="43">
        <v>0</v>
      </c>
      <c r="J187" s="43">
        <v>30828127416</v>
      </c>
      <c r="K187" s="43">
        <v>0</v>
      </c>
      <c r="L187" s="43">
        <v>0</v>
      </c>
      <c r="M187" s="43">
        <v>0</v>
      </c>
      <c r="N187" s="43">
        <v>0</v>
      </c>
      <c r="O187" s="43">
        <v>0</v>
      </c>
      <c r="P187" s="43">
        <v>0</v>
      </c>
      <c r="Q187" s="43">
        <v>0</v>
      </c>
      <c r="R187" s="43">
        <v>0</v>
      </c>
      <c r="S187" s="43">
        <v>0</v>
      </c>
      <c r="T187" s="43">
        <v>0</v>
      </c>
      <c r="U187" s="43">
        <v>0</v>
      </c>
      <c r="V187" s="44">
        <v>0</v>
      </c>
      <c r="W187" s="24"/>
    </row>
    <row r="188" spans="1:23" ht="21.75">
      <c r="A188" s="36">
        <v>614</v>
      </c>
      <c r="B188" s="37">
        <v>6</v>
      </c>
      <c r="C188" s="45">
        <v>185</v>
      </c>
      <c r="D188" s="46" t="s">
        <v>407</v>
      </c>
      <c r="E188" s="47" t="s">
        <v>408</v>
      </c>
      <c r="F188" s="48">
        <v>257128360</v>
      </c>
      <c r="G188" s="49"/>
      <c r="H188" s="43">
        <f t="shared" si="2"/>
        <v>0</v>
      </c>
      <c r="I188" s="43">
        <v>0</v>
      </c>
      <c r="J188" s="43">
        <v>257128360</v>
      </c>
      <c r="K188" s="43">
        <v>0</v>
      </c>
      <c r="L188" s="43">
        <v>0</v>
      </c>
      <c r="M188" s="43">
        <v>0</v>
      </c>
      <c r="N188" s="43">
        <v>0</v>
      </c>
      <c r="O188" s="43">
        <v>0</v>
      </c>
      <c r="P188" s="43">
        <v>0</v>
      </c>
      <c r="Q188" s="43">
        <v>0</v>
      </c>
      <c r="R188" s="43">
        <v>0</v>
      </c>
      <c r="S188" s="43">
        <v>0</v>
      </c>
      <c r="T188" s="43">
        <v>0</v>
      </c>
      <c r="U188" s="43">
        <v>0</v>
      </c>
      <c r="V188" s="44">
        <v>0</v>
      </c>
      <c r="W188" s="24"/>
    </row>
    <row r="189" spans="1:23" ht="21.75">
      <c r="A189" s="36">
        <v>614</v>
      </c>
      <c r="B189" s="37">
        <v>6</v>
      </c>
      <c r="C189" s="45">
        <v>186</v>
      </c>
      <c r="D189" s="46" t="s">
        <v>409</v>
      </c>
      <c r="E189" s="47" t="s">
        <v>410</v>
      </c>
      <c r="F189" s="48">
        <v>270244902</v>
      </c>
      <c r="G189" s="49"/>
      <c r="H189" s="43">
        <f t="shared" si="2"/>
        <v>0</v>
      </c>
      <c r="I189" s="43">
        <v>0</v>
      </c>
      <c r="J189" s="43">
        <v>270244902</v>
      </c>
      <c r="K189" s="43">
        <v>0</v>
      </c>
      <c r="L189" s="43">
        <v>0</v>
      </c>
      <c r="M189" s="43">
        <v>0</v>
      </c>
      <c r="N189" s="43">
        <v>0</v>
      </c>
      <c r="O189" s="43">
        <v>0</v>
      </c>
      <c r="P189" s="43">
        <v>0</v>
      </c>
      <c r="Q189" s="43">
        <v>0</v>
      </c>
      <c r="R189" s="43">
        <v>0</v>
      </c>
      <c r="S189" s="43">
        <v>0</v>
      </c>
      <c r="T189" s="43">
        <v>0</v>
      </c>
      <c r="U189" s="43">
        <v>0</v>
      </c>
      <c r="V189" s="44">
        <v>0</v>
      </c>
      <c r="W189" s="24"/>
    </row>
    <row r="190" spans="1:23" ht="21.75">
      <c r="A190" s="36">
        <v>907</v>
      </c>
      <c r="B190" s="37">
        <v>9</v>
      </c>
      <c r="C190" s="45">
        <v>187</v>
      </c>
      <c r="D190" s="46" t="s">
        <v>411</v>
      </c>
      <c r="E190" s="47" t="s">
        <v>352</v>
      </c>
      <c r="F190" s="48">
        <v>328487961389</v>
      </c>
      <c r="G190" s="49"/>
      <c r="H190" s="43">
        <f t="shared" si="2"/>
        <v>0</v>
      </c>
      <c r="I190" s="43">
        <v>0</v>
      </c>
      <c r="J190" s="43">
        <v>0</v>
      </c>
      <c r="K190" s="43">
        <v>0</v>
      </c>
      <c r="L190" s="43">
        <v>0</v>
      </c>
      <c r="M190" s="43">
        <v>0</v>
      </c>
      <c r="N190" s="43">
        <v>328487961389</v>
      </c>
      <c r="O190" s="43">
        <v>0</v>
      </c>
      <c r="P190" s="43">
        <v>0</v>
      </c>
      <c r="Q190" s="43">
        <v>0</v>
      </c>
      <c r="R190" s="43">
        <v>0</v>
      </c>
      <c r="S190" s="43">
        <v>0</v>
      </c>
      <c r="T190" s="43">
        <v>0</v>
      </c>
      <c r="U190" s="43">
        <v>0</v>
      </c>
      <c r="V190" s="44">
        <v>0</v>
      </c>
      <c r="W190" s="24"/>
    </row>
    <row r="191" spans="1:23" ht="21.75">
      <c r="A191" s="36">
        <v>805</v>
      </c>
      <c r="B191" s="37">
        <v>8</v>
      </c>
      <c r="C191" s="45">
        <v>188</v>
      </c>
      <c r="D191" s="46" t="s">
        <v>353</v>
      </c>
      <c r="E191" s="47" t="s">
        <v>354</v>
      </c>
      <c r="F191" s="48">
        <v>13711386379</v>
      </c>
      <c r="G191" s="49"/>
      <c r="H191" s="43">
        <f t="shared" si="2"/>
        <v>0</v>
      </c>
      <c r="I191" s="43">
        <v>0</v>
      </c>
      <c r="J191" s="43">
        <v>0</v>
      </c>
      <c r="K191" s="43">
        <v>0</v>
      </c>
      <c r="L191" s="43">
        <v>13711386379</v>
      </c>
      <c r="M191" s="43">
        <v>0</v>
      </c>
      <c r="N191" s="43">
        <v>0</v>
      </c>
      <c r="O191" s="43">
        <v>0</v>
      </c>
      <c r="P191" s="43">
        <v>0</v>
      </c>
      <c r="Q191" s="43">
        <v>0</v>
      </c>
      <c r="R191" s="43">
        <v>0</v>
      </c>
      <c r="S191" s="43">
        <v>0</v>
      </c>
      <c r="T191" s="43">
        <v>0</v>
      </c>
      <c r="U191" s="43">
        <v>0</v>
      </c>
      <c r="V191" s="44">
        <v>0</v>
      </c>
      <c r="W191" s="24"/>
    </row>
    <row r="192" spans="1:23" ht="21.75">
      <c r="A192" s="36">
        <v>1212</v>
      </c>
      <c r="B192" s="37">
        <v>12</v>
      </c>
      <c r="C192" s="45">
        <v>189</v>
      </c>
      <c r="D192" s="46" t="s">
        <v>355</v>
      </c>
      <c r="E192" s="47" t="s">
        <v>356</v>
      </c>
      <c r="F192" s="48">
        <v>-4161008457</v>
      </c>
      <c r="G192" s="48">
        <v>4161008457</v>
      </c>
      <c r="H192" s="43">
        <f t="shared" si="2"/>
        <v>0</v>
      </c>
      <c r="I192" s="43">
        <v>0</v>
      </c>
      <c r="J192" s="43">
        <v>0</v>
      </c>
      <c r="K192" s="43">
        <v>0</v>
      </c>
      <c r="L192" s="43">
        <v>0</v>
      </c>
      <c r="M192" s="43">
        <v>0</v>
      </c>
      <c r="N192" s="43">
        <v>0</v>
      </c>
      <c r="O192" s="43">
        <v>0</v>
      </c>
      <c r="P192" s="43">
        <v>0</v>
      </c>
      <c r="Q192" s="43">
        <v>-4161008457</v>
      </c>
      <c r="R192" s="43">
        <v>0</v>
      </c>
      <c r="S192" s="43">
        <v>0</v>
      </c>
      <c r="T192" s="43">
        <v>0</v>
      </c>
      <c r="U192" s="43">
        <v>0</v>
      </c>
      <c r="V192" s="44">
        <v>0</v>
      </c>
      <c r="W192" s="24"/>
    </row>
    <row r="193" spans="1:23" ht="21.75">
      <c r="A193" s="36">
        <v>1212</v>
      </c>
      <c r="B193" s="37">
        <v>12</v>
      </c>
      <c r="C193" s="45">
        <v>190</v>
      </c>
      <c r="D193" s="46" t="s">
        <v>357</v>
      </c>
      <c r="E193" s="47" t="s">
        <v>358</v>
      </c>
      <c r="F193" s="48">
        <v>-1594745572</v>
      </c>
      <c r="G193" s="48">
        <v>1594745572</v>
      </c>
      <c r="H193" s="43">
        <f t="shared" si="2"/>
        <v>0</v>
      </c>
      <c r="I193" s="43">
        <v>0</v>
      </c>
      <c r="J193" s="43">
        <v>0</v>
      </c>
      <c r="K193" s="43">
        <v>0</v>
      </c>
      <c r="L193" s="43">
        <v>0</v>
      </c>
      <c r="M193" s="43">
        <v>0</v>
      </c>
      <c r="N193" s="43">
        <v>0</v>
      </c>
      <c r="O193" s="43">
        <v>0</v>
      </c>
      <c r="P193" s="43">
        <v>0</v>
      </c>
      <c r="Q193" s="43">
        <v>-1594745572</v>
      </c>
      <c r="R193" s="43">
        <v>0</v>
      </c>
      <c r="S193" s="43">
        <v>0</v>
      </c>
      <c r="T193" s="43">
        <v>0</v>
      </c>
      <c r="U193" s="43">
        <v>0</v>
      </c>
      <c r="V193" s="44">
        <v>0</v>
      </c>
      <c r="W193" s="24"/>
    </row>
    <row r="194" spans="1:23" ht="21.75">
      <c r="A194" s="36">
        <v>1212</v>
      </c>
      <c r="B194" s="37">
        <v>12</v>
      </c>
      <c r="C194" s="45">
        <v>191</v>
      </c>
      <c r="D194" s="46" t="s">
        <v>359</v>
      </c>
      <c r="E194" s="47" t="s">
        <v>215</v>
      </c>
      <c r="F194" s="48">
        <v>-31560455</v>
      </c>
      <c r="G194" s="48">
        <v>31560455</v>
      </c>
      <c r="H194" s="43">
        <f t="shared" si="2"/>
        <v>0</v>
      </c>
      <c r="I194" s="43">
        <v>0</v>
      </c>
      <c r="J194" s="43">
        <v>0</v>
      </c>
      <c r="K194" s="43">
        <v>0</v>
      </c>
      <c r="L194" s="43">
        <v>0</v>
      </c>
      <c r="M194" s="43">
        <v>0</v>
      </c>
      <c r="N194" s="43">
        <v>0</v>
      </c>
      <c r="O194" s="43">
        <v>0</v>
      </c>
      <c r="P194" s="43">
        <v>0</v>
      </c>
      <c r="Q194" s="43">
        <v>-31560455</v>
      </c>
      <c r="R194" s="43">
        <v>0</v>
      </c>
      <c r="S194" s="43">
        <v>0</v>
      </c>
      <c r="T194" s="43">
        <v>0</v>
      </c>
      <c r="U194" s="43">
        <v>0</v>
      </c>
      <c r="V194" s="44">
        <v>0</v>
      </c>
      <c r="W194" s="24"/>
    </row>
    <row r="195" spans="1:23" ht="21.75">
      <c r="A195" s="36">
        <v>1212</v>
      </c>
      <c r="B195" s="37">
        <v>12</v>
      </c>
      <c r="C195" s="45">
        <v>192</v>
      </c>
      <c r="D195" s="46" t="s">
        <v>598</v>
      </c>
      <c r="E195" s="47" t="s">
        <v>599</v>
      </c>
      <c r="F195" s="48">
        <v>-30806056</v>
      </c>
      <c r="G195" s="48">
        <v>30806056</v>
      </c>
      <c r="H195" s="43">
        <f t="shared" si="2"/>
        <v>0</v>
      </c>
      <c r="I195" s="43">
        <v>0</v>
      </c>
      <c r="J195" s="43">
        <v>0</v>
      </c>
      <c r="K195" s="43">
        <v>0</v>
      </c>
      <c r="L195" s="43">
        <v>0</v>
      </c>
      <c r="M195" s="43">
        <v>0</v>
      </c>
      <c r="N195" s="43">
        <v>0</v>
      </c>
      <c r="O195" s="43">
        <v>0</v>
      </c>
      <c r="P195" s="43">
        <v>0</v>
      </c>
      <c r="Q195" s="43">
        <v>-30806056</v>
      </c>
      <c r="R195" s="43">
        <v>0</v>
      </c>
      <c r="S195" s="43">
        <v>0</v>
      </c>
      <c r="T195" s="43">
        <v>0</v>
      </c>
      <c r="U195" s="43">
        <v>0</v>
      </c>
      <c r="V195" s="44">
        <v>0</v>
      </c>
      <c r="W195" s="24"/>
    </row>
    <row r="196" spans="1:23" ht="21.75">
      <c r="A196" s="36">
        <v>1401</v>
      </c>
      <c r="B196" s="37">
        <v>14</v>
      </c>
      <c r="C196" s="45">
        <v>193</v>
      </c>
      <c r="D196" s="46" t="s">
        <v>600</v>
      </c>
      <c r="E196" s="47" t="s">
        <v>601</v>
      </c>
      <c r="F196" s="48">
        <v>12651524857</v>
      </c>
      <c r="G196" s="49"/>
      <c r="H196" s="43">
        <f t="shared" si="2"/>
        <v>0</v>
      </c>
      <c r="I196" s="43">
        <v>0</v>
      </c>
      <c r="J196" s="43">
        <v>0</v>
      </c>
      <c r="K196" s="43">
        <v>0</v>
      </c>
      <c r="L196" s="43">
        <v>0</v>
      </c>
      <c r="M196" s="43">
        <v>12651524857</v>
      </c>
      <c r="N196" s="43">
        <v>0</v>
      </c>
      <c r="O196" s="43">
        <v>0</v>
      </c>
      <c r="P196" s="43">
        <v>0</v>
      </c>
      <c r="Q196" s="43">
        <v>0</v>
      </c>
      <c r="R196" s="43">
        <v>0</v>
      </c>
      <c r="S196" s="43">
        <v>0</v>
      </c>
      <c r="T196" s="43">
        <v>0</v>
      </c>
      <c r="U196" s="43">
        <v>0</v>
      </c>
      <c r="V196" s="44">
        <v>0</v>
      </c>
      <c r="W196" s="24"/>
    </row>
    <row r="197" spans="1:23" ht="21.75">
      <c r="A197" s="36">
        <v>1212</v>
      </c>
      <c r="B197" s="37">
        <v>12</v>
      </c>
      <c r="C197" s="45">
        <v>194</v>
      </c>
      <c r="D197" s="46" t="s">
        <v>602</v>
      </c>
      <c r="E197" s="47" t="s">
        <v>603</v>
      </c>
      <c r="F197" s="48">
        <v>-1665783469</v>
      </c>
      <c r="G197" s="48">
        <v>1665783469</v>
      </c>
      <c r="H197" s="43">
        <f t="shared" ref="H197:H241" si="3">IF($B197=$H$3,$F197,0)</f>
        <v>0</v>
      </c>
      <c r="I197" s="43">
        <v>0</v>
      </c>
      <c r="J197" s="43">
        <v>0</v>
      </c>
      <c r="K197" s="43">
        <v>0</v>
      </c>
      <c r="L197" s="43">
        <v>0</v>
      </c>
      <c r="M197" s="43">
        <v>0</v>
      </c>
      <c r="N197" s="43">
        <v>0</v>
      </c>
      <c r="O197" s="43">
        <v>0</v>
      </c>
      <c r="P197" s="43">
        <v>0</v>
      </c>
      <c r="Q197" s="43">
        <v>-1665783469</v>
      </c>
      <c r="R197" s="43">
        <v>0</v>
      </c>
      <c r="S197" s="43">
        <v>0</v>
      </c>
      <c r="T197" s="43">
        <v>0</v>
      </c>
      <c r="U197" s="43">
        <v>0</v>
      </c>
      <c r="V197" s="44">
        <v>0</v>
      </c>
      <c r="W197" s="24"/>
    </row>
    <row r="198" spans="1:23" ht="21.75">
      <c r="A198" s="36">
        <v>1317</v>
      </c>
      <c r="B198" s="37">
        <v>13</v>
      </c>
      <c r="C198" s="45">
        <v>195</v>
      </c>
      <c r="D198" s="46" t="s">
        <v>604</v>
      </c>
      <c r="E198" s="47" t="s">
        <v>532</v>
      </c>
      <c r="F198" s="48">
        <v>-3228642573034</v>
      </c>
      <c r="G198" s="48">
        <v>3228642573034</v>
      </c>
      <c r="H198" s="43">
        <f t="shared" si="3"/>
        <v>0</v>
      </c>
      <c r="I198" s="43">
        <v>0</v>
      </c>
      <c r="J198" s="43">
        <v>0</v>
      </c>
      <c r="K198" s="43">
        <v>0</v>
      </c>
      <c r="L198" s="43">
        <v>0</v>
      </c>
      <c r="M198" s="43">
        <v>0</v>
      </c>
      <c r="N198" s="43">
        <v>0</v>
      </c>
      <c r="O198" s="43">
        <v>0</v>
      </c>
      <c r="P198" s="43">
        <v>0</v>
      </c>
      <c r="Q198" s="43">
        <v>0</v>
      </c>
      <c r="R198" s="43">
        <v>-3228642573034</v>
      </c>
      <c r="S198" s="43">
        <v>0</v>
      </c>
      <c r="T198" s="43">
        <v>0</v>
      </c>
      <c r="U198" s="43">
        <v>0</v>
      </c>
      <c r="V198" s="44">
        <v>0</v>
      </c>
      <c r="W198" s="24"/>
    </row>
    <row r="199" spans="1:23" ht="21.75">
      <c r="A199" s="36">
        <v>1212</v>
      </c>
      <c r="B199" s="37">
        <v>12</v>
      </c>
      <c r="C199" s="45">
        <v>196</v>
      </c>
      <c r="D199" s="46" t="s">
        <v>605</v>
      </c>
      <c r="E199" s="47" t="s">
        <v>227</v>
      </c>
      <c r="F199" s="48">
        <v>-1804799432</v>
      </c>
      <c r="G199" s="48">
        <v>1804799432</v>
      </c>
      <c r="H199" s="43">
        <f t="shared" si="3"/>
        <v>0</v>
      </c>
      <c r="I199" s="43">
        <v>0</v>
      </c>
      <c r="J199" s="43">
        <v>0</v>
      </c>
      <c r="K199" s="43">
        <v>0</v>
      </c>
      <c r="L199" s="43">
        <v>0</v>
      </c>
      <c r="M199" s="43">
        <v>0</v>
      </c>
      <c r="N199" s="43">
        <v>0</v>
      </c>
      <c r="O199" s="43">
        <v>0</v>
      </c>
      <c r="P199" s="43">
        <v>0</v>
      </c>
      <c r="Q199" s="43">
        <v>-1804799432</v>
      </c>
      <c r="R199" s="43">
        <v>0</v>
      </c>
      <c r="S199" s="43">
        <v>0</v>
      </c>
      <c r="T199" s="43">
        <v>0</v>
      </c>
      <c r="U199" s="43">
        <v>0</v>
      </c>
      <c r="V199" s="44">
        <v>0</v>
      </c>
      <c r="W199" s="24"/>
    </row>
    <row r="200" spans="1:23" ht="21.75">
      <c r="A200" s="36">
        <v>1212</v>
      </c>
      <c r="B200" s="37">
        <v>12</v>
      </c>
      <c r="C200" s="45">
        <v>197</v>
      </c>
      <c r="D200" s="46" t="s">
        <v>515</v>
      </c>
      <c r="E200" s="47" t="s">
        <v>516</v>
      </c>
      <c r="F200" s="48">
        <v>-70000000</v>
      </c>
      <c r="G200" s="48">
        <v>70000000</v>
      </c>
      <c r="H200" s="43">
        <f t="shared" si="3"/>
        <v>0</v>
      </c>
      <c r="I200" s="43">
        <v>0</v>
      </c>
      <c r="J200" s="43">
        <v>0</v>
      </c>
      <c r="K200" s="43">
        <v>0</v>
      </c>
      <c r="L200" s="43">
        <v>0</v>
      </c>
      <c r="M200" s="43">
        <v>0</v>
      </c>
      <c r="N200" s="43">
        <v>0</v>
      </c>
      <c r="O200" s="43">
        <v>0</v>
      </c>
      <c r="P200" s="43">
        <v>0</v>
      </c>
      <c r="Q200" s="43">
        <v>-70000000</v>
      </c>
      <c r="R200" s="43">
        <v>0</v>
      </c>
      <c r="S200" s="43">
        <v>0</v>
      </c>
      <c r="T200" s="43">
        <v>0</v>
      </c>
      <c r="U200" s="43">
        <v>0</v>
      </c>
      <c r="V200" s="44">
        <v>0</v>
      </c>
      <c r="W200" s="24"/>
    </row>
    <row r="201" spans="1:23" ht="21.75">
      <c r="A201" s="36">
        <v>1212</v>
      </c>
      <c r="B201" s="37">
        <v>12</v>
      </c>
      <c r="C201" s="45">
        <v>198</v>
      </c>
      <c r="D201" s="46" t="s">
        <v>18</v>
      </c>
      <c r="E201" s="47" t="s">
        <v>228</v>
      </c>
      <c r="F201" s="48">
        <v>-23368979331</v>
      </c>
      <c r="G201" s="48">
        <v>23368979331</v>
      </c>
      <c r="H201" s="43">
        <f t="shared" si="3"/>
        <v>0</v>
      </c>
      <c r="I201" s="43">
        <v>0</v>
      </c>
      <c r="J201" s="43">
        <v>0</v>
      </c>
      <c r="K201" s="43">
        <v>0</v>
      </c>
      <c r="L201" s="43">
        <v>0</v>
      </c>
      <c r="M201" s="43">
        <v>0</v>
      </c>
      <c r="N201" s="43">
        <v>0</v>
      </c>
      <c r="O201" s="43">
        <v>0</v>
      </c>
      <c r="P201" s="43">
        <v>0</v>
      </c>
      <c r="Q201" s="43">
        <v>-23368979331</v>
      </c>
      <c r="R201" s="43">
        <v>0</v>
      </c>
      <c r="S201" s="43">
        <v>0</v>
      </c>
      <c r="T201" s="43">
        <v>0</v>
      </c>
      <c r="U201" s="43">
        <v>0</v>
      </c>
      <c r="V201" s="44">
        <v>0</v>
      </c>
      <c r="W201" s="24"/>
    </row>
    <row r="202" spans="1:23" ht="21.75">
      <c r="A202" s="36">
        <v>501</v>
      </c>
      <c r="B202" s="37">
        <v>5</v>
      </c>
      <c r="C202" s="45">
        <v>199</v>
      </c>
      <c r="D202" s="46" t="s">
        <v>19</v>
      </c>
      <c r="E202" s="47" t="s">
        <v>20</v>
      </c>
      <c r="F202" s="48">
        <v>1505887329639</v>
      </c>
      <c r="G202" s="49"/>
      <c r="H202" s="43">
        <f t="shared" si="3"/>
        <v>0</v>
      </c>
      <c r="I202" s="43">
        <v>1505887329639</v>
      </c>
      <c r="J202" s="43">
        <v>0</v>
      </c>
      <c r="K202" s="43">
        <v>0</v>
      </c>
      <c r="L202" s="43">
        <v>0</v>
      </c>
      <c r="M202" s="43">
        <v>0</v>
      </c>
      <c r="N202" s="43">
        <v>0</v>
      </c>
      <c r="O202" s="43">
        <v>0</v>
      </c>
      <c r="P202" s="43">
        <v>0</v>
      </c>
      <c r="Q202" s="43">
        <v>0</v>
      </c>
      <c r="R202" s="43">
        <v>0</v>
      </c>
      <c r="S202" s="43">
        <v>0</v>
      </c>
      <c r="T202" s="43">
        <v>0</v>
      </c>
      <c r="U202" s="43">
        <v>0</v>
      </c>
      <c r="V202" s="44">
        <v>0</v>
      </c>
      <c r="W202" s="24"/>
    </row>
    <row r="203" spans="1:23" ht="21.75">
      <c r="A203" s="36">
        <v>1206</v>
      </c>
      <c r="B203" s="37">
        <v>12</v>
      </c>
      <c r="C203" s="45">
        <v>200</v>
      </c>
      <c r="D203" s="46" t="s">
        <v>21</v>
      </c>
      <c r="E203" s="47" t="s">
        <v>22</v>
      </c>
      <c r="F203" s="48">
        <v>-86121299529</v>
      </c>
      <c r="G203" s="48">
        <v>30379950872</v>
      </c>
      <c r="H203" s="43">
        <f t="shared" si="3"/>
        <v>0</v>
      </c>
      <c r="I203" s="43">
        <v>0</v>
      </c>
      <c r="J203" s="43">
        <v>0</v>
      </c>
      <c r="K203" s="43">
        <v>0</v>
      </c>
      <c r="L203" s="43">
        <v>0</v>
      </c>
      <c r="M203" s="43">
        <v>0</v>
      </c>
      <c r="N203" s="43">
        <v>0</v>
      </c>
      <c r="O203" s="43">
        <v>0</v>
      </c>
      <c r="P203" s="43">
        <v>0</v>
      </c>
      <c r="Q203" s="43">
        <v>-86121299529</v>
      </c>
      <c r="R203" s="43">
        <v>0</v>
      </c>
      <c r="S203" s="43">
        <v>0</v>
      </c>
      <c r="T203" s="43">
        <v>0</v>
      </c>
      <c r="U203" s="43">
        <v>0</v>
      </c>
      <c r="V203" s="44">
        <v>0</v>
      </c>
      <c r="W203" s="24"/>
    </row>
    <row r="204" spans="1:23" ht="21.75">
      <c r="A204" s="36">
        <v>1316</v>
      </c>
      <c r="B204" s="37">
        <v>13</v>
      </c>
      <c r="C204" s="45">
        <v>201</v>
      </c>
      <c r="D204" s="46" t="s">
        <v>23</v>
      </c>
      <c r="E204" s="47" t="s">
        <v>537</v>
      </c>
      <c r="F204" s="48">
        <v>-2362394935753</v>
      </c>
      <c r="G204" s="48">
        <v>2362394935753</v>
      </c>
      <c r="H204" s="43">
        <f t="shared" si="3"/>
        <v>0</v>
      </c>
      <c r="I204" s="43">
        <v>0</v>
      </c>
      <c r="J204" s="43">
        <v>0</v>
      </c>
      <c r="K204" s="43">
        <v>0</v>
      </c>
      <c r="L204" s="43">
        <v>0</v>
      </c>
      <c r="M204" s="43">
        <v>0</v>
      </c>
      <c r="N204" s="43">
        <v>0</v>
      </c>
      <c r="O204" s="43">
        <v>0</v>
      </c>
      <c r="P204" s="43">
        <v>0</v>
      </c>
      <c r="Q204" s="43">
        <v>0</v>
      </c>
      <c r="R204" s="43">
        <v>-2362394935753</v>
      </c>
      <c r="S204" s="43">
        <v>0</v>
      </c>
      <c r="T204" s="43">
        <v>0</v>
      </c>
      <c r="U204" s="43">
        <v>0</v>
      </c>
      <c r="V204" s="44">
        <v>0</v>
      </c>
      <c r="W204" s="24"/>
    </row>
    <row r="205" spans="1:23" ht="21.75">
      <c r="A205" s="36">
        <v>1316</v>
      </c>
      <c r="B205" s="37">
        <v>13</v>
      </c>
      <c r="C205" s="45">
        <v>202</v>
      </c>
      <c r="D205" s="46" t="s">
        <v>538</v>
      </c>
      <c r="E205" s="47" t="s">
        <v>539</v>
      </c>
      <c r="F205" s="48">
        <v>-24866347713</v>
      </c>
      <c r="G205" s="48">
        <v>24866347713</v>
      </c>
      <c r="H205" s="43">
        <f t="shared" si="3"/>
        <v>0</v>
      </c>
      <c r="I205" s="43">
        <v>0</v>
      </c>
      <c r="J205" s="43">
        <v>0</v>
      </c>
      <c r="K205" s="43">
        <v>0</v>
      </c>
      <c r="L205" s="43">
        <v>0</v>
      </c>
      <c r="M205" s="43">
        <v>0</v>
      </c>
      <c r="N205" s="43">
        <v>0</v>
      </c>
      <c r="O205" s="43">
        <v>0</v>
      </c>
      <c r="P205" s="43">
        <v>0</v>
      </c>
      <c r="Q205" s="43">
        <v>0</v>
      </c>
      <c r="R205" s="43">
        <v>-24866347713</v>
      </c>
      <c r="S205" s="43">
        <v>0</v>
      </c>
      <c r="T205" s="43">
        <v>0</v>
      </c>
      <c r="U205" s="43">
        <v>0</v>
      </c>
      <c r="V205" s="44">
        <v>0</v>
      </c>
      <c r="W205" s="24"/>
    </row>
    <row r="206" spans="1:23" ht="21.75">
      <c r="A206" s="36">
        <v>1215</v>
      </c>
      <c r="B206" s="37">
        <v>12</v>
      </c>
      <c r="C206" s="45">
        <v>203</v>
      </c>
      <c r="D206" s="46" t="s">
        <v>540</v>
      </c>
      <c r="E206" s="47" t="s">
        <v>229</v>
      </c>
      <c r="F206" s="48">
        <v>-692186400</v>
      </c>
      <c r="G206" s="48">
        <v>692186400</v>
      </c>
      <c r="H206" s="43">
        <f t="shared" si="3"/>
        <v>0</v>
      </c>
      <c r="I206" s="43">
        <v>0</v>
      </c>
      <c r="J206" s="43">
        <v>0</v>
      </c>
      <c r="K206" s="43">
        <v>0</v>
      </c>
      <c r="L206" s="43">
        <v>0</v>
      </c>
      <c r="M206" s="43">
        <v>0</v>
      </c>
      <c r="N206" s="43">
        <v>0</v>
      </c>
      <c r="O206" s="43">
        <v>0</v>
      </c>
      <c r="P206" s="43">
        <v>0</v>
      </c>
      <c r="Q206" s="43">
        <v>-692186400</v>
      </c>
      <c r="R206" s="43">
        <v>0</v>
      </c>
      <c r="S206" s="43">
        <v>0</v>
      </c>
      <c r="T206" s="43">
        <v>0</v>
      </c>
      <c r="U206" s="43">
        <v>0</v>
      </c>
      <c r="V206" s="44">
        <v>0</v>
      </c>
      <c r="W206" s="24"/>
    </row>
    <row r="207" spans="1:23" ht="21.75">
      <c r="A207" s="36">
        <v>1212</v>
      </c>
      <c r="B207" s="37">
        <v>12</v>
      </c>
      <c r="C207" s="45">
        <v>204</v>
      </c>
      <c r="D207" s="46" t="s">
        <v>541</v>
      </c>
      <c r="E207" s="47" t="s">
        <v>542</v>
      </c>
      <c r="F207" s="48">
        <v>-3</v>
      </c>
      <c r="G207" s="48">
        <v>3</v>
      </c>
      <c r="H207" s="43">
        <f t="shared" si="3"/>
        <v>0</v>
      </c>
      <c r="I207" s="43">
        <v>0</v>
      </c>
      <c r="J207" s="43">
        <v>0</v>
      </c>
      <c r="K207" s="43">
        <v>0</v>
      </c>
      <c r="L207" s="43">
        <v>0</v>
      </c>
      <c r="M207" s="43">
        <v>0</v>
      </c>
      <c r="N207" s="43">
        <v>0</v>
      </c>
      <c r="O207" s="43">
        <v>0</v>
      </c>
      <c r="P207" s="43">
        <v>0</v>
      </c>
      <c r="Q207" s="43">
        <v>-3</v>
      </c>
      <c r="R207" s="43">
        <v>0</v>
      </c>
      <c r="S207" s="43">
        <v>0</v>
      </c>
      <c r="T207" s="43">
        <v>0</v>
      </c>
      <c r="U207" s="43">
        <v>0</v>
      </c>
      <c r="V207" s="44">
        <v>0</v>
      </c>
      <c r="W207" s="24"/>
    </row>
    <row r="208" spans="1:23" ht="21.75">
      <c r="A208" s="36">
        <v>1207</v>
      </c>
      <c r="B208" s="37">
        <v>12</v>
      </c>
      <c r="C208" s="45">
        <v>205</v>
      </c>
      <c r="D208" s="46" t="s">
        <v>543</v>
      </c>
      <c r="E208" s="47" t="s">
        <v>544</v>
      </c>
      <c r="F208" s="48">
        <v>-156905770406</v>
      </c>
      <c r="G208" s="48">
        <v>156905770406</v>
      </c>
      <c r="H208" s="43">
        <f t="shared" si="3"/>
        <v>0</v>
      </c>
      <c r="I208" s="43">
        <v>0</v>
      </c>
      <c r="J208" s="43">
        <v>0</v>
      </c>
      <c r="K208" s="43">
        <v>0</v>
      </c>
      <c r="L208" s="43">
        <v>0</v>
      </c>
      <c r="M208" s="43">
        <v>0</v>
      </c>
      <c r="N208" s="43">
        <v>0</v>
      </c>
      <c r="O208" s="43">
        <v>0</v>
      </c>
      <c r="P208" s="43">
        <v>0</v>
      </c>
      <c r="Q208" s="43">
        <v>-156905770406</v>
      </c>
      <c r="R208" s="43">
        <v>0</v>
      </c>
      <c r="S208" s="43">
        <v>0</v>
      </c>
      <c r="T208" s="43">
        <v>0</v>
      </c>
      <c r="U208" s="43">
        <v>0</v>
      </c>
      <c r="V208" s="44">
        <v>0</v>
      </c>
      <c r="W208" s="24"/>
    </row>
    <row r="209" spans="1:23" ht="21.75">
      <c r="A209" s="36">
        <v>1207</v>
      </c>
      <c r="B209" s="37">
        <v>12</v>
      </c>
      <c r="C209" s="45">
        <v>206</v>
      </c>
      <c r="D209" s="46" t="s">
        <v>545</v>
      </c>
      <c r="E209" s="47" t="s">
        <v>510</v>
      </c>
      <c r="F209" s="48">
        <v>-12200000</v>
      </c>
      <c r="G209" s="48">
        <v>12200000</v>
      </c>
      <c r="H209" s="43">
        <f t="shared" si="3"/>
        <v>0</v>
      </c>
      <c r="I209" s="43">
        <v>0</v>
      </c>
      <c r="J209" s="43">
        <v>0</v>
      </c>
      <c r="K209" s="43">
        <v>0</v>
      </c>
      <c r="L209" s="43">
        <v>0</v>
      </c>
      <c r="M209" s="43">
        <v>0</v>
      </c>
      <c r="N209" s="43">
        <v>0</v>
      </c>
      <c r="O209" s="43">
        <v>0</v>
      </c>
      <c r="P209" s="43">
        <v>0</v>
      </c>
      <c r="Q209" s="43">
        <v>-12200000</v>
      </c>
      <c r="R209" s="43">
        <v>0</v>
      </c>
      <c r="S209" s="43">
        <v>0</v>
      </c>
      <c r="T209" s="43">
        <v>0</v>
      </c>
      <c r="U209" s="43">
        <v>0</v>
      </c>
      <c r="V209" s="44">
        <v>0</v>
      </c>
      <c r="W209" s="24"/>
    </row>
    <row r="210" spans="1:23" ht="21.75">
      <c r="A210" s="36">
        <v>1208</v>
      </c>
      <c r="B210" s="37">
        <v>12</v>
      </c>
      <c r="C210" s="45">
        <v>207</v>
      </c>
      <c r="D210" s="46" t="s">
        <v>511</v>
      </c>
      <c r="E210" s="47" t="s">
        <v>512</v>
      </c>
      <c r="F210" s="48">
        <v>-1009591644</v>
      </c>
      <c r="G210" s="48">
        <v>1009591644</v>
      </c>
      <c r="H210" s="43">
        <f t="shared" si="3"/>
        <v>0</v>
      </c>
      <c r="I210" s="43">
        <v>0</v>
      </c>
      <c r="J210" s="43">
        <v>0</v>
      </c>
      <c r="K210" s="43">
        <v>0</v>
      </c>
      <c r="L210" s="43">
        <v>0</v>
      </c>
      <c r="M210" s="43">
        <v>0</v>
      </c>
      <c r="N210" s="43">
        <v>0</v>
      </c>
      <c r="O210" s="43">
        <v>0</v>
      </c>
      <c r="P210" s="43">
        <v>0</v>
      </c>
      <c r="Q210" s="43">
        <v>-1009591644</v>
      </c>
      <c r="R210" s="43">
        <v>0</v>
      </c>
      <c r="S210" s="43">
        <v>0</v>
      </c>
      <c r="T210" s="43">
        <v>0</v>
      </c>
      <c r="U210" s="43">
        <v>0</v>
      </c>
      <c r="V210" s="44">
        <v>0</v>
      </c>
      <c r="W210" s="24"/>
    </row>
    <row r="211" spans="1:23" ht="21.75">
      <c r="A211" s="36">
        <v>1208</v>
      </c>
      <c r="B211" s="37">
        <v>12</v>
      </c>
      <c r="C211" s="45">
        <v>208</v>
      </c>
      <c r="D211" s="46" t="s">
        <v>513</v>
      </c>
      <c r="E211" s="47" t="s">
        <v>279</v>
      </c>
      <c r="F211" s="48">
        <v>-75975252102</v>
      </c>
      <c r="G211" s="48">
        <v>75975252102</v>
      </c>
      <c r="H211" s="43">
        <f t="shared" si="3"/>
        <v>0</v>
      </c>
      <c r="I211" s="43">
        <v>0</v>
      </c>
      <c r="J211" s="43">
        <v>0</v>
      </c>
      <c r="K211" s="43">
        <v>0</v>
      </c>
      <c r="L211" s="43">
        <v>0</v>
      </c>
      <c r="M211" s="43">
        <v>0</v>
      </c>
      <c r="N211" s="43">
        <v>0</v>
      </c>
      <c r="O211" s="43">
        <v>0</v>
      </c>
      <c r="P211" s="43">
        <v>0</v>
      </c>
      <c r="Q211" s="43">
        <v>-75975252102</v>
      </c>
      <c r="R211" s="43">
        <v>0</v>
      </c>
      <c r="S211" s="43">
        <v>0</v>
      </c>
      <c r="T211" s="43">
        <v>0</v>
      </c>
      <c r="U211" s="43">
        <v>0</v>
      </c>
      <c r="V211" s="44">
        <v>0</v>
      </c>
      <c r="W211" s="24"/>
    </row>
    <row r="212" spans="1:23" ht="21.75">
      <c r="A212" s="36">
        <v>1212</v>
      </c>
      <c r="B212" s="37">
        <v>12</v>
      </c>
      <c r="C212" s="45">
        <v>209</v>
      </c>
      <c r="D212" s="46" t="s">
        <v>280</v>
      </c>
      <c r="E212" s="47" t="s">
        <v>498</v>
      </c>
      <c r="F212" s="48">
        <v>-129744092</v>
      </c>
      <c r="G212" s="48">
        <v>129744092</v>
      </c>
      <c r="H212" s="43">
        <f t="shared" si="3"/>
        <v>0</v>
      </c>
      <c r="I212" s="43">
        <v>0</v>
      </c>
      <c r="J212" s="43">
        <v>0</v>
      </c>
      <c r="K212" s="43">
        <v>0</v>
      </c>
      <c r="L212" s="43">
        <v>0</v>
      </c>
      <c r="M212" s="43">
        <v>0</v>
      </c>
      <c r="N212" s="43">
        <v>0</v>
      </c>
      <c r="O212" s="43">
        <v>0</v>
      </c>
      <c r="P212" s="43">
        <v>0</v>
      </c>
      <c r="Q212" s="43">
        <v>-129744092</v>
      </c>
      <c r="R212" s="43">
        <v>0</v>
      </c>
      <c r="S212" s="43">
        <v>0</v>
      </c>
      <c r="T212" s="43">
        <v>0</v>
      </c>
      <c r="U212" s="43">
        <v>0</v>
      </c>
      <c r="V212" s="44">
        <v>0</v>
      </c>
      <c r="W212" s="24"/>
    </row>
    <row r="213" spans="1:23" ht="21.75">
      <c r="A213" s="36">
        <v>1207</v>
      </c>
      <c r="B213" s="37">
        <v>12</v>
      </c>
      <c r="C213" s="45">
        <v>210</v>
      </c>
      <c r="D213" s="46" t="s">
        <v>499</v>
      </c>
      <c r="E213" s="47" t="s">
        <v>500</v>
      </c>
      <c r="F213" s="48">
        <v>-1578686804</v>
      </c>
      <c r="G213" s="48">
        <v>1578686804</v>
      </c>
      <c r="H213" s="43">
        <f t="shared" si="3"/>
        <v>0</v>
      </c>
      <c r="I213" s="43">
        <v>0</v>
      </c>
      <c r="J213" s="43">
        <v>0</v>
      </c>
      <c r="K213" s="43">
        <v>0</v>
      </c>
      <c r="L213" s="43">
        <v>0</v>
      </c>
      <c r="M213" s="43">
        <v>0</v>
      </c>
      <c r="N213" s="43">
        <v>0</v>
      </c>
      <c r="O213" s="43">
        <v>0</v>
      </c>
      <c r="P213" s="43">
        <v>0</v>
      </c>
      <c r="Q213" s="43">
        <v>-1578686804</v>
      </c>
      <c r="R213" s="43">
        <v>0</v>
      </c>
      <c r="S213" s="43">
        <v>0</v>
      </c>
      <c r="T213" s="43">
        <v>0</v>
      </c>
      <c r="U213" s="43">
        <v>0</v>
      </c>
      <c r="V213" s="44">
        <v>0</v>
      </c>
      <c r="W213" s="24"/>
    </row>
    <row r="214" spans="1:23" ht="21.75">
      <c r="A214" s="36">
        <v>1212</v>
      </c>
      <c r="B214" s="37">
        <v>12</v>
      </c>
      <c r="C214" s="45">
        <v>211</v>
      </c>
      <c r="D214" s="46" t="s">
        <v>501</v>
      </c>
      <c r="E214" s="47" t="s">
        <v>502</v>
      </c>
      <c r="F214" s="48">
        <v>-12587500</v>
      </c>
      <c r="G214" s="48">
        <v>12587500</v>
      </c>
      <c r="H214" s="43">
        <f t="shared" si="3"/>
        <v>0</v>
      </c>
      <c r="I214" s="43">
        <v>0</v>
      </c>
      <c r="J214" s="43">
        <v>0</v>
      </c>
      <c r="K214" s="43">
        <v>0</v>
      </c>
      <c r="L214" s="43">
        <v>0</v>
      </c>
      <c r="M214" s="43">
        <v>0</v>
      </c>
      <c r="N214" s="43">
        <v>0</v>
      </c>
      <c r="O214" s="43">
        <v>0</v>
      </c>
      <c r="P214" s="43">
        <v>0</v>
      </c>
      <c r="Q214" s="43">
        <v>-12587500</v>
      </c>
      <c r="R214" s="43">
        <v>0</v>
      </c>
      <c r="S214" s="43">
        <v>0</v>
      </c>
      <c r="T214" s="43">
        <v>0</v>
      </c>
      <c r="U214" s="43">
        <v>0</v>
      </c>
      <c r="V214" s="44">
        <v>0</v>
      </c>
      <c r="W214" s="24"/>
    </row>
    <row r="215" spans="1:23" ht="21.75">
      <c r="A215" s="36">
        <v>1212</v>
      </c>
      <c r="B215" s="37">
        <v>12</v>
      </c>
      <c r="C215" s="45">
        <v>212</v>
      </c>
      <c r="D215" s="46" t="s">
        <v>503</v>
      </c>
      <c r="E215" s="47" t="s">
        <v>504</v>
      </c>
      <c r="F215" s="48">
        <v>-7047389145</v>
      </c>
      <c r="G215" s="48">
        <v>7047389145</v>
      </c>
      <c r="H215" s="43">
        <f t="shared" si="3"/>
        <v>0</v>
      </c>
      <c r="I215" s="43">
        <v>0</v>
      </c>
      <c r="J215" s="43">
        <v>0</v>
      </c>
      <c r="K215" s="43">
        <v>0</v>
      </c>
      <c r="L215" s="43">
        <v>0</v>
      </c>
      <c r="M215" s="43">
        <v>0</v>
      </c>
      <c r="N215" s="43">
        <v>0</v>
      </c>
      <c r="O215" s="43">
        <v>0</v>
      </c>
      <c r="P215" s="43">
        <v>0</v>
      </c>
      <c r="Q215" s="43">
        <v>-7047389145</v>
      </c>
      <c r="R215" s="43">
        <v>0</v>
      </c>
      <c r="S215" s="43">
        <v>0</v>
      </c>
      <c r="T215" s="43">
        <v>0</v>
      </c>
      <c r="U215" s="43">
        <v>0</v>
      </c>
      <c r="V215" s="44">
        <v>0</v>
      </c>
      <c r="W215" s="24"/>
    </row>
    <row r="216" spans="1:23" ht="21.75">
      <c r="A216" s="36">
        <v>1209</v>
      </c>
      <c r="B216" s="37">
        <v>12</v>
      </c>
      <c r="C216" s="45">
        <v>213</v>
      </c>
      <c r="D216" s="46" t="s">
        <v>505</v>
      </c>
      <c r="E216" s="47" t="s">
        <v>506</v>
      </c>
      <c r="F216" s="48">
        <v>-5514058356</v>
      </c>
      <c r="G216" s="48">
        <v>5514058356</v>
      </c>
      <c r="H216" s="43">
        <f t="shared" si="3"/>
        <v>0</v>
      </c>
      <c r="I216" s="43">
        <v>0</v>
      </c>
      <c r="J216" s="43">
        <v>0</v>
      </c>
      <c r="K216" s="43">
        <v>0</v>
      </c>
      <c r="L216" s="43">
        <v>0</v>
      </c>
      <c r="M216" s="43">
        <v>0</v>
      </c>
      <c r="N216" s="43">
        <v>0</v>
      </c>
      <c r="O216" s="43">
        <v>0</v>
      </c>
      <c r="P216" s="43">
        <v>0</v>
      </c>
      <c r="Q216" s="43">
        <v>-5514058356</v>
      </c>
      <c r="R216" s="43">
        <v>0</v>
      </c>
      <c r="S216" s="43">
        <v>0</v>
      </c>
      <c r="T216" s="43">
        <v>0</v>
      </c>
      <c r="U216" s="43">
        <v>0</v>
      </c>
      <c r="V216" s="44">
        <v>0</v>
      </c>
      <c r="W216" s="24"/>
    </row>
    <row r="217" spans="1:23" ht="21.75">
      <c r="A217" s="36">
        <v>1209</v>
      </c>
      <c r="B217" s="37">
        <v>12</v>
      </c>
      <c r="C217" s="45">
        <v>214</v>
      </c>
      <c r="D217" s="46" t="s">
        <v>507</v>
      </c>
      <c r="E217" s="47" t="s">
        <v>185</v>
      </c>
      <c r="F217" s="48">
        <v>-5219238126</v>
      </c>
      <c r="G217" s="48">
        <v>5219238126</v>
      </c>
      <c r="H217" s="43">
        <f t="shared" si="3"/>
        <v>0</v>
      </c>
      <c r="I217" s="43">
        <v>0</v>
      </c>
      <c r="J217" s="43">
        <v>0</v>
      </c>
      <c r="K217" s="43">
        <v>0</v>
      </c>
      <c r="L217" s="43">
        <v>0</v>
      </c>
      <c r="M217" s="43">
        <v>0</v>
      </c>
      <c r="N217" s="43">
        <v>0</v>
      </c>
      <c r="O217" s="43">
        <v>0</v>
      </c>
      <c r="P217" s="43">
        <v>0</v>
      </c>
      <c r="Q217" s="43">
        <v>-5219238126</v>
      </c>
      <c r="R217" s="43">
        <v>0</v>
      </c>
      <c r="S217" s="43">
        <v>0</v>
      </c>
      <c r="T217" s="43">
        <v>0</v>
      </c>
      <c r="U217" s="43">
        <v>0</v>
      </c>
      <c r="V217" s="44">
        <v>0</v>
      </c>
      <c r="W217" s="24"/>
    </row>
    <row r="218" spans="1:23" ht="21.75">
      <c r="A218" s="36">
        <v>1210</v>
      </c>
      <c r="B218" s="37">
        <v>12</v>
      </c>
      <c r="C218" s="45">
        <v>215</v>
      </c>
      <c r="D218" s="46" t="s">
        <v>186</v>
      </c>
      <c r="E218" s="47" t="s">
        <v>187</v>
      </c>
      <c r="F218" s="48">
        <v>-85931608</v>
      </c>
      <c r="G218" s="48">
        <v>85931608</v>
      </c>
      <c r="H218" s="43">
        <f t="shared" si="3"/>
        <v>0</v>
      </c>
      <c r="I218" s="43">
        <v>0</v>
      </c>
      <c r="J218" s="43">
        <v>0</v>
      </c>
      <c r="K218" s="43">
        <v>0</v>
      </c>
      <c r="L218" s="43">
        <v>0</v>
      </c>
      <c r="M218" s="43">
        <v>0</v>
      </c>
      <c r="N218" s="43">
        <v>0</v>
      </c>
      <c r="O218" s="43">
        <v>0</v>
      </c>
      <c r="P218" s="43">
        <v>0</v>
      </c>
      <c r="Q218" s="43">
        <v>-85931608</v>
      </c>
      <c r="R218" s="43">
        <v>0</v>
      </c>
      <c r="S218" s="43">
        <v>0</v>
      </c>
      <c r="T218" s="43">
        <v>0</v>
      </c>
      <c r="U218" s="43">
        <v>0</v>
      </c>
      <c r="V218" s="44">
        <v>0</v>
      </c>
      <c r="W218" s="24"/>
    </row>
    <row r="219" spans="1:23" ht="21.75">
      <c r="A219" s="36">
        <v>1210</v>
      </c>
      <c r="B219" s="37">
        <v>12</v>
      </c>
      <c r="C219" s="45">
        <v>216</v>
      </c>
      <c r="D219" s="46" t="s">
        <v>188</v>
      </c>
      <c r="E219" s="47" t="s">
        <v>189</v>
      </c>
      <c r="F219" s="48">
        <v>-12460493142</v>
      </c>
      <c r="G219" s="48">
        <v>12460493142</v>
      </c>
      <c r="H219" s="43">
        <f t="shared" si="3"/>
        <v>0</v>
      </c>
      <c r="I219" s="43">
        <v>0</v>
      </c>
      <c r="J219" s="43">
        <v>0</v>
      </c>
      <c r="K219" s="43">
        <v>0</v>
      </c>
      <c r="L219" s="43">
        <v>0</v>
      </c>
      <c r="M219" s="43">
        <v>0</v>
      </c>
      <c r="N219" s="43">
        <v>0</v>
      </c>
      <c r="O219" s="43">
        <v>0</v>
      </c>
      <c r="P219" s="43">
        <v>0</v>
      </c>
      <c r="Q219" s="43">
        <v>-12460493142</v>
      </c>
      <c r="R219" s="43">
        <v>0</v>
      </c>
      <c r="S219" s="43">
        <v>0</v>
      </c>
      <c r="T219" s="43">
        <v>0</v>
      </c>
      <c r="U219" s="43">
        <v>0</v>
      </c>
      <c r="V219" s="44">
        <v>0</v>
      </c>
      <c r="W219" s="24"/>
    </row>
    <row r="220" spans="1:23" ht="21.75">
      <c r="A220" s="36">
        <v>1209</v>
      </c>
      <c r="B220" s="37">
        <v>12</v>
      </c>
      <c r="C220" s="45">
        <v>217</v>
      </c>
      <c r="D220" s="46" t="s">
        <v>190</v>
      </c>
      <c r="E220" s="47" t="s">
        <v>191</v>
      </c>
      <c r="F220" s="48">
        <v>-1444456450</v>
      </c>
      <c r="G220" s="48">
        <v>1444456450</v>
      </c>
      <c r="H220" s="43">
        <f t="shared" si="3"/>
        <v>0</v>
      </c>
      <c r="I220" s="43">
        <v>0</v>
      </c>
      <c r="J220" s="43">
        <v>0</v>
      </c>
      <c r="K220" s="43">
        <v>0</v>
      </c>
      <c r="L220" s="43">
        <v>0</v>
      </c>
      <c r="M220" s="43">
        <v>0</v>
      </c>
      <c r="N220" s="43">
        <v>0</v>
      </c>
      <c r="O220" s="43">
        <v>0</v>
      </c>
      <c r="P220" s="43">
        <v>0</v>
      </c>
      <c r="Q220" s="43">
        <v>-1444456450</v>
      </c>
      <c r="R220" s="43">
        <v>0</v>
      </c>
      <c r="S220" s="43">
        <v>0</v>
      </c>
      <c r="T220" s="43">
        <v>0</v>
      </c>
      <c r="U220" s="43">
        <v>0</v>
      </c>
      <c r="V220" s="44">
        <v>0</v>
      </c>
      <c r="W220" s="24"/>
    </row>
    <row r="221" spans="1:23" ht="21.75">
      <c r="A221" s="36">
        <v>1212</v>
      </c>
      <c r="B221" s="37">
        <v>12</v>
      </c>
      <c r="C221" s="45">
        <v>218</v>
      </c>
      <c r="D221" s="46" t="s">
        <v>192</v>
      </c>
      <c r="E221" s="47" t="s">
        <v>25</v>
      </c>
      <c r="F221" s="48">
        <v>-3068973110</v>
      </c>
      <c r="G221" s="48">
        <v>3068973110</v>
      </c>
      <c r="H221" s="43">
        <f t="shared" si="3"/>
        <v>0</v>
      </c>
      <c r="I221" s="43">
        <v>0</v>
      </c>
      <c r="J221" s="43">
        <v>0</v>
      </c>
      <c r="K221" s="43">
        <v>0</v>
      </c>
      <c r="L221" s="43">
        <v>0</v>
      </c>
      <c r="M221" s="43">
        <v>0</v>
      </c>
      <c r="N221" s="43">
        <v>0</v>
      </c>
      <c r="O221" s="43">
        <v>0</v>
      </c>
      <c r="P221" s="43">
        <v>0</v>
      </c>
      <c r="Q221" s="43">
        <v>-3068973110</v>
      </c>
      <c r="R221" s="43">
        <v>0</v>
      </c>
      <c r="S221" s="43">
        <v>0</v>
      </c>
      <c r="T221" s="43">
        <v>0</v>
      </c>
      <c r="U221" s="43">
        <v>0</v>
      </c>
      <c r="V221" s="44">
        <v>0</v>
      </c>
      <c r="W221" s="24"/>
    </row>
    <row r="222" spans="1:23" ht="21.75">
      <c r="A222" s="36">
        <v>403</v>
      </c>
      <c r="B222" s="37">
        <v>4</v>
      </c>
      <c r="C222" s="45">
        <v>219</v>
      </c>
      <c r="D222" s="46" t="s">
        <v>26</v>
      </c>
      <c r="E222" s="47" t="s">
        <v>27</v>
      </c>
      <c r="F222" s="48">
        <v>1116263608</v>
      </c>
      <c r="G222" s="49"/>
      <c r="H222" s="43">
        <f t="shared" si="3"/>
        <v>1116263608</v>
      </c>
      <c r="I222" s="43">
        <v>0</v>
      </c>
      <c r="J222" s="43">
        <v>0</v>
      </c>
      <c r="K222" s="43">
        <v>0</v>
      </c>
      <c r="L222" s="43">
        <v>0</v>
      </c>
      <c r="M222" s="43">
        <v>0</v>
      </c>
      <c r="N222" s="43">
        <v>0</v>
      </c>
      <c r="O222" s="43">
        <v>0</v>
      </c>
      <c r="P222" s="43">
        <v>0</v>
      </c>
      <c r="Q222" s="43">
        <v>0</v>
      </c>
      <c r="R222" s="43">
        <v>0</v>
      </c>
      <c r="S222" s="43">
        <v>0</v>
      </c>
      <c r="T222" s="43">
        <v>0</v>
      </c>
      <c r="U222" s="43">
        <v>0</v>
      </c>
      <c r="V222" s="44">
        <v>0</v>
      </c>
      <c r="W222" s="24"/>
    </row>
    <row r="223" spans="1:23" ht="21.75">
      <c r="A223" s="36">
        <v>401</v>
      </c>
      <c r="B223" s="37">
        <v>4</v>
      </c>
      <c r="C223" s="45">
        <v>220</v>
      </c>
      <c r="D223" s="46" t="s">
        <v>28</v>
      </c>
      <c r="E223" s="47" t="s">
        <v>29</v>
      </c>
      <c r="F223" s="48">
        <v>5172912136</v>
      </c>
      <c r="G223" s="49"/>
      <c r="H223" s="43">
        <f t="shared" si="3"/>
        <v>5172912136</v>
      </c>
      <c r="I223" s="43">
        <v>0</v>
      </c>
      <c r="J223" s="43">
        <v>0</v>
      </c>
      <c r="K223" s="43">
        <v>0</v>
      </c>
      <c r="L223" s="43">
        <v>0</v>
      </c>
      <c r="M223" s="43">
        <v>0</v>
      </c>
      <c r="N223" s="43">
        <v>0</v>
      </c>
      <c r="O223" s="43">
        <v>0</v>
      </c>
      <c r="P223" s="43">
        <v>0</v>
      </c>
      <c r="Q223" s="43">
        <v>0</v>
      </c>
      <c r="R223" s="43">
        <v>0</v>
      </c>
      <c r="S223" s="43">
        <v>0</v>
      </c>
      <c r="T223" s="43">
        <v>0</v>
      </c>
      <c r="U223" s="43">
        <v>0</v>
      </c>
      <c r="V223" s="44">
        <v>0</v>
      </c>
      <c r="W223" s="24"/>
    </row>
    <row r="224" spans="1:23" ht="21.75">
      <c r="A224" s="36">
        <v>402</v>
      </c>
      <c r="B224" s="37">
        <v>4</v>
      </c>
      <c r="C224" s="45">
        <v>221</v>
      </c>
      <c r="D224" s="46" t="s">
        <v>30</v>
      </c>
      <c r="E224" s="47" t="s">
        <v>31</v>
      </c>
      <c r="F224" s="48">
        <v>269967894151</v>
      </c>
      <c r="G224" s="49"/>
      <c r="H224" s="43">
        <f t="shared" si="3"/>
        <v>269967894151</v>
      </c>
      <c r="I224" s="43">
        <v>0</v>
      </c>
      <c r="J224" s="43">
        <v>0</v>
      </c>
      <c r="K224" s="43">
        <v>0</v>
      </c>
      <c r="L224" s="43">
        <v>0</v>
      </c>
      <c r="M224" s="43">
        <v>0</v>
      </c>
      <c r="N224" s="43">
        <v>0</v>
      </c>
      <c r="O224" s="43">
        <v>0</v>
      </c>
      <c r="P224" s="43">
        <v>0</v>
      </c>
      <c r="Q224" s="43">
        <v>0</v>
      </c>
      <c r="R224" s="43">
        <v>0</v>
      </c>
      <c r="S224" s="43">
        <v>0</v>
      </c>
      <c r="T224" s="43">
        <v>0</v>
      </c>
      <c r="U224" s="43">
        <v>0</v>
      </c>
      <c r="V224" s="44">
        <v>0</v>
      </c>
      <c r="W224" s="24"/>
    </row>
    <row r="225" spans="1:23" ht="21.75">
      <c r="A225" s="36">
        <v>907</v>
      </c>
      <c r="B225" s="37">
        <v>9</v>
      </c>
      <c r="C225" s="45">
        <v>222</v>
      </c>
      <c r="D225" s="46" t="s">
        <v>32</v>
      </c>
      <c r="E225" s="47" t="s">
        <v>33</v>
      </c>
      <c r="F225" s="48">
        <v>100433907842</v>
      </c>
      <c r="G225" s="49"/>
      <c r="H225" s="43">
        <f t="shared" si="3"/>
        <v>0</v>
      </c>
      <c r="I225" s="43">
        <v>0</v>
      </c>
      <c r="J225" s="43">
        <v>0</v>
      </c>
      <c r="K225" s="43">
        <v>0</v>
      </c>
      <c r="L225" s="43">
        <v>0</v>
      </c>
      <c r="M225" s="43">
        <v>0</v>
      </c>
      <c r="N225" s="43">
        <v>100433907842</v>
      </c>
      <c r="O225" s="43">
        <v>0</v>
      </c>
      <c r="P225" s="43">
        <v>0</v>
      </c>
      <c r="Q225" s="43">
        <v>0</v>
      </c>
      <c r="R225" s="43">
        <v>0</v>
      </c>
      <c r="S225" s="43">
        <v>0</v>
      </c>
      <c r="T225" s="43">
        <v>0</v>
      </c>
      <c r="U225" s="43">
        <v>0</v>
      </c>
      <c r="V225" s="44">
        <v>0</v>
      </c>
      <c r="W225" s="24"/>
    </row>
    <row r="226" spans="1:23" ht="21.75">
      <c r="A226" s="36">
        <v>801</v>
      </c>
      <c r="B226" s="37">
        <v>8</v>
      </c>
      <c r="C226" s="45">
        <v>223</v>
      </c>
      <c r="D226" s="46" t="s">
        <v>34</v>
      </c>
      <c r="E226" s="47" t="s">
        <v>35</v>
      </c>
      <c r="F226" s="48">
        <v>30793257315</v>
      </c>
      <c r="G226" s="49"/>
      <c r="H226" s="43">
        <f t="shared" si="3"/>
        <v>0</v>
      </c>
      <c r="I226" s="43">
        <v>0</v>
      </c>
      <c r="J226" s="43">
        <v>0</v>
      </c>
      <c r="K226" s="43">
        <v>0</v>
      </c>
      <c r="L226" s="43">
        <v>30793257315</v>
      </c>
      <c r="M226" s="43">
        <v>0</v>
      </c>
      <c r="N226" s="43">
        <v>0</v>
      </c>
      <c r="O226" s="43">
        <v>0</v>
      </c>
      <c r="P226" s="43">
        <v>0</v>
      </c>
      <c r="Q226" s="43">
        <v>0</v>
      </c>
      <c r="R226" s="43">
        <v>0</v>
      </c>
      <c r="S226" s="43">
        <v>0</v>
      </c>
      <c r="T226" s="43">
        <v>0</v>
      </c>
      <c r="U226" s="43">
        <v>0</v>
      </c>
      <c r="V226" s="44">
        <v>0</v>
      </c>
      <c r="W226" s="24"/>
    </row>
    <row r="227" spans="1:23" ht="21.75">
      <c r="A227" s="36">
        <v>401</v>
      </c>
      <c r="B227" s="37">
        <v>4</v>
      </c>
      <c r="C227" s="45">
        <v>224</v>
      </c>
      <c r="D227" s="46" t="s">
        <v>36</v>
      </c>
      <c r="E227" s="47" t="s">
        <v>37</v>
      </c>
      <c r="F227" s="48">
        <v>213934909341</v>
      </c>
      <c r="G227" s="49"/>
      <c r="H227" s="43">
        <f t="shared" si="3"/>
        <v>213934909341</v>
      </c>
      <c r="I227" s="43">
        <v>0</v>
      </c>
      <c r="J227" s="43">
        <v>0</v>
      </c>
      <c r="K227" s="43">
        <v>0</v>
      </c>
      <c r="L227" s="43">
        <v>0</v>
      </c>
      <c r="M227" s="43">
        <v>0</v>
      </c>
      <c r="N227" s="43">
        <v>0</v>
      </c>
      <c r="O227" s="43">
        <v>0</v>
      </c>
      <c r="P227" s="43">
        <v>0</v>
      </c>
      <c r="Q227" s="43">
        <v>0</v>
      </c>
      <c r="R227" s="43">
        <v>0</v>
      </c>
      <c r="S227" s="43">
        <v>0</v>
      </c>
      <c r="T227" s="43">
        <v>0</v>
      </c>
      <c r="U227" s="43">
        <v>0</v>
      </c>
      <c r="V227" s="44">
        <v>0</v>
      </c>
      <c r="W227" s="24"/>
    </row>
    <row r="228" spans="1:23" ht="21.75">
      <c r="A228" s="36">
        <v>401</v>
      </c>
      <c r="B228" s="37">
        <v>4</v>
      </c>
      <c r="C228" s="45">
        <v>225</v>
      </c>
      <c r="D228" s="46" t="s">
        <v>38</v>
      </c>
      <c r="E228" s="47" t="s">
        <v>624</v>
      </c>
      <c r="F228" s="48">
        <v>118442157930</v>
      </c>
      <c r="G228" s="49"/>
      <c r="H228" s="43">
        <f t="shared" si="3"/>
        <v>118442157930</v>
      </c>
      <c r="I228" s="43">
        <v>0</v>
      </c>
      <c r="J228" s="43">
        <v>0</v>
      </c>
      <c r="K228" s="43">
        <v>0</v>
      </c>
      <c r="L228" s="43">
        <v>0</v>
      </c>
      <c r="M228" s="43">
        <v>0</v>
      </c>
      <c r="N228" s="43">
        <v>0</v>
      </c>
      <c r="O228" s="43">
        <v>0</v>
      </c>
      <c r="P228" s="43">
        <v>0</v>
      </c>
      <c r="Q228" s="43">
        <v>0</v>
      </c>
      <c r="R228" s="43">
        <v>0</v>
      </c>
      <c r="S228" s="43">
        <v>0</v>
      </c>
      <c r="T228" s="43">
        <v>0</v>
      </c>
      <c r="U228" s="43">
        <v>0</v>
      </c>
      <c r="V228" s="44">
        <v>0</v>
      </c>
      <c r="W228" s="24"/>
    </row>
    <row r="229" spans="1:23" ht="21.75">
      <c r="A229" s="36">
        <v>614</v>
      </c>
      <c r="B229" s="37">
        <v>6</v>
      </c>
      <c r="C229" s="45">
        <v>226</v>
      </c>
      <c r="D229" s="46" t="s">
        <v>586</v>
      </c>
      <c r="E229" s="47" t="s">
        <v>587</v>
      </c>
      <c r="F229" s="48">
        <v>10664354308</v>
      </c>
      <c r="G229" s="49"/>
      <c r="H229" s="43">
        <f t="shared" si="3"/>
        <v>0</v>
      </c>
      <c r="I229" s="43">
        <v>0</v>
      </c>
      <c r="J229" s="43">
        <v>10664354308</v>
      </c>
      <c r="K229" s="43">
        <v>0</v>
      </c>
      <c r="L229" s="43">
        <v>0</v>
      </c>
      <c r="M229" s="43">
        <v>0</v>
      </c>
      <c r="N229" s="43">
        <v>0</v>
      </c>
      <c r="O229" s="43">
        <v>0</v>
      </c>
      <c r="P229" s="43">
        <v>0</v>
      </c>
      <c r="Q229" s="43">
        <v>0</v>
      </c>
      <c r="R229" s="43">
        <v>0</v>
      </c>
      <c r="S229" s="43">
        <v>0</v>
      </c>
      <c r="T229" s="43">
        <v>0</v>
      </c>
      <c r="U229" s="43">
        <v>0</v>
      </c>
      <c r="V229" s="44">
        <v>0</v>
      </c>
      <c r="W229" s="24"/>
    </row>
    <row r="230" spans="1:23" ht="21.75">
      <c r="A230" s="36">
        <v>608</v>
      </c>
      <c r="B230" s="37">
        <v>6</v>
      </c>
      <c r="C230" s="45">
        <v>227</v>
      </c>
      <c r="D230" s="46" t="s">
        <v>588</v>
      </c>
      <c r="E230" s="47" t="s">
        <v>468</v>
      </c>
      <c r="F230" s="48">
        <v>929530000</v>
      </c>
      <c r="G230" s="49"/>
      <c r="H230" s="43">
        <f t="shared" si="3"/>
        <v>0</v>
      </c>
      <c r="I230" s="43">
        <v>0</v>
      </c>
      <c r="J230" s="43">
        <v>929530000</v>
      </c>
      <c r="K230" s="43">
        <v>0</v>
      </c>
      <c r="L230" s="43">
        <v>0</v>
      </c>
      <c r="M230" s="43">
        <v>0</v>
      </c>
      <c r="N230" s="43">
        <v>0</v>
      </c>
      <c r="O230" s="43">
        <v>0</v>
      </c>
      <c r="P230" s="43">
        <v>0</v>
      </c>
      <c r="Q230" s="43">
        <v>0</v>
      </c>
      <c r="R230" s="43">
        <v>0</v>
      </c>
      <c r="S230" s="43">
        <v>0</v>
      </c>
      <c r="T230" s="43">
        <v>0</v>
      </c>
      <c r="U230" s="43">
        <v>0</v>
      </c>
      <c r="V230" s="44">
        <v>0</v>
      </c>
      <c r="W230" s="24"/>
    </row>
    <row r="231" spans="1:23" ht="21.75">
      <c r="A231" s="36">
        <v>1801</v>
      </c>
      <c r="B231" s="37">
        <v>18</v>
      </c>
      <c r="C231" s="45">
        <v>228</v>
      </c>
      <c r="D231" s="46" t="s">
        <v>613</v>
      </c>
      <c r="E231" s="47" t="s">
        <v>614</v>
      </c>
      <c r="F231" s="48">
        <v>767077388376.02979</v>
      </c>
      <c r="G231" s="48">
        <v>0</v>
      </c>
      <c r="H231" s="43">
        <f t="shared" si="3"/>
        <v>0</v>
      </c>
      <c r="I231" s="43">
        <v>0</v>
      </c>
      <c r="J231" s="43">
        <v>0</v>
      </c>
      <c r="K231" s="43">
        <v>0</v>
      </c>
      <c r="L231" s="43">
        <v>0</v>
      </c>
      <c r="M231" s="43">
        <v>0</v>
      </c>
      <c r="N231" s="43">
        <v>0</v>
      </c>
      <c r="O231" s="43">
        <v>0</v>
      </c>
      <c r="P231" s="43">
        <v>0</v>
      </c>
      <c r="Q231" s="43">
        <v>0</v>
      </c>
      <c r="R231" s="43">
        <v>0</v>
      </c>
      <c r="S231" s="43">
        <v>0</v>
      </c>
      <c r="T231" s="43">
        <v>0</v>
      </c>
      <c r="U231" s="43">
        <v>0</v>
      </c>
      <c r="V231" s="44">
        <v>767077388376.02979</v>
      </c>
      <c r="W231" s="24"/>
    </row>
    <row r="232" spans="1:23" ht="21.75">
      <c r="A232" s="36">
        <v>1701</v>
      </c>
      <c r="B232" s="37">
        <v>17</v>
      </c>
      <c r="C232" s="45">
        <v>229</v>
      </c>
      <c r="D232" s="46" t="s">
        <v>615</v>
      </c>
      <c r="E232" s="47" t="s">
        <v>616</v>
      </c>
      <c r="F232" s="48">
        <v>-473188</v>
      </c>
      <c r="G232" s="48">
        <v>473188</v>
      </c>
      <c r="H232" s="43">
        <f t="shared" si="3"/>
        <v>0</v>
      </c>
      <c r="I232" s="43">
        <v>0</v>
      </c>
      <c r="J232" s="43">
        <v>0</v>
      </c>
      <c r="K232" s="43">
        <v>0</v>
      </c>
      <c r="L232" s="43">
        <v>0</v>
      </c>
      <c r="M232" s="43">
        <v>0</v>
      </c>
      <c r="N232" s="43">
        <v>0</v>
      </c>
      <c r="O232" s="43">
        <v>0</v>
      </c>
      <c r="P232" s="43">
        <v>0</v>
      </c>
      <c r="Q232" s="43">
        <v>0</v>
      </c>
      <c r="R232" s="43">
        <v>0</v>
      </c>
      <c r="S232" s="43">
        <v>0</v>
      </c>
      <c r="T232" s="43">
        <v>0</v>
      </c>
      <c r="U232" s="43">
        <v>-473188</v>
      </c>
      <c r="V232" s="44">
        <v>0</v>
      </c>
      <c r="W232" s="24"/>
    </row>
    <row r="233" spans="1:23" ht="21.75">
      <c r="A233" s="36"/>
      <c r="B233" s="37"/>
      <c r="C233" s="45">
        <v>230</v>
      </c>
      <c r="D233" s="46" t="s">
        <v>617</v>
      </c>
      <c r="E233" s="47" t="s">
        <v>618</v>
      </c>
      <c r="F233" s="48">
        <v>625165242980</v>
      </c>
      <c r="G233" s="49"/>
      <c r="H233" s="43">
        <f t="shared" si="3"/>
        <v>0</v>
      </c>
      <c r="I233" s="43">
        <v>0</v>
      </c>
      <c r="J233" s="43">
        <v>0</v>
      </c>
      <c r="K233" s="43">
        <v>0</v>
      </c>
      <c r="L233" s="43">
        <v>0</v>
      </c>
      <c r="M233" s="43">
        <v>0</v>
      </c>
      <c r="N233" s="43">
        <v>0</v>
      </c>
      <c r="O233" s="43">
        <v>0</v>
      </c>
      <c r="P233" s="43">
        <v>0</v>
      </c>
      <c r="Q233" s="43">
        <v>0</v>
      </c>
      <c r="R233" s="43">
        <v>0</v>
      </c>
      <c r="S233" s="43">
        <v>0</v>
      </c>
      <c r="T233" s="43">
        <v>0</v>
      </c>
      <c r="U233" s="43">
        <v>0</v>
      </c>
      <c r="V233" s="44">
        <v>0</v>
      </c>
      <c r="W233" s="24"/>
    </row>
    <row r="234" spans="1:23" ht="21.75">
      <c r="A234" s="36"/>
      <c r="B234" s="37"/>
      <c r="C234" s="45">
        <v>231</v>
      </c>
      <c r="D234" s="46" t="s">
        <v>619</v>
      </c>
      <c r="E234" s="47" t="s">
        <v>620</v>
      </c>
      <c r="F234" s="48">
        <v>-625165242980</v>
      </c>
      <c r="G234" s="48">
        <v>625165242980</v>
      </c>
      <c r="H234" s="43">
        <f t="shared" si="3"/>
        <v>0</v>
      </c>
      <c r="I234" s="43">
        <v>0</v>
      </c>
      <c r="J234" s="43">
        <v>0</v>
      </c>
      <c r="K234" s="43">
        <v>0</v>
      </c>
      <c r="L234" s="43">
        <v>0</v>
      </c>
      <c r="M234" s="43">
        <v>0</v>
      </c>
      <c r="N234" s="43">
        <v>0</v>
      </c>
      <c r="O234" s="43">
        <v>0</v>
      </c>
      <c r="P234" s="43">
        <v>0</v>
      </c>
      <c r="Q234" s="43">
        <v>0</v>
      </c>
      <c r="R234" s="43">
        <v>0</v>
      </c>
      <c r="S234" s="43">
        <v>0</v>
      </c>
      <c r="T234" s="43">
        <v>0</v>
      </c>
      <c r="U234" s="43">
        <v>0</v>
      </c>
      <c r="V234" s="44">
        <v>0</v>
      </c>
      <c r="W234" s="24"/>
    </row>
    <row r="235" spans="1:23" ht="21.75">
      <c r="A235" s="36"/>
      <c r="B235" s="37"/>
      <c r="C235" s="45">
        <v>232</v>
      </c>
      <c r="D235" s="46" t="s">
        <v>621</v>
      </c>
      <c r="E235" s="47" t="s">
        <v>622</v>
      </c>
      <c r="F235" s="48">
        <v>315063704027</v>
      </c>
      <c r="G235" s="49"/>
      <c r="H235" s="43">
        <f t="shared" si="3"/>
        <v>0</v>
      </c>
      <c r="I235" s="43">
        <v>0</v>
      </c>
      <c r="J235" s="43">
        <v>0</v>
      </c>
      <c r="K235" s="43">
        <v>0</v>
      </c>
      <c r="L235" s="43">
        <v>0</v>
      </c>
      <c r="M235" s="43">
        <v>0</v>
      </c>
      <c r="N235" s="43">
        <v>0</v>
      </c>
      <c r="O235" s="43">
        <v>0</v>
      </c>
      <c r="P235" s="43">
        <v>0</v>
      </c>
      <c r="Q235" s="43">
        <v>0</v>
      </c>
      <c r="R235" s="43">
        <v>0</v>
      </c>
      <c r="S235" s="43">
        <v>0</v>
      </c>
      <c r="T235" s="43">
        <v>0</v>
      </c>
      <c r="U235" s="43">
        <v>0</v>
      </c>
      <c r="V235" s="44">
        <v>0</v>
      </c>
      <c r="W235" s="24"/>
    </row>
    <row r="236" spans="1:23" ht="21.75">
      <c r="A236" s="36"/>
      <c r="B236" s="37"/>
      <c r="C236" s="45">
        <v>233</v>
      </c>
      <c r="D236" s="51" t="s">
        <v>623</v>
      </c>
      <c r="E236" s="52" t="s">
        <v>160</v>
      </c>
      <c r="F236" s="53">
        <v>-315063704027</v>
      </c>
      <c r="G236" s="53">
        <v>315063704027</v>
      </c>
      <c r="H236" s="43">
        <f t="shared" si="3"/>
        <v>0</v>
      </c>
      <c r="I236" s="43">
        <v>0</v>
      </c>
      <c r="J236" s="43">
        <v>0</v>
      </c>
      <c r="K236" s="43">
        <v>0</v>
      </c>
      <c r="L236" s="43">
        <v>0</v>
      </c>
      <c r="M236" s="43">
        <v>0</v>
      </c>
      <c r="N236" s="43">
        <v>0</v>
      </c>
      <c r="O236" s="43">
        <v>0</v>
      </c>
      <c r="P236" s="43">
        <v>0</v>
      </c>
      <c r="Q236" s="43">
        <v>0</v>
      </c>
      <c r="R236" s="43">
        <v>0</v>
      </c>
      <c r="S236" s="43">
        <v>0</v>
      </c>
      <c r="T236" s="43">
        <v>0</v>
      </c>
      <c r="U236" s="43">
        <v>0</v>
      </c>
      <c r="V236" s="44">
        <v>0</v>
      </c>
      <c r="W236" s="24"/>
    </row>
    <row r="237" spans="1:23" ht="21.75">
      <c r="A237" s="36">
        <v>1212</v>
      </c>
      <c r="B237" s="37">
        <v>12</v>
      </c>
      <c r="C237" s="45">
        <v>234</v>
      </c>
      <c r="D237" s="51"/>
      <c r="E237" s="54" t="s">
        <v>111</v>
      </c>
      <c r="F237" s="55">
        <v>-4657544186</v>
      </c>
      <c r="G237" s="53"/>
      <c r="H237" s="43">
        <f t="shared" si="3"/>
        <v>0</v>
      </c>
      <c r="I237" s="43">
        <v>0</v>
      </c>
      <c r="J237" s="43">
        <v>0</v>
      </c>
      <c r="K237" s="43">
        <v>0</v>
      </c>
      <c r="L237" s="43">
        <v>0</v>
      </c>
      <c r="M237" s="43">
        <v>0</v>
      </c>
      <c r="N237" s="43">
        <v>0</v>
      </c>
      <c r="O237" s="43">
        <v>0</v>
      </c>
      <c r="P237" s="43">
        <v>0</v>
      </c>
      <c r="Q237" s="43">
        <v>-4657544186</v>
      </c>
      <c r="R237" s="43">
        <v>0</v>
      </c>
      <c r="S237" s="43">
        <v>0</v>
      </c>
      <c r="T237" s="43">
        <v>0</v>
      </c>
      <c r="U237" s="43">
        <v>0</v>
      </c>
      <c r="V237" s="44">
        <v>0</v>
      </c>
      <c r="W237" s="24"/>
    </row>
    <row r="238" spans="1:23" ht="21.75">
      <c r="A238" s="36">
        <v>801</v>
      </c>
      <c r="B238" s="37">
        <v>8</v>
      </c>
      <c r="C238" s="45">
        <v>235</v>
      </c>
      <c r="D238" s="46" t="s">
        <v>245</v>
      </c>
      <c r="E238" s="52" t="s">
        <v>246</v>
      </c>
      <c r="F238" s="48">
        <v>24920366496</v>
      </c>
      <c r="G238" s="53"/>
      <c r="H238" s="43">
        <f t="shared" si="3"/>
        <v>0</v>
      </c>
      <c r="I238" s="43">
        <v>0</v>
      </c>
      <c r="J238" s="43">
        <v>0</v>
      </c>
      <c r="K238" s="43">
        <v>0</v>
      </c>
      <c r="L238" s="43">
        <v>24920366496</v>
      </c>
      <c r="M238" s="43">
        <v>0</v>
      </c>
      <c r="N238" s="43">
        <v>0</v>
      </c>
      <c r="O238" s="43">
        <v>0</v>
      </c>
      <c r="P238" s="43">
        <v>0</v>
      </c>
      <c r="Q238" s="43">
        <v>0</v>
      </c>
      <c r="R238" s="43">
        <v>0</v>
      </c>
      <c r="S238" s="43">
        <v>0</v>
      </c>
      <c r="T238" s="43">
        <v>0</v>
      </c>
      <c r="U238" s="43">
        <v>0</v>
      </c>
      <c r="V238" s="44">
        <v>0</v>
      </c>
      <c r="W238" s="24"/>
    </row>
    <row r="239" spans="1:23" ht="21.75">
      <c r="A239" s="36">
        <v>1202</v>
      </c>
      <c r="B239" s="37">
        <v>12</v>
      </c>
      <c r="C239" s="45">
        <v>236</v>
      </c>
      <c r="D239" s="46" t="s">
        <v>245</v>
      </c>
      <c r="E239" s="47" t="s">
        <v>246</v>
      </c>
      <c r="F239" s="53">
        <v>-24920366496</v>
      </c>
      <c r="G239" s="53"/>
      <c r="H239" s="43">
        <f t="shared" si="3"/>
        <v>0</v>
      </c>
      <c r="I239" s="43">
        <v>0</v>
      </c>
      <c r="J239" s="43">
        <v>0</v>
      </c>
      <c r="K239" s="43">
        <v>0</v>
      </c>
      <c r="L239" s="43">
        <v>0</v>
      </c>
      <c r="M239" s="43">
        <v>0</v>
      </c>
      <c r="N239" s="43">
        <v>0</v>
      </c>
      <c r="O239" s="43">
        <v>0</v>
      </c>
      <c r="P239" s="43">
        <v>0</v>
      </c>
      <c r="Q239" s="43">
        <v>-24920366496</v>
      </c>
      <c r="R239" s="43">
        <v>0</v>
      </c>
      <c r="S239" s="43">
        <v>0</v>
      </c>
      <c r="T239" s="43">
        <v>0</v>
      </c>
      <c r="U239" s="43">
        <v>0</v>
      </c>
      <c r="V239" s="44">
        <v>0</v>
      </c>
      <c r="W239" s="24"/>
    </row>
    <row r="240" spans="1:23" ht="21.75">
      <c r="A240" s="36">
        <v>907</v>
      </c>
      <c r="B240" s="37">
        <v>9</v>
      </c>
      <c r="C240" s="45">
        <v>237</v>
      </c>
      <c r="D240" s="51" t="s">
        <v>247</v>
      </c>
      <c r="E240" s="52" t="s">
        <v>248</v>
      </c>
      <c r="F240" s="48">
        <v>27510038435</v>
      </c>
      <c r="G240" s="48">
        <v>315063704028</v>
      </c>
      <c r="H240" s="43">
        <f t="shared" si="3"/>
        <v>0</v>
      </c>
      <c r="I240" s="43">
        <v>0</v>
      </c>
      <c r="J240" s="43">
        <v>0</v>
      </c>
      <c r="K240" s="43">
        <v>0</v>
      </c>
      <c r="L240" s="43">
        <v>0</v>
      </c>
      <c r="M240" s="43">
        <v>0</v>
      </c>
      <c r="N240" s="43">
        <v>27510038435</v>
      </c>
      <c r="O240" s="43">
        <v>0</v>
      </c>
      <c r="P240" s="43">
        <v>0</v>
      </c>
      <c r="Q240" s="43">
        <v>0</v>
      </c>
      <c r="R240" s="43">
        <v>0</v>
      </c>
      <c r="S240" s="43">
        <v>0</v>
      </c>
      <c r="T240" s="43">
        <v>0</v>
      </c>
      <c r="U240" s="43">
        <v>0</v>
      </c>
      <c r="V240" s="44">
        <v>0</v>
      </c>
      <c r="W240" s="24"/>
    </row>
    <row r="241" spans="1:23" ht="22.5" thickBot="1">
      <c r="A241" s="36">
        <v>805</v>
      </c>
      <c r="B241" s="37">
        <v>8</v>
      </c>
      <c r="C241" s="45">
        <v>238</v>
      </c>
      <c r="D241" s="46" t="s">
        <v>249</v>
      </c>
      <c r="E241" s="47" t="s">
        <v>248</v>
      </c>
      <c r="F241" s="53">
        <v>-27510038435</v>
      </c>
      <c r="G241" s="56">
        <v>315063704029</v>
      </c>
      <c r="H241" s="43">
        <f t="shared" si="3"/>
        <v>0</v>
      </c>
      <c r="I241" s="43">
        <v>0</v>
      </c>
      <c r="J241" s="43">
        <v>0</v>
      </c>
      <c r="K241" s="43">
        <v>0</v>
      </c>
      <c r="L241" s="43">
        <v>-27510038435</v>
      </c>
      <c r="M241" s="43">
        <v>0</v>
      </c>
      <c r="N241" s="43">
        <v>0</v>
      </c>
      <c r="O241" s="43">
        <v>0</v>
      </c>
      <c r="P241" s="43">
        <v>0</v>
      </c>
      <c r="Q241" s="43">
        <v>0</v>
      </c>
      <c r="R241" s="43">
        <v>0</v>
      </c>
      <c r="S241" s="43">
        <v>0</v>
      </c>
      <c r="T241" s="43">
        <v>0</v>
      </c>
      <c r="U241" s="43">
        <v>0</v>
      </c>
      <c r="V241" s="44">
        <v>0</v>
      </c>
      <c r="W241" s="57"/>
    </row>
    <row r="242" spans="1:23" ht="24.75" thickBot="1">
      <c r="A242" s="58"/>
      <c r="B242" s="59"/>
      <c r="C242" s="60"/>
      <c r="D242" s="61"/>
      <c r="E242" s="62"/>
      <c r="F242" s="63">
        <v>-39345351792.970215</v>
      </c>
      <c r="G242" s="63" t="e">
        <v>#REF!</v>
      </c>
      <c r="H242" s="63">
        <f>SUM(H4:H241)</f>
        <v>608634137166</v>
      </c>
      <c r="I242" s="63">
        <v>1291713264238</v>
      </c>
      <c r="J242" s="63">
        <v>164689124636</v>
      </c>
      <c r="K242" s="63">
        <v>1143257273988</v>
      </c>
      <c r="L242" s="63">
        <v>404720496108</v>
      </c>
      <c r="M242" s="63">
        <v>12651524857</v>
      </c>
      <c r="N242" s="63">
        <v>15170905602738</v>
      </c>
      <c r="O242" s="63">
        <v>5392785921</v>
      </c>
      <c r="P242" s="63">
        <v>1000000</v>
      </c>
      <c r="Q242" s="63">
        <v>-546894798101</v>
      </c>
      <c r="R242" s="63">
        <v>-6455483508418</v>
      </c>
      <c r="S242" s="63">
        <v>-3089410104170</v>
      </c>
      <c r="T242" s="63">
        <v>-9507722000000</v>
      </c>
      <c r="U242" s="63">
        <v>-8877539132</v>
      </c>
      <c r="V242" s="63">
        <v>767077388376.02979</v>
      </c>
      <c r="W242" s="64">
        <v>-39345351792.970215</v>
      </c>
    </row>
    <row r="243" spans="1:23" ht="21.75">
      <c r="A243" s="58"/>
      <c r="B243" s="59"/>
      <c r="C243" s="65"/>
      <c r="D243" s="61"/>
      <c r="E243" s="62"/>
      <c r="F243" s="66"/>
      <c r="G243" s="66"/>
      <c r="H243" s="65"/>
      <c r="I243" s="65"/>
      <c r="J243" s="67"/>
      <c r="K243" s="65"/>
      <c r="L243" s="67"/>
      <c r="M243" s="67"/>
      <c r="N243" s="67"/>
      <c r="O243" s="65"/>
      <c r="P243" s="65"/>
      <c r="Q243" s="67"/>
      <c r="R243" s="65"/>
      <c r="S243" s="65"/>
      <c r="T243" s="65"/>
      <c r="U243" s="65"/>
      <c r="V243" s="67"/>
      <c r="W243" s="68"/>
    </row>
  </sheetData>
  <autoFilter ref="A1:W242"/>
  <mergeCells count="6">
    <mergeCell ref="E1:E3"/>
    <mergeCell ref="F1:F3"/>
    <mergeCell ref="A1:A3"/>
    <mergeCell ref="B1:B3"/>
    <mergeCell ref="C1:C3"/>
    <mergeCell ref="D1:D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rightToLeft="1" topLeftCell="A4" workbookViewId="0">
      <selection activeCell="E19" sqref="E19:G19"/>
    </sheetView>
  </sheetViews>
  <sheetFormatPr defaultRowHeight="14.25"/>
  <cols>
    <col min="1" max="1" width="35.625" customWidth="1"/>
    <col min="2" max="2" width="8.375" customWidth="1"/>
    <col min="3" max="3" width="0.875" customWidth="1"/>
    <col min="4" max="4" width="7.5" customWidth="1"/>
    <col min="5" max="5" width="0.875" customWidth="1"/>
    <col min="6" max="6" width="7" customWidth="1"/>
    <col min="7" max="7" width="0.875" customWidth="1"/>
    <col min="8" max="8" width="7.5" customWidth="1"/>
    <col min="9" max="9" width="0.875" customWidth="1"/>
    <col min="10" max="10" width="7.625" customWidth="1"/>
    <col min="11" max="11" width="0.875" customWidth="1"/>
    <col min="12" max="12" width="8" customWidth="1"/>
    <col min="13" max="13" width="0.875" customWidth="1"/>
    <col min="14" max="14" width="8" customWidth="1"/>
    <col min="15" max="15" width="0.875" customWidth="1"/>
    <col min="16" max="16" width="8" customWidth="1"/>
    <col min="17" max="17" width="0.875" customWidth="1"/>
    <col min="18" max="18" width="7.875" customWidth="1"/>
    <col min="19" max="19" width="0.875" customWidth="1"/>
    <col min="20" max="20" width="7.875" customWidth="1"/>
    <col min="21" max="21" width="0.875" customWidth="1"/>
    <col min="22" max="22" width="7.625" customWidth="1"/>
  </cols>
  <sheetData>
    <row r="1" spans="1:22" ht="21">
      <c r="A1" s="3427" t="s">
        <v>1887</v>
      </c>
      <c r="B1" s="3427"/>
      <c r="C1" s="3427"/>
      <c r="D1" s="3427"/>
      <c r="E1" s="3427"/>
      <c r="F1" s="3427"/>
      <c r="G1" s="3427"/>
      <c r="H1" s="3427"/>
      <c r="I1" s="3427"/>
      <c r="J1" s="3427"/>
      <c r="K1" s="3427"/>
      <c r="L1" s="3427"/>
      <c r="M1" s="3427"/>
      <c r="N1" s="3427"/>
      <c r="O1" s="3427"/>
      <c r="P1" s="3427"/>
      <c r="Q1" s="3427"/>
      <c r="R1" s="3427"/>
      <c r="S1" s="3427"/>
      <c r="T1" s="3427"/>
      <c r="U1" s="3427"/>
      <c r="V1" s="3427"/>
    </row>
    <row r="2" spans="1:22" ht="21">
      <c r="A2" s="3427" t="s">
        <v>1888</v>
      </c>
      <c r="B2" s="3427"/>
      <c r="C2" s="3427"/>
      <c r="D2" s="3427"/>
      <c r="E2" s="3427"/>
      <c r="F2" s="3427"/>
      <c r="G2" s="3427"/>
      <c r="H2" s="3427"/>
      <c r="I2" s="3427"/>
      <c r="J2" s="3427"/>
      <c r="K2" s="3427"/>
      <c r="L2" s="3427"/>
      <c r="M2" s="3427"/>
      <c r="N2" s="3427"/>
      <c r="O2" s="3427"/>
      <c r="P2" s="3427"/>
      <c r="Q2" s="3427"/>
      <c r="R2" s="3427"/>
      <c r="S2" s="3427"/>
      <c r="T2" s="3427"/>
      <c r="U2" s="3427"/>
      <c r="V2" s="3427"/>
    </row>
    <row r="3" spans="1:22" ht="21">
      <c r="A3" s="3427" t="s">
        <v>1889</v>
      </c>
      <c r="B3" s="3427"/>
      <c r="C3" s="3427"/>
      <c r="D3" s="3427"/>
      <c r="E3" s="3427"/>
      <c r="F3" s="3427"/>
      <c r="G3" s="3427"/>
      <c r="H3" s="3427"/>
      <c r="I3" s="3427"/>
      <c r="J3" s="3427"/>
      <c r="K3" s="3427"/>
      <c r="L3" s="3427"/>
      <c r="M3" s="3427"/>
      <c r="N3" s="3427"/>
      <c r="O3" s="3427"/>
      <c r="P3" s="3427"/>
      <c r="Q3" s="3427"/>
      <c r="R3" s="3427"/>
      <c r="S3" s="3427"/>
      <c r="T3" s="3427"/>
      <c r="U3" s="3427"/>
      <c r="V3" s="3427"/>
    </row>
    <row r="4" spans="1:22" ht="72">
      <c r="A4" s="1446"/>
      <c r="B4" s="1451" t="s">
        <v>195</v>
      </c>
      <c r="C4" s="1452"/>
      <c r="D4" s="1453" t="s">
        <v>1901</v>
      </c>
      <c r="E4" s="1454"/>
      <c r="F4" s="1453" t="s">
        <v>1913</v>
      </c>
      <c r="G4" s="1454"/>
      <c r="H4" s="1453" t="s">
        <v>1914</v>
      </c>
      <c r="I4" s="1454"/>
      <c r="J4" s="1453" t="s">
        <v>640</v>
      </c>
      <c r="K4" s="1454"/>
      <c r="L4" s="1453" t="s">
        <v>1915</v>
      </c>
      <c r="M4" s="1454"/>
      <c r="N4" s="1453" t="s">
        <v>1916</v>
      </c>
      <c r="O4" s="1454"/>
      <c r="P4" s="1453" t="s">
        <v>1917</v>
      </c>
      <c r="Q4" s="1454"/>
      <c r="R4" s="1453" t="s">
        <v>1918</v>
      </c>
      <c r="S4" s="1454"/>
      <c r="T4" s="1453" t="s">
        <v>1919</v>
      </c>
      <c r="U4" s="1454"/>
      <c r="V4" s="1451" t="s">
        <v>1326</v>
      </c>
    </row>
    <row r="5" spans="1:22" ht="18.75">
      <c r="A5" s="1446"/>
      <c r="B5" s="1448" t="s">
        <v>675</v>
      </c>
      <c r="C5" s="1448"/>
      <c r="D5" s="1448" t="s">
        <v>675</v>
      </c>
      <c r="E5" s="1448"/>
      <c r="F5" s="1448" t="s">
        <v>675</v>
      </c>
      <c r="G5" s="1448"/>
      <c r="H5" s="1448" t="s">
        <v>675</v>
      </c>
      <c r="I5" s="1448"/>
      <c r="J5" s="1448" t="s">
        <v>675</v>
      </c>
      <c r="K5" s="1448"/>
      <c r="L5" s="1448" t="s">
        <v>675</v>
      </c>
      <c r="M5" s="1448"/>
      <c r="N5" s="1448" t="s">
        <v>675</v>
      </c>
      <c r="O5" s="1448"/>
      <c r="P5" s="1448" t="s">
        <v>675</v>
      </c>
      <c r="Q5" s="1448"/>
      <c r="R5" s="1448" t="s">
        <v>675</v>
      </c>
      <c r="S5" s="1448"/>
      <c r="T5" s="1448" t="s">
        <v>675</v>
      </c>
      <c r="U5" s="1448"/>
      <c r="V5" s="1448" t="s">
        <v>675</v>
      </c>
    </row>
    <row r="6" spans="1:22" ht="21">
      <c r="A6" s="1455" t="s">
        <v>1890</v>
      </c>
      <c r="B6" s="1447"/>
      <c r="C6" s="1447"/>
      <c r="D6" s="1447"/>
      <c r="E6" s="1447"/>
      <c r="F6" s="1447"/>
      <c r="G6" s="1447"/>
      <c r="H6" s="1447"/>
      <c r="I6" s="1447"/>
      <c r="J6" s="1447"/>
      <c r="K6" s="1447"/>
      <c r="L6" s="1447"/>
      <c r="M6" s="1447"/>
      <c r="N6" s="1447"/>
      <c r="O6" s="1447"/>
      <c r="P6" s="1447"/>
      <c r="Q6" s="1447"/>
      <c r="R6" s="1447"/>
      <c r="S6" s="1447"/>
      <c r="T6" s="1447"/>
      <c r="U6" s="1447"/>
      <c r="V6" s="1447"/>
    </row>
    <row r="7" spans="1:22" ht="18.75">
      <c r="A7" s="1446" t="s">
        <v>1891</v>
      </c>
      <c r="B7" s="1447"/>
      <c r="C7" s="1447"/>
      <c r="D7" s="1447"/>
      <c r="E7" s="1447"/>
      <c r="F7" s="1447"/>
      <c r="G7" s="1447"/>
      <c r="H7" s="1447"/>
      <c r="I7" s="1447"/>
      <c r="J7" s="1447"/>
      <c r="K7" s="1447"/>
      <c r="L7" s="1447"/>
      <c r="M7" s="1447"/>
      <c r="N7" s="1447"/>
      <c r="O7" s="1447"/>
      <c r="P7" s="1447"/>
      <c r="Q7" s="1447"/>
      <c r="R7" s="1447"/>
      <c r="S7" s="1447"/>
      <c r="T7" s="1447"/>
      <c r="U7" s="1447"/>
      <c r="V7" s="1447"/>
    </row>
    <row r="8" spans="1:22" ht="18.75">
      <c r="A8" s="1446" t="s">
        <v>1892</v>
      </c>
      <c r="B8" s="1447"/>
      <c r="C8" s="1447"/>
      <c r="D8" s="1447"/>
      <c r="E8" s="1447"/>
      <c r="F8" s="1447"/>
      <c r="G8" s="1447"/>
      <c r="H8" s="1447"/>
      <c r="I8" s="1447"/>
      <c r="J8" s="1447"/>
      <c r="K8" s="1447"/>
      <c r="L8" s="1447"/>
      <c r="M8" s="1447"/>
      <c r="N8" s="1447"/>
      <c r="O8" s="1447"/>
      <c r="P8" s="1447"/>
      <c r="Q8" s="1447"/>
      <c r="R8" s="1447"/>
      <c r="S8" s="1447"/>
      <c r="T8" s="1447"/>
      <c r="U8" s="1447"/>
      <c r="V8" s="1447"/>
    </row>
    <row r="9" spans="1:22" ht="21">
      <c r="A9" s="1455" t="s">
        <v>1893</v>
      </c>
      <c r="B9" s="1456"/>
      <c r="C9" s="1447"/>
      <c r="D9" s="1456"/>
      <c r="E9" s="1447"/>
      <c r="F9" s="1456"/>
      <c r="G9" s="1447"/>
      <c r="H9" s="1456"/>
      <c r="I9" s="1447"/>
      <c r="J9" s="1456"/>
      <c r="K9" s="1447"/>
      <c r="L9" s="1456"/>
      <c r="M9" s="1447"/>
      <c r="N9" s="1456"/>
      <c r="O9" s="1447"/>
      <c r="P9" s="1456"/>
      <c r="Q9" s="1447"/>
      <c r="R9" s="1456"/>
      <c r="S9" s="1447"/>
      <c r="T9" s="1456"/>
      <c r="U9" s="1447"/>
      <c r="V9" s="1456"/>
    </row>
    <row r="10" spans="1:22" ht="21">
      <c r="A10" s="1455" t="s">
        <v>1894</v>
      </c>
      <c r="B10" s="1447"/>
      <c r="C10" s="1447"/>
      <c r="D10" s="1447"/>
      <c r="E10" s="1447"/>
      <c r="F10" s="1447"/>
      <c r="G10" s="1447"/>
      <c r="H10" s="1447"/>
      <c r="I10" s="1447"/>
      <c r="J10" s="1447"/>
      <c r="K10" s="1447"/>
      <c r="L10" s="1447"/>
      <c r="M10" s="1447"/>
      <c r="N10" s="1447"/>
      <c r="O10" s="1447"/>
      <c r="P10" s="1447"/>
      <c r="Q10" s="1447"/>
      <c r="R10" s="1447"/>
      <c r="S10" s="1447"/>
      <c r="T10" s="1447"/>
      <c r="U10" s="1447"/>
      <c r="V10" s="1447"/>
    </row>
    <row r="11" spans="1:22" ht="18.75">
      <c r="A11" s="1446" t="s">
        <v>1895</v>
      </c>
      <c r="B11" s="1447"/>
      <c r="C11" s="1447"/>
      <c r="D11" s="1447"/>
      <c r="E11" s="1447"/>
      <c r="F11" s="1447"/>
      <c r="G11" s="1447"/>
      <c r="H11" s="1447"/>
      <c r="I11" s="1447"/>
      <c r="J11" s="1447"/>
      <c r="K11" s="1447"/>
      <c r="L11" s="1447"/>
      <c r="M11" s="1447"/>
      <c r="N11" s="1447"/>
      <c r="O11" s="1447"/>
      <c r="P11" s="1447"/>
      <c r="Q11" s="1447"/>
      <c r="R11" s="1447"/>
      <c r="S11" s="1447"/>
      <c r="T11" s="1447"/>
      <c r="U11" s="1447"/>
      <c r="V11" s="1447"/>
    </row>
    <row r="12" spans="1:22" ht="18.75">
      <c r="A12" s="1446" t="s">
        <v>1891</v>
      </c>
      <c r="B12" s="1447"/>
      <c r="C12" s="1447"/>
      <c r="D12" s="1447"/>
      <c r="E12" s="1447"/>
      <c r="F12" s="1447"/>
      <c r="G12" s="1447"/>
      <c r="H12" s="1447"/>
      <c r="I12" s="1447"/>
      <c r="J12" s="1447"/>
      <c r="K12" s="1447"/>
      <c r="L12" s="1447"/>
      <c r="M12" s="1447"/>
      <c r="N12" s="1447"/>
      <c r="O12" s="1447"/>
      <c r="P12" s="1447"/>
      <c r="Q12" s="1447"/>
      <c r="R12" s="1447"/>
      <c r="S12" s="1447"/>
      <c r="T12" s="1447"/>
      <c r="U12" s="1447"/>
      <c r="V12" s="1447"/>
    </row>
    <row r="13" spans="1:22" ht="18.75">
      <c r="A13" s="1446" t="s">
        <v>1892</v>
      </c>
      <c r="B13" s="1449"/>
      <c r="C13" s="1447"/>
      <c r="D13" s="1449"/>
      <c r="E13" s="1447"/>
      <c r="F13" s="1449"/>
      <c r="G13" s="1447"/>
      <c r="H13" s="1449"/>
      <c r="I13" s="1447"/>
      <c r="J13" s="1449"/>
      <c r="K13" s="1447"/>
      <c r="L13" s="1449"/>
      <c r="M13" s="1447"/>
      <c r="N13" s="1449"/>
      <c r="O13" s="1447"/>
      <c r="P13" s="1449"/>
      <c r="Q13" s="1447"/>
      <c r="R13" s="1449"/>
      <c r="S13" s="1447"/>
      <c r="T13" s="1449"/>
      <c r="U13" s="1447"/>
      <c r="V13" s="1449"/>
    </row>
    <row r="14" spans="1:22" ht="18.75">
      <c r="A14" s="1446" t="s">
        <v>1896</v>
      </c>
      <c r="B14" s="1447"/>
      <c r="C14" s="1447"/>
      <c r="D14" s="1447"/>
      <c r="E14" s="1447"/>
      <c r="F14" s="1447"/>
      <c r="G14" s="1447"/>
      <c r="H14" s="1447"/>
      <c r="I14" s="1447"/>
      <c r="J14" s="1447"/>
      <c r="K14" s="1447"/>
      <c r="L14" s="1447"/>
      <c r="M14" s="1447"/>
      <c r="N14" s="1447"/>
      <c r="O14" s="1447"/>
      <c r="P14" s="1447"/>
      <c r="Q14" s="1447"/>
      <c r="R14" s="1447"/>
      <c r="S14" s="1447"/>
      <c r="T14" s="1447"/>
      <c r="U14" s="1447"/>
      <c r="V14" s="1447"/>
    </row>
    <row r="15" spans="1:22" ht="18.75">
      <c r="A15" s="1446" t="s">
        <v>1897</v>
      </c>
      <c r="B15" s="1447"/>
      <c r="C15" s="1447"/>
      <c r="D15" s="1447"/>
      <c r="E15" s="1447"/>
      <c r="F15" s="1447"/>
      <c r="G15" s="1447"/>
      <c r="H15" s="1447"/>
      <c r="I15" s="1447"/>
      <c r="J15" s="1447"/>
      <c r="K15" s="1447"/>
      <c r="L15" s="1447"/>
      <c r="M15" s="1447"/>
      <c r="N15" s="1447"/>
      <c r="O15" s="1447"/>
      <c r="P15" s="1447"/>
      <c r="Q15" s="1447"/>
      <c r="R15" s="1447"/>
      <c r="S15" s="1447"/>
      <c r="T15" s="1447"/>
      <c r="U15" s="1447"/>
      <c r="V15" s="1447"/>
    </row>
    <row r="16" spans="1:22" ht="18.75">
      <c r="A16" s="1446" t="s">
        <v>1898</v>
      </c>
      <c r="B16" s="1456"/>
      <c r="C16" s="1447"/>
      <c r="D16" s="1456"/>
      <c r="E16" s="1447"/>
      <c r="F16" s="1456"/>
      <c r="G16" s="1447"/>
      <c r="H16" s="1456"/>
      <c r="I16" s="1447"/>
      <c r="J16" s="1456"/>
      <c r="K16" s="1447"/>
      <c r="L16" s="1456"/>
      <c r="M16" s="1447"/>
      <c r="N16" s="1456"/>
      <c r="O16" s="1447"/>
      <c r="P16" s="1456"/>
      <c r="Q16" s="1447"/>
      <c r="R16" s="1456"/>
      <c r="S16" s="1447"/>
      <c r="T16" s="1456"/>
      <c r="U16" s="1447"/>
      <c r="V16" s="1456"/>
    </row>
    <row r="17" spans="1:22" ht="18.75">
      <c r="A17" s="1446" t="s">
        <v>1899</v>
      </c>
      <c r="B17" s="1447"/>
      <c r="C17" s="1447"/>
      <c r="D17" s="1447"/>
      <c r="E17" s="1447"/>
      <c r="F17" s="1447"/>
      <c r="G17" s="1447"/>
      <c r="H17" s="1447"/>
      <c r="I17" s="1447"/>
      <c r="J17" s="1447"/>
      <c r="K17" s="1447"/>
      <c r="L17" s="1447"/>
      <c r="M17" s="1447"/>
      <c r="N17" s="1447"/>
      <c r="O17" s="1447"/>
      <c r="P17" s="1447"/>
      <c r="Q17" s="1447"/>
      <c r="R17" s="1447"/>
      <c r="S17" s="1447"/>
      <c r="T17" s="1447"/>
      <c r="U17" s="1447"/>
      <c r="V17" s="1447"/>
    </row>
    <row r="18" spans="1:22" ht="18.75">
      <c r="A18" s="1446" t="s">
        <v>1900</v>
      </c>
      <c r="B18" s="1447"/>
      <c r="C18" s="1447"/>
      <c r="D18" s="1447"/>
      <c r="E18" s="1447"/>
      <c r="F18" s="1447"/>
      <c r="G18" s="1447"/>
      <c r="H18" s="1447"/>
      <c r="I18" s="1447"/>
      <c r="J18" s="1447"/>
      <c r="K18" s="1447"/>
      <c r="L18" s="1447"/>
      <c r="M18" s="1447"/>
      <c r="N18" s="1447"/>
      <c r="O18" s="1447"/>
      <c r="P18" s="1447"/>
      <c r="Q18" s="1447"/>
      <c r="R18" s="1447"/>
      <c r="S18" s="1447"/>
      <c r="T18" s="1447"/>
      <c r="U18" s="1447"/>
      <c r="V18" s="1447"/>
    </row>
    <row r="19" spans="1:22" ht="18.75">
      <c r="A19" s="1446" t="s">
        <v>1901</v>
      </c>
      <c r="B19" s="1447"/>
      <c r="C19" s="1447"/>
      <c r="D19" s="1447"/>
      <c r="E19" s="1447"/>
      <c r="F19" s="1447"/>
      <c r="G19" s="1447"/>
      <c r="H19" s="1447"/>
      <c r="I19" s="1447"/>
      <c r="J19" s="1447"/>
      <c r="K19" s="1447"/>
      <c r="L19" s="1447"/>
      <c r="M19" s="1447"/>
      <c r="N19" s="1447"/>
      <c r="O19" s="1447"/>
      <c r="P19" s="1447"/>
      <c r="Q19" s="1447"/>
      <c r="R19" s="1447"/>
      <c r="S19" s="1447"/>
      <c r="T19" s="1447"/>
      <c r="U19" s="1447"/>
      <c r="V19" s="1447"/>
    </row>
    <row r="20" spans="1:22" ht="18.75">
      <c r="A20" s="1446" t="s">
        <v>1902</v>
      </c>
      <c r="B20" s="1447"/>
      <c r="C20" s="1447"/>
      <c r="D20" s="1447"/>
      <c r="E20" s="1447"/>
      <c r="F20" s="1447"/>
      <c r="G20" s="1447"/>
      <c r="H20" s="1447"/>
      <c r="I20" s="1447"/>
      <c r="J20" s="1447"/>
      <c r="K20" s="1447"/>
      <c r="L20" s="1447"/>
      <c r="M20" s="1447"/>
      <c r="N20" s="1447"/>
      <c r="O20" s="1447"/>
      <c r="P20" s="1447"/>
      <c r="Q20" s="1447"/>
      <c r="R20" s="1447"/>
      <c r="S20" s="1447"/>
      <c r="T20" s="1447"/>
      <c r="U20" s="1447"/>
      <c r="V20" s="1447"/>
    </row>
    <row r="21" spans="1:22" ht="18.75">
      <c r="A21" s="1446" t="s">
        <v>1903</v>
      </c>
      <c r="B21" s="1447"/>
      <c r="C21" s="1447"/>
      <c r="D21" s="1447"/>
      <c r="E21" s="1447"/>
      <c r="F21" s="1447"/>
      <c r="G21" s="1447"/>
      <c r="H21" s="1447"/>
      <c r="I21" s="1447"/>
      <c r="J21" s="1447"/>
      <c r="K21" s="1447"/>
      <c r="L21" s="1447"/>
      <c r="M21" s="1447"/>
      <c r="N21" s="1447"/>
      <c r="O21" s="1447"/>
      <c r="P21" s="1447"/>
      <c r="Q21" s="1447"/>
      <c r="R21" s="1447"/>
      <c r="S21" s="1447"/>
      <c r="T21" s="1447"/>
      <c r="U21" s="1447"/>
      <c r="V21" s="1447"/>
    </row>
    <row r="22" spans="1:22" ht="18.75">
      <c r="A22" s="1446" t="s">
        <v>1904</v>
      </c>
      <c r="B22" s="1447"/>
      <c r="C22" s="1447"/>
      <c r="D22" s="1447"/>
      <c r="E22" s="1447"/>
      <c r="F22" s="1447"/>
      <c r="G22" s="1447"/>
      <c r="H22" s="1447"/>
      <c r="I22" s="1447"/>
      <c r="J22" s="1447"/>
      <c r="K22" s="1447"/>
      <c r="L22" s="1447"/>
      <c r="M22" s="1447"/>
      <c r="N22" s="1447"/>
      <c r="O22" s="1447"/>
      <c r="P22" s="1447"/>
      <c r="Q22" s="1447"/>
      <c r="R22" s="1447"/>
      <c r="S22" s="1447"/>
      <c r="T22" s="1447"/>
      <c r="U22" s="1447"/>
      <c r="V22" s="1447"/>
    </row>
    <row r="23" spans="1:22" ht="18.75">
      <c r="A23" s="1446" t="s">
        <v>1905</v>
      </c>
      <c r="B23" s="1447"/>
      <c r="C23" s="1447"/>
      <c r="D23" s="1447"/>
      <c r="E23" s="1447"/>
      <c r="F23" s="1447"/>
      <c r="G23" s="1447"/>
      <c r="H23" s="1447"/>
      <c r="I23" s="1447"/>
      <c r="J23" s="1447"/>
      <c r="K23" s="1447"/>
      <c r="L23" s="1447"/>
      <c r="M23" s="1447"/>
      <c r="N23" s="1447"/>
      <c r="O23" s="1447"/>
      <c r="P23" s="1447"/>
      <c r="Q23" s="1447"/>
      <c r="R23" s="1447"/>
      <c r="S23" s="1447"/>
      <c r="T23" s="1447"/>
      <c r="U23" s="1447"/>
      <c r="V23" s="1447"/>
    </row>
    <row r="24" spans="1:22" ht="18.75">
      <c r="A24" s="1446" t="s">
        <v>1906</v>
      </c>
      <c r="B24" s="1447"/>
      <c r="C24" s="1447"/>
      <c r="D24" s="1447"/>
      <c r="E24" s="1447"/>
      <c r="F24" s="1447"/>
      <c r="G24" s="1447"/>
      <c r="H24" s="1447"/>
      <c r="I24" s="1447"/>
      <c r="J24" s="1447"/>
      <c r="K24" s="1447"/>
      <c r="L24" s="1447"/>
      <c r="M24" s="1447"/>
      <c r="N24" s="1447"/>
      <c r="O24" s="1447"/>
      <c r="P24" s="1447"/>
      <c r="Q24" s="1447"/>
      <c r="R24" s="1447"/>
      <c r="S24" s="1447"/>
      <c r="T24" s="1447"/>
      <c r="U24" s="1447"/>
      <c r="V24" s="1447"/>
    </row>
    <row r="25" spans="1:22" ht="18.75">
      <c r="A25" s="1446" t="s">
        <v>1907</v>
      </c>
      <c r="B25" s="1447"/>
      <c r="C25" s="1447"/>
      <c r="D25" s="1447"/>
      <c r="E25" s="1447"/>
      <c r="F25" s="1447"/>
      <c r="G25" s="1447"/>
      <c r="H25" s="1447"/>
      <c r="I25" s="1447"/>
      <c r="J25" s="1447"/>
      <c r="K25" s="1447"/>
      <c r="L25" s="1447"/>
      <c r="M25" s="1447"/>
      <c r="N25" s="1447"/>
      <c r="O25" s="1447"/>
      <c r="P25" s="1447"/>
      <c r="Q25" s="1447"/>
      <c r="R25" s="1447"/>
      <c r="S25" s="1447"/>
      <c r="T25" s="1447"/>
      <c r="U25" s="1447"/>
      <c r="V25" s="1447"/>
    </row>
    <row r="26" spans="1:22" ht="21">
      <c r="A26" s="1455" t="s">
        <v>1908</v>
      </c>
      <c r="B26" s="1456"/>
      <c r="C26" s="1447"/>
      <c r="D26" s="1456"/>
      <c r="E26" s="1447"/>
      <c r="F26" s="1456"/>
      <c r="G26" s="1447"/>
      <c r="H26" s="1456"/>
      <c r="I26" s="1447"/>
      <c r="J26" s="1456"/>
      <c r="K26" s="1447"/>
      <c r="L26" s="1456"/>
      <c r="M26" s="1447"/>
      <c r="N26" s="1456"/>
      <c r="O26" s="1447"/>
      <c r="P26" s="1456"/>
      <c r="Q26" s="1447"/>
      <c r="R26" s="1456"/>
      <c r="S26" s="1447"/>
      <c r="T26" s="1456"/>
      <c r="U26" s="1447"/>
      <c r="V26" s="1456"/>
    </row>
    <row r="27" spans="1:22" ht="21">
      <c r="A27" s="1455" t="s">
        <v>1909</v>
      </c>
      <c r="B27" s="1447"/>
      <c r="C27" s="1447"/>
      <c r="D27" s="1447"/>
      <c r="E27" s="1447"/>
      <c r="F27" s="1447"/>
      <c r="G27" s="1447"/>
      <c r="H27" s="1447"/>
      <c r="I27" s="1447"/>
      <c r="J27" s="1447"/>
      <c r="K27" s="1447"/>
      <c r="L27" s="1447"/>
      <c r="M27" s="1447"/>
      <c r="N27" s="1447"/>
      <c r="O27" s="1447"/>
      <c r="P27" s="1447"/>
      <c r="Q27" s="1447"/>
      <c r="R27" s="1447"/>
      <c r="S27" s="1447"/>
      <c r="T27" s="1447"/>
      <c r="U27" s="1447"/>
      <c r="V27" s="1447"/>
    </row>
    <row r="28" spans="1:22" ht="18.75">
      <c r="A28" s="1446" t="s">
        <v>1910</v>
      </c>
      <c r="B28" s="1447"/>
      <c r="C28" s="1447"/>
      <c r="D28" s="1447"/>
      <c r="E28" s="1447"/>
      <c r="F28" s="1447"/>
      <c r="G28" s="1447"/>
      <c r="H28" s="1447"/>
      <c r="I28" s="1447"/>
      <c r="J28" s="1447"/>
      <c r="K28" s="1447"/>
      <c r="L28" s="1447"/>
      <c r="M28" s="1447"/>
      <c r="N28" s="1447"/>
      <c r="O28" s="1447"/>
      <c r="P28" s="1447"/>
      <c r="Q28" s="1447"/>
      <c r="R28" s="1447"/>
      <c r="S28" s="1447"/>
      <c r="T28" s="1447"/>
      <c r="U28" s="1447"/>
      <c r="V28" s="1447"/>
    </row>
    <row r="29" spans="1:22" ht="18.75">
      <c r="A29" s="1446" t="s">
        <v>1897</v>
      </c>
      <c r="B29" s="1447"/>
      <c r="C29" s="1447"/>
      <c r="D29" s="1447"/>
      <c r="E29" s="1447"/>
      <c r="F29" s="1447"/>
      <c r="G29" s="1447"/>
      <c r="H29" s="1447"/>
      <c r="I29" s="1447"/>
      <c r="J29" s="1447"/>
      <c r="K29" s="1447"/>
      <c r="L29" s="1447"/>
      <c r="M29" s="1447"/>
      <c r="N29" s="1447"/>
      <c r="O29" s="1447"/>
      <c r="P29" s="1447"/>
      <c r="Q29" s="1447"/>
      <c r="R29" s="1447"/>
      <c r="S29" s="1447"/>
      <c r="T29" s="1447"/>
      <c r="U29" s="1447"/>
      <c r="V29" s="1447"/>
    </row>
    <row r="30" spans="1:22" ht="18.75">
      <c r="A30" s="1446" t="s">
        <v>1911</v>
      </c>
      <c r="B30" s="1456"/>
      <c r="C30" s="1447"/>
      <c r="D30" s="1456"/>
      <c r="E30" s="1447"/>
      <c r="F30" s="1456"/>
      <c r="G30" s="1447"/>
      <c r="H30" s="1456"/>
      <c r="I30" s="1447"/>
      <c r="J30" s="1456"/>
      <c r="K30" s="1447"/>
      <c r="L30" s="1456"/>
      <c r="M30" s="1447"/>
      <c r="N30" s="1456"/>
      <c r="O30" s="1447"/>
      <c r="P30" s="1456"/>
      <c r="Q30" s="1447"/>
      <c r="R30" s="1456"/>
      <c r="S30" s="1447"/>
      <c r="T30" s="1456"/>
      <c r="U30" s="1447"/>
      <c r="V30" s="1456"/>
    </row>
    <row r="31" spans="1:22" ht="18.75">
      <c r="A31" s="1446" t="s">
        <v>1899</v>
      </c>
      <c r="B31" s="1447"/>
      <c r="C31" s="1447"/>
      <c r="D31" s="1447"/>
      <c r="E31" s="1447"/>
      <c r="F31" s="1447"/>
      <c r="G31" s="1447"/>
      <c r="H31" s="1447"/>
      <c r="I31" s="1447"/>
      <c r="J31" s="1447"/>
      <c r="K31" s="1447"/>
      <c r="L31" s="1447"/>
      <c r="M31" s="1447"/>
      <c r="N31" s="1447"/>
      <c r="O31" s="1447"/>
      <c r="P31" s="1447"/>
      <c r="Q31" s="1447"/>
      <c r="R31" s="1447"/>
      <c r="S31" s="1447"/>
      <c r="T31" s="1447"/>
      <c r="U31" s="1447"/>
      <c r="V31" s="1447"/>
    </row>
    <row r="32" spans="1:22" ht="18.75">
      <c r="A32" s="1446" t="s">
        <v>1900</v>
      </c>
      <c r="B32" s="1447"/>
      <c r="C32" s="1447"/>
      <c r="D32" s="1447"/>
      <c r="E32" s="1447"/>
      <c r="F32" s="1447"/>
      <c r="G32" s="1447"/>
      <c r="H32" s="1447"/>
      <c r="I32" s="1447"/>
      <c r="J32" s="1447"/>
      <c r="K32" s="1447"/>
      <c r="L32" s="1447"/>
      <c r="M32" s="1447"/>
      <c r="N32" s="1447"/>
      <c r="O32" s="1447"/>
      <c r="P32" s="1447"/>
      <c r="Q32" s="1447"/>
      <c r="R32" s="1447"/>
      <c r="S32" s="1447"/>
      <c r="T32" s="1447"/>
      <c r="U32" s="1447"/>
      <c r="V32" s="1447"/>
    </row>
    <row r="33" spans="1:22" ht="18.75">
      <c r="A33" s="1446" t="s">
        <v>1901</v>
      </c>
      <c r="B33" s="1447"/>
      <c r="C33" s="1447"/>
      <c r="D33" s="1447"/>
      <c r="E33" s="1447"/>
      <c r="F33" s="1447"/>
      <c r="G33" s="1447"/>
      <c r="H33" s="1447"/>
      <c r="I33" s="1447"/>
      <c r="J33" s="1447"/>
      <c r="K33" s="1447"/>
      <c r="L33" s="1447"/>
      <c r="M33" s="1447"/>
      <c r="N33" s="1447"/>
      <c r="O33" s="1447"/>
      <c r="P33" s="1447"/>
      <c r="Q33" s="1447"/>
      <c r="R33" s="1447"/>
      <c r="S33" s="1447"/>
      <c r="T33" s="1447"/>
      <c r="U33" s="1447"/>
      <c r="V33" s="1447"/>
    </row>
    <row r="34" spans="1:22" ht="18.75">
      <c r="A34" s="1446" t="s">
        <v>1902</v>
      </c>
      <c r="B34" s="1447"/>
      <c r="C34" s="1447"/>
      <c r="D34" s="1447"/>
      <c r="E34" s="1447"/>
      <c r="F34" s="1447"/>
      <c r="G34" s="1447"/>
      <c r="H34" s="1447"/>
      <c r="I34" s="1447"/>
      <c r="J34" s="1447"/>
      <c r="K34" s="1447"/>
      <c r="L34" s="1447"/>
      <c r="M34" s="1447"/>
      <c r="N34" s="1447"/>
      <c r="O34" s="1447"/>
      <c r="P34" s="1447"/>
      <c r="Q34" s="1447"/>
      <c r="R34" s="1447"/>
      <c r="S34" s="1447"/>
      <c r="T34" s="1447"/>
      <c r="U34" s="1447"/>
      <c r="V34" s="1447"/>
    </row>
    <row r="35" spans="1:22" ht="18.75">
      <c r="A35" s="1446" t="s">
        <v>1903</v>
      </c>
      <c r="B35" s="1447"/>
      <c r="C35" s="1447"/>
      <c r="D35" s="1447"/>
      <c r="E35" s="1447"/>
      <c r="F35" s="1447"/>
      <c r="G35" s="1447"/>
      <c r="H35" s="1447"/>
      <c r="I35" s="1447"/>
      <c r="J35" s="1447"/>
      <c r="K35" s="1447"/>
      <c r="L35" s="1447"/>
      <c r="M35" s="1447"/>
      <c r="N35" s="1447"/>
      <c r="O35" s="1447"/>
      <c r="P35" s="1447"/>
      <c r="Q35" s="1447"/>
      <c r="R35" s="1447"/>
      <c r="S35" s="1447"/>
      <c r="T35" s="1447"/>
      <c r="U35" s="1447"/>
      <c r="V35" s="1447"/>
    </row>
    <row r="36" spans="1:22" ht="18.75">
      <c r="A36" s="1446" t="s">
        <v>1904</v>
      </c>
      <c r="B36" s="1447"/>
      <c r="C36" s="1447"/>
      <c r="D36" s="1447"/>
      <c r="E36" s="1447"/>
      <c r="F36" s="1447"/>
      <c r="G36" s="1447"/>
      <c r="H36" s="1447"/>
      <c r="I36" s="1447"/>
      <c r="J36" s="1447"/>
      <c r="K36" s="1447"/>
      <c r="L36" s="1447"/>
      <c r="M36" s="1447"/>
      <c r="N36" s="1447"/>
      <c r="O36" s="1447"/>
      <c r="P36" s="1447"/>
      <c r="Q36" s="1447"/>
      <c r="R36" s="1447"/>
      <c r="S36" s="1447"/>
      <c r="T36" s="1447"/>
      <c r="U36" s="1447"/>
      <c r="V36" s="1447"/>
    </row>
    <row r="37" spans="1:22" ht="18.75">
      <c r="A37" s="1446" t="s">
        <v>1905</v>
      </c>
      <c r="B37" s="1447"/>
      <c r="C37" s="1447"/>
      <c r="D37" s="1447"/>
      <c r="E37" s="1447"/>
      <c r="F37" s="1447"/>
      <c r="G37" s="1447"/>
      <c r="H37" s="1447"/>
      <c r="I37" s="1447"/>
      <c r="J37" s="1447"/>
      <c r="K37" s="1447"/>
      <c r="L37" s="1447"/>
      <c r="M37" s="1447"/>
      <c r="N37" s="1447"/>
      <c r="O37" s="1447"/>
      <c r="P37" s="1447"/>
      <c r="Q37" s="1447"/>
      <c r="R37" s="1447"/>
      <c r="S37" s="1447"/>
      <c r="T37" s="1447"/>
      <c r="U37" s="1447"/>
      <c r="V37" s="1447"/>
    </row>
    <row r="38" spans="1:22" ht="18.75">
      <c r="A38" s="1446" t="s">
        <v>1906</v>
      </c>
      <c r="B38" s="1447"/>
      <c r="C38" s="1447"/>
      <c r="D38" s="1447"/>
      <c r="E38" s="1447"/>
      <c r="F38" s="1447"/>
      <c r="G38" s="1447"/>
      <c r="H38" s="1447"/>
      <c r="I38" s="1447"/>
      <c r="J38" s="1447"/>
      <c r="K38" s="1447"/>
      <c r="L38" s="1447"/>
      <c r="M38" s="1447"/>
      <c r="N38" s="1447"/>
      <c r="O38" s="1447"/>
      <c r="P38" s="1447"/>
      <c r="Q38" s="1447"/>
      <c r="R38" s="1447"/>
      <c r="S38" s="1447"/>
      <c r="T38" s="1447"/>
      <c r="U38" s="1447"/>
      <c r="V38" s="1447"/>
    </row>
    <row r="39" spans="1:22" ht="18.75">
      <c r="A39" s="1446" t="s">
        <v>1907</v>
      </c>
      <c r="B39" s="1447"/>
      <c r="C39" s="1447"/>
      <c r="D39" s="1447"/>
      <c r="E39" s="1447"/>
      <c r="F39" s="1447"/>
      <c r="G39" s="1447"/>
      <c r="H39" s="1447"/>
      <c r="I39" s="1447"/>
      <c r="J39" s="1447"/>
      <c r="K39" s="1447"/>
      <c r="L39" s="1447"/>
      <c r="M39" s="1447"/>
      <c r="N39" s="1447"/>
      <c r="O39" s="1447"/>
      <c r="P39" s="1447"/>
      <c r="Q39" s="1447"/>
      <c r="R39" s="1447"/>
      <c r="S39" s="1447"/>
      <c r="T39" s="1447"/>
      <c r="U39" s="1447"/>
      <c r="V39" s="1447"/>
    </row>
    <row r="40" spans="1:22" ht="21.75" thickBot="1">
      <c r="A40" s="1455" t="s">
        <v>1912</v>
      </c>
      <c r="B40" s="1457"/>
      <c r="C40" s="1450"/>
      <c r="D40" s="1457"/>
      <c r="E40" s="1447"/>
      <c r="F40" s="1457"/>
      <c r="G40" s="1447"/>
      <c r="H40" s="1457"/>
      <c r="I40" s="1447"/>
      <c r="J40" s="1457"/>
      <c r="K40" s="1447"/>
      <c r="L40" s="1457"/>
      <c r="M40" s="1447"/>
      <c r="N40" s="1457"/>
      <c r="O40" s="1447"/>
      <c r="P40" s="1457"/>
      <c r="Q40" s="1447"/>
      <c r="R40" s="1457"/>
      <c r="S40" s="1447"/>
      <c r="T40" s="1457"/>
      <c r="U40" s="1447"/>
      <c r="V40" s="1457"/>
    </row>
    <row r="41" spans="1:22" ht="21">
      <c r="A41" s="1455"/>
      <c r="B41" s="1450"/>
      <c r="C41" s="1450"/>
      <c r="D41" s="1450"/>
      <c r="E41" s="1447"/>
      <c r="F41" s="1450"/>
      <c r="G41" s="1447"/>
      <c r="H41" s="1450"/>
      <c r="I41" s="1447"/>
      <c r="J41" s="1450"/>
      <c r="K41" s="1447"/>
      <c r="L41" s="1450"/>
      <c r="M41" s="1447"/>
      <c r="N41" s="1450"/>
      <c r="O41" s="1447"/>
      <c r="P41" s="1450"/>
      <c r="Q41" s="1447"/>
      <c r="R41" s="1450"/>
      <c r="S41" s="1447"/>
      <c r="T41" s="1450"/>
      <c r="U41" s="1447"/>
      <c r="V41" s="1450"/>
    </row>
    <row r="42" spans="1:22" ht="19.5">
      <c r="B42" s="3428" t="s">
        <v>1502</v>
      </c>
      <c r="C42" s="3428"/>
      <c r="D42" s="3428"/>
      <c r="E42" s="3428"/>
      <c r="F42" s="3428"/>
      <c r="G42" s="3428"/>
      <c r="H42" s="3428"/>
      <c r="I42" s="3428"/>
      <c r="J42" s="3428"/>
      <c r="K42" s="3428"/>
      <c r="L42" s="3428"/>
      <c r="M42" s="3428"/>
      <c r="N42" s="3428"/>
      <c r="O42" s="3428"/>
      <c r="P42" s="3428"/>
      <c r="Q42" s="3428"/>
      <c r="R42" s="3428"/>
      <c r="S42" s="3428"/>
      <c r="T42" s="3428"/>
      <c r="U42" s="3428"/>
      <c r="V42" s="3428"/>
    </row>
  </sheetData>
  <mergeCells count="4">
    <mergeCell ref="A1:V1"/>
    <mergeCell ref="A2:V2"/>
    <mergeCell ref="A3:V3"/>
    <mergeCell ref="B42:V42"/>
  </mergeCells>
  <pageMargins left="0.2" right="0.2" top="0.33" bottom="0.3" header="0.32" footer="0.3"/>
  <pageSetup paperSize="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Z575"/>
  <sheetViews>
    <sheetView rightToLeft="1" zoomScale="85" zoomScaleNormal="85" zoomScaleSheetLayoutView="98" workbookViewId="0">
      <pane ySplit="2" topLeftCell="A3" activePane="bottomLeft" state="frozen"/>
      <selection activeCell="E19" sqref="E19:G19"/>
      <selection pane="bottomLeft" activeCell="E19" sqref="E19:G19"/>
    </sheetView>
  </sheetViews>
  <sheetFormatPr defaultColWidth="1.375" defaultRowHeight="19.5" customHeight="1"/>
  <cols>
    <col min="1" max="1" width="7.625" style="597" bestFit="1" customWidth="1"/>
    <col min="2" max="2" width="8.125" style="597" bestFit="1" customWidth="1"/>
    <col min="3" max="3" width="5.625" style="580" bestFit="1" customWidth="1"/>
    <col min="4" max="4" width="24" style="1145" customWidth="1"/>
    <col min="5" max="5" width="46.75" style="1140" bestFit="1" customWidth="1"/>
    <col min="6" max="6" width="20.75" style="597" bestFit="1" customWidth="1"/>
    <col min="7" max="7" width="17.875" style="597" hidden="1" customWidth="1"/>
    <col min="8" max="10" width="19.5" style="597" hidden="1" customWidth="1"/>
    <col min="11" max="11" width="16.25" style="597" hidden="1" customWidth="1"/>
    <col min="12" max="12" width="20.375" style="597" hidden="1" customWidth="1"/>
    <col min="13" max="13" width="9" style="597" hidden="1" customWidth="1"/>
    <col min="14" max="15" width="19.5" style="597" hidden="1" customWidth="1"/>
    <col min="16" max="16" width="17.875" style="597" hidden="1" customWidth="1"/>
    <col min="17" max="17" width="19.5" style="598" bestFit="1" customWidth="1"/>
    <col min="18" max="18" width="9.625" style="597" bestFit="1" customWidth="1"/>
    <col min="19" max="19" width="21.25" style="1119" customWidth="1"/>
    <col min="20" max="20" width="20.625" style="597" customWidth="1"/>
    <col min="21" max="21" width="14.25" style="1102" customWidth="1"/>
    <col min="22" max="22" width="12.5" style="597" bestFit="1" customWidth="1"/>
    <col min="23" max="23" width="19.875" style="597" bestFit="1" customWidth="1"/>
    <col min="24" max="24" width="22.625" style="597" bestFit="1" customWidth="1"/>
    <col min="25" max="25" width="20.75" style="1102" bestFit="1" customWidth="1"/>
    <col min="26" max="26" width="16.875" style="597" bestFit="1" customWidth="1"/>
    <col min="27" max="16384" width="1.375" style="597"/>
  </cols>
  <sheetData>
    <row r="1" spans="1:26" s="608" customFormat="1" ht="18.75" customHeight="1">
      <c r="A1" s="2937" t="s">
        <v>1683</v>
      </c>
      <c r="B1" s="2937" t="s">
        <v>1658</v>
      </c>
      <c r="C1" s="2939" t="s">
        <v>1657</v>
      </c>
      <c r="D1" s="1142"/>
      <c r="E1" s="2941" t="s">
        <v>62</v>
      </c>
      <c r="F1" s="2945" t="s">
        <v>1566</v>
      </c>
      <c r="G1" s="2945" t="s">
        <v>1567</v>
      </c>
      <c r="H1" s="2945" t="s">
        <v>1568</v>
      </c>
      <c r="I1" s="2945" t="s">
        <v>1366</v>
      </c>
      <c r="J1" s="2945" t="s">
        <v>1367</v>
      </c>
      <c r="K1" s="2945" t="s">
        <v>1475</v>
      </c>
      <c r="L1" s="2945" t="s">
        <v>1437</v>
      </c>
      <c r="M1" s="2945" t="s">
        <v>1438</v>
      </c>
      <c r="N1" s="2945" t="s">
        <v>1439</v>
      </c>
      <c r="O1" s="2945" t="s">
        <v>1498</v>
      </c>
      <c r="P1" s="2945" t="s">
        <v>1569</v>
      </c>
      <c r="Q1" s="1736" t="s">
        <v>1847</v>
      </c>
      <c r="R1" s="1418" t="s">
        <v>1848</v>
      </c>
      <c r="S1" s="2978" t="s">
        <v>1853</v>
      </c>
      <c r="T1" s="2949">
        <v>1397</v>
      </c>
      <c r="U1" s="2959">
        <v>1398</v>
      </c>
      <c r="V1" s="2949">
        <v>1397</v>
      </c>
      <c r="W1" s="2955" t="s">
        <v>1473</v>
      </c>
      <c r="X1" s="2957" t="s">
        <v>1474</v>
      </c>
      <c r="Y1" s="2959" t="s">
        <v>1854</v>
      </c>
      <c r="Z1" s="2949" t="s">
        <v>1855</v>
      </c>
    </row>
    <row r="2" spans="1:26" s="609" customFormat="1" ht="18.75" hidden="1" customHeight="1">
      <c r="A2" s="2938"/>
      <c r="B2" s="2938"/>
      <c r="C2" s="2940"/>
      <c r="D2" s="1143"/>
      <c r="E2" s="2942"/>
      <c r="F2" s="2946"/>
      <c r="G2" s="2946"/>
      <c r="H2" s="2946"/>
      <c r="I2" s="2946"/>
      <c r="J2" s="2946"/>
      <c r="K2" s="2946"/>
      <c r="L2" s="2946"/>
      <c r="M2" s="2946"/>
      <c r="N2" s="2946"/>
      <c r="O2" s="2946"/>
      <c r="P2" s="2946"/>
      <c r="Q2" s="1417"/>
      <c r="R2" s="1419"/>
      <c r="S2" s="2948"/>
      <c r="T2" s="2950"/>
      <c r="U2" s="2960"/>
      <c r="V2" s="2950"/>
      <c r="W2" s="2956"/>
      <c r="X2" s="2958"/>
      <c r="Y2" s="2960"/>
      <c r="Z2" s="2950"/>
    </row>
    <row r="3" spans="1:26" ht="27" hidden="1" customHeight="1">
      <c r="A3" s="583"/>
      <c r="B3" s="583">
        <v>1012</v>
      </c>
      <c r="C3" s="581">
        <v>17</v>
      </c>
      <c r="D3" s="1137" t="s">
        <v>425</v>
      </c>
      <c r="E3" s="1138" t="s">
        <v>426</v>
      </c>
      <c r="F3" s="599">
        <v>-13668631</v>
      </c>
      <c r="G3" s="599"/>
      <c r="H3" s="599"/>
      <c r="I3" s="599"/>
      <c r="J3" s="599"/>
      <c r="K3" s="599"/>
      <c r="L3" s="599"/>
      <c r="M3" s="599"/>
      <c r="N3" s="599"/>
      <c r="O3" s="599"/>
      <c r="P3" s="599"/>
      <c r="Q3" s="599"/>
      <c r="R3" s="599"/>
      <c r="S3" s="1096">
        <f>SUM(F3:R3)</f>
        <v>-13668631</v>
      </c>
      <c r="T3" s="599">
        <v>-9626000</v>
      </c>
      <c r="U3" s="1407">
        <f>ROUND((S3/1000000),0)+1</f>
        <v>-13</v>
      </c>
      <c r="V3" s="599">
        <v>-10</v>
      </c>
      <c r="W3" s="620"/>
      <c r="X3" s="621"/>
      <c r="Y3" s="1096">
        <f>S3+X3-W3</f>
        <v>-13668631</v>
      </c>
      <c r="Z3" s="882">
        <f>ROUND((Y3/1000000),0)</f>
        <v>-14</v>
      </c>
    </row>
    <row r="4" spans="1:26" ht="27" hidden="1" customHeight="1">
      <c r="A4" s="583"/>
      <c r="B4" s="583">
        <v>1009</v>
      </c>
      <c r="C4" s="581">
        <v>17</v>
      </c>
      <c r="D4" s="1137" t="s">
        <v>1202</v>
      </c>
      <c r="E4" s="1138" t="s">
        <v>1082</v>
      </c>
      <c r="F4" s="599">
        <v>14714000</v>
      </c>
      <c r="G4" s="599">
        <v>-2371110</v>
      </c>
      <c r="H4" s="599">
        <v>-2714000</v>
      </c>
      <c r="I4" s="599"/>
      <c r="J4" s="599"/>
      <c r="K4" s="599"/>
      <c r="L4" s="599"/>
      <c r="M4" s="599"/>
      <c r="N4" s="599"/>
      <c r="O4" s="599"/>
      <c r="P4" s="599">
        <v>1529580000</v>
      </c>
      <c r="Q4" s="599"/>
      <c r="R4" s="599"/>
      <c r="S4" s="1096">
        <f>SUM(F4:R4)</f>
        <v>1539208890</v>
      </c>
      <c r="T4" s="599">
        <v>14714000</v>
      </c>
      <c r="U4" s="1096">
        <f t="shared" ref="U4:U67" si="0">ROUND((S4/1000000),0)</f>
        <v>1539</v>
      </c>
      <c r="V4" s="599">
        <v>15</v>
      </c>
      <c r="W4" s="620"/>
      <c r="X4" s="621"/>
      <c r="Y4" s="1096">
        <f t="shared" ref="Y4:Y68" si="1">S4+X4-W4</f>
        <v>1539208890</v>
      </c>
      <c r="Z4" s="882">
        <f t="shared" ref="Z4:Z68" si="2">ROUND((Y4/1000000),0)</f>
        <v>1539</v>
      </c>
    </row>
    <row r="5" spans="1:26" ht="27" hidden="1" customHeight="1">
      <c r="A5" s="583"/>
      <c r="B5" s="583">
        <v>401</v>
      </c>
      <c r="C5" s="581">
        <v>11</v>
      </c>
      <c r="D5" s="1137" t="s">
        <v>825</v>
      </c>
      <c r="E5" s="1138" t="s">
        <v>826</v>
      </c>
      <c r="F5" s="599"/>
      <c r="G5" s="599"/>
      <c r="H5" s="599"/>
      <c r="I5" s="599"/>
      <c r="J5" s="599"/>
      <c r="K5" s="599"/>
      <c r="L5" s="599"/>
      <c r="M5" s="599"/>
      <c r="N5" s="599"/>
      <c r="O5" s="599"/>
      <c r="P5" s="599"/>
      <c r="Q5" s="599"/>
      <c r="R5" s="599"/>
      <c r="S5" s="1096">
        <f t="shared" ref="S5:S67" si="3">SUM(F5:R5)</f>
        <v>0</v>
      </c>
      <c r="T5" s="599">
        <v>0</v>
      </c>
      <c r="U5" s="1096">
        <f t="shared" si="0"/>
        <v>0</v>
      </c>
      <c r="V5" s="599">
        <v>0</v>
      </c>
      <c r="W5" s="620"/>
      <c r="X5" s="621"/>
      <c r="Y5" s="1096">
        <f t="shared" si="1"/>
        <v>0</v>
      </c>
      <c r="Z5" s="882">
        <f t="shared" si="2"/>
        <v>0</v>
      </c>
    </row>
    <row r="6" spans="1:26" ht="27" hidden="1" customHeight="1">
      <c r="A6" s="583"/>
      <c r="B6" s="583">
        <v>1009</v>
      </c>
      <c r="C6" s="581">
        <v>17</v>
      </c>
      <c r="D6" s="1137" t="s">
        <v>607</v>
      </c>
      <c r="E6" s="1138" t="s">
        <v>606</v>
      </c>
      <c r="F6" s="599"/>
      <c r="G6" s="599"/>
      <c r="H6" s="599"/>
      <c r="I6" s="599"/>
      <c r="J6" s="599"/>
      <c r="K6" s="599"/>
      <c r="L6" s="599"/>
      <c r="M6" s="599"/>
      <c r="N6" s="599"/>
      <c r="O6" s="599"/>
      <c r="P6" s="599"/>
      <c r="Q6" s="599"/>
      <c r="R6" s="599"/>
      <c r="S6" s="1096">
        <f t="shared" si="3"/>
        <v>0</v>
      </c>
      <c r="T6" s="599">
        <v>0</v>
      </c>
      <c r="U6" s="1096">
        <f t="shared" si="0"/>
        <v>0</v>
      </c>
      <c r="V6" s="599">
        <v>0</v>
      </c>
      <c r="W6" s="620"/>
      <c r="X6" s="621"/>
      <c r="Y6" s="1096">
        <f t="shared" si="1"/>
        <v>0</v>
      </c>
      <c r="Z6" s="882">
        <f t="shared" si="2"/>
        <v>0</v>
      </c>
    </row>
    <row r="7" spans="1:26" ht="27" hidden="1" customHeight="1">
      <c r="A7" s="583"/>
      <c r="B7" s="583">
        <v>1009</v>
      </c>
      <c r="C7" s="581">
        <v>17</v>
      </c>
      <c r="D7" s="1137" t="s">
        <v>873</v>
      </c>
      <c r="E7" s="1138" t="s">
        <v>827</v>
      </c>
      <c r="F7" s="599">
        <v>0</v>
      </c>
      <c r="G7" s="599"/>
      <c r="H7" s="599"/>
      <c r="I7" s="599"/>
      <c r="J7" s="599"/>
      <c r="K7" s="599"/>
      <c r="L7" s="599"/>
      <c r="M7" s="599"/>
      <c r="N7" s="599"/>
      <c r="O7" s="599"/>
      <c r="P7" s="599"/>
      <c r="Q7" s="599"/>
      <c r="R7" s="599"/>
      <c r="S7" s="1096">
        <f t="shared" si="3"/>
        <v>0</v>
      </c>
      <c r="T7" s="599"/>
      <c r="U7" s="1096">
        <f t="shared" si="0"/>
        <v>0</v>
      </c>
      <c r="V7" s="599"/>
      <c r="W7" s="620"/>
      <c r="X7" s="621"/>
      <c r="Y7" s="1096">
        <f t="shared" si="1"/>
        <v>0</v>
      </c>
      <c r="Z7" s="882">
        <f t="shared" si="2"/>
        <v>0</v>
      </c>
    </row>
    <row r="8" spans="1:26" s="1433" customFormat="1" ht="27" hidden="1" customHeight="1">
      <c r="A8" s="1427"/>
      <c r="B8" s="1427">
        <v>1009</v>
      </c>
      <c r="C8" s="581">
        <v>17</v>
      </c>
      <c r="D8" s="1428">
        <v>6503855</v>
      </c>
      <c r="E8" s="1429" t="s">
        <v>221</v>
      </c>
      <c r="F8" s="1430">
        <v>3125001</v>
      </c>
      <c r="G8" s="1430"/>
      <c r="H8" s="1430"/>
      <c r="I8" s="1430"/>
      <c r="J8" s="1430"/>
      <c r="K8" s="1430"/>
      <c r="L8" s="1430"/>
      <c r="M8" s="1430"/>
      <c r="N8" s="1430"/>
      <c r="O8" s="1430"/>
      <c r="P8" s="1430"/>
      <c r="Q8" s="1430"/>
      <c r="R8" s="1430"/>
      <c r="S8" s="1096">
        <f>SUM(F8:R8)</f>
        <v>3125001</v>
      </c>
      <c r="T8" s="1430">
        <v>0</v>
      </c>
      <c r="U8" s="1096">
        <f t="shared" si="0"/>
        <v>3</v>
      </c>
      <c r="V8" s="1430">
        <v>0</v>
      </c>
      <c r="W8" s="1431"/>
      <c r="X8" s="1432"/>
      <c r="Y8" s="1430"/>
      <c r="Z8" s="1430"/>
    </row>
    <row r="9" spans="1:26" ht="27" hidden="1" customHeight="1">
      <c r="A9" s="583"/>
      <c r="B9" s="583">
        <v>1009</v>
      </c>
      <c r="C9" s="581">
        <v>17</v>
      </c>
      <c r="D9" s="1137" t="s">
        <v>427</v>
      </c>
      <c r="E9" s="1139" t="s">
        <v>775</v>
      </c>
      <c r="F9" s="599">
        <v>-1337752836</v>
      </c>
      <c r="G9" s="599"/>
      <c r="H9" s="599"/>
      <c r="I9" s="599"/>
      <c r="J9" s="599"/>
      <c r="K9" s="599"/>
      <c r="L9" s="599"/>
      <c r="M9" s="599"/>
      <c r="N9" s="599"/>
      <c r="O9" s="599"/>
      <c r="P9" s="599"/>
      <c r="Q9" s="599"/>
      <c r="R9" s="599"/>
      <c r="S9" s="1096">
        <f>SUM(F9:R9)</f>
        <v>-1337752836</v>
      </c>
      <c r="T9" s="599">
        <v>-15613794</v>
      </c>
      <c r="U9" s="1096">
        <f t="shared" si="0"/>
        <v>-1338</v>
      </c>
      <c r="V9" s="599">
        <v>-16</v>
      </c>
      <c r="W9" s="620"/>
      <c r="X9" s="621"/>
      <c r="Y9" s="1096">
        <f t="shared" si="1"/>
        <v>-1337752836</v>
      </c>
      <c r="Z9" s="882">
        <f t="shared" si="2"/>
        <v>-1338</v>
      </c>
    </row>
    <row r="10" spans="1:26" ht="27" hidden="1" customHeight="1">
      <c r="A10" s="583"/>
      <c r="B10" s="583">
        <v>1009</v>
      </c>
      <c r="C10" s="581">
        <v>17</v>
      </c>
      <c r="D10" s="1137" t="s">
        <v>829</v>
      </c>
      <c r="E10" s="1138" t="s">
        <v>830</v>
      </c>
      <c r="F10" s="599"/>
      <c r="G10" s="599"/>
      <c r="H10" s="599"/>
      <c r="I10" s="599"/>
      <c r="J10" s="599"/>
      <c r="K10" s="599"/>
      <c r="L10" s="599"/>
      <c r="M10" s="599"/>
      <c r="N10" s="599"/>
      <c r="O10" s="599"/>
      <c r="P10" s="599"/>
      <c r="Q10" s="599"/>
      <c r="R10" s="599"/>
      <c r="S10" s="1096">
        <f t="shared" si="3"/>
        <v>0</v>
      </c>
      <c r="T10" s="599">
        <v>0</v>
      </c>
      <c r="U10" s="1096">
        <f t="shared" si="0"/>
        <v>0</v>
      </c>
      <c r="V10" s="599">
        <v>0</v>
      </c>
      <c r="W10" s="620"/>
      <c r="X10" s="621"/>
      <c r="Y10" s="1096">
        <f t="shared" si="1"/>
        <v>0</v>
      </c>
      <c r="Z10" s="882">
        <f t="shared" si="2"/>
        <v>0</v>
      </c>
    </row>
    <row r="11" spans="1:26" ht="27" hidden="1" customHeight="1">
      <c r="A11" s="583"/>
      <c r="B11" s="583">
        <v>1009</v>
      </c>
      <c r="C11" s="581">
        <v>17</v>
      </c>
      <c r="D11" s="1137" t="s">
        <v>1440</v>
      </c>
      <c r="E11" s="1138" t="s">
        <v>1266</v>
      </c>
      <c r="F11" s="599">
        <v>-2349475</v>
      </c>
      <c r="G11" s="599"/>
      <c r="H11" s="599"/>
      <c r="I11" s="599"/>
      <c r="J11" s="599"/>
      <c r="K11" s="599"/>
      <c r="L11" s="599"/>
      <c r="M11" s="599"/>
      <c r="N11" s="599"/>
      <c r="O11" s="599"/>
      <c r="P11" s="599"/>
      <c r="Q11" s="599"/>
      <c r="R11" s="599"/>
      <c r="S11" s="1096">
        <f t="shared" si="3"/>
        <v>-2349475</v>
      </c>
      <c r="T11" s="599">
        <v>-51169475</v>
      </c>
      <c r="U11" s="1096">
        <f t="shared" si="0"/>
        <v>-2</v>
      </c>
      <c r="V11" s="599">
        <v>-51</v>
      </c>
      <c r="W11" s="620"/>
      <c r="X11" s="621"/>
      <c r="Y11" s="1096">
        <f t="shared" si="1"/>
        <v>-2349475</v>
      </c>
      <c r="Z11" s="882">
        <f t="shared" si="2"/>
        <v>-2</v>
      </c>
    </row>
    <row r="12" spans="1:26" ht="27" hidden="1" customHeight="1">
      <c r="A12" s="583"/>
      <c r="B12" s="583">
        <v>1009</v>
      </c>
      <c r="C12" s="581">
        <v>17</v>
      </c>
      <c r="D12" s="1137" t="s">
        <v>1167</v>
      </c>
      <c r="E12" s="1138" t="s">
        <v>1168</v>
      </c>
      <c r="F12" s="599">
        <v>1425718</v>
      </c>
      <c r="G12" s="599"/>
      <c r="H12" s="599"/>
      <c r="I12" s="599"/>
      <c r="J12" s="599"/>
      <c r="K12" s="599"/>
      <c r="L12" s="599"/>
      <c r="M12" s="599"/>
      <c r="N12" s="599"/>
      <c r="O12" s="599"/>
      <c r="P12" s="599"/>
      <c r="Q12" s="599"/>
      <c r="R12" s="599"/>
      <c r="S12" s="1096">
        <f t="shared" si="3"/>
        <v>1425718</v>
      </c>
      <c r="T12" s="599">
        <v>-5017527</v>
      </c>
      <c r="U12" s="1522">
        <f t="shared" si="0"/>
        <v>1</v>
      </c>
      <c r="V12" s="599">
        <v>-5</v>
      </c>
      <c r="W12" s="620"/>
      <c r="X12" s="621"/>
      <c r="Y12" s="1096">
        <f t="shared" si="1"/>
        <v>1425718</v>
      </c>
      <c r="Z12" s="882">
        <f t="shared" si="2"/>
        <v>1</v>
      </c>
    </row>
    <row r="13" spans="1:26" ht="27" hidden="1" customHeight="1">
      <c r="A13" s="583"/>
      <c r="B13" s="583">
        <v>1009</v>
      </c>
      <c r="C13" s="581">
        <v>17</v>
      </c>
      <c r="D13" s="1137" t="s">
        <v>1227</v>
      </c>
      <c r="E13" s="1138" t="s">
        <v>1228</v>
      </c>
      <c r="F13" s="599">
        <v>38200000</v>
      </c>
      <c r="G13" s="599"/>
      <c r="H13" s="599">
        <f>352381649-358120571</f>
        <v>-5738922</v>
      </c>
      <c r="I13" s="599"/>
      <c r="J13" s="599"/>
      <c r="K13" s="599"/>
      <c r="L13" s="599">
        <v>-4200000</v>
      </c>
      <c r="M13" s="599"/>
      <c r="N13" s="599"/>
      <c r="O13" s="599"/>
      <c r="P13" s="599">
        <v>-16800000</v>
      </c>
      <c r="Q13" s="599"/>
      <c r="R13" s="599"/>
      <c r="S13" s="1096">
        <f>SUM(F13:R13)</f>
        <v>11461078</v>
      </c>
      <c r="T13" s="599">
        <v>33500000</v>
      </c>
      <c r="U13" s="1522">
        <f t="shared" si="0"/>
        <v>11</v>
      </c>
      <c r="V13" s="599">
        <v>34</v>
      </c>
      <c r="W13" s="620"/>
      <c r="X13" s="621"/>
      <c r="Y13" s="1096">
        <f t="shared" si="1"/>
        <v>11461078</v>
      </c>
      <c r="Z13" s="882">
        <f t="shared" si="2"/>
        <v>11</v>
      </c>
    </row>
    <row r="14" spans="1:26" ht="27" hidden="1" customHeight="1">
      <c r="A14" s="583"/>
      <c r="B14" s="583">
        <v>1009</v>
      </c>
      <c r="C14" s="581">
        <v>17</v>
      </c>
      <c r="D14" s="1137" t="s">
        <v>430</v>
      </c>
      <c r="E14" s="1138" t="s">
        <v>431</v>
      </c>
      <c r="F14" s="599">
        <v>-18200000</v>
      </c>
      <c r="G14" s="599"/>
      <c r="H14" s="599"/>
      <c r="I14" s="599"/>
      <c r="J14" s="599"/>
      <c r="K14" s="599"/>
      <c r="L14" s="599"/>
      <c r="M14" s="599"/>
      <c r="N14" s="599"/>
      <c r="O14" s="599"/>
      <c r="P14" s="599"/>
      <c r="Q14" s="599"/>
      <c r="R14" s="599"/>
      <c r="S14" s="1096">
        <f t="shared" si="3"/>
        <v>-18200000</v>
      </c>
      <c r="T14" s="599">
        <v>-3200000</v>
      </c>
      <c r="U14" s="1096">
        <f t="shared" si="0"/>
        <v>-18</v>
      </c>
      <c r="V14" s="599">
        <v>-3</v>
      </c>
      <c r="W14" s="620"/>
      <c r="X14" s="621"/>
      <c r="Y14" s="1096">
        <f t="shared" si="1"/>
        <v>-18200000</v>
      </c>
      <c r="Z14" s="882">
        <f t="shared" si="2"/>
        <v>-18</v>
      </c>
    </row>
    <row r="15" spans="1:26" ht="27" hidden="1" customHeight="1">
      <c r="A15" s="583"/>
      <c r="B15" s="583">
        <v>401</v>
      </c>
      <c r="C15" s="581">
        <v>11</v>
      </c>
      <c r="D15" s="1137" t="s">
        <v>432</v>
      </c>
      <c r="E15" s="1138" t="s">
        <v>433</v>
      </c>
      <c r="F15" s="599">
        <v>-462718308</v>
      </c>
      <c r="G15" s="599"/>
      <c r="H15" s="599">
        <f>5017223403-4626347277</f>
        <v>390876126</v>
      </c>
      <c r="I15" s="599"/>
      <c r="J15" s="599">
        <f>155543903-128751903</f>
        <v>26792000</v>
      </c>
      <c r="K15" s="599"/>
      <c r="L15" s="599"/>
      <c r="M15" s="599"/>
      <c r="N15" s="599"/>
      <c r="O15" s="599"/>
      <c r="P15" s="599"/>
      <c r="Q15" s="599"/>
      <c r="R15" s="599"/>
      <c r="S15" s="1096">
        <f t="shared" si="3"/>
        <v>-45050182</v>
      </c>
      <c r="T15" s="599">
        <v>-2740698809</v>
      </c>
      <c r="U15" s="1096">
        <f>ROUND((S15/1000000),0)</f>
        <v>-45</v>
      </c>
      <c r="V15" s="599">
        <v>-2741</v>
      </c>
      <c r="W15" s="620"/>
      <c r="X15" s="621"/>
      <c r="Y15" s="1096">
        <f t="shared" si="1"/>
        <v>-45050182</v>
      </c>
      <c r="Z15" s="882">
        <f t="shared" si="2"/>
        <v>-45</v>
      </c>
    </row>
    <row r="16" spans="1:26" ht="42.75" hidden="1" customHeight="1">
      <c r="A16" s="583"/>
      <c r="B16" s="583">
        <v>401</v>
      </c>
      <c r="C16" s="581">
        <v>11</v>
      </c>
      <c r="D16" s="1137" t="s">
        <v>925</v>
      </c>
      <c r="E16" s="1139" t="s">
        <v>926</v>
      </c>
      <c r="F16" s="599"/>
      <c r="G16" s="599"/>
      <c r="H16" s="599"/>
      <c r="I16" s="599"/>
      <c r="J16" s="599"/>
      <c r="K16" s="599"/>
      <c r="L16" s="599"/>
      <c r="M16" s="599"/>
      <c r="N16" s="599"/>
      <c r="O16" s="599"/>
      <c r="P16" s="599"/>
      <c r="Q16" s="599"/>
      <c r="R16" s="599"/>
      <c r="S16" s="1096">
        <f t="shared" si="3"/>
        <v>0</v>
      </c>
      <c r="T16" s="599">
        <v>0</v>
      </c>
      <c r="U16" s="1096">
        <f t="shared" si="0"/>
        <v>0</v>
      </c>
      <c r="V16" s="599">
        <v>0</v>
      </c>
      <c r="W16" s="620"/>
      <c r="X16" s="621"/>
      <c r="Y16" s="1096">
        <f t="shared" si="1"/>
        <v>0</v>
      </c>
      <c r="Z16" s="882">
        <f t="shared" si="2"/>
        <v>0</v>
      </c>
    </row>
    <row r="17" spans="1:26" ht="27" hidden="1" customHeight="1">
      <c r="A17" s="583"/>
      <c r="B17" s="583">
        <v>1009</v>
      </c>
      <c r="C17" s="581">
        <v>17</v>
      </c>
      <c r="D17" s="1137" t="s">
        <v>434</v>
      </c>
      <c r="E17" s="1138" t="s">
        <v>435</v>
      </c>
      <c r="F17" s="599"/>
      <c r="G17" s="599"/>
      <c r="H17" s="599"/>
      <c r="I17" s="599"/>
      <c r="J17" s="599"/>
      <c r="K17" s="599"/>
      <c r="L17" s="599"/>
      <c r="M17" s="599"/>
      <c r="N17" s="599"/>
      <c r="O17" s="599"/>
      <c r="P17" s="599"/>
      <c r="Q17" s="599"/>
      <c r="R17" s="599"/>
      <c r="S17" s="1096">
        <f t="shared" si="3"/>
        <v>0</v>
      </c>
      <c r="T17" s="599">
        <v>0</v>
      </c>
      <c r="U17" s="1096">
        <f t="shared" si="0"/>
        <v>0</v>
      </c>
      <c r="V17" s="599">
        <v>0</v>
      </c>
      <c r="W17" s="620"/>
      <c r="X17" s="621"/>
      <c r="Y17" s="1096">
        <f t="shared" si="1"/>
        <v>0</v>
      </c>
      <c r="Z17" s="882">
        <f t="shared" si="2"/>
        <v>0</v>
      </c>
    </row>
    <row r="18" spans="1:26" ht="27" hidden="1" customHeight="1">
      <c r="A18" s="583"/>
      <c r="B18" s="583">
        <v>401</v>
      </c>
      <c r="C18" s="581">
        <v>11</v>
      </c>
      <c r="D18" s="1137" t="s">
        <v>436</v>
      </c>
      <c r="E18" s="1138" t="s">
        <v>437</v>
      </c>
      <c r="F18" s="599"/>
      <c r="G18" s="599"/>
      <c r="H18" s="599"/>
      <c r="I18" s="599"/>
      <c r="J18" s="599"/>
      <c r="K18" s="599"/>
      <c r="L18" s="599"/>
      <c r="M18" s="599"/>
      <c r="N18" s="599"/>
      <c r="O18" s="599"/>
      <c r="P18" s="599"/>
      <c r="Q18" s="599"/>
      <c r="R18" s="599"/>
      <c r="S18" s="1096">
        <f t="shared" si="3"/>
        <v>0</v>
      </c>
      <c r="T18" s="599">
        <v>0</v>
      </c>
      <c r="U18" s="1096">
        <f t="shared" si="0"/>
        <v>0</v>
      </c>
      <c r="V18" s="599">
        <v>0</v>
      </c>
      <c r="W18" s="620"/>
      <c r="X18" s="621"/>
      <c r="Y18" s="1096">
        <f t="shared" si="1"/>
        <v>0</v>
      </c>
      <c r="Z18" s="882">
        <f t="shared" si="2"/>
        <v>0</v>
      </c>
    </row>
    <row r="19" spans="1:26" ht="27" hidden="1" customHeight="1">
      <c r="A19" s="583"/>
      <c r="B19" s="583">
        <v>1009</v>
      </c>
      <c r="C19" s="581">
        <v>17</v>
      </c>
      <c r="D19" s="1137" t="s">
        <v>438</v>
      </c>
      <c r="E19" s="1138" t="s">
        <v>176</v>
      </c>
      <c r="F19" s="599">
        <v>-2104339438</v>
      </c>
      <c r="G19" s="599">
        <v>120316926</v>
      </c>
      <c r="H19" s="599"/>
      <c r="I19" s="599"/>
      <c r="J19" s="599"/>
      <c r="K19" s="599"/>
      <c r="L19" s="599"/>
      <c r="M19" s="599"/>
      <c r="N19" s="599"/>
      <c r="O19" s="599"/>
      <c r="P19" s="599"/>
      <c r="Q19" s="599"/>
      <c r="R19" s="599"/>
      <c r="S19" s="1096">
        <f t="shared" si="3"/>
        <v>-1984022512</v>
      </c>
      <c r="T19" s="599">
        <v>-1202640718</v>
      </c>
      <c r="U19" s="1096">
        <f t="shared" si="0"/>
        <v>-1984</v>
      </c>
      <c r="V19" s="599">
        <v>-1203</v>
      </c>
      <c r="W19" s="620"/>
      <c r="X19" s="621"/>
      <c r="Y19" s="1096">
        <f t="shared" si="1"/>
        <v>-1984022512</v>
      </c>
      <c r="Z19" s="882">
        <f t="shared" si="2"/>
        <v>-1984</v>
      </c>
    </row>
    <row r="20" spans="1:26" ht="27" hidden="1" customHeight="1">
      <c r="A20" s="583"/>
      <c r="B20" s="583">
        <v>401</v>
      </c>
      <c r="C20" s="581">
        <v>11</v>
      </c>
      <c r="D20" s="1137" t="s">
        <v>1169</v>
      </c>
      <c r="E20" s="1138" t="s">
        <v>1102</v>
      </c>
      <c r="F20" s="599"/>
      <c r="G20" s="599"/>
      <c r="H20" s="599"/>
      <c r="I20" s="599"/>
      <c r="J20" s="599"/>
      <c r="K20" s="599"/>
      <c r="L20" s="599"/>
      <c r="M20" s="599"/>
      <c r="N20" s="599"/>
      <c r="O20" s="599"/>
      <c r="P20" s="599"/>
      <c r="Q20" s="599"/>
      <c r="R20" s="599"/>
      <c r="S20" s="1096">
        <f t="shared" si="3"/>
        <v>0</v>
      </c>
      <c r="T20" s="599">
        <v>0</v>
      </c>
      <c r="U20" s="1096">
        <f t="shared" si="0"/>
        <v>0</v>
      </c>
      <c r="V20" s="599">
        <v>0</v>
      </c>
      <c r="W20" s="620"/>
      <c r="X20" s="621"/>
      <c r="Y20" s="1096">
        <f t="shared" si="1"/>
        <v>0</v>
      </c>
      <c r="Z20" s="882">
        <f t="shared" si="2"/>
        <v>0</v>
      </c>
    </row>
    <row r="21" spans="1:26" ht="27" hidden="1" customHeight="1">
      <c r="A21" s="583"/>
      <c r="B21" s="583">
        <v>1009</v>
      </c>
      <c r="C21" s="581">
        <v>17</v>
      </c>
      <c r="D21" s="1137" t="s">
        <v>472</v>
      </c>
      <c r="E21" s="1138" t="s">
        <v>473</v>
      </c>
      <c r="F21" s="599">
        <v>-9690714035</v>
      </c>
      <c r="G21" s="599"/>
      <c r="H21" s="599"/>
      <c r="I21" s="599"/>
      <c r="J21" s="599"/>
      <c r="K21" s="599"/>
      <c r="L21" s="599"/>
      <c r="M21" s="599"/>
      <c r="N21" s="599"/>
      <c r="O21" s="599"/>
      <c r="P21" s="599"/>
      <c r="Q21" s="599"/>
      <c r="R21" s="599"/>
      <c r="S21" s="1096">
        <f t="shared" si="3"/>
        <v>-9690714035</v>
      </c>
      <c r="T21" s="599">
        <v>-4575641596</v>
      </c>
      <c r="U21" s="1522">
        <f>ROUND((S21/1000000),0)</f>
        <v>-9691</v>
      </c>
      <c r="V21" s="599">
        <v>-4576</v>
      </c>
      <c r="W21" s="620"/>
      <c r="X21" s="621"/>
      <c r="Y21" s="1096">
        <f t="shared" si="1"/>
        <v>-9690714035</v>
      </c>
      <c r="Z21" s="882">
        <f t="shared" si="2"/>
        <v>-9691</v>
      </c>
    </row>
    <row r="22" spans="1:26" ht="27" hidden="1" customHeight="1">
      <c r="A22" s="583"/>
      <c r="B22" s="583">
        <v>1009</v>
      </c>
      <c r="C22" s="581">
        <v>17</v>
      </c>
      <c r="D22" s="1137" t="s">
        <v>698</v>
      </c>
      <c r="E22" s="1138" t="s">
        <v>927</v>
      </c>
      <c r="F22" s="599"/>
      <c r="G22" s="599"/>
      <c r="H22" s="599"/>
      <c r="I22" s="599"/>
      <c r="J22" s="599"/>
      <c r="K22" s="599"/>
      <c r="L22" s="599"/>
      <c r="M22" s="599"/>
      <c r="N22" s="599"/>
      <c r="O22" s="599"/>
      <c r="P22" s="599"/>
      <c r="Q22" s="599"/>
      <c r="R22" s="599"/>
      <c r="S22" s="1096">
        <f t="shared" si="3"/>
        <v>0</v>
      </c>
      <c r="T22" s="599">
        <v>0</v>
      </c>
      <c r="U22" s="1096">
        <f t="shared" si="0"/>
        <v>0</v>
      </c>
      <c r="V22" s="599">
        <v>0</v>
      </c>
      <c r="W22" s="620"/>
      <c r="X22" s="621"/>
      <c r="Y22" s="1096">
        <f t="shared" si="1"/>
        <v>0</v>
      </c>
      <c r="Z22" s="882">
        <f t="shared" si="2"/>
        <v>0</v>
      </c>
    </row>
    <row r="23" spans="1:26" ht="27" hidden="1" customHeight="1">
      <c r="A23" s="583"/>
      <c r="B23" s="583">
        <v>1009</v>
      </c>
      <c r="C23" s="581">
        <v>17</v>
      </c>
      <c r="D23" s="1137" t="s">
        <v>831</v>
      </c>
      <c r="E23" s="1138" t="s">
        <v>552</v>
      </c>
      <c r="F23" s="599"/>
      <c r="G23" s="599"/>
      <c r="H23" s="599"/>
      <c r="I23" s="599"/>
      <c r="J23" s="599"/>
      <c r="K23" s="599"/>
      <c r="L23" s="599"/>
      <c r="M23" s="599"/>
      <c r="N23" s="599"/>
      <c r="O23" s="599"/>
      <c r="P23" s="599"/>
      <c r="Q23" s="599"/>
      <c r="R23" s="599"/>
      <c r="S23" s="1096">
        <f t="shared" si="3"/>
        <v>0</v>
      </c>
      <c r="T23" s="599">
        <v>0</v>
      </c>
      <c r="U23" s="1096">
        <f t="shared" si="0"/>
        <v>0</v>
      </c>
      <c r="V23" s="599">
        <v>0</v>
      </c>
      <c r="W23" s="620"/>
      <c r="X23" s="621"/>
      <c r="Y23" s="1096">
        <f t="shared" si="1"/>
        <v>0</v>
      </c>
      <c r="Z23" s="882">
        <f t="shared" si="2"/>
        <v>0</v>
      </c>
    </row>
    <row r="24" spans="1:26" ht="27" hidden="1" customHeight="1">
      <c r="A24" s="583"/>
      <c r="B24" s="583">
        <v>401</v>
      </c>
      <c r="C24" s="581">
        <v>11</v>
      </c>
      <c r="D24" s="1137" t="s">
        <v>128</v>
      </c>
      <c r="E24" s="1138" t="s">
        <v>1083</v>
      </c>
      <c r="F24" s="599">
        <v>-22856000</v>
      </c>
      <c r="G24" s="599"/>
      <c r="H24" s="599">
        <f>1927089380-2215465450</f>
        <v>-288376070</v>
      </c>
      <c r="I24" s="599"/>
      <c r="J24" s="599"/>
      <c r="K24" s="599"/>
      <c r="L24" s="599"/>
      <c r="M24" s="599"/>
      <c r="N24" s="599"/>
      <c r="O24" s="599"/>
      <c r="P24" s="599"/>
      <c r="Q24" s="599"/>
      <c r="R24" s="599"/>
      <c r="S24" s="1096">
        <f t="shared" si="3"/>
        <v>-311232070</v>
      </c>
      <c r="T24" s="599">
        <v>1183961580</v>
      </c>
      <c r="U24" s="1096">
        <f t="shared" si="0"/>
        <v>-311</v>
      </c>
      <c r="V24" s="599">
        <v>1184</v>
      </c>
      <c r="W24" s="620"/>
      <c r="X24" s="621"/>
      <c r="Y24" s="1096">
        <f t="shared" si="1"/>
        <v>-311232070</v>
      </c>
      <c r="Z24" s="882">
        <f t="shared" si="2"/>
        <v>-311</v>
      </c>
    </row>
    <row r="25" spans="1:26" ht="27" hidden="1" customHeight="1">
      <c r="A25" s="583"/>
      <c r="B25" s="583">
        <v>1002</v>
      </c>
      <c r="C25" s="581">
        <v>17</v>
      </c>
      <c r="D25" s="1137" t="s">
        <v>132</v>
      </c>
      <c r="E25" s="1138" t="s">
        <v>1761</v>
      </c>
      <c r="F25" s="599">
        <v>507174908</v>
      </c>
      <c r="G25" s="599">
        <v>-197825728</v>
      </c>
      <c r="H25" s="599">
        <f>2028925776-2338274956</f>
        <v>-309349180</v>
      </c>
      <c r="I25" s="599"/>
      <c r="J25" s="599"/>
      <c r="K25" s="599"/>
      <c r="L25" s="599"/>
      <c r="M25" s="599"/>
      <c r="N25" s="599"/>
      <c r="O25" s="599"/>
      <c r="P25" s="599"/>
      <c r="Q25" s="599"/>
      <c r="R25" s="599"/>
      <c r="S25" s="1096">
        <f t="shared" si="3"/>
        <v>0</v>
      </c>
      <c r="T25" s="599">
        <v>-6496332015</v>
      </c>
      <c r="U25" s="1096">
        <f t="shared" si="0"/>
        <v>0</v>
      </c>
      <c r="V25" s="599">
        <v>-6496</v>
      </c>
      <c r="W25" s="620"/>
      <c r="X25" s="621"/>
      <c r="Y25" s="1096">
        <f t="shared" si="1"/>
        <v>0</v>
      </c>
      <c r="Z25" s="882">
        <f t="shared" si="2"/>
        <v>0</v>
      </c>
    </row>
    <row r="26" spans="1:26" ht="27" hidden="1" customHeight="1">
      <c r="A26" s="583"/>
      <c r="B26" s="583">
        <v>1301</v>
      </c>
      <c r="C26" s="581">
        <v>18</v>
      </c>
      <c r="D26" s="1137" t="s">
        <v>134</v>
      </c>
      <c r="E26" s="1138" t="s">
        <v>135</v>
      </c>
      <c r="F26" s="599">
        <v>-17300718026</v>
      </c>
      <c r="G26" s="599">
        <f>842875133-181348110</f>
        <v>661527023</v>
      </c>
      <c r="H26" s="599">
        <v>181348110</v>
      </c>
      <c r="I26" s="599"/>
      <c r="J26" s="599"/>
      <c r="K26" s="599">
        <f>13126139479-16295753784</f>
        <v>-3169614305</v>
      </c>
      <c r="L26" s="599"/>
      <c r="M26" s="599"/>
      <c r="N26" s="599"/>
      <c r="O26" s="599"/>
      <c r="P26" s="599"/>
      <c r="Q26" s="599"/>
      <c r="R26" s="599"/>
      <c r="S26" s="1096">
        <f t="shared" si="3"/>
        <v>-19627457198</v>
      </c>
      <c r="T26" s="599">
        <v>-18811896003</v>
      </c>
      <c r="U26" s="1096">
        <f t="shared" si="0"/>
        <v>-19627</v>
      </c>
      <c r="V26" s="599">
        <v>-18812</v>
      </c>
      <c r="W26" s="620"/>
      <c r="X26" s="621"/>
      <c r="Y26" s="1096">
        <f t="shared" si="1"/>
        <v>-19627457198</v>
      </c>
      <c r="Z26" s="882">
        <f t="shared" si="2"/>
        <v>-19627</v>
      </c>
    </row>
    <row r="27" spans="1:26" ht="27" hidden="1" customHeight="1">
      <c r="A27" s="583"/>
      <c r="B27" s="583">
        <v>1009</v>
      </c>
      <c r="C27" s="581">
        <v>17</v>
      </c>
      <c r="D27" s="1137" t="s">
        <v>1170</v>
      </c>
      <c r="E27" s="1138" t="s">
        <v>1171</v>
      </c>
      <c r="F27" s="599">
        <v>-19272000</v>
      </c>
      <c r="G27" s="599"/>
      <c r="H27" s="599"/>
      <c r="I27" s="599"/>
      <c r="J27" s="599"/>
      <c r="K27" s="599"/>
      <c r="L27" s="599"/>
      <c r="M27" s="599"/>
      <c r="N27" s="599"/>
      <c r="O27" s="599"/>
      <c r="P27" s="599"/>
      <c r="Q27" s="599"/>
      <c r="R27" s="599"/>
      <c r="S27" s="1096">
        <f t="shared" si="3"/>
        <v>-19272000</v>
      </c>
      <c r="T27" s="599">
        <v>165799200</v>
      </c>
      <c r="U27" s="1096">
        <f t="shared" si="0"/>
        <v>-19</v>
      </c>
      <c r="V27" s="599">
        <v>166</v>
      </c>
      <c r="W27" s="620"/>
      <c r="X27" s="621"/>
      <c r="Y27" s="1096">
        <f t="shared" si="1"/>
        <v>-19272000</v>
      </c>
      <c r="Z27" s="882">
        <f t="shared" si="2"/>
        <v>-19</v>
      </c>
    </row>
    <row r="28" spans="1:26" ht="27" hidden="1" customHeight="1">
      <c r="A28" s="583"/>
      <c r="B28" s="583">
        <v>1009</v>
      </c>
      <c r="C28" s="581">
        <v>17</v>
      </c>
      <c r="D28" s="1137" t="s">
        <v>1229</v>
      </c>
      <c r="E28" s="1138" t="s">
        <v>1084</v>
      </c>
      <c r="F28" s="599"/>
      <c r="G28" s="599"/>
      <c r="H28" s="599"/>
      <c r="I28" s="599"/>
      <c r="J28" s="599"/>
      <c r="K28" s="599"/>
      <c r="L28" s="599"/>
      <c r="M28" s="599"/>
      <c r="N28" s="599"/>
      <c r="O28" s="599"/>
      <c r="P28" s="599"/>
      <c r="Q28" s="599"/>
      <c r="R28" s="599"/>
      <c r="S28" s="1096">
        <f t="shared" si="3"/>
        <v>0</v>
      </c>
      <c r="T28" s="599">
        <v>0</v>
      </c>
      <c r="U28" s="1096">
        <f t="shared" si="0"/>
        <v>0</v>
      </c>
      <c r="V28" s="599">
        <v>0</v>
      </c>
      <c r="W28" s="620"/>
      <c r="X28" s="621"/>
      <c r="Y28" s="1096">
        <f t="shared" si="1"/>
        <v>0</v>
      </c>
      <c r="Z28" s="882">
        <f t="shared" si="2"/>
        <v>0</v>
      </c>
    </row>
    <row r="29" spans="1:26" ht="27" hidden="1" customHeight="1">
      <c r="A29" s="583"/>
      <c r="B29" s="583">
        <v>1009</v>
      </c>
      <c r="C29" s="581">
        <v>17</v>
      </c>
      <c r="D29" s="1137" t="s">
        <v>136</v>
      </c>
      <c r="E29" s="1138" t="s">
        <v>700</v>
      </c>
      <c r="F29" s="599">
        <v>-238317745</v>
      </c>
      <c r="G29" s="599"/>
      <c r="H29" s="599"/>
      <c r="I29" s="599"/>
      <c r="J29" s="599"/>
      <c r="K29" s="599"/>
      <c r="L29" s="599"/>
      <c r="M29" s="599"/>
      <c r="N29" s="599"/>
      <c r="O29" s="599"/>
      <c r="P29" s="599"/>
      <c r="Q29" s="599"/>
      <c r="R29" s="599"/>
      <c r="S29" s="1096">
        <f t="shared" si="3"/>
        <v>-238317745</v>
      </c>
      <c r="T29" s="599">
        <v>489579014</v>
      </c>
      <c r="U29" s="1096">
        <f t="shared" si="0"/>
        <v>-238</v>
      </c>
      <c r="V29" s="599">
        <v>490</v>
      </c>
      <c r="W29" s="620"/>
      <c r="X29" s="621"/>
      <c r="Y29" s="1096">
        <f t="shared" si="1"/>
        <v>-238317745</v>
      </c>
      <c r="Z29" s="882">
        <f t="shared" si="2"/>
        <v>-238</v>
      </c>
    </row>
    <row r="30" spans="1:26" ht="27" hidden="1" customHeight="1">
      <c r="A30" s="583"/>
      <c r="B30" s="583">
        <v>401</v>
      </c>
      <c r="C30" s="581">
        <v>11</v>
      </c>
      <c r="D30" s="1137" t="s">
        <v>928</v>
      </c>
      <c r="E30" s="1138" t="s">
        <v>929</v>
      </c>
      <c r="F30" s="599">
        <v>610195791130</v>
      </c>
      <c r="G30" s="599">
        <f>83209860-41409860</f>
        <v>41800000</v>
      </c>
      <c r="H30" s="599">
        <f>211132744-142570920088</f>
        <v>-142359787344</v>
      </c>
      <c r="I30" s="599"/>
      <c r="J30" s="599"/>
      <c r="K30" s="599"/>
      <c r="L30" s="599">
        <v>-468050803898</v>
      </c>
      <c r="M30" s="599"/>
      <c r="N30" s="599">
        <v>1529580000</v>
      </c>
      <c r="O30" s="599">
        <v>173000112</v>
      </c>
      <c r="P30" s="599">
        <v>-1529580000</v>
      </c>
      <c r="Q30" s="599"/>
      <c r="R30" s="599"/>
      <c r="S30" s="1096">
        <f>SUM(F30:R30)</f>
        <v>0</v>
      </c>
      <c r="T30" s="599">
        <v>0</v>
      </c>
      <c r="U30" s="1096">
        <f t="shared" si="0"/>
        <v>0</v>
      </c>
      <c r="V30" s="599">
        <v>0</v>
      </c>
      <c r="W30" s="620"/>
      <c r="X30" s="621"/>
      <c r="Y30" s="1096">
        <f t="shared" si="1"/>
        <v>0</v>
      </c>
      <c r="Z30" s="882">
        <f t="shared" si="2"/>
        <v>0</v>
      </c>
    </row>
    <row r="31" spans="1:26" ht="27" hidden="1" customHeight="1">
      <c r="A31" s="583"/>
      <c r="B31" s="583">
        <v>1009</v>
      </c>
      <c r="C31" s="581">
        <v>17</v>
      </c>
      <c r="D31" s="1137" t="s">
        <v>83</v>
      </c>
      <c r="E31" s="1138" t="s">
        <v>931</v>
      </c>
      <c r="F31" s="599">
        <v>-2826130</v>
      </c>
      <c r="G31" s="599">
        <v>1583680</v>
      </c>
      <c r="H31" s="599"/>
      <c r="I31" s="599"/>
      <c r="J31" s="599"/>
      <c r="K31" s="599"/>
      <c r="L31" s="599"/>
      <c r="M31" s="599"/>
      <c r="N31" s="599">
        <v>0</v>
      </c>
      <c r="O31" s="599">
        <v>1242450</v>
      </c>
      <c r="P31" s="599"/>
      <c r="Q31" s="599"/>
      <c r="R31" s="599"/>
      <c r="S31" s="1096">
        <f t="shared" si="3"/>
        <v>0</v>
      </c>
      <c r="T31" s="599">
        <v>0</v>
      </c>
      <c r="U31" s="1096">
        <f t="shared" si="0"/>
        <v>0</v>
      </c>
      <c r="V31" s="599">
        <v>0</v>
      </c>
      <c r="W31" s="620"/>
      <c r="X31" s="621"/>
      <c r="Y31" s="1096">
        <f t="shared" si="1"/>
        <v>0</v>
      </c>
      <c r="Z31" s="882">
        <f t="shared" si="2"/>
        <v>0</v>
      </c>
    </row>
    <row r="32" spans="1:26" ht="27" hidden="1" customHeight="1">
      <c r="A32" s="583"/>
      <c r="B32" s="583">
        <v>1009</v>
      </c>
      <c r="C32" s="581">
        <v>17</v>
      </c>
      <c r="D32" s="1137" t="s">
        <v>212</v>
      </c>
      <c r="E32" s="1138" t="s">
        <v>930</v>
      </c>
      <c r="F32" s="599">
        <v>-609567706809</v>
      </c>
      <c r="G32" s="599"/>
      <c r="H32" s="599">
        <v>142577980848</v>
      </c>
      <c r="I32" s="599"/>
      <c r="J32" s="599"/>
      <c r="K32" s="599"/>
      <c r="L32" s="599">
        <v>466989725961</v>
      </c>
      <c r="M32" s="599"/>
      <c r="N32" s="599"/>
      <c r="O32" s="599"/>
      <c r="P32" s="599"/>
      <c r="Q32" s="599"/>
      <c r="R32" s="599"/>
      <c r="S32" s="1096">
        <f t="shared" si="3"/>
        <v>0</v>
      </c>
      <c r="T32" s="599">
        <v>0</v>
      </c>
      <c r="U32" s="1096">
        <f t="shared" si="0"/>
        <v>0</v>
      </c>
      <c r="V32" s="599">
        <v>0</v>
      </c>
      <c r="W32" s="620"/>
      <c r="X32" s="621"/>
      <c r="Y32" s="1096">
        <f t="shared" si="1"/>
        <v>0</v>
      </c>
      <c r="Z32" s="882">
        <f t="shared" si="2"/>
        <v>0</v>
      </c>
    </row>
    <row r="33" spans="1:26" ht="27" hidden="1" customHeight="1">
      <c r="A33" s="583"/>
      <c r="B33" s="583"/>
      <c r="C33" s="581" t="s">
        <v>765</v>
      </c>
      <c r="D33" s="1137" t="s">
        <v>932</v>
      </c>
      <c r="E33" s="1138" t="s">
        <v>934</v>
      </c>
      <c r="F33" s="599"/>
      <c r="G33" s="599"/>
      <c r="H33" s="599"/>
      <c r="I33" s="599"/>
      <c r="J33" s="599"/>
      <c r="K33" s="599"/>
      <c r="L33" s="599"/>
      <c r="M33" s="599"/>
      <c r="N33" s="599"/>
      <c r="O33" s="599"/>
      <c r="P33" s="599"/>
      <c r="Q33" s="599"/>
      <c r="R33" s="599"/>
      <c r="S33" s="1096">
        <f t="shared" si="3"/>
        <v>0</v>
      </c>
      <c r="T33" s="599">
        <v>0</v>
      </c>
      <c r="U33" s="1096">
        <f t="shared" si="0"/>
        <v>0</v>
      </c>
      <c r="V33" s="599">
        <v>0</v>
      </c>
      <c r="W33" s="620"/>
      <c r="X33" s="621"/>
      <c r="Y33" s="1096">
        <f t="shared" si="1"/>
        <v>0</v>
      </c>
      <c r="Z33" s="882">
        <f t="shared" si="2"/>
        <v>0</v>
      </c>
    </row>
    <row r="34" spans="1:26" ht="27" hidden="1" customHeight="1">
      <c r="A34" s="583"/>
      <c r="B34" s="583"/>
      <c r="C34" s="581" t="s">
        <v>765</v>
      </c>
      <c r="D34" s="1137" t="s">
        <v>1427</v>
      </c>
      <c r="E34" s="1138" t="s">
        <v>935</v>
      </c>
      <c r="F34" s="599"/>
      <c r="G34" s="599"/>
      <c r="H34" s="599"/>
      <c r="I34" s="599"/>
      <c r="J34" s="599"/>
      <c r="K34" s="599"/>
      <c r="L34" s="599"/>
      <c r="M34" s="599"/>
      <c r="N34" s="599"/>
      <c r="O34" s="599"/>
      <c r="P34" s="599"/>
      <c r="Q34" s="599"/>
      <c r="R34" s="599"/>
      <c r="S34" s="1096">
        <f t="shared" si="3"/>
        <v>0</v>
      </c>
      <c r="T34" s="599">
        <v>0</v>
      </c>
      <c r="U34" s="1096">
        <f t="shared" si="0"/>
        <v>0</v>
      </c>
      <c r="V34" s="599">
        <v>0</v>
      </c>
      <c r="W34" s="620"/>
      <c r="X34" s="621"/>
      <c r="Y34" s="1096">
        <f t="shared" si="1"/>
        <v>0</v>
      </c>
      <c r="Z34" s="882">
        <f t="shared" si="2"/>
        <v>0</v>
      </c>
    </row>
    <row r="35" spans="1:26" ht="27" hidden="1" customHeight="1">
      <c r="A35" s="583"/>
      <c r="B35" s="583">
        <v>1009</v>
      </c>
      <c r="C35" s="581">
        <v>17</v>
      </c>
      <c r="D35" s="1137" t="s">
        <v>933</v>
      </c>
      <c r="E35" s="1138" t="s">
        <v>936</v>
      </c>
      <c r="F35" s="599">
        <v>-304010</v>
      </c>
      <c r="G35" s="599"/>
      <c r="H35" s="599">
        <v>304010</v>
      </c>
      <c r="I35" s="599"/>
      <c r="J35" s="599"/>
      <c r="K35" s="599"/>
      <c r="L35" s="599"/>
      <c r="M35" s="599"/>
      <c r="N35" s="599"/>
      <c r="O35" s="599"/>
      <c r="P35" s="599"/>
      <c r="Q35" s="599"/>
      <c r="R35" s="599"/>
      <c r="S35" s="1096">
        <f t="shared" si="3"/>
        <v>0</v>
      </c>
      <c r="T35" s="599">
        <v>0</v>
      </c>
      <c r="U35" s="1096">
        <f t="shared" si="0"/>
        <v>0</v>
      </c>
      <c r="V35" s="599">
        <v>0</v>
      </c>
      <c r="W35" s="620"/>
      <c r="X35" s="621"/>
      <c r="Y35" s="1096">
        <f t="shared" si="1"/>
        <v>0</v>
      </c>
      <c r="Z35" s="882">
        <f t="shared" si="2"/>
        <v>0</v>
      </c>
    </row>
    <row r="36" spans="1:26" ht="27" hidden="1" customHeight="1">
      <c r="A36" s="583"/>
      <c r="B36" s="583">
        <v>1009</v>
      </c>
      <c r="C36" s="581">
        <v>17</v>
      </c>
      <c r="D36" s="1137" t="s">
        <v>1572</v>
      </c>
      <c r="E36" s="1138" t="s">
        <v>1573</v>
      </c>
      <c r="F36" s="599">
        <v>-2400000</v>
      </c>
      <c r="G36" s="599">
        <v>2400000</v>
      </c>
      <c r="H36" s="599"/>
      <c r="I36" s="599"/>
      <c r="J36" s="599"/>
      <c r="K36" s="599"/>
      <c r="L36" s="599"/>
      <c r="M36" s="599"/>
      <c r="N36" s="599"/>
      <c r="O36" s="599"/>
      <c r="P36" s="599"/>
      <c r="Q36" s="599"/>
      <c r="R36" s="599"/>
      <c r="S36" s="1096">
        <f t="shared" si="3"/>
        <v>0</v>
      </c>
      <c r="T36" s="599">
        <v>0</v>
      </c>
      <c r="U36" s="1096">
        <f t="shared" si="0"/>
        <v>0</v>
      </c>
      <c r="V36" s="599">
        <v>0</v>
      </c>
      <c r="W36" s="620"/>
      <c r="X36" s="621"/>
      <c r="Y36" s="1096">
        <f t="shared" si="1"/>
        <v>0</v>
      </c>
      <c r="Z36" s="882">
        <f t="shared" si="2"/>
        <v>0</v>
      </c>
    </row>
    <row r="37" spans="1:26" ht="27" hidden="1" customHeight="1">
      <c r="A37" s="583"/>
      <c r="B37" s="583">
        <v>1009</v>
      </c>
      <c r="C37" s="581">
        <v>17</v>
      </c>
      <c r="D37" s="1137" t="s">
        <v>1574</v>
      </c>
      <c r="E37" s="1138" t="s">
        <v>1575</v>
      </c>
      <c r="F37" s="599">
        <v>-3000000</v>
      </c>
      <c r="G37" s="599">
        <v>3000000</v>
      </c>
      <c r="H37" s="599"/>
      <c r="I37" s="599"/>
      <c r="J37" s="599"/>
      <c r="K37" s="599"/>
      <c r="L37" s="599"/>
      <c r="M37" s="599"/>
      <c r="N37" s="599"/>
      <c r="O37" s="599"/>
      <c r="P37" s="599"/>
      <c r="Q37" s="599"/>
      <c r="R37" s="599"/>
      <c r="S37" s="1096">
        <f t="shared" si="3"/>
        <v>0</v>
      </c>
      <c r="T37" s="599">
        <v>0</v>
      </c>
      <c r="U37" s="1096">
        <f t="shared" si="0"/>
        <v>0</v>
      </c>
      <c r="V37" s="599">
        <v>0</v>
      </c>
      <c r="W37" s="620"/>
      <c r="X37" s="621"/>
      <c r="Y37" s="1096">
        <f t="shared" si="1"/>
        <v>0</v>
      </c>
      <c r="Z37" s="882">
        <f t="shared" si="2"/>
        <v>0</v>
      </c>
    </row>
    <row r="38" spans="1:26" ht="27" hidden="1" customHeight="1">
      <c r="A38" s="583"/>
      <c r="B38" s="583">
        <v>1009</v>
      </c>
      <c r="C38" s="581">
        <v>17</v>
      </c>
      <c r="D38" s="1137" t="s">
        <v>1230</v>
      </c>
      <c r="E38" s="1138" t="s">
        <v>1231</v>
      </c>
      <c r="F38" s="599"/>
      <c r="G38" s="599"/>
      <c r="H38" s="599"/>
      <c r="I38" s="599"/>
      <c r="J38" s="599"/>
      <c r="K38" s="599"/>
      <c r="L38" s="599"/>
      <c r="M38" s="599"/>
      <c r="N38" s="599"/>
      <c r="O38" s="599"/>
      <c r="P38" s="599"/>
      <c r="Q38" s="599"/>
      <c r="R38" s="599"/>
      <c r="S38" s="1096">
        <f t="shared" si="3"/>
        <v>0</v>
      </c>
      <c r="T38" s="599">
        <v>0</v>
      </c>
      <c r="U38" s="1096">
        <f t="shared" si="0"/>
        <v>0</v>
      </c>
      <c r="V38" s="599">
        <v>0</v>
      </c>
      <c r="W38" s="620"/>
      <c r="X38" s="621"/>
      <c r="Y38" s="1096">
        <f t="shared" si="1"/>
        <v>0</v>
      </c>
      <c r="Z38" s="882">
        <f t="shared" si="2"/>
        <v>0</v>
      </c>
    </row>
    <row r="39" spans="1:26" ht="27" hidden="1" customHeight="1">
      <c r="A39" s="583"/>
      <c r="B39" s="583">
        <v>401</v>
      </c>
      <c r="C39" s="581">
        <v>11</v>
      </c>
      <c r="D39" s="1137" t="s">
        <v>1085</v>
      </c>
      <c r="E39" s="1138" t="s">
        <v>1086</v>
      </c>
      <c r="F39" s="599"/>
      <c r="G39" s="599"/>
      <c r="H39" s="599"/>
      <c r="I39" s="599"/>
      <c r="J39" s="599"/>
      <c r="K39" s="599"/>
      <c r="L39" s="599"/>
      <c r="M39" s="599"/>
      <c r="N39" s="599"/>
      <c r="O39" s="599"/>
      <c r="P39" s="599"/>
      <c r="Q39" s="599"/>
      <c r="R39" s="599"/>
      <c r="S39" s="1096">
        <f t="shared" si="3"/>
        <v>0</v>
      </c>
      <c r="T39" s="599">
        <v>0</v>
      </c>
      <c r="U39" s="1096">
        <f t="shared" si="0"/>
        <v>0</v>
      </c>
      <c r="V39" s="599">
        <v>0</v>
      </c>
      <c r="W39" s="620"/>
      <c r="X39" s="621"/>
      <c r="Y39" s="1096">
        <f t="shared" si="1"/>
        <v>0</v>
      </c>
      <c r="Z39" s="882">
        <f t="shared" si="2"/>
        <v>0</v>
      </c>
    </row>
    <row r="40" spans="1:26" ht="27" hidden="1" customHeight="1">
      <c r="A40" s="583"/>
      <c r="B40" s="583">
        <v>1009</v>
      </c>
      <c r="C40" s="581">
        <v>17</v>
      </c>
      <c r="D40" s="1137" t="s">
        <v>84</v>
      </c>
      <c r="E40" s="1138" t="s">
        <v>699</v>
      </c>
      <c r="F40" s="599">
        <v>2260428239</v>
      </c>
      <c r="G40" s="599"/>
      <c r="H40" s="599"/>
      <c r="I40" s="599"/>
      <c r="J40" s="599"/>
      <c r="K40" s="599"/>
      <c r="L40" s="599"/>
      <c r="M40" s="599"/>
      <c r="N40" s="599"/>
      <c r="O40" s="599"/>
      <c r="P40" s="599"/>
      <c r="Q40" s="599"/>
      <c r="R40" s="599"/>
      <c r="S40" s="1096">
        <f t="shared" si="3"/>
        <v>2260428239</v>
      </c>
      <c r="T40" s="599">
        <v>3058806363</v>
      </c>
      <c r="U40" s="1096">
        <f t="shared" si="0"/>
        <v>2260</v>
      </c>
      <c r="V40" s="599">
        <v>3059</v>
      </c>
      <c r="W40" s="620"/>
      <c r="X40" s="621"/>
      <c r="Y40" s="1096">
        <f t="shared" si="1"/>
        <v>2260428239</v>
      </c>
      <c r="Z40" s="882">
        <f t="shared" si="2"/>
        <v>2260</v>
      </c>
    </row>
    <row r="41" spans="1:26" ht="27" hidden="1" customHeight="1">
      <c r="A41" s="583"/>
      <c r="B41" s="583">
        <v>401</v>
      </c>
      <c r="C41" s="581">
        <v>11</v>
      </c>
      <c r="D41" s="1137" t="s">
        <v>874</v>
      </c>
      <c r="E41" s="1138" t="s">
        <v>875</v>
      </c>
      <c r="F41" s="599">
        <v>275301695</v>
      </c>
      <c r="G41" s="599">
        <v>-62143546</v>
      </c>
      <c r="H41" s="599">
        <f>27432480-80674400</f>
        <v>-53241920</v>
      </c>
      <c r="I41" s="599"/>
      <c r="J41" s="599"/>
      <c r="K41" s="599"/>
      <c r="L41" s="599"/>
      <c r="M41" s="599"/>
      <c r="N41" s="599">
        <v>0</v>
      </c>
      <c r="O41" s="599">
        <v>-54864960</v>
      </c>
      <c r="P41" s="599"/>
      <c r="Q41" s="599"/>
      <c r="R41" s="599"/>
      <c r="S41" s="1096">
        <f t="shared" si="3"/>
        <v>105051269</v>
      </c>
      <c r="T41" s="599">
        <v>159459775</v>
      </c>
      <c r="U41" s="1096">
        <f t="shared" si="0"/>
        <v>105</v>
      </c>
      <c r="V41" s="599">
        <v>160</v>
      </c>
      <c r="W41" s="620"/>
      <c r="X41" s="621"/>
      <c r="Y41" s="1096">
        <f t="shared" si="1"/>
        <v>105051269</v>
      </c>
      <c r="Z41" s="882">
        <f t="shared" si="2"/>
        <v>105</v>
      </c>
    </row>
    <row r="42" spans="1:26" ht="27" hidden="1" customHeight="1">
      <c r="A42" s="583"/>
      <c r="B42" s="583">
        <v>1009</v>
      </c>
      <c r="C42" s="581">
        <v>17</v>
      </c>
      <c r="D42" s="1137" t="s">
        <v>86</v>
      </c>
      <c r="E42" s="1138" t="s">
        <v>876</v>
      </c>
      <c r="F42" s="599">
        <v>-230164643</v>
      </c>
      <c r="G42" s="599">
        <v>59004546</v>
      </c>
      <c r="H42" s="599"/>
      <c r="I42" s="599"/>
      <c r="J42" s="599"/>
      <c r="K42" s="599"/>
      <c r="L42" s="599"/>
      <c r="M42" s="599"/>
      <c r="N42" s="599"/>
      <c r="O42" s="599"/>
      <c r="P42" s="599"/>
      <c r="Q42" s="599"/>
      <c r="R42" s="599"/>
      <c r="S42" s="1096">
        <f t="shared" si="3"/>
        <v>-171160097</v>
      </c>
      <c r="T42" s="599">
        <v>-121808937</v>
      </c>
      <c r="U42" s="1096">
        <f t="shared" si="0"/>
        <v>-171</v>
      </c>
      <c r="V42" s="599">
        <v>-122</v>
      </c>
      <c r="W42" s="620"/>
      <c r="X42" s="621"/>
      <c r="Y42" s="1096">
        <f t="shared" si="1"/>
        <v>-171160097</v>
      </c>
      <c r="Z42" s="882">
        <f t="shared" si="2"/>
        <v>-171</v>
      </c>
    </row>
    <row r="43" spans="1:26" ht="27" hidden="1" customHeight="1">
      <c r="A43" s="583"/>
      <c r="B43" s="583">
        <v>401</v>
      </c>
      <c r="C43" s="581">
        <v>11</v>
      </c>
      <c r="D43" s="1137" t="s">
        <v>1172</v>
      </c>
      <c r="E43" s="1138" t="s">
        <v>1173</v>
      </c>
      <c r="F43" s="599">
        <v>434829031</v>
      </c>
      <c r="G43" s="599">
        <v>-122699998</v>
      </c>
      <c r="H43" s="599">
        <v>-210325822</v>
      </c>
      <c r="I43" s="599"/>
      <c r="J43" s="599"/>
      <c r="K43" s="599"/>
      <c r="L43" s="599">
        <v>-101803211</v>
      </c>
      <c r="M43" s="599"/>
      <c r="N43" s="599"/>
      <c r="O43" s="599"/>
      <c r="P43" s="599"/>
      <c r="Q43" s="599"/>
      <c r="R43" s="599"/>
      <c r="S43" s="1096">
        <f t="shared" si="3"/>
        <v>0</v>
      </c>
      <c r="T43" s="599">
        <v>0</v>
      </c>
      <c r="U43" s="1096">
        <f t="shared" si="0"/>
        <v>0</v>
      </c>
      <c r="V43" s="599">
        <v>0</v>
      </c>
      <c r="W43" s="620"/>
      <c r="X43" s="621"/>
      <c r="Y43" s="1096">
        <f t="shared" si="1"/>
        <v>0</v>
      </c>
      <c r="Z43" s="882">
        <f t="shared" si="2"/>
        <v>0</v>
      </c>
    </row>
    <row r="44" spans="1:26" ht="27" hidden="1" customHeight="1">
      <c r="A44" s="583"/>
      <c r="B44" s="583">
        <v>401</v>
      </c>
      <c r="C44" s="581">
        <v>11</v>
      </c>
      <c r="D44" s="1137" t="s">
        <v>1087</v>
      </c>
      <c r="E44" s="1138" t="s">
        <v>1088</v>
      </c>
      <c r="F44" s="599">
        <v>455576</v>
      </c>
      <c r="G44" s="599"/>
      <c r="H44" s="599"/>
      <c r="I44" s="599"/>
      <c r="J44" s="599"/>
      <c r="K44" s="599"/>
      <c r="L44" s="599"/>
      <c r="M44" s="599"/>
      <c r="N44" s="599"/>
      <c r="O44" s="599"/>
      <c r="P44" s="599"/>
      <c r="Q44" s="599"/>
      <c r="R44" s="599"/>
      <c r="S44" s="1096">
        <f t="shared" si="3"/>
        <v>455576</v>
      </c>
      <c r="T44" s="599">
        <v>455576</v>
      </c>
      <c r="U44" s="1096">
        <f t="shared" si="0"/>
        <v>0</v>
      </c>
      <c r="V44" s="599">
        <v>1</v>
      </c>
      <c r="W44" s="620"/>
      <c r="X44" s="621"/>
      <c r="Y44" s="1096">
        <f t="shared" si="1"/>
        <v>455576</v>
      </c>
      <c r="Z44" s="882">
        <f t="shared" si="2"/>
        <v>0</v>
      </c>
    </row>
    <row r="45" spans="1:26" ht="27" hidden="1" customHeight="1">
      <c r="A45" s="583"/>
      <c r="B45" s="583">
        <v>401</v>
      </c>
      <c r="C45" s="581">
        <v>11</v>
      </c>
      <c r="D45" s="1137" t="s">
        <v>1232</v>
      </c>
      <c r="E45" s="1138" t="s">
        <v>1233</v>
      </c>
      <c r="F45" s="599">
        <v>34676000</v>
      </c>
      <c r="G45" s="599"/>
      <c r="H45" s="599">
        <f>967022000-967022000</f>
        <v>0</v>
      </c>
      <c r="I45" s="599"/>
      <c r="J45" s="599"/>
      <c r="K45" s="599"/>
      <c r="L45" s="599"/>
      <c r="M45" s="599"/>
      <c r="N45" s="599"/>
      <c r="O45" s="599"/>
      <c r="P45" s="599"/>
      <c r="Q45" s="599"/>
      <c r="R45" s="599"/>
      <c r="S45" s="1096">
        <f t="shared" si="3"/>
        <v>34676000</v>
      </c>
      <c r="T45" s="599">
        <v>56235000</v>
      </c>
      <c r="U45" s="1096">
        <f t="shared" si="0"/>
        <v>35</v>
      </c>
      <c r="V45" s="599">
        <v>56</v>
      </c>
      <c r="W45" s="620"/>
      <c r="X45" s="621"/>
      <c r="Y45" s="1096">
        <f t="shared" si="1"/>
        <v>34676000</v>
      </c>
      <c r="Z45" s="882">
        <f t="shared" si="2"/>
        <v>35</v>
      </c>
    </row>
    <row r="46" spans="1:26" ht="27" hidden="1" customHeight="1">
      <c r="A46" s="583"/>
      <c r="B46" s="583">
        <v>1009</v>
      </c>
      <c r="C46" s="581">
        <v>17</v>
      </c>
      <c r="D46" s="1137" t="s">
        <v>89</v>
      </c>
      <c r="E46" s="1138" t="s">
        <v>937</v>
      </c>
      <c r="F46" s="599">
        <v>-237167337</v>
      </c>
      <c r="G46" s="599">
        <v>3167360</v>
      </c>
      <c r="H46" s="599">
        <v>19200000</v>
      </c>
      <c r="I46" s="599"/>
      <c r="J46" s="599"/>
      <c r="K46" s="599"/>
      <c r="L46" s="599"/>
      <c r="M46" s="599"/>
      <c r="N46" s="599">
        <v>0</v>
      </c>
      <c r="O46" s="599">
        <v>214799977</v>
      </c>
      <c r="P46" s="599"/>
      <c r="Q46" s="599"/>
      <c r="R46" s="599"/>
      <c r="S46" s="1096">
        <f t="shared" si="3"/>
        <v>0</v>
      </c>
      <c r="T46" s="599">
        <v>-128399977</v>
      </c>
      <c r="U46" s="1096">
        <f t="shared" si="0"/>
        <v>0</v>
      </c>
      <c r="V46" s="599">
        <v>-128</v>
      </c>
      <c r="W46" s="620"/>
      <c r="X46" s="621"/>
      <c r="Y46" s="1096">
        <f t="shared" si="1"/>
        <v>0</v>
      </c>
      <c r="Z46" s="882">
        <f t="shared" si="2"/>
        <v>0</v>
      </c>
    </row>
    <row r="47" spans="1:26" ht="27" hidden="1" customHeight="1">
      <c r="A47" s="583"/>
      <c r="B47" s="583">
        <v>1009</v>
      </c>
      <c r="C47" s="581">
        <v>17</v>
      </c>
      <c r="D47" s="1137" t="s">
        <v>1576</v>
      </c>
      <c r="E47" s="1138" t="s">
        <v>1577</v>
      </c>
      <c r="F47" s="599">
        <v>-71829885</v>
      </c>
      <c r="G47" s="599">
        <v>71829885</v>
      </c>
      <c r="H47" s="599"/>
      <c r="I47" s="599"/>
      <c r="J47" s="599"/>
      <c r="K47" s="599"/>
      <c r="L47" s="599"/>
      <c r="M47" s="599"/>
      <c r="N47" s="599"/>
      <c r="O47" s="599"/>
      <c r="P47" s="599"/>
      <c r="Q47" s="599"/>
      <c r="R47" s="599"/>
      <c r="S47" s="1096">
        <f t="shared" si="3"/>
        <v>0</v>
      </c>
      <c r="T47" s="599">
        <v>0</v>
      </c>
      <c r="U47" s="1096">
        <f t="shared" si="0"/>
        <v>0</v>
      </c>
      <c r="V47" s="599">
        <v>0</v>
      </c>
      <c r="W47" s="620"/>
      <c r="X47" s="621"/>
      <c r="Y47" s="1096">
        <f t="shared" si="1"/>
        <v>0</v>
      </c>
      <c r="Z47" s="882">
        <f t="shared" si="2"/>
        <v>0</v>
      </c>
    </row>
    <row r="48" spans="1:26" ht="27" hidden="1" customHeight="1">
      <c r="A48" s="583"/>
      <c r="B48" s="583">
        <v>401</v>
      </c>
      <c r="C48" s="581">
        <v>11</v>
      </c>
      <c r="D48" s="1137" t="s">
        <v>1089</v>
      </c>
      <c r="E48" s="1138" t="s">
        <v>957</v>
      </c>
      <c r="F48" s="599">
        <v>475756715</v>
      </c>
      <c r="G48" s="599">
        <f>1765307065-1779535277</f>
        <v>-14228212</v>
      </c>
      <c r="H48" s="599">
        <f>1018045661-1355256913</f>
        <v>-337211252</v>
      </c>
      <c r="I48" s="599">
        <f>356119985-475930522</f>
        <v>-119810537</v>
      </c>
      <c r="J48" s="599"/>
      <c r="K48" s="599"/>
      <c r="L48" s="599"/>
      <c r="M48" s="599"/>
      <c r="N48" s="599">
        <v>0</v>
      </c>
      <c r="O48" s="599"/>
      <c r="P48" s="599"/>
      <c r="Q48" s="599"/>
      <c r="R48" s="599"/>
      <c r="S48" s="1096">
        <f t="shared" si="3"/>
        <v>4506714</v>
      </c>
      <c r="T48" s="599">
        <v>16258380</v>
      </c>
      <c r="U48" s="1096">
        <f t="shared" si="0"/>
        <v>5</v>
      </c>
      <c r="V48" s="599">
        <v>16</v>
      </c>
      <c r="W48" s="620"/>
      <c r="X48" s="621"/>
      <c r="Y48" s="1096">
        <f t="shared" si="1"/>
        <v>4506714</v>
      </c>
      <c r="Z48" s="882">
        <f t="shared" si="2"/>
        <v>5</v>
      </c>
    </row>
    <row r="49" spans="1:26" ht="27" hidden="1" customHeight="1">
      <c r="A49" s="583"/>
      <c r="B49" s="583">
        <v>401</v>
      </c>
      <c r="C49" s="581">
        <v>11</v>
      </c>
      <c r="D49" s="1137" t="s">
        <v>1578</v>
      </c>
      <c r="E49" s="1138" t="s">
        <v>957</v>
      </c>
      <c r="F49" s="599">
        <v>-7</v>
      </c>
      <c r="G49" s="599"/>
      <c r="H49" s="599"/>
      <c r="I49" s="599"/>
      <c r="J49" s="599"/>
      <c r="K49" s="599"/>
      <c r="L49" s="599"/>
      <c r="M49" s="599"/>
      <c r="N49" s="599"/>
      <c r="O49" s="599"/>
      <c r="P49" s="599"/>
      <c r="Q49" s="599"/>
      <c r="R49" s="599"/>
      <c r="S49" s="1096">
        <f t="shared" si="3"/>
        <v>-7</v>
      </c>
      <c r="T49" s="599">
        <v>-7</v>
      </c>
      <c r="U49" s="1096">
        <f t="shared" si="0"/>
        <v>0</v>
      </c>
      <c r="V49" s="599">
        <v>0</v>
      </c>
      <c r="W49" s="620"/>
      <c r="X49" s="621"/>
      <c r="Y49" s="1096">
        <f t="shared" si="1"/>
        <v>-7</v>
      </c>
      <c r="Z49" s="882">
        <f t="shared" si="2"/>
        <v>0</v>
      </c>
    </row>
    <row r="50" spans="1:26" ht="27" hidden="1" customHeight="1">
      <c r="A50" s="583"/>
      <c r="B50" s="583">
        <v>1009</v>
      </c>
      <c r="C50" s="581">
        <v>17</v>
      </c>
      <c r="D50" s="1137" t="s">
        <v>1332</v>
      </c>
      <c r="E50" s="1513" t="s">
        <v>1331</v>
      </c>
      <c r="F50" s="599">
        <v>3500000</v>
      </c>
      <c r="G50" s="599"/>
      <c r="H50" s="599"/>
      <c r="I50" s="599"/>
      <c r="J50" s="599">
        <f>6000000-27375000</f>
        <v>-21375000</v>
      </c>
      <c r="K50" s="599"/>
      <c r="L50" s="599"/>
      <c r="M50" s="599"/>
      <c r="N50" s="599"/>
      <c r="O50" s="599"/>
      <c r="P50" s="599"/>
      <c r="Q50" s="599"/>
      <c r="R50" s="599"/>
      <c r="S50" s="1096">
        <f t="shared" si="3"/>
        <v>-17875000</v>
      </c>
      <c r="T50" s="599">
        <v>0</v>
      </c>
      <c r="U50" s="1096">
        <f t="shared" si="0"/>
        <v>-18</v>
      </c>
      <c r="V50" s="599">
        <v>0</v>
      </c>
      <c r="W50" s="620"/>
      <c r="X50" s="621"/>
      <c r="Y50" s="1096">
        <f t="shared" si="1"/>
        <v>-17875000</v>
      </c>
      <c r="Z50" s="882">
        <f t="shared" si="2"/>
        <v>-18</v>
      </c>
    </row>
    <row r="51" spans="1:26" ht="27" hidden="1" customHeight="1">
      <c r="A51" s="583"/>
      <c r="B51" s="583">
        <v>401</v>
      </c>
      <c r="C51" s="581">
        <v>11</v>
      </c>
      <c r="D51" s="582" t="s">
        <v>92</v>
      </c>
      <c r="E51" s="1138" t="s">
        <v>1821</v>
      </c>
      <c r="F51" s="599">
        <v>45833040</v>
      </c>
      <c r="G51" s="599"/>
      <c r="H51" s="599"/>
      <c r="I51" s="599"/>
      <c r="J51" s="599"/>
      <c r="K51" s="599"/>
      <c r="L51" s="599"/>
      <c r="M51" s="599"/>
      <c r="N51" s="599"/>
      <c r="O51" s="599"/>
      <c r="P51" s="599"/>
      <c r="Q51" s="599"/>
      <c r="R51" s="599"/>
      <c r="S51" s="1096">
        <f t="shared" si="3"/>
        <v>45833040</v>
      </c>
      <c r="T51" s="599">
        <v>70832880</v>
      </c>
      <c r="U51" s="1096">
        <f t="shared" si="0"/>
        <v>46</v>
      </c>
      <c r="V51" s="599">
        <v>71</v>
      </c>
      <c r="W51" s="620"/>
      <c r="X51" s="621"/>
      <c r="Y51" s="1096">
        <f t="shared" si="1"/>
        <v>45833040</v>
      </c>
      <c r="Z51" s="882">
        <f t="shared" si="2"/>
        <v>46</v>
      </c>
    </row>
    <row r="52" spans="1:26" ht="27" hidden="1" customHeight="1">
      <c r="A52" s="583"/>
      <c r="B52" s="583">
        <v>401</v>
      </c>
      <c r="C52" s="581">
        <v>11</v>
      </c>
      <c r="D52" s="1137" t="s">
        <v>216</v>
      </c>
      <c r="E52" s="1138" t="s">
        <v>706</v>
      </c>
      <c r="F52" s="599"/>
      <c r="G52" s="599"/>
      <c r="H52" s="599"/>
      <c r="I52" s="599"/>
      <c r="J52" s="599"/>
      <c r="K52" s="599"/>
      <c r="L52" s="599"/>
      <c r="M52" s="599"/>
      <c r="N52" s="599"/>
      <c r="O52" s="599"/>
      <c r="P52" s="599"/>
      <c r="Q52" s="599"/>
      <c r="R52" s="599"/>
      <c r="S52" s="1096">
        <f t="shared" si="3"/>
        <v>0</v>
      </c>
      <c r="T52" s="599">
        <v>0</v>
      </c>
      <c r="U52" s="1096">
        <f t="shared" si="0"/>
        <v>0</v>
      </c>
      <c r="V52" s="599">
        <v>0</v>
      </c>
      <c r="W52" s="620"/>
      <c r="X52" s="621"/>
      <c r="Y52" s="1096">
        <f t="shared" si="1"/>
        <v>0</v>
      </c>
      <c r="Z52" s="882">
        <f t="shared" si="2"/>
        <v>0</v>
      </c>
    </row>
    <row r="53" spans="1:26" ht="27" hidden="1" customHeight="1">
      <c r="A53" s="583"/>
      <c r="B53" s="583">
        <v>1009</v>
      </c>
      <c r="C53" s="581">
        <v>17</v>
      </c>
      <c r="D53" s="1137" t="s">
        <v>562</v>
      </c>
      <c r="E53" s="1138" t="s">
        <v>705</v>
      </c>
      <c r="F53" s="599"/>
      <c r="G53" s="599"/>
      <c r="H53" s="599"/>
      <c r="I53" s="599"/>
      <c r="J53" s="599"/>
      <c r="K53" s="599"/>
      <c r="L53" s="599"/>
      <c r="M53" s="599"/>
      <c r="N53" s="599"/>
      <c r="O53" s="599"/>
      <c r="P53" s="599"/>
      <c r="Q53" s="599"/>
      <c r="R53" s="599"/>
      <c r="S53" s="1096">
        <f t="shared" si="3"/>
        <v>0</v>
      </c>
      <c r="T53" s="599">
        <v>0</v>
      </c>
      <c r="U53" s="1096">
        <f t="shared" si="0"/>
        <v>0</v>
      </c>
      <c r="V53" s="599">
        <v>0</v>
      </c>
      <c r="W53" s="620"/>
      <c r="X53" s="621"/>
      <c r="Y53" s="1096">
        <f t="shared" si="1"/>
        <v>0</v>
      </c>
      <c r="Z53" s="882">
        <f t="shared" si="2"/>
        <v>0</v>
      </c>
    </row>
    <row r="54" spans="1:26" ht="27" hidden="1" customHeight="1">
      <c r="A54" s="583"/>
      <c r="B54" s="583">
        <v>401</v>
      </c>
      <c r="C54" s="581">
        <v>11</v>
      </c>
      <c r="D54" s="1137" t="s">
        <v>564</v>
      </c>
      <c r="E54" s="1138" t="s">
        <v>704</v>
      </c>
      <c r="F54" s="599">
        <v>58502000</v>
      </c>
      <c r="G54" s="599"/>
      <c r="H54" s="599"/>
      <c r="I54" s="599"/>
      <c r="J54" s="599"/>
      <c r="K54" s="599"/>
      <c r="L54" s="599"/>
      <c r="M54" s="599"/>
      <c r="N54" s="599"/>
      <c r="O54" s="599"/>
      <c r="P54" s="599"/>
      <c r="Q54" s="599"/>
      <c r="R54" s="599"/>
      <c r="S54" s="1096">
        <f t="shared" si="3"/>
        <v>58502000</v>
      </c>
      <c r="T54" s="599">
        <v>58502000</v>
      </c>
      <c r="U54" s="1096">
        <f t="shared" si="0"/>
        <v>59</v>
      </c>
      <c r="V54" s="599">
        <v>59</v>
      </c>
      <c r="W54" s="620"/>
      <c r="X54" s="621"/>
      <c r="Y54" s="1096">
        <f t="shared" si="1"/>
        <v>58502000</v>
      </c>
      <c r="Z54" s="882">
        <f t="shared" si="2"/>
        <v>59</v>
      </c>
    </row>
    <row r="55" spans="1:26" ht="27" hidden="1" customHeight="1">
      <c r="A55" s="583"/>
      <c r="B55" s="583">
        <v>401</v>
      </c>
      <c r="C55" s="581">
        <v>11</v>
      </c>
      <c r="D55" s="1137" t="s">
        <v>184</v>
      </c>
      <c r="E55" s="1138" t="s">
        <v>832</v>
      </c>
      <c r="F55" s="599"/>
      <c r="G55" s="599"/>
      <c r="H55" s="599"/>
      <c r="I55" s="599"/>
      <c r="J55" s="599"/>
      <c r="K55" s="599"/>
      <c r="L55" s="599"/>
      <c r="M55" s="599"/>
      <c r="N55" s="599"/>
      <c r="O55" s="599"/>
      <c r="P55" s="599"/>
      <c r="Q55" s="599"/>
      <c r="R55" s="599"/>
      <c r="S55" s="1096">
        <f t="shared" si="3"/>
        <v>0</v>
      </c>
      <c r="T55" s="599">
        <v>0</v>
      </c>
      <c r="U55" s="1096">
        <f t="shared" si="0"/>
        <v>0</v>
      </c>
      <c r="V55" s="599">
        <v>0</v>
      </c>
      <c r="W55" s="620"/>
      <c r="X55" s="621"/>
      <c r="Y55" s="1096">
        <f t="shared" si="1"/>
        <v>0</v>
      </c>
      <c r="Z55" s="882">
        <f t="shared" si="2"/>
        <v>0</v>
      </c>
    </row>
    <row r="56" spans="1:26" ht="27" hidden="1" customHeight="1">
      <c r="A56" s="583"/>
      <c r="B56" s="583">
        <v>401</v>
      </c>
      <c r="C56" s="581">
        <v>11</v>
      </c>
      <c r="D56" s="1137" t="s">
        <v>479</v>
      </c>
      <c r="E56" s="1138" t="s">
        <v>701</v>
      </c>
      <c r="F56" s="599">
        <v>120876976</v>
      </c>
      <c r="G56" s="599"/>
      <c r="H56" s="599"/>
      <c r="I56" s="599"/>
      <c r="J56" s="599"/>
      <c r="K56" s="599"/>
      <c r="L56" s="599"/>
      <c r="M56" s="599"/>
      <c r="N56" s="599"/>
      <c r="O56" s="599"/>
      <c r="P56" s="599"/>
      <c r="Q56" s="599"/>
      <c r="R56" s="599"/>
      <c r="S56" s="1096">
        <f t="shared" si="3"/>
        <v>120876976</v>
      </c>
      <c r="T56" s="599">
        <v>218236941</v>
      </c>
      <c r="U56" s="1096">
        <f t="shared" si="0"/>
        <v>121</v>
      </c>
      <c r="V56" s="599">
        <v>218</v>
      </c>
      <c r="W56" s="620"/>
      <c r="X56" s="621"/>
      <c r="Y56" s="1096">
        <f t="shared" si="1"/>
        <v>120876976</v>
      </c>
      <c r="Z56" s="882">
        <f t="shared" si="2"/>
        <v>121</v>
      </c>
    </row>
    <row r="57" spans="1:26" ht="27" hidden="1" customHeight="1">
      <c r="A57" s="583"/>
      <c r="B57" s="583">
        <v>401</v>
      </c>
      <c r="C57" s="581">
        <v>11</v>
      </c>
      <c r="D57" s="1137" t="s">
        <v>480</v>
      </c>
      <c r="E57" s="1138" t="s">
        <v>702</v>
      </c>
      <c r="F57" s="599"/>
      <c r="G57" s="599"/>
      <c r="H57" s="599"/>
      <c r="I57" s="599"/>
      <c r="J57" s="599"/>
      <c r="K57" s="599"/>
      <c r="L57" s="599"/>
      <c r="M57" s="599"/>
      <c r="N57" s="599"/>
      <c r="O57" s="599"/>
      <c r="P57" s="599"/>
      <c r="Q57" s="599"/>
      <c r="R57" s="599"/>
      <c r="S57" s="1096">
        <f t="shared" si="3"/>
        <v>0</v>
      </c>
      <c r="T57" s="599">
        <v>0</v>
      </c>
      <c r="U57" s="1096">
        <f t="shared" si="0"/>
        <v>0</v>
      </c>
      <c r="V57" s="599">
        <v>0</v>
      </c>
      <c r="W57" s="620"/>
      <c r="X57" s="621"/>
      <c r="Y57" s="1096">
        <f t="shared" si="1"/>
        <v>0</v>
      </c>
      <c r="Z57" s="882">
        <f t="shared" si="2"/>
        <v>0</v>
      </c>
    </row>
    <row r="58" spans="1:26" ht="27" hidden="1" customHeight="1">
      <c r="A58" s="583"/>
      <c r="B58" s="583">
        <v>1009</v>
      </c>
      <c r="C58" s="581">
        <v>17</v>
      </c>
      <c r="D58" s="1137" t="s">
        <v>481</v>
      </c>
      <c r="E58" s="1138" t="s">
        <v>1333</v>
      </c>
      <c r="F58" s="599"/>
      <c r="G58" s="599"/>
      <c r="H58" s="599"/>
      <c r="I58" s="599"/>
      <c r="J58" s="599">
        <v>21375000</v>
      </c>
      <c r="K58" s="599"/>
      <c r="L58" s="599"/>
      <c r="M58" s="599"/>
      <c r="N58" s="599"/>
      <c r="O58" s="599"/>
      <c r="P58" s="599"/>
      <c r="Q58" s="599"/>
      <c r="R58" s="599"/>
      <c r="S58" s="1096">
        <f t="shared" si="3"/>
        <v>21375000</v>
      </c>
      <c r="T58" s="599">
        <v>0</v>
      </c>
      <c r="U58" s="1096">
        <f t="shared" si="0"/>
        <v>21</v>
      </c>
      <c r="V58" s="599">
        <v>0</v>
      </c>
      <c r="W58" s="620"/>
      <c r="X58" s="621"/>
      <c r="Y58" s="1096">
        <f t="shared" si="1"/>
        <v>21375000</v>
      </c>
      <c r="Z58" s="882">
        <f t="shared" si="2"/>
        <v>21</v>
      </c>
    </row>
    <row r="59" spans="1:26" ht="27" hidden="1" customHeight="1">
      <c r="A59" s="583"/>
      <c r="B59" s="583">
        <v>401</v>
      </c>
      <c r="C59" s="581">
        <v>11</v>
      </c>
      <c r="D59" s="1137" t="s">
        <v>220</v>
      </c>
      <c r="E59" s="1138" t="s">
        <v>703</v>
      </c>
      <c r="F59" s="599"/>
      <c r="G59" s="599"/>
      <c r="H59" s="599"/>
      <c r="I59" s="599"/>
      <c r="J59" s="599"/>
      <c r="K59" s="599"/>
      <c r="L59" s="599"/>
      <c r="M59" s="599"/>
      <c r="N59" s="599"/>
      <c r="O59" s="599"/>
      <c r="P59" s="599"/>
      <c r="Q59" s="599"/>
      <c r="R59" s="599"/>
      <c r="S59" s="1096">
        <f t="shared" si="3"/>
        <v>0</v>
      </c>
      <c r="T59" s="599">
        <v>0</v>
      </c>
      <c r="U59" s="1096">
        <f t="shared" si="0"/>
        <v>0</v>
      </c>
      <c r="V59" s="599">
        <v>0</v>
      </c>
      <c r="W59" s="620"/>
      <c r="X59" s="621"/>
      <c r="Y59" s="1096">
        <f t="shared" si="1"/>
        <v>0</v>
      </c>
      <c r="Z59" s="882">
        <f t="shared" si="2"/>
        <v>0</v>
      </c>
    </row>
    <row r="60" spans="1:26" ht="27" hidden="1" customHeight="1">
      <c r="A60" s="583"/>
      <c r="B60" s="583">
        <v>420</v>
      </c>
      <c r="C60" s="581">
        <v>11</v>
      </c>
      <c r="D60" s="1137" t="s">
        <v>483</v>
      </c>
      <c r="E60" s="1138" t="s">
        <v>1057</v>
      </c>
      <c r="F60" s="599">
        <v>37043450081</v>
      </c>
      <c r="G60" s="599">
        <f>400000000-984999884</f>
        <v>-584999884</v>
      </c>
      <c r="H60" s="599">
        <v>-520000000</v>
      </c>
      <c r="I60" s="599"/>
      <c r="J60" s="599"/>
      <c r="K60" s="599"/>
      <c r="L60" s="599"/>
      <c r="M60" s="599"/>
      <c r="N60" s="599"/>
      <c r="O60" s="599"/>
      <c r="P60" s="599"/>
      <c r="Q60" s="599"/>
      <c r="R60" s="599"/>
      <c r="S60" s="1096">
        <f t="shared" si="3"/>
        <v>35938450197</v>
      </c>
      <c r="T60" s="599">
        <v>46697288477</v>
      </c>
      <c r="U60" s="1096">
        <f>ROUND((S60/1000000),0)+1</f>
        <v>35939</v>
      </c>
      <c r="V60" s="599">
        <v>46697</v>
      </c>
      <c r="W60" s="620"/>
      <c r="X60" s="621"/>
      <c r="Y60" s="1096">
        <f t="shared" si="1"/>
        <v>35938450197</v>
      </c>
      <c r="Z60" s="882">
        <f t="shared" si="2"/>
        <v>35938</v>
      </c>
    </row>
    <row r="61" spans="1:26" ht="27" hidden="1" customHeight="1">
      <c r="A61" s="583"/>
      <c r="B61" s="583">
        <v>401</v>
      </c>
      <c r="C61" s="581">
        <v>11</v>
      </c>
      <c r="D61" s="1137" t="s">
        <v>483</v>
      </c>
      <c r="E61" s="1138" t="s">
        <v>1159</v>
      </c>
      <c r="F61" s="599"/>
      <c r="G61" s="599"/>
      <c r="H61" s="599"/>
      <c r="I61" s="599"/>
      <c r="J61" s="599"/>
      <c r="K61" s="599"/>
      <c r="L61" s="599"/>
      <c r="M61" s="599"/>
      <c r="N61" s="599"/>
      <c r="O61" s="599"/>
      <c r="P61" s="599"/>
      <c r="Q61" s="599"/>
      <c r="R61" s="599"/>
      <c r="S61" s="1096">
        <f t="shared" si="3"/>
        <v>0</v>
      </c>
      <c r="T61" s="599">
        <v>0</v>
      </c>
      <c r="U61" s="1096">
        <f t="shared" si="0"/>
        <v>0</v>
      </c>
      <c r="V61" s="599">
        <v>0</v>
      </c>
      <c r="W61" s="620"/>
      <c r="X61" s="621"/>
      <c r="Y61" s="1096">
        <f t="shared" si="1"/>
        <v>0</v>
      </c>
      <c r="Z61" s="882">
        <f t="shared" si="2"/>
        <v>0</v>
      </c>
    </row>
    <row r="62" spans="1:26" ht="27" hidden="1" customHeight="1">
      <c r="A62" s="583"/>
      <c r="B62" s="583">
        <v>401</v>
      </c>
      <c r="C62" s="581">
        <v>11</v>
      </c>
      <c r="D62" s="1137" t="s">
        <v>0</v>
      </c>
      <c r="E62" s="1138" t="s">
        <v>1090</v>
      </c>
      <c r="F62" s="599">
        <v>6135000</v>
      </c>
      <c r="G62" s="599"/>
      <c r="H62" s="599"/>
      <c r="I62" s="599">
        <f>1000000-7135000</f>
        <v>-6135000</v>
      </c>
      <c r="J62" s="599"/>
      <c r="K62" s="599"/>
      <c r="L62" s="599"/>
      <c r="M62" s="599"/>
      <c r="N62" s="599"/>
      <c r="O62" s="599"/>
      <c r="P62" s="599"/>
      <c r="Q62" s="599"/>
      <c r="R62" s="599"/>
      <c r="S62" s="1096">
        <f t="shared" si="3"/>
        <v>0</v>
      </c>
      <c r="T62" s="599">
        <v>0</v>
      </c>
      <c r="U62" s="1096">
        <f t="shared" si="0"/>
        <v>0</v>
      </c>
      <c r="V62" s="599">
        <v>0</v>
      </c>
      <c r="W62" s="620"/>
      <c r="X62" s="621"/>
      <c r="Y62" s="1096">
        <f t="shared" si="1"/>
        <v>0</v>
      </c>
      <c r="Z62" s="882">
        <f t="shared" si="2"/>
        <v>0</v>
      </c>
    </row>
    <row r="63" spans="1:26" ht="27" hidden="1" customHeight="1">
      <c r="A63" s="583"/>
      <c r="B63" s="583">
        <v>401</v>
      </c>
      <c r="C63" s="581">
        <v>11</v>
      </c>
      <c r="D63" s="1137" t="s">
        <v>224</v>
      </c>
      <c r="E63" s="1138" t="s">
        <v>474</v>
      </c>
      <c r="F63" s="599">
        <v>-409160829</v>
      </c>
      <c r="G63" s="599">
        <v>-3943610</v>
      </c>
      <c r="H63" s="599"/>
      <c r="I63" s="599"/>
      <c r="J63" s="599">
        <v>-3943610</v>
      </c>
      <c r="K63" s="599"/>
      <c r="L63" s="599"/>
      <c r="M63" s="599"/>
      <c r="N63" s="599"/>
      <c r="O63" s="599"/>
      <c r="P63" s="599"/>
      <c r="Q63" s="599"/>
      <c r="R63" s="599"/>
      <c r="S63" s="1096">
        <f t="shared" si="3"/>
        <v>-417048049</v>
      </c>
      <c r="T63" s="599">
        <v>-310802770</v>
      </c>
      <c r="U63" s="1096">
        <f t="shared" si="0"/>
        <v>-417</v>
      </c>
      <c r="V63" s="599">
        <v>-311</v>
      </c>
      <c r="W63" s="620"/>
      <c r="X63" s="621"/>
      <c r="Y63" s="1096">
        <f t="shared" si="1"/>
        <v>-417048049</v>
      </c>
      <c r="Z63" s="882">
        <f t="shared" si="2"/>
        <v>-417</v>
      </c>
    </row>
    <row r="64" spans="1:26" ht="27" hidden="1" customHeight="1">
      <c r="A64" s="583"/>
      <c r="B64" s="583">
        <v>401</v>
      </c>
      <c r="C64" s="581">
        <v>11</v>
      </c>
      <c r="D64" s="1137" t="s">
        <v>1234</v>
      </c>
      <c r="E64" s="1138" t="s">
        <v>1235</v>
      </c>
      <c r="F64" s="599">
        <v>13850000000</v>
      </c>
      <c r="G64" s="599"/>
      <c r="H64" s="599"/>
      <c r="I64" s="599"/>
      <c r="J64" s="599"/>
      <c r="K64" s="599"/>
      <c r="L64" s="599"/>
      <c r="M64" s="599"/>
      <c r="N64" s="599"/>
      <c r="O64" s="599"/>
      <c r="P64" s="599"/>
      <c r="Q64" s="599"/>
      <c r="R64" s="599"/>
      <c r="S64" s="1096">
        <f t="shared" si="3"/>
        <v>13850000000</v>
      </c>
      <c r="T64" s="599">
        <v>14250000000</v>
      </c>
      <c r="U64" s="1096">
        <f t="shared" si="0"/>
        <v>13850</v>
      </c>
      <c r="V64" s="599">
        <v>14250</v>
      </c>
      <c r="W64" s="620"/>
      <c r="X64" s="621"/>
      <c r="Y64" s="1096">
        <f t="shared" si="1"/>
        <v>13850000000</v>
      </c>
      <c r="Z64" s="882">
        <f t="shared" si="2"/>
        <v>13850</v>
      </c>
    </row>
    <row r="65" spans="1:26" ht="27" hidden="1" customHeight="1">
      <c r="A65" s="583"/>
      <c r="B65" s="583">
        <v>401</v>
      </c>
      <c r="C65" s="581">
        <v>11</v>
      </c>
      <c r="D65" s="1137" t="s">
        <v>1606</v>
      </c>
      <c r="E65" s="1138" t="s">
        <v>1607</v>
      </c>
      <c r="F65" s="599"/>
      <c r="G65" s="599"/>
      <c r="H65" s="599"/>
      <c r="I65" s="599"/>
      <c r="J65" s="599"/>
      <c r="K65" s="599"/>
      <c r="L65" s="599"/>
      <c r="M65" s="599"/>
      <c r="N65" s="599"/>
      <c r="O65" s="599"/>
      <c r="P65" s="599"/>
      <c r="Q65" s="599"/>
      <c r="R65" s="599"/>
      <c r="S65" s="1096">
        <f t="shared" si="3"/>
        <v>0</v>
      </c>
      <c r="T65" s="599">
        <v>0</v>
      </c>
      <c r="U65" s="1096">
        <f t="shared" si="0"/>
        <v>0</v>
      </c>
      <c r="V65" s="599">
        <v>0</v>
      </c>
      <c r="W65" s="620"/>
      <c r="X65" s="621"/>
      <c r="Y65" s="1096">
        <f t="shared" si="1"/>
        <v>0</v>
      </c>
      <c r="Z65" s="882">
        <f t="shared" si="2"/>
        <v>0</v>
      </c>
    </row>
    <row r="66" spans="1:26" ht="27" hidden="1" customHeight="1">
      <c r="A66" s="583"/>
      <c r="B66" s="583">
        <v>401</v>
      </c>
      <c r="C66" s="581">
        <v>11</v>
      </c>
      <c r="D66" s="1137" t="s">
        <v>2</v>
      </c>
      <c r="E66" s="1138" t="s">
        <v>877</v>
      </c>
      <c r="F66" s="599">
        <v>15309548212</v>
      </c>
      <c r="G66" s="599">
        <f>790555458-55555574</f>
        <v>734999884</v>
      </c>
      <c r="H66" s="599">
        <v>520000000</v>
      </c>
      <c r="I66" s="599"/>
      <c r="J66" s="599"/>
      <c r="K66" s="599"/>
      <c r="L66" s="599"/>
      <c r="M66" s="599"/>
      <c r="N66" s="599"/>
      <c r="O66" s="599"/>
      <c r="P66" s="599"/>
      <c r="Q66" s="599"/>
      <c r="R66" s="599"/>
      <c r="S66" s="1096">
        <f t="shared" si="3"/>
        <v>16564548096</v>
      </c>
      <c r="T66" s="599">
        <v>20207917878</v>
      </c>
      <c r="U66" s="1096">
        <f t="shared" si="0"/>
        <v>16565</v>
      </c>
      <c r="V66" s="599">
        <v>20208</v>
      </c>
      <c r="W66" s="620"/>
      <c r="X66" s="621"/>
      <c r="Y66" s="1096">
        <f t="shared" si="1"/>
        <v>16564548096</v>
      </c>
      <c r="Z66" s="882">
        <f t="shared" si="2"/>
        <v>16565</v>
      </c>
    </row>
    <row r="67" spans="1:26" ht="27" hidden="1" customHeight="1">
      <c r="A67" s="583"/>
      <c r="B67" s="583">
        <v>406</v>
      </c>
      <c r="C67" s="581">
        <v>11</v>
      </c>
      <c r="D67" s="1137" t="s">
        <v>476</v>
      </c>
      <c r="E67" s="1513" t="s">
        <v>1174</v>
      </c>
      <c r="F67" s="599">
        <v>-6000000</v>
      </c>
      <c r="G67" s="599"/>
      <c r="H67" s="599"/>
      <c r="I67" s="599"/>
      <c r="J67" s="599"/>
      <c r="K67" s="599"/>
      <c r="L67" s="599"/>
      <c r="M67" s="599"/>
      <c r="N67" s="599"/>
      <c r="O67" s="599"/>
      <c r="P67" s="599"/>
      <c r="Q67" s="599"/>
      <c r="R67" s="599"/>
      <c r="S67" s="1096">
        <f t="shared" si="3"/>
        <v>-6000000</v>
      </c>
      <c r="T67" s="599">
        <v>-6000000</v>
      </c>
      <c r="U67" s="1096">
        <f t="shared" si="0"/>
        <v>-6</v>
      </c>
      <c r="V67" s="599">
        <v>-6</v>
      </c>
      <c r="W67" s="620"/>
      <c r="X67" s="621"/>
      <c r="Y67" s="1096">
        <f t="shared" si="1"/>
        <v>-6000000</v>
      </c>
      <c r="Z67" s="882">
        <f t="shared" si="2"/>
        <v>-6</v>
      </c>
    </row>
    <row r="68" spans="1:26" ht="27" hidden="1" customHeight="1">
      <c r="A68" s="583"/>
      <c r="B68" s="583">
        <v>1009</v>
      </c>
      <c r="C68" s="581">
        <v>17</v>
      </c>
      <c r="D68" s="1137" t="s">
        <v>3</v>
      </c>
      <c r="E68" s="1138" t="s">
        <v>938</v>
      </c>
      <c r="F68" s="599"/>
      <c r="G68" s="599"/>
      <c r="H68" s="599"/>
      <c r="I68" s="599"/>
      <c r="J68" s="599"/>
      <c r="K68" s="599"/>
      <c r="L68" s="599"/>
      <c r="M68" s="599"/>
      <c r="N68" s="599"/>
      <c r="O68" s="599"/>
      <c r="P68" s="599"/>
      <c r="Q68" s="599"/>
      <c r="R68" s="599"/>
      <c r="S68" s="1096">
        <f t="shared" ref="S68:S131" si="4">SUM(F68:R68)</f>
        <v>0</v>
      </c>
      <c r="T68" s="599">
        <v>0</v>
      </c>
      <c r="U68" s="1096">
        <f t="shared" ref="U68:U131" si="5">ROUND((S68/1000000),0)</f>
        <v>0</v>
      </c>
      <c r="V68" s="599">
        <v>0</v>
      </c>
      <c r="W68" s="620"/>
      <c r="X68" s="621"/>
      <c r="Y68" s="1096">
        <f t="shared" si="1"/>
        <v>0</v>
      </c>
      <c r="Z68" s="882">
        <f t="shared" si="2"/>
        <v>0</v>
      </c>
    </row>
    <row r="69" spans="1:26" ht="27" hidden="1" customHeight="1">
      <c r="A69" s="583"/>
      <c r="B69" s="583">
        <v>1009</v>
      </c>
      <c r="C69" s="581">
        <v>17</v>
      </c>
      <c r="D69" s="1137" t="s">
        <v>4</v>
      </c>
      <c r="E69" s="1138" t="s">
        <v>440</v>
      </c>
      <c r="F69" s="599">
        <v>-530556168224</v>
      </c>
      <c r="G69" s="599"/>
      <c r="H69" s="599"/>
      <c r="I69" s="599"/>
      <c r="J69" s="599"/>
      <c r="K69" s="599"/>
      <c r="L69" s="599"/>
      <c r="M69" s="599"/>
      <c r="N69" s="599"/>
      <c r="O69" s="599"/>
      <c r="P69" s="599"/>
      <c r="Q69" s="599"/>
      <c r="R69" s="599"/>
      <c r="S69" s="1096">
        <f t="shared" si="4"/>
        <v>-530556168224</v>
      </c>
      <c r="T69" s="599">
        <v>-366770496455</v>
      </c>
      <c r="U69" s="1096">
        <f t="shared" si="5"/>
        <v>-530556</v>
      </c>
      <c r="V69" s="599">
        <v>-366770</v>
      </c>
      <c r="W69" s="620"/>
      <c r="X69" s="621"/>
      <c r="Y69" s="1096">
        <f t="shared" ref="Y69:Y133" si="6">S69+X69-W69</f>
        <v>-530556168224</v>
      </c>
      <c r="Z69" s="882">
        <f t="shared" ref="Z69:Z133" si="7">ROUND((Y69/1000000),0)</f>
        <v>-530556</v>
      </c>
    </row>
    <row r="70" spans="1:26" ht="27" hidden="1" customHeight="1">
      <c r="A70" s="583"/>
      <c r="B70" s="583">
        <v>401</v>
      </c>
      <c r="C70" s="581">
        <v>11</v>
      </c>
      <c r="D70" s="1137" t="s">
        <v>441</v>
      </c>
      <c r="E70" s="1138" t="s">
        <v>442</v>
      </c>
      <c r="F70" s="599">
        <v>4722293</v>
      </c>
      <c r="G70" s="599"/>
      <c r="H70" s="599"/>
      <c r="I70" s="599"/>
      <c r="J70" s="599"/>
      <c r="K70" s="599"/>
      <c r="L70" s="599"/>
      <c r="M70" s="599"/>
      <c r="N70" s="599"/>
      <c r="O70" s="599"/>
      <c r="P70" s="599"/>
      <c r="Q70" s="599"/>
      <c r="R70" s="599"/>
      <c r="S70" s="1096">
        <f t="shared" si="4"/>
        <v>4722293</v>
      </c>
      <c r="T70" s="599">
        <v>19722279</v>
      </c>
      <c r="U70" s="1096">
        <f t="shared" si="5"/>
        <v>5</v>
      </c>
      <c r="V70" s="599">
        <v>20</v>
      </c>
      <c r="W70" s="620"/>
      <c r="X70" s="621"/>
      <c r="Y70" s="1096">
        <f t="shared" si="6"/>
        <v>4722293</v>
      </c>
      <c r="Z70" s="882">
        <f t="shared" si="7"/>
        <v>5</v>
      </c>
    </row>
    <row r="71" spans="1:26" ht="27" hidden="1" customHeight="1">
      <c r="A71" s="583"/>
      <c r="B71" s="583">
        <v>1009</v>
      </c>
      <c r="C71" s="581">
        <v>17</v>
      </c>
      <c r="D71" s="1137" t="s">
        <v>5</v>
      </c>
      <c r="E71" s="1138" t="s">
        <v>828</v>
      </c>
      <c r="F71" s="599"/>
      <c r="G71" s="599"/>
      <c r="H71" s="599"/>
      <c r="I71" s="599"/>
      <c r="J71" s="599"/>
      <c r="K71" s="599"/>
      <c r="L71" s="599"/>
      <c r="M71" s="599"/>
      <c r="N71" s="599"/>
      <c r="O71" s="599"/>
      <c r="P71" s="599"/>
      <c r="Q71" s="599"/>
      <c r="R71" s="599"/>
      <c r="S71" s="1096">
        <f t="shared" si="4"/>
        <v>0</v>
      </c>
      <c r="T71" s="599">
        <v>0</v>
      </c>
      <c r="U71" s="1096">
        <f t="shared" si="5"/>
        <v>0</v>
      </c>
      <c r="V71" s="599">
        <v>0</v>
      </c>
      <c r="W71" s="620"/>
      <c r="X71" s="621"/>
      <c r="Y71" s="1096">
        <f t="shared" si="6"/>
        <v>0</v>
      </c>
      <c r="Z71" s="882">
        <f t="shared" si="7"/>
        <v>0</v>
      </c>
    </row>
    <row r="72" spans="1:26" ht="27" hidden="1" customHeight="1">
      <c r="A72" s="583"/>
      <c r="B72" s="583">
        <v>406</v>
      </c>
      <c r="C72" s="581">
        <v>11</v>
      </c>
      <c r="D72" s="1137" t="s">
        <v>1334</v>
      </c>
      <c r="E72" s="1138" t="s">
        <v>1611</v>
      </c>
      <c r="F72" s="599">
        <v>586136766846</v>
      </c>
      <c r="G72" s="599"/>
      <c r="H72" s="599"/>
      <c r="I72" s="599"/>
      <c r="J72" s="599"/>
      <c r="K72" s="599"/>
      <c r="L72" s="599"/>
      <c r="M72" s="599"/>
      <c r="N72" s="599"/>
      <c r="O72" s="599"/>
      <c r="P72" s="599"/>
      <c r="Q72" s="599"/>
      <c r="R72" s="599"/>
      <c r="S72" s="1096">
        <f t="shared" si="4"/>
        <v>586136766846</v>
      </c>
      <c r="T72" s="599">
        <v>367726274500</v>
      </c>
      <c r="U72" s="1096">
        <f t="shared" si="5"/>
        <v>586137</v>
      </c>
      <c r="V72" s="599">
        <v>367726</v>
      </c>
      <c r="W72" s="620"/>
      <c r="X72" s="621"/>
      <c r="Y72" s="1096">
        <f t="shared" si="6"/>
        <v>586136766846</v>
      </c>
      <c r="Z72" s="882">
        <f t="shared" si="7"/>
        <v>586137</v>
      </c>
    </row>
    <row r="73" spans="1:26" ht="27" hidden="1" customHeight="1">
      <c r="A73" s="583"/>
      <c r="B73" s="583">
        <v>1009</v>
      </c>
      <c r="C73" s="581">
        <v>17</v>
      </c>
      <c r="D73" s="1137" t="s">
        <v>878</v>
      </c>
      <c r="E73" s="1138" t="s">
        <v>879</v>
      </c>
      <c r="F73" s="599">
        <v>-742500</v>
      </c>
      <c r="G73" s="599"/>
      <c r="H73" s="599">
        <f>3300000-3300000</f>
        <v>0</v>
      </c>
      <c r="I73" s="599">
        <f>2172500-1430000</f>
        <v>742500</v>
      </c>
      <c r="J73" s="599"/>
      <c r="K73" s="599"/>
      <c r="L73" s="599"/>
      <c r="M73" s="599"/>
      <c r="N73" s="599"/>
      <c r="O73" s="599"/>
      <c r="P73" s="599"/>
      <c r="Q73" s="599"/>
      <c r="R73" s="599"/>
      <c r="S73" s="1096">
        <f t="shared" si="4"/>
        <v>0</v>
      </c>
      <c r="T73" s="599">
        <v>0</v>
      </c>
      <c r="U73" s="1096">
        <f t="shared" si="5"/>
        <v>0</v>
      </c>
      <c r="V73" s="599">
        <v>0</v>
      </c>
      <c r="W73" s="620"/>
      <c r="X73" s="621"/>
      <c r="Y73" s="1096">
        <f t="shared" si="6"/>
        <v>0</v>
      </c>
      <c r="Z73" s="882">
        <f t="shared" si="7"/>
        <v>0</v>
      </c>
    </row>
    <row r="74" spans="1:26" s="1410" customFormat="1" ht="27" hidden="1" customHeight="1">
      <c r="A74" s="1405"/>
      <c r="B74" s="1405">
        <v>1009</v>
      </c>
      <c r="C74" s="581">
        <v>17</v>
      </c>
      <c r="D74" s="1230" t="s">
        <v>1236</v>
      </c>
      <c r="E74" s="1406" t="s">
        <v>1237</v>
      </c>
      <c r="F74" s="599">
        <v>81055320</v>
      </c>
      <c r="G74" s="599"/>
      <c r="H74" s="599">
        <v>-13460000</v>
      </c>
      <c r="I74" s="599"/>
      <c r="J74" s="599"/>
      <c r="K74" s="599"/>
      <c r="L74" s="599"/>
      <c r="M74" s="1407"/>
      <c r="N74" s="599"/>
      <c r="O74" s="599"/>
      <c r="P74" s="599"/>
      <c r="Q74" s="599"/>
      <c r="R74" s="599"/>
      <c r="S74" s="1096">
        <f t="shared" si="4"/>
        <v>67595320</v>
      </c>
      <c r="T74" s="1407">
        <v>-49630000</v>
      </c>
      <c r="U74" s="1096">
        <f t="shared" si="5"/>
        <v>68</v>
      </c>
      <c r="V74" s="1407">
        <v>-50</v>
      </c>
      <c r="W74" s="1408"/>
      <c r="X74" s="1409"/>
      <c r="Y74" s="1096">
        <f t="shared" si="6"/>
        <v>67595320</v>
      </c>
      <c r="Z74" s="882">
        <f t="shared" si="7"/>
        <v>68</v>
      </c>
    </row>
    <row r="75" spans="1:26" ht="27" hidden="1" customHeight="1">
      <c r="A75" s="583"/>
      <c r="B75" s="583">
        <v>401</v>
      </c>
      <c r="C75" s="581">
        <v>11</v>
      </c>
      <c r="D75" s="1137" t="s">
        <v>1175</v>
      </c>
      <c r="E75" s="1138" t="s">
        <v>1168</v>
      </c>
      <c r="F75" s="599">
        <v>-31337519</v>
      </c>
      <c r="G75" s="599"/>
      <c r="H75" s="599">
        <f>137187614-137187614</f>
        <v>0</v>
      </c>
      <c r="I75" s="599"/>
      <c r="J75" s="599"/>
      <c r="K75" s="599"/>
      <c r="L75" s="599"/>
      <c r="M75" s="599"/>
      <c r="N75" s="599"/>
      <c r="O75" s="599"/>
      <c r="P75" s="599"/>
      <c r="Q75" s="599"/>
      <c r="R75" s="599"/>
      <c r="S75" s="1096">
        <f t="shared" si="4"/>
        <v>-31337519</v>
      </c>
      <c r="T75" s="599">
        <v>-71968369</v>
      </c>
      <c r="U75" s="1096">
        <f t="shared" si="5"/>
        <v>-31</v>
      </c>
      <c r="V75" s="599">
        <v>-72</v>
      </c>
      <c r="W75" s="620"/>
      <c r="X75" s="621"/>
      <c r="Y75" s="1096">
        <f t="shared" si="6"/>
        <v>-31337519</v>
      </c>
      <c r="Z75" s="882">
        <f t="shared" si="7"/>
        <v>-31</v>
      </c>
    </row>
    <row r="76" spans="1:26" ht="27" hidden="1" customHeight="1">
      <c r="A76" s="583"/>
      <c r="B76" s="583">
        <v>1009</v>
      </c>
      <c r="C76" s="581">
        <v>17</v>
      </c>
      <c r="D76" s="1137" t="s">
        <v>833</v>
      </c>
      <c r="E76" s="1138" t="s">
        <v>834</v>
      </c>
      <c r="F76" s="599"/>
      <c r="G76" s="599"/>
      <c r="H76" s="599"/>
      <c r="I76" s="599"/>
      <c r="J76" s="599"/>
      <c r="K76" s="599"/>
      <c r="L76" s="599"/>
      <c r="M76" s="599"/>
      <c r="N76" s="599"/>
      <c r="O76" s="599"/>
      <c r="P76" s="599"/>
      <c r="Q76" s="599"/>
      <c r="R76" s="599"/>
      <c r="S76" s="1096">
        <f t="shared" si="4"/>
        <v>0</v>
      </c>
      <c r="T76" s="599">
        <v>0</v>
      </c>
      <c r="U76" s="1096">
        <f t="shared" si="5"/>
        <v>0</v>
      </c>
      <c r="V76" s="599">
        <v>0</v>
      </c>
      <c r="W76" s="620"/>
      <c r="X76" s="621"/>
      <c r="Y76" s="1096">
        <f t="shared" si="6"/>
        <v>0</v>
      </c>
      <c r="Z76" s="882">
        <f t="shared" si="7"/>
        <v>0</v>
      </c>
    </row>
    <row r="77" spans="1:26" ht="27" hidden="1" customHeight="1">
      <c r="A77" s="583"/>
      <c r="B77" s="583">
        <v>401</v>
      </c>
      <c r="C77" s="581">
        <v>11</v>
      </c>
      <c r="D77" s="1137" t="s">
        <v>835</v>
      </c>
      <c r="E77" s="1138" t="s">
        <v>836</v>
      </c>
      <c r="F77" s="599">
        <v>39083515085</v>
      </c>
      <c r="G77" s="599"/>
      <c r="H77" s="599"/>
      <c r="I77" s="599"/>
      <c r="J77" s="599">
        <v>-40000000</v>
      </c>
      <c r="K77" s="599"/>
      <c r="L77" s="599"/>
      <c r="M77" s="599"/>
      <c r="N77" s="599"/>
      <c r="O77" s="599"/>
      <c r="P77" s="599"/>
      <c r="Q77" s="599"/>
      <c r="R77" s="599"/>
      <c r="S77" s="1096">
        <f t="shared" si="4"/>
        <v>39043515085</v>
      </c>
      <c r="T77" s="599">
        <v>31546200629</v>
      </c>
      <c r="U77" s="1096">
        <f t="shared" si="5"/>
        <v>39044</v>
      </c>
      <c r="V77" s="599">
        <v>31546</v>
      </c>
      <c r="W77" s="620"/>
      <c r="X77" s="621"/>
      <c r="Y77" s="1096">
        <f t="shared" si="6"/>
        <v>39043515085</v>
      </c>
      <c r="Z77" s="882">
        <f t="shared" si="7"/>
        <v>39044</v>
      </c>
    </row>
    <row r="78" spans="1:26" ht="27" hidden="1" customHeight="1">
      <c r="A78" s="583"/>
      <c r="B78" s="583">
        <v>401</v>
      </c>
      <c r="C78" s="581">
        <v>11</v>
      </c>
      <c r="D78" s="1137" t="s">
        <v>6</v>
      </c>
      <c r="E78" s="1138" t="s">
        <v>204</v>
      </c>
      <c r="F78" s="599">
        <v>1699222337</v>
      </c>
      <c r="G78" s="599">
        <f>513000000-628513191</f>
        <v>-115513191</v>
      </c>
      <c r="H78" s="599">
        <f>2113343242-896000000</f>
        <v>1217343242</v>
      </c>
      <c r="I78" s="599"/>
      <c r="J78" s="599">
        <f>740000001-941165036</f>
        <v>-201165035</v>
      </c>
      <c r="K78" s="599">
        <f>622277796-490038270</f>
        <v>132239526</v>
      </c>
      <c r="L78" s="599"/>
      <c r="M78" s="599"/>
      <c r="N78" s="599"/>
      <c r="O78" s="599"/>
      <c r="P78" s="599"/>
      <c r="Q78" s="599"/>
      <c r="R78" s="599"/>
      <c r="S78" s="1096">
        <f t="shared" si="4"/>
        <v>2732126879</v>
      </c>
      <c r="T78" s="599">
        <v>11964468776</v>
      </c>
      <c r="U78" s="1522">
        <f>ROUND((S78/1000000),0)</f>
        <v>2732</v>
      </c>
      <c r="V78" s="599">
        <v>11965</v>
      </c>
      <c r="W78" s="620"/>
      <c r="X78" s="621"/>
      <c r="Y78" s="1096">
        <f t="shared" si="6"/>
        <v>2732126879</v>
      </c>
      <c r="Z78" s="882">
        <f t="shared" si="7"/>
        <v>2732</v>
      </c>
    </row>
    <row r="79" spans="1:26" s="1433" customFormat="1" ht="27" hidden="1" customHeight="1">
      <c r="A79" s="1427"/>
      <c r="B79" s="1427">
        <v>401</v>
      </c>
      <c r="C79" s="581">
        <v>11</v>
      </c>
      <c r="D79" s="1428">
        <v>6605610</v>
      </c>
      <c r="E79" s="1429" t="s">
        <v>1856</v>
      </c>
      <c r="F79" s="1430">
        <v>616211</v>
      </c>
      <c r="G79" s="1430"/>
      <c r="H79" s="1430"/>
      <c r="I79" s="1430"/>
      <c r="J79" s="1430"/>
      <c r="K79" s="1430"/>
      <c r="L79" s="1430"/>
      <c r="M79" s="1430"/>
      <c r="N79" s="1430"/>
      <c r="O79" s="1430"/>
      <c r="P79" s="1430"/>
      <c r="Q79" s="1430"/>
      <c r="R79" s="1430"/>
      <c r="S79" s="1096">
        <f t="shared" si="4"/>
        <v>616211</v>
      </c>
      <c r="T79" s="1430"/>
      <c r="U79" s="1096">
        <f t="shared" si="5"/>
        <v>1</v>
      </c>
      <c r="V79" s="1430"/>
      <c r="W79" s="1431"/>
      <c r="X79" s="1432"/>
      <c r="Y79" s="1430"/>
      <c r="Z79" s="1430"/>
    </row>
    <row r="80" spans="1:26" ht="27" hidden="1" customHeight="1">
      <c r="A80" s="583"/>
      <c r="B80" s="583">
        <v>1002</v>
      </c>
      <c r="C80" s="581">
        <v>17</v>
      </c>
      <c r="D80" s="1137" t="s">
        <v>939</v>
      </c>
      <c r="E80" s="1138" t="s">
        <v>940</v>
      </c>
      <c r="F80" s="599">
        <v>26766485525</v>
      </c>
      <c r="G80" s="599">
        <v>-8498199562</v>
      </c>
      <c r="H80" s="599">
        <v>-13669260648</v>
      </c>
      <c r="I80" s="599"/>
      <c r="J80" s="599"/>
      <c r="K80" s="599"/>
      <c r="L80" s="599">
        <f>165117531-4764142846</f>
        <v>-4599025315</v>
      </c>
      <c r="M80" s="599"/>
      <c r="N80" s="599"/>
      <c r="O80" s="599"/>
      <c r="P80" s="599"/>
      <c r="Q80" s="599"/>
      <c r="R80" s="599"/>
      <c r="S80" s="1096">
        <f>SUM(F80:R80)</f>
        <v>0</v>
      </c>
      <c r="T80" s="599">
        <v>0</v>
      </c>
      <c r="U80" s="1096">
        <f t="shared" si="5"/>
        <v>0</v>
      </c>
      <c r="V80" s="599">
        <v>0</v>
      </c>
      <c r="W80" s="620"/>
      <c r="X80" s="621"/>
      <c r="Y80" s="1096">
        <f t="shared" si="6"/>
        <v>0</v>
      </c>
      <c r="Z80" s="882">
        <f t="shared" si="7"/>
        <v>0</v>
      </c>
    </row>
    <row r="81" spans="1:26" ht="27" hidden="1" customHeight="1">
      <c r="A81" s="583"/>
      <c r="B81" s="583">
        <v>1002</v>
      </c>
      <c r="C81" s="581">
        <v>17</v>
      </c>
      <c r="D81" s="582" t="s">
        <v>7</v>
      </c>
      <c r="E81" s="1138" t="s">
        <v>1822</v>
      </c>
      <c r="F81" s="599">
        <v>6080321</v>
      </c>
      <c r="G81" s="599">
        <v>-2848228</v>
      </c>
      <c r="H81" s="599">
        <v>-2599316</v>
      </c>
      <c r="I81" s="599"/>
      <c r="J81" s="599"/>
      <c r="K81" s="599"/>
      <c r="L81" s="599">
        <v>-632777</v>
      </c>
      <c r="M81" s="599"/>
      <c r="N81" s="599"/>
      <c r="O81" s="599"/>
      <c r="P81" s="599"/>
      <c r="Q81" s="599"/>
      <c r="R81" s="599"/>
      <c r="S81" s="1096">
        <f t="shared" si="4"/>
        <v>0</v>
      </c>
      <c r="T81" s="599">
        <v>0</v>
      </c>
      <c r="U81" s="1096">
        <f t="shared" si="5"/>
        <v>0</v>
      </c>
      <c r="V81" s="599">
        <v>0</v>
      </c>
      <c r="W81" s="620"/>
      <c r="X81" s="621"/>
      <c r="Y81" s="1096">
        <f t="shared" si="6"/>
        <v>0</v>
      </c>
      <c r="Z81" s="882">
        <f t="shared" si="7"/>
        <v>0</v>
      </c>
    </row>
    <row r="82" spans="1:26" ht="27" hidden="1" customHeight="1">
      <c r="A82" s="583"/>
      <c r="B82" s="1130">
        <v>1009</v>
      </c>
      <c r="C82" s="581">
        <v>17</v>
      </c>
      <c r="D82" s="1137" t="s">
        <v>8</v>
      </c>
      <c r="E82" s="1138" t="s">
        <v>203</v>
      </c>
      <c r="F82" s="599">
        <v>-2431677461</v>
      </c>
      <c r="G82" s="599">
        <f>115512191-2877954</f>
        <v>112634237</v>
      </c>
      <c r="H82" s="599">
        <v>-1210974802</v>
      </c>
      <c r="I82" s="599"/>
      <c r="J82" s="599">
        <f>241165036-2877954</f>
        <v>238287082</v>
      </c>
      <c r="K82" s="599"/>
      <c r="L82" s="599"/>
      <c r="M82" s="599"/>
      <c r="N82" s="599"/>
      <c r="O82" s="599"/>
      <c r="P82" s="599"/>
      <c r="Q82" s="599"/>
      <c r="R82" s="599"/>
      <c r="S82" s="1096">
        <f t="shared" si="4"/>
        <v>-3291730944</v>
      </c>
      <c r="T82" s="599">
        <v>-10546087573</v>
      </c>
      <c r="U82" s="1096">
        <f>ROUND((S82/1000000),0)+1</f>
        <v>-3291</v>
      </c>
      <c r="V82" s="599">
        <v>-10546</v>
      </c>
      <c r="W82" s="620"/>
      <c r="X82" s="621"/>
      <c r="Y82" s="1096">
        <f t="shared" si="6"/>
        <v>-3291730944</v>
      </c>
      <c r="Z82" s="882">
        <f t="shared" si="7"/>
        <v>-3292</v>
      </c>
    </row>
    <row r="83" spans="1:26" ht="27" hidden="1" customHeight="1">
      <c r="A83" s="583"/>
      <c r="B83" s="583">
        <v>401</v>
      </c>
      <c r="C83" s="581">
        <v>11</v>
      </c>
      <c r="D83" s="1137" t="s">
        <v>1238</v>
      </c>
      <c r="E83" s="1138" t="s">
        <v>1239</v>
      </c>
      <c r="F83" s="599">
        <v>15453169</v>
      </c>
      <c r="G83" s="599"/>
      <c r="H83" s="599"/>
      <c r="I83" s="599"/>
      <c r="J83" s="599"/>
      <c r="K83" s="599"/>
      <c r="L83" s="599"/>
      <c r="M83" s="599"/>
      <c r="N83" s="599"/>
      <c r="O83" s="599"/>
      <c r="P83" s="599"/>
      <c r="Q83" s="599"/>
      <c r="R83" s="599"/>
      <c r="S83" s="1096">
        <f t="shared" si="4"/>
        <v>15453169</v>
      </c>
      <c r="T83" s="599">
        <v>83806650</v>
      </c>
      <c r="U83" s="1096">
        <f t="shared" si="5"/>
        <v>15</v>
      </c>
      <c r="V83" s="599">
        <v>84</v>
      </c>
      <c r="W83" s="620"/>
      <c r="X83" s="621"/>
      <c r="Y83" s="1096">
        <f t="shared" si="6"/>
        <v>15453169</v>
      </c>
      <c r="Z83" s="882">
        <f t="shared" si="7"/>
        <v>15</v>
      </c>
    </row>
    <row r="84" spans="1:26" ht="27" hidden="1" customHeight="1">
      <c r="A84" s="583"/>
      <c r="B84" s="583">
        <v>1009</v>
      </c>
      <c r="C84" s="581">
        <v>17</v>
      </c>
      <c r="D84" s="1137" t="s">
        <v>549</v>
      </c>
      <c r="E84" s="1513" t="s">
        <v>550</v>
      </c>
      <c r="F84" s="599">
        <v>-448752336</v>
      </c>
      <c r="G84" s="599">
        <f>1076495400-1061619600</f>
        <v>14875800</v>
      </c>
      <c r="H84" s="599">
        <f>38559300-32183900</f>
        <v>6375400</v>
      </c>
      <c r="I84" s="599"/>
      <c r="J84" s="599">
        <v>310477100</v>
      </c>
      <c r="K84" s="599"/>
      <c r="L84" s="599"/>
      <c r="M84" s="599"/>
      <c r="N84" s="599"/>
      <c r="O84" s="599">
        <v>66300800</v>
      </c>
      <c r="P84" s="599"/>
      <c r="Q84" s="599"/>
      <c r="R84" s="599"/>
      <c r="S84" s="1096">
        <f t="shared" si="4"/>
        <v>-50723236</v>
      </c>
      <c r="T84" s="599">
        <v>31977600</v>
      </c>
      <c r="U84" s="1096">
        <f t="shared" si="5"/>
        <v>-51</v>
      </c>
      <c r="V84" s="599">
        <v>32</v>
      </c>
      <c r="W84" s="620"/>
      <c r="X84" s="621"/>
      <c r="Y84" s="1096">
        <f t="shared" si="6"/>
        <v>-50723236</v>
      </c>
      <c r="Z84" s="882">
        <f t="shared" si="7"/>
        <v>-51</v>
      </c>
    </row>
    <row r="85" spans="1:26" ht="27" hidden="1" customHeight="1">
      <c r="A85" s="583"/>
      <c r="B85" s="583">
        <v>1301</v>
      </c>
      <c r="C85" s="581">
        <v>18</v>
      </c>
      <c r="D85" s="1137" t="s">
        <v>9</v>
      </c>
      <c r="E85" s="1138" t="s">
        <v>590</v>
      </c>
      <c r="F85" s="599">
        <v>-5210623858260</v>
      </c>
      <c r="G85" s="599">
        <f>77553772617-78174166688</f>
        <v>-620394071</v>
      </c>
      <c r="H85" s="599">
        <f>32228220075-48965697623</f>
        <v>-16737477548</v>
      </c>
      <c r="I85" s="599"/>
      <c r="J85" s="599"/>
      <c r="K85" s="599">
        <v>-132239518</v>
      </c>
      <c r="L85" s="599">
        <v>5586217938</v>
      </c>
      <c r="M85" s="599"/>
      <c r="N85" s="599"/>
      <c r="O85" s="599"/>
      <c r="P85" s="599"/>
      <c r="Q85" s="599"/>
      <c r="R85" s="599"/>
      <c r="S85" s="1096">
        <f t="shared" si="4"/>
        <v>-5222527751459</v>
      </c>
      <c r="T85" s="599">
        <v>-4028896113727</v>
      </c>
      <c r="U85" s="1096">
        <f t="shared" si="5"/>
        <v>-5222528</v>
      </c>
      <c r="V85" s="599">
        <v>-4028896</v>
      </c>
      <c r="W85" s="620"/>
      <c r="X85" s="621"/>
      <c r="Y85" s="1096">
        <f t="shared" si="6"/>
        <v>-5222527751459</v>
      </c>
      <c r="Z85" s="882">
        <f t="shared" si="7"/>
        <v>-5222528</v>
      </c>
    </row>
    <row r="86" spans="1:26" ht="27" hidden="1" customHeight="1">
      <c r="A86" s="583"/>
      <c r="B86" s="583">
        <v>1009</v>
      </c>
      <c r="C86" s="581">
        <v>17</v>
      </c>
      <c r="D86" s="1137" t="s">
        <v>11</v>
      </c>
      <c r="E86" s="1138" t="s">
        <v>551</v>
      </c>
      <c r="F86" s="599">
        <v>-90970827</v>
      </c>
      <c r="G86" s="599"/>
      <c r="H86" s="599"/>
      <c r="I86" s="599"/>
      <c r="J86" s="599"/>
      <c r="K86" s="599"/>
      <c r="L86" s="599"/>
      <c r="M86" s="599"/>
      <c r="N86" s="599"/>
      <c r="O86" s="599"/>
      <c r="P86" s="599"/>
      <c r="Q86" s="599"/>
      <c r="R86" s="599"/>
      <c r="S86" s="1096">
        <f t="shared" si="4"/>
        <v>-90970827</v>
      </c>
      <c r="T86" s="599">
        <v>-116110949</v>
      </c>
      <c r="U86" s="1096">
        <f t="shared" si="5"/>
        <v>-91</v>
      </c>
      <c r="V86" s="599">
        <v>-116</v>
      </c>
      <c r="W86" s="620"/>
      <c r="X86" s="621"/>
      <c r="Y86" s="1096">
        <f t="shared" si="6"/>
        <v>-90970827</v>
      </c>
      <c r="Z86" s="882">
        <f t="shared" si="7"/>
        <v>-91</v>
      </c>
    </row>
    <row r="87" spans="1:26" ht="26.25" hidden="1" customHeight="1">
      <c r="A87" s="583"/>
      <c r="B87" s="583">
        <v>1009</v>
      </c>
      <c r="C87" s="581">
        <v>17</v>
      </c>
      <c r="D87" s="1137" t="s">
        <v>12</v>
      </c>
      <c r="E87" s="1138" t="s">
        <v>13</v>
      </c>
      <c r="F87" s="599">
        <v>-108634912</v>
      </c>
      <c r="G87" s="599"/>
      <c r="H87" s="599"/>
      <c r="I87" s="599"/>
      <c r="J87" s="599">
        <v>-580000</v>
      </c>
      <c r="K87" s="599"/>
      <c r="L87" s="599"/>
      <c r="M87" s="599"/>
      <c r="N87" s="599"/>
      <c r="O87" s="599"/>
      <c r="P87" s="599"/>
      <c r="Q87" s="599"/>
      <c r="R87" s="599"/>
      <c r="S87" s="1096">
        <f t="shared" si="4"/>
        <v>-109214912</v>
      </c>
      <c r="T87" s="599">
        <v>-104912943</v>
      </c>
      <c r="U87" s="1096">
        <f t="shared" si="5"/>
        <v>-109</v>
      </c>
      <c r="V87" s="599">
        <v>-105</v>
      </c>
      <c r="W87" s="620"/>
      <c r="X87" s="621"/>
      <c r="Y87" s="1096">
        <f t="shared" si="6"/>
        <v>-109214912</v>
      </c>
      <c r="Z87" s="882">
        <f t="shared" si="7"/>
        <v>-109</v>
      </c>
    </row>
    <row r="88" spans="1:26" ht="27" hidden="1" customHeight="1">
      <c r="A88" s="583"/>
      <c r="B88" s="583">
        <v>1009</v>
      </c>
      <c r="C88" s="581">
        <v>17</v>
      </c>
      <c r="D88" s="1137" t="s">
        <v>1091</v>
      </c>
      <c r="E88" s="1138" t="s">
        <v>1092</v>
      </c>
      <c r="F88" s="599"/>
      <c r="G88" s="599"/>
      <c r="H88" s="599"/>
      <c r="I88" s="599"/>
      <c r="J88" s="599"/>
      <c r="K88" s="599"/>
      <c r="L88" s="599"/>
      <c r="M88" s="599"/>
      <c r="N88" s="599"/>
      <c r="O88" s="599"/>
      <c r="P88" s="599"/>
      <c r="Q88" s="599"/>
      <c r="R88" s="599"/>
      <c r="S88" s="1096">
        <f t="shared" si="4"/>
        <v>0</v>
      </c>
      <c r="T88" s="599">
        <v>0</v>
      </c>
      <c r="U88" s="1096">
        <f t="shared" si="5"/>
        <v>0</v>
      </c>
      <c r="V88" s="599">
        <v>0</v>
      </c>
      <c r="W88" s="620"/>
      <c r="X88" s="621"/>
      <c r="Y88" s="1096">
        <f t="shared" si="6"/>
        <v>0</v>
      </c>
      <c r="Z88" s="882">
        <f t="shared" si="7"/>
        <v>0</v>
      </c>
    </row>
    <row r="89" spans="1:26" ht="27" hidden="1" customHeight="1">
      <c r="A89" s="583"/>
      <c r="B89" s="583">
        <v>1009</v>
      </c>
      <c r="C89" s="581">
        <v>17</v>
      </c>
      <c r="D89" s="1137" t="s">
        <v>14</v>
      </c>
      <c r="E89" s="1138" t="s">
        <v>363</v>
      </c>
      <c r="F89" s="599">
        <v>-24949778244</v>
      </c>
      <c r="G89" s="599"/>
      <c r="H89" s="599"/>
      <c r="I89" s="599"/>
      <c r="J89" s="599"/>
      <c r="K89" s="599"/>
      <c r="L89" s="599">
        <f>24026925973-24026925973</f>
        <v>0</v>
      </c>
      <c r="M89" s="599"/>
      <c r="N89" s="599"/>
      <c r="O89" s="599"/>
      <c r="P89" s="599"/>
      <c r="Q89" s="599"/>
      <c r="R89" s="599"/>
      <c r="S89" s="1096">
        <f t="shared" si="4"/>
        <v>-24949778244</v>
      </c>
      <c r="T89" s="599">
        <v>-6692893843</v>
      </c>
      <c r="U89" s="1096">
        <f t="shared" si="5"/>
        <v>-24950</v>
      </c>
      <c r="V89" s="599">
        <v>-6693</v>
      </c>
      <c r="W89" s="620"/>
      <c r="X89" s="621"/>
      <c r="Y89" s="1096">
        <f t="shared" si="6"/>
        <v>-24949778244</v>
      </c>
      <c r="Z89" s="882">
        <f t="shared" si="7"/>
        <v>-24950</v>
      </c>
    </row>
    <row r="90" spans="1:26" ht="27" hidden="1" customHeight="1">
      <c r="A90" s="583"/>
      <c r="B90" s="583">
        <v>1009</v>
      </c>
      <c r="C90" s="581">
        <v>17</v>
      </c>
      <c r="D90" s="1137" t="s">
        <v>15</v>
      </c>
      <c r="E90" s="1138" t="s">
        <v>552</v>
      </c>
      <c r="F90" s="599">
        <v>-6645000</v>
      </c>
      <c r="G90" s="599"/>
      <c r="H90" s="599"/>
      <c r="I90" s="599"/>
      <c r="J90" s="599"/>
      <c r="K90" s="599"/>
      <c r="L90" s="599"/>
      <c r="M90" s="599"/>
      <c r="N90" s="599"/>
      <c r="O90" s="599"/>
      <c r="P90" s="599"/>
      <c r="Q90" s="599"/>
      <c r="R90" s="599"/>
      <c r="S90" s="1096">
        <f t="shared" si="4"/>
        <v>-6645000</v>
      </c>
      <c r="T90" s="599">
        <v>0</v>
      </c>
      <c r="U90" s="1096">
        <f>ROUND((S90/1000000),0)+1</f>
        <v>-6</v>
      </c>
      <c r="V90" s="599">
        <v>0</v>
      </c>
      <c r="W90" s="620"/>
      <c r="X90" s="621"/>
      <c r="Y90" s="1096">
        <f t="shared" si="6"/>
        <v>-6645000</v>
      </c>
      <c r="Z90" s="882">
        <f t="shared" si="7"/>
        <v>-7</v>
      </c>
    </row>
    <row r="91" spans="1:26" ht="27" hidden="1" customHeight="1">
      <c r="A91" s="583"/>
      <c r="B91" s="583">
        <v>1009</v>
      </c>
      <c r="C91" s="581">
        <v>17</v>
      </c>
      <c r="D91" s="1137" t="s">
        <v>744</v>
      </c>
      <c r="E91" s="1138" t="s">
        <v>1093</v>
      </c>
      <c r="F91" s="599">
        <v>-707098541</v>
      </c>
      <c r="G91" s="599">
        <v>670565868</v>
      </c>
      <c r="H91" s="599">
        <v>36532673</v>
      </c>
      <c r="I91" s="599"/>
      <c r="J91" s="599"/>
      <c r="K91" s="599"/>
      <c r="L91" s="599"/>
      <c r="M91" s="599"/>
      <c r="N91" s="599"/>
      <c r="O91" s="599"/>
      <c r="P91" s="599"/>
      <c r="Q91" s="599"/>
      <c r="R91" s="599"/>
      <c r="S91" s="1096">
        <f t="shared" si="4"/>
        <v>0</v>
      </c>
      <c r="T91" s="599">
        <v>0</v>
      </c>
      <c r="U91" s="1096">
        <f t="shared" si="5"/>
        <v>0</v>
      </c>
      <c r="V91" s="599">
        <v>0</v>
      </c>
      <c r="W91" s="620"/>
      <c r="X91" s="621"/>
      <c r="Y91" s="1096">
        <f t="shared" si="6"/>
        <v>0</v>
      </c>
      <c r="Z91" s="882">
        <f t="shared" si="7"/>
        <v>0</v>
      </c>
    </row>
    <row r="92" spans="1:26" ht="27" hidden="1" customHeight="1">
      <c r="A92" s="583"/>
      <c r="B92" s="583">
        <v>1002</v>
      </c>
      <c r="C92" s="581">
        <v>17</v>
      </c>
      <c r="D92" s="1137" t="s">
        <v>39</v>
      </c>
      <c r="E92" s="1138" t="s">
        <v>181</v>
      </c>
      <c r="F92" s="599">
        <v>-79078513229</v>
      </c>
      <c r="G92" s="599">
        <v>8501047790</v>
      </c>
      <c r="H92" s="599">
        <f>13671859964-21235306</f>
        <v>13650624658</v>
      </c>
      <c r="I92" s="599"/>
      <c r="J92" s="599"/>
      <c r="K92" s="599"/>
      <c r="L92" s="599">
        <v>4599658092</v>
      </c>
      <c r="M92" s="599"/>
      <c r="N92" s="599"/>
      <c r="O92" s="599"/>
      <c r="P92" s="599"/>
      <c r="Q92" s="599"/>
      <c r="R92" s="599"/>
      <c r="S92" s="1096">
        <f t="shared" si="4"/>
        <v>-52327182689</v>
      </c>
      <c r="T92" s="599">
        <v>-78132768970</v>
      </c>
      <c r="U92" s="1096">
        <f t="shared" si="5"/>
        <v>-52327</v>
      </c>
      <c r="V92" s="599">
        <v>-78133</v>
      </c>
      <c r="W92" s="620"/>
      <c r="X92" s="621"/>
      <c r="Y92" s="1096">
        <f t="shared" si="6"/>
        <v>-52327182689</v>
      </c>
      <c r="Z92" s="882">
        <f t="shared" si="7"/>
        <v>-52327</v>
      </c>
    </row>
    <row r="93" spans="1:26" ht="27" hidden="1" customHeight="1">
      <c r="A93" s="583"/>
      <c r="B93" s="583">
        <v>1009</v>
      </c>
      <c r="C93" s="581">
        <v>17</v>
      </c>
      <c r="D93" s="1137" t="s">
        <v>941</v>
      </c>
      <c r="E93" s="1138" t="s">
        <v>942</v>
      </c>
      <c r="F93" s="599"/>
      <c r="G93" s="599"/>
      <c r="H93" s="599"/>
      <c r="I93" s="599"/>
      <c r="J93" s="599"/>
      <c r="K93" s="599"/>
      <c r="L93" s="599"/>
      <c r="M93" s="599"/>
      <c r="N93" s="599"/>
      <c r="O93" s="599"/>
      <c r="P93" s="599"/>
      <c r="Q93" s="599"/>
      <c r="R93" s="599"/>
      <c r="S93" s="1096">
        <f t="shared" si="4"/>
        <v>0</v>
      </c>
      <c r="T93" s="599">
        <v>0</v>
      </c>
      <c r="U93" s="1096">
        <f t="shared" si="5"/>
        <v>0</v>
      </c>
      <c r="V93" s="599">
        <v>0</v>
      </c>
      <c r="W93" s="620"/>
      <c r="X93" s="621"/>
      <c r="Y93" s="1096">
        <f t="shared" si="6"/>
        <v>0</v>
      </c>
      <c r="Z93" s="882">
        <f t="shared" si="7"/>
        <v>0</v>
      </c>
    </row>
    <row r="94" spans="1:26" ht="27" hidden="1" customHeight="1">
      <c r="A94" s="583"/>
      <c r="B94" s="583">
        <v>1009</v>
      </c>
      <c r="C94" s="581">
        <v>17</v>
      </c>
      <c r="D94" s="1137" t="s">
        <v>40</v>
      </c>
      <c r="E94" s="1138" t="s">
        <v>41</v>
      </c>
      <c r="F94" s="599"/>
      <c r="G94" s="599"/>
      <c r="H94" s="599"/>
      <c r="I94" s="599"/>
      <c r="J94" s="599"/>
      <c r="K94" s="599"/>
      <c r="L94" s="599"/>
      <c r="M94" s="599"/>
      <c r="N94" s="599"/>
      <c r="O94" s="599"/>
      <c r="P94" s="599"/>
      <c r="Q94" s="599"/>
      <c r="R94" s="599"/>
      <c r="S94" s="1096">
        <f t="shared" si="4"/>
        <v>0</v>
      </c>
      <c r="T94" s="599">
        <v>0</v>
      </c>
      <c r="U94" s="1096">
        <f t="shared" si="5"/>
        <v>0</v>
      </c>
      <c r="V94" s="599">
        <v>0</v>
      </c>
      <c r="W94" s="620"/>
      <c r="X94" s="621"/>
      <c r="Y94" s="1096">
        <f t="shared" si="6"/>
        <v>0</v>
      </c>
      <c r="Z94" s="882">
        <f t="shared" si="7"/>
        <v>0</v>
      </c>
    </row>
    <row r="95" spans="1:26" ht="27" hidden="1" customHeight="1">
      <c r="A95" s="583"/>
      <c r="B95" s="583">
        <v>1009</v>
      </c>
      <c r="C95" s="581">
        <v>17</v>
      </c>
      <c r="D95" s="1137" t="s">
        <v>1094</v>
      </c>
      <c r="E95" s="1138" t="s">
        <v>1095</v>
      </c>
      <c r="F95" s="599">
        <v>-325471013</v>
      </c>
      <c r="G95" s="599">
        <f>309774225-1935324</f>
        <v>307838901</v>
      </c>
      <c r="H95" s="599">
        <v>17632112</v>
      </c>
      <c r="I95" s="599"/>
      <c r="J95" s="599"/>
      <c r="K95" s="599"/>
      <c r="L95" s="599"/>
      <c r="M95" s="599"/>
      <c r="N95" s="599"/>
      <c r="O95" s="599"/>
      <c r="P95" s="599"/>
      <c r="Q95" s="599"/>
      <c r="R95" s="599"/>
      <c r="S95" s="1096">
        <f t="shared" si="4"/>
        <v>0</v>
      </c>
      <c r="T95" s="599">
        <v>0</v>
      </c>
      <c r="U95" s="1096">
        <f t="shared" si="5"/>
        <v>0</v>
      </c>
      <c r="V95" s="599">
        <v>0</v>
      </c>
      <c r="W95" s="620"/>
      <c r="X95" s="621"/>
      <c r="Y95" s="1096">
        <f t="shared" si="6"/>
        <v>0</v>
      </c>
      <c r="Z95" s="882">
        <f t="shared" si="7"/>
        <v>0</v>
      </c>
    </row>
    <row r="96" spans="1:26" ht="27" hidden="1" customHeight="1">
      <c r="A96" s="583"/>
      <c r="B96" s="583">
        <v>1009</v>
      </c>
      <c r="C96" s="581">
        <v>17</v>
      </c>
      <c r="D96" s="1137" t="s">
        <v>1096</v>
      </c>
      <c r="E96" s="1138" t="s">
        <v>1097</v>
      </c>
      <c r="F96" s="599">
        <v>-240000</v>
      </c>
      <c r="G96" s="599"/>
      <c r="H96" s="599"/>
      <c r="I96" s="599"/>
      <c r="J96" s="599"/>
      <c r="K96" s="599"/>
      <c r="L96" s="599">
        <v>240000</v>
      </c>
      <c r="M96" s="599"/>
      <c r="N96" s="599"/>
      <c r="O96" s="599"/>
      <c r="P96" s="599"/>
      <c r="Q96" s="599"/>
      <c r="R96" s="599"/>
      <c r="S96" s="1096">
        <f t="shared" si="4"/>
        <v>0</v>
      </c>
      <c r="T96" s="599">
        <v>0</v>
      </c>
      <c r="U96" s="1096">
        <f t="shared" si="5"/>
        <v>0</v>
      </c>
      <c r="V96" s="599">
        <v>0</v>
      </c>
      <c r="W96" s="620"/>
      <c r="X96" s="621"/>
      <c r="Y96" s="1096">
        <f t="shared" si="6"/>
        <v>0</v>
      </c>
      <c r="Z96" s="882">
        <f t="shared" si="7"/>
        <v>0</v>
      </c>
    </row>
    <row r="97" spans="1:26" ht="27" hidden="1" customHeight="1">
      <c r="A97" s="583"/>
      <c r="B97" s="583">
        <v>1009</v>
      </c>
      <c r="C97" s="581">
        <v>17</v>
      </c>
      <c r="D97" s="1137" t="s">
        <v>854</v>
      </c>
      <c r="E97" s="1138" t="s">
        <v>1098</v>
      </c>
      <c r="F97" s="599">
        <v>-44800366</v>
      </c>
      <c r="G97" s="599">
        <v>31017799</v>
      </c>
      <c r="H97" s="599">
        <v>13782567</v>
      </c>
      <c r="I97" s="599"/>
      <c r="J97" s="599"/>
      <c r="K97" s="599"/>
      <c r="L97" s="599"/>
      <c r="M97" s="599"/>
      <c r="N97" s="599"/>
      <c r="O97" s="599"/>
      <c r="P97" s="599"/>
      <c r="Q97" s="599"/>
      <c r="R97" s="599"/>
      <c r="S97" s="1096">
        <f t="shared" si="4"/>
        <v>0</v>
      </c>
      <c r="T97" s="599">
        <v>0</v>
      </c>
      <c r="U97" s="1096">
        <f t="shared" si="5"/>
        <v>0</v>
      </c>
      <c r="V97" s="599">
        <v>0</v>
      </c>
      <c r="W97" s="620"/>
      <c r="X97" s="621"/>
      <c r="Y97" s="1096">
        <f t="shared" si="6"/>
        <v>0</v>
      </c>
      <c r="Z97" s="882">
        <f t="shared" si="7"/>
        <v>0</v>
      </c>
    </row>
    <row r="98" spans="1:26" ht="27" hidden="1" customHeight="1">
      <c r="A98" s="583"/>
      <c r="B98" s="583">
        <v>401</v>
      </c>
      <c r="C98" s="581">
        <v>11</v>
      </c>
      <c r="D98" s="1137" t="s">
        <v>42</v>
      </c>
      <c r="E98" s="1138" t="s">
        <v>943</v>
      </c>
      <c r="F98" s="599">
        <v>-32316000</v>
      </c>
      <c r="G98" s="599"/>
      <c r="H98" s="599"/>
      <c r="I98" s="599"/>
      <c r="J98" s="599"/>
      <c r="K98" s="599"/>
      <c r="L98" s="599">
        <v>32316000</v>
      </c>
      <c r="M98" s="599"/>
      <c r="N98" s="599"/>
      <c r="O98" s="599"/>
      <c r="P98" s="599"/>
      <c r="Q98" s="599"/>
      <c r="R98" s="599"/>
      <c r="S98" s="1096">
        <f t="shared" si="4"/>
        <v>0</v>
      </c>
      <c r="T98" s="599">
        <v>0</v>
      </c>
      <c r="U98" s="1096">
        <f t="shared" si="5"/>
        <v>0</v>
      </c>
      <c r="V98" s="599">
        <v>0</v>
      </c>
      <c r="W98" s="620"/>
      <c r="X98" s="621"/>
      <c r="Y98" s="1096">
        <f t="shared" si="6"/>
        <v>0</v>
      </c>
      <c r="Z98" s="882">
        <f t="shared" si="7"/>
        <v>0</v>
      </c>
    </row>
    <row r="99" spans="1:26" ht="27" hidden="1" customHeight="1">
      <c r="A99" s="583"/>
      <c r="B99" s="583">
        <v>1009</v>
      </c>
      <c r="C99" s="581">
        <v>17</v>
      </c>
      <c r="D99" s="1137" t="s">
        <v>1099</v>
      </c>
      <c r="E99" s="1138" t="s">
        <v>1084</v>
      </c>
      <c r="F99" s="599">
        <v>-115760827</v>
      </c>
      <c r="G99" s="599"/>
      <c r="H99" s="599"/>
      <c r="I99" s="599"/>
      <c r="J99" s="599"/>
      <c r="K99" s="599"/>
      <c r="L99" s="599"/>
      <c r="M99" s="599"/>
      <c r="N99" s="599"/>
      <c r="O99" s="599"/>
      <c r="P99" s="599"/>
      <c r="Q99" s="599"/>
      <c r="R99" s="599"/>
      <c r="S99" s="1096">
        <f t="shared" si="4"/>
        <v>-115760827</v>
      </c>
      <c r="T99" s="599">
        <v>-85494888</v>
      </c>
      <c r="U99" s="1096">
        <f t="shared" si="5"/>
        <v>-116</v>
      </c>
      <c r="V99" s="599">
        <v>-85</v>
      </c>
      <c r="W99" s="620"/>
      <c r="X99" s="621"/>
      <c r="Y99" s="1096">
        <f t="shared" si="6"/>
        <v>-115760827</v>
      </c>
      <c r="Z99" s="882">
        <f t="shared" si="7"/>
        <v>-116</v>
      </c>
    </row>
    <row r="100" spans="1:26" ht="27" hidden="1" customHeight="1">
      <c r="A100" s="583"/>
      <c r="B100" s="583">
        <v>401</v>
      </c>
      <c r="C100" s="581">
        <v>11</v>
      </c>
      <c r="D100" s="1137" t="s">
        <v>1100</v>
      </c>
      <c r="E100" s="1138" t="s">
        <v>1102</v>
      </c>
      <c r="F100" s="599"/>
      <c r="G100" s="599"/>
      <c r="H100" s="599"/>
      <c r="I100" s="599"/>
      <c r="J100" s="599"/>
      <c r="K100" s="599"/>
      <c r="L100" s="599"/>
      <c r="M100" s="599"/>
      <c r="N100" s="599"/>
      <c r="O100" s="599"/>
      <c r="P100" s="599"/>
      <c r="Q100" s="599"/>
      <c r="R100" s="599"/>
      <c r="S100" s="1096">
        <f t="shared" si="4"/>
        <v>0</v>
      </c>
      <c r="T100" s="599">
        <v>0</v>
      </c>
      <c r="U100" s="1096">
        <f t="shared" si="5"/>
        <v>0</v>
      </c>
      <c r="V100" s="599">
        <v>0</v>
      </c>
      <c r="W100" s="620"/>
      <c r="X100" s="621"/>
      <c r="Y100" s="1096">
        <f t="shared" si="6"/>
        <v>0</v>
      </c>
      <c r="Z100" s="882">
        <f t="shared" si="7"/>
        <v>0</v>
      </c>
    </row>
    <row r="101" spans="1:26" ht="27" hidden="1" customHeight="1">
      <c r="A101" s="583"/>
      <c r="B101" s="583">
        <v>1009</v>
      </c>
      <c r="C101" s="581">
        <v>17</v>
      </c>
      <c r="D101" s="1137" t="s">
        <v>1101</v>
      </c>
      <c r="E101" s="1138" t="s">
        <v>1103</v>
      </c>
      <c r="F101" s="599">
        <v>-222058432</v>
      </c>
      <c r="G101" s="599">
        <v>222058432</v>
      </c>
      <c r="H101" s="599"/>
      <c r="I101" s="599"/>
      <c r="J101" s="599"/>
      <c r="K101" s="599"/>
      <c r="L101" s="599"/>
      <c r="M101" s="599"/>
      <c r="N101" s="599"/>
      <c r="O101" s="599"/>
      <c r="P101" s="599"/>
      <c r="Q101" s="599"/>
      <c r="R101" s="599"/>
      <c r="S101" s="1096">
        <f t="shared" si="4"/>
        <v>0</v>
      </c>
      <c r="T101" s="599">
        <v>0</v>
      </c>
      <c r="U101" s="1096">
        <f t="shared" si="5"/>
        <v>0</v>
      </c>
      <c r="V101" s="599">
        <v>0</v>
      </c>
      <c r="W101" s="620"/>
      <c r="X101" s="621"/>
      <c r="Y101" s="1096">
        <f t="shared" si="6"/>
        <v>0</v>
      </c>
      <c r="Z101" s="882">
        <f t="shared" si="7"/>
        <v>0</v>
      </c>
    </row>
    <row r="102" spans="1:26" ht="27" hidden="1" customHeight="1">
      <c r="A102" s="583"/>
      <c r="B102" s="583">
        <v>406</v>
      </c>
      <c r="C102" s="581">
        <v>11</v>
      </c>
      <c r="D102" s="1137" t="s">
        <v>43</v>
      </c>
      <c r="E102" s="1138" t="s">
        <v>1002</v>
      </c>
      <c r="F102" s="599">
        <v>-163999043</v>
      </c>
      <c r="G102" s="599"/>
      <c r="H102" s="599">
        <v>120000</v>
      </c>
      <c r="I102" s="599"/>
      <c r="J102" s="599"/>
      <c r="K102" s="599"/>
      <c r="L102" s="599"/>
      <c r="M102" s="599"/>
      <c r="N102" s="599"/>
      <c r="O102" s="599"/>
      <c r="P102" s="599"/>
      <c r="Q102" s="599"/>
      <c r="R102" s="599"/>
      <c r="S102" s="1096">
        <f>SUM(F102:R102)</f>
        <v>-163879043</v>
      </c>
      <c r="T102" s="599">
        <v>-216527043</v>
      </c>
      <c r="U102" s="1096">
        <f t="shared" si="5"/>
        <v>-164</v>
      </c>
      <c r="V102" s="599">
        <v>-217</v>
      </c>
      <c r="W102" s="620"/>
      <c r="X102" s="621"/>
      <c r="Y102" s="1096">
        <f t="shared" si="6"/>
        <v>-163879043</v>
      </c>
      <c r="Z102" s="882">
        <f t="shared" si="7"/>
        <v>-164</v>
      </c>
    </row>
    <row r="103" spans="1:26" ht="27" hidden="1" customHeight="1">
      <c r="A103" s="583"/>
      <c r="B103" s="583">
        <v>406</v>
      </c>
      <c r="C103" s="581">
        <v>11</v>
      </c>
      <c r="D103" s="582" t="s">
        <v>1832</v>
      </c>
      <c r="E103" s="1138" t="s">
        <v>1823</v>
      </c>
      <c r="F103" s="599"/>
      <c r="G103" s="599"/>
      <c r="H103" s="599"/>
      <c r="I103" s="599"/>
      <c r="J103" s="599"/>
      <c r="K103" s="599"/>
      <c r="L103" s="599"/>
      <c r="M103" s="599"/>
      <c r="N103" s="599"/>
      <c r="O103" s="599"/>
      <c r="P103" s="599"/>
      <c r="Q103" s="599"/>
      <c r="R103" s="599"/>
      <c r="S103" s="1096">
        <f t="shared" si="4"/>
        <v>0</v>
      </c>
      <c r="T103" s="599">
        <v>0</v>
      </c>
      <c r="U103" s="1096">
        <f t="shared" si="5"/>
        <v>0</v>
      </c>
      <c r="V103" s="599">
        <v>0</v>
      </c>
      <c r="W103" s="620"/>
      <c r="X103" s="621"/>
      <c r="Y103" s="1096">
        <f t="shared" si="6"/>
        <v>0</v>
      </c>
      <c r="Z103" s="882">
        <f t="shared" si="7"/>
        <v>0</v>
      </c>
    </row>
    <row r="104" spans="1:26" ht="27" hidden="1" customHeight="1">
      <c r="A104" s="583"/>
      <c r="B104" s="583">
        <v>401</v>
      </c>
      <c r="C104" s="581">
        <v>11</v>
      </c>
      <c r="D104" s="1137" t="s">
        <v>1176</v>
      </c>
      <c r="E104" s="1138" t="s">
        <v>1171</v>
      </c>
      <c r="F104" s="599">
        <v>304785439</v>
      </c>
      <c r="G104" s="599"/>
      <c r="H104" s="599"/>
      <c r="I104" s="599"/>
      <c r="J104" s="599"/>
      <c r="K104" s="599"/>
      <c r="L104" s="599"/>
      <c r="M104" s="599"/>
      <c r="N104" s="599"/>
      <c r="O104" s="599"/>
      <c r="P104" s="599"/>
      <c r="Q104" s="599"/>
      <c r="R104" s="599"/>
      <c r="S104" s="1096">
        <f t="shared" si="4"/>
        <v>304785439</v>
      </c>
      <c r="T104" s="599">
        <v>339627640</v>
      </c>
      <c r="U104" s="1096">
        <f t="shared" si="5"/>
        <v>305</v>
      </c>
      <c r="V104" s="599">
        <v>340</v>
      </c>
      <c r="W104" s="620"/>
      <c r="X104" s="621"/>
      <c r="Y104" s="1096">
        <f t="shared" si="6"/>
        <v>304785439</v>
      </c>
      <c r="Z104" s="882">
        <f t="shared" si="7"/>
        <v>305</v>
      </c>
    </row>
    <row r="105" spans="1:26" ht="27" hidden="1" customHeight="1">
      <c r="A105" s="583"/>
      <c r="B105" s="583">
        <v>1009</v>
      </c>
      <c r="C105" s="581">
        <v>17</v>
      </c>
      <c r="D105" s="1137" t="s">
        <v>44</v>
      </c>
      <c r="E105" s="1138" t="s">
        <v>898</v>
      </c>
      <c r="F105" s="599"/>
      <c r="G105" s="599"/>
      <c r="H105" s="599"/>
      <c r="I105" s="599"/>
      <c r="J105" s="599"/>
      <c r="K105" s="599"/>
      <c r="L105" s="599"/>
      <c r="M105" s="599"/>
      <c r="N105" s="599"/>
      <c r="O105" s="599"/>
      <c r="P105" s="599"/>
      <c r="Q105" s="599"/>
      <c r="R105" s="599"/>
      <c r="S105" s="1096">
        <f t="shared" si="4"/>
        <v>0</v>
      </c>
      <c r="T105" s="599">
        <v>0</v>
      </c>
      <c r="U105" s="1096">
        <f t="shared" si="5"/>
        <v>0</v>
      </c>
      <c r="V105" s="599">
        <v>0</v>
      </c>
      <c r="W105" s="620"/>
      <c r="X105" s="621"/>
      <c r="Y105" s="1096">
        <f t="shared" si="6"/>
        <v>0</v>
      </c>
      <c r="Z105" s="882">
        <f t="shared" si="7"/>
        <v>0</v>
      </c>
    </row>
    <row r="106" spans="1:26" ht="27" hidden="1" customHeight="1">
      <c r="A106" s="583"/>
      <c r="B106" s="583">
        <v>401</v>
      </c>
      <c r="C106" s="581">
        <v>11</v>
      </c>
      <c r="D106" s="1137" t="s">
        <v>944</v>
      </c>
      <c r="E106" s="1138" t="s">
        <v>945</v>
      </c>
      <c r="F106" s="599">
        <v>6723687775962</v>
      </c>
      <c r="G106" s="599">
        <f>351506166-901887649933</f>
        <v>-901536143767</v>
      </c>
      <c r="H106" s="599"/>
      <c r="I106" s="599"/>
      <c r="J106" s="599">
        <v>580000</v>
      </c>
      <c r="K106" s="599"/>
      <c r="L106" s="599"/>
      <c r="M106" s="599"/>
      <c r="N106" s="599">
        <v>-5822152212195</v>
      </c>
      <c r="O106" s="599"/>
      <c r="P106" s="599"/>
      <c r="Q106" s="599"/>
      <c r="R106" s="599"/>
      <c r="S106" s="1096">
        <f t="shared" si="4"/>
        <v>0</v>
      </c>
      <c r="T106" s="599">
        <v>0</v>
      </c>
      <c r="U106" s="1096">
        <f t="shared" si="5"/>
        <v>0</v>
      </c>
      <c r="V106" s="599">
        <v>0</v>
      </c>
      <c r="W106" s="620"/>
      <c r="X106" s="621"/>
      <c r="Y106" s="1096">
        <f t="shared" si="6"/>
        <v>0</v>
      </c>
      <c r="Z106" s="882">
        <f t="shared" si="7"/>
        <v>0</v>
      </c>
    </row>
    <row r="107" spans="1:26" ht="27" hidden="1" customHeight="1">
      <c r="A107" s="583"/>
      <c r="B107" s="583">
        <v>401</v>
      </c>
      <c r="C107" s="581">
        <v>11</v>
      </c>
      <c r="D107" s="1137" t="s">
        <v>946</v>
      </c>
      <c r="E107" s="1138" t="s">
        <v>947</v>
      </c>
      <c r="F107" s="599">
        <v>27566498486</v>
      </c>
      <c r="G107" s="599">
        <v>-1932617982</v>
      </c>
      <c r="H107" s="599"/>
      <c r="I107" s="599"/>
      <c r="J107" s="599"/>
      <c r="K107" s="599"/>
      <c r="L107" s="599"/>
      <c r="M107" s="599"/>
      <c r="N107" s="599">
        <v>-25633880504</v>
      </c>
      <c r="O107" s="599"/>
      <c r="P107" s="599"/>
      <c r="Q107" s="599"/>
      <c r="R107" s="599"/>
      <c r="S107" s="1096">
        <f t="shared" si="4"/>
        <v>0</v>
      </c>
      <c r="T107" s="599">
        <v>0</v>
      </c>
      <c r="U107" s="1096">
        <f t="shared" si="5"/>
        <v>0</v>
      </c>
      <c r="V107" s="599">
        <v>0</v>
      </c>
      <c r="W107" s="620"/>
      <c r="X107" s="621"/>
      <c r="Y107" s="1096">
        <f t="shared" si="6"/>
        <v>0</v>
      </c>
      <c r="Z107" s="882">
        <f t="shared" si="7"/>
        <v>0</v>
      </c>
    </row>
    <row r="108" spans="1:26" ht="27" hidden="1" customHeight="1">
      <c r="A108" s="583"/>
      <c r="B108" s="583">
        <v>401</v>
      </c>
      <c r="C108" s="581">
        <v>11</v>
      </c>
      <c r="D108" s="1137" t="s">
        <v>948</v>
      </c>
      <c r="E108" s="1138" t="s">
        <v>949</v>
      </c>
      <c r="F108" s="599">
        <v>159412905</v>
      </c>
      <c r="G108" s="599"/>
      <c r="H108" s="599"/>
      <c r="I108" s="599"/>
      <c r="J108" s="599"/>
      <c r="K108" s="599"/>
      <c r="L108" s="599"/>
      <c r="M108" s="599"/>
      <c r="N108" s="599">
        <v>-159412905</v>
      </c>
      <c r="O108" s="599"/>
      <c r="P108" s="599"/>
      <c r="Q108" s="599"/>
      <c r="R108" s="599"/>
      <c r="S108" s="1096">
        <f t="shared" si="4"/>
        <v>0</v>
      </c>
      <c r="T108" s="599">
        <v>0</v>
      </c>
      <c r="U108" s="1096">
        <f t="shared" si="5"/>
        <v>0</v>
      </c>
      <c r="V108" s="599">
        <v>0</v>
      </c>
      <c r="W108" s="620"/>
      <c r="X108" s="621"/>
      <c r="Y108" s="1096">
        <f t="shared" si="6"/>
        <v>0</v>
      </c>
      <c r="Z108" s="882">
        <f t="shared" si="7"/>
        <v>0</v>
      </c>
    </row>
    <row r="109" spans="1:26" ht="27" hidden="1" customHeight="1">
      <c r="A109" s="583"/>
      <c r="B109" s="583">
        <v>1009</v>
      </c>
      <c r="C109" s="581">
        <v>17</v>
      </c>
      <c r="D109" s="1137" t="s">
        <v>950</v>
      </c>
      <c r="E109" s="1138" t="s">
        <v>951</v>
      </c>
      <c r="F109" s="599">
        <v>-6749326761187</v>
      </c>
      <c r="G109" s="599">
        <v>903468761749</v>
      </c>
      <c r="H109" s="599"/>
      <c r="I109" s="599"/>
      <c r="J109" s="599"/>
      <c r="K109" s="599"/>
      <c r="L109" s="599"/>
      <c r="M109" s="599"/>
      <c r="N109" s="599">
        <f>5845957913272-99913834</f>
        <v>5845857999438</v>
      </c>
      <c r="O109" s="599"/>
      <c r="P109" s="599"/>
      <c r="Q109" s="599"/>
      <c r="R109" s="599"/>
      <c r="S109" s="1096">
        <f t="shared" si="4"/>
        <v>0</v>
      </c>
      <c r="T109" s="599">
        <v>0</v>
      </c>
      <c r="U109" s="1096">
        <f t="shared" si="5"/>
        <v>0</v>
      </c>
      <c r="V109" s="599">
        <v>0</v>
      </c>
      <c r="W109" s="620"/>
      <c r="X109" s="621"/>
      <c r="Y109" s="1096">
        <f t="shared" si="6"/>
        <v>0</v>
      </c>
      <c r="Z109" s="882">
        <f t="shared" si="7"/>
        <v>0</v>
      </c>
    </row>
    <row r="110" spans="1:26" ht="27" hidden="1" customHeight="1">
      <c r="A110" s="583"/>
      <c r="B110" s="583">
        <v>401</v>
      </c>
      <c r="C110" s="581">
        <v>11</v>
      </c>
      <c r="D110" s="1137" t="s">
        <v>45</v>
      </c>
      <c r="E110" s="1138" t="s">
        <v>46</v>
      </c>
      <c r="F110" s="599">
        <v>1598822045</v>
      </c>
      <c r="G110" s="599">
        <f>150454125-30113400</f>
        <v>120340725</v>
      </c>
      <c r="H110" s="599">
        <f>817738737-2797448661</f>
        <v>-1979709924</v>
      </c>
      <c r="I110" s="599"/>
      <c r="J110" s="599">
        <f>241478402-365366931</f>
        <v>-123888529</v>
      </c>
      <c r="K110" s="599"/>
      <c r="L110" s="599">
        <f>14611093-441740338</f>
        <v>-427129245</v>
      </c>
      <c r="M110" s="599"/>
      <c r="N110" s="599">
        <f>18360000-2609258291</f>
        <v>-2590898291</v>
      </c>
      <c r="O110" s="599"/>
      <c r="P110" s="599">
        <f>-73400191-155510285</f>
        <v>-228910476</v>
      </c>
      <c r="Q110" s="599"/>
      <c r="R110" s="599"/>
      <c r="S110" s="1096">
        <f>SUM(F110:R110)</f>
        <v>-3631373695</v>
      </c>
      <c r="T110" s="599">
        <v>587873694</v>
      </c>
      <c r="U110" s="1096">
        <f t="shared" si="5"/>
        <v>-3631</v>
      </c>
      <c r="V110" s="599">
        <v>588</v>
      </c>
      <c r="W110" s="620"/>
      <c r="X110" s="621"/>
      <c r="Y110" s="1096">
        <f t="shared" si="6"/>
        <v>-3631373695</v>
      </c>
      <c r="Z110" s="882">
        <f t="shared" si="7"/>
        <v>-3631</v>
      </c>
    </row>
    <row r="111" spans="1:26" ht="27" hidden="1" customHeight="1">
      <c r="A111" s="1232" t="s">
        <v>1767</v>
      </c>
      <c r="B111" s="583">
        <v>401</v>
      </c>
      <c r="C111" s="581">
        <v>11</v>
      </c>
      <c r="D111" s="1137" t="s">
        <v>47</v>
      </c>
      <c r="E111" s="1138" t="s">
        <v>1493</v>
      </c>
      <c r="F111" s="599">
        <v>-3894580777</v>
      </c>
      <c r="G111" s="599"/>
      <c r="H111" s="599"/>
      <c r="I111" s="599"/>
      <c r="J111" s="599"/>
      <c r="K111" s="599"/>
      <c r="L111" s="599"/>
      <c r="M111" s="599"/>
      <c r="N111" s="599">
        <v>2000000000</v>
      </c>
      <c r="O111" s="599"/>
      <c r="P111" s="599"/>
      <c r="Q111" s="599"/>
      <c r="R111" s="599"/>
      <c r="S111" s="1096">
        <f t="shared" si="4"/>
        <v>-1894580777</v>
      </c>
      <c r="T111" s="599">
        <v>-5972159520</v>
      </c>
      <c r="U111" s="1096">
        <f t="shared" si="5"/>
        <v>-1895</v>
      </c>
      <c r="V111" s="599">
        <v>-5972</v>
      </c>
      <c r="W111" s="620"/>
      <c r="X111" s="621"/>
      <c r="Y111" s="1096">
        <f t="shared" si="6"/>
        <v>-1894580777</v>
      </c>
      <c r="Z111" s="882">
        <f t="shared" si="7"/>
        <v>-1895</v>
      </c>
    </row>
    <row r="112" spans="1:26" ht="27" hidden="1" customHeight="1">
      <c r="A112" s="1232"/>
      <c r="B112" s="583">
        <v>1009</v>
      </c>
      <c r="C112" s="581">
        <v>17</v>
      </c>
      <c r="D112" s="1137" t="s">
        <v>47</v>
      </c>
      <c r="E112" s="1138" t="s">
        <v>555</v>
      </c>
      <c r="F112" s="599"/>
      <c r="G112" s="599"/>
      <c r="H112" s="599"/>
      <c r="I112" s="599"/>
      <c r="J112" s="599"/>
      <c r="K112" s="599"/>
      <c r="L112" s="599"/>
      <c r="M112" s="599"/>
      <c r="N112" s="599"/>
      <c r="O112" s="599"/>
      <c r="P112" s="599"/>
      <c r="Q112" s="599"/>
      <c r="R112" s="599"/>
      <c r="S112" s="1096">
        <f t="shared" si="4"/>
        <v>0</v>
      </c>
      <c r="T112" s="599">
        <v>0</v>
      </c>
      <c r="U112" s="1096">
        <f t="shared" si="5"/>
        <v>0</v>
      </c>
      <c r="V112" s="599">
        <v>0</v>
      </c>
      <c r="W112" s="620"/>
      <c r="X112" s="621"/>
      <c r="Y112" s="1096">
        <f t="shared" si="6"/>
        <v>0</v>
      </c>
      <c r="Z112" s="882">
        <f t="shared" si="7"/>
        <v>0</v>
      </c>
    </row>
    <row r="113" spans="1:26" ht="27" hidden="1" customHeight="1">
      <c r="A113" s="583"/>
      <c r="B113" s="583">
        <v>401</v>
      </c>
      <c r="C113" s="581">
        <v>11</v>
      </c>
      <c r="D113" s="1137" t="s">
        <v>952</v>
      </c>
      <c r="E113" s="1138" t="s">
        <v>953</v>
      </c>
      <c r="F113" s="599"/>
      <c r="G113" s="599"/>
      <c r="H113" s="599"/>
      <c r="I113" s="599"/>
      <c r="J113" s="599"/>
      <c r="K113" s="599"/>
      <c r="L113" s="599"/>
      <c r="M113" s="599"/>
      <c r="N113" s="599"/>
      <c r="O113" s="599"/>
      <c r="P113" s="599"/>
      <c r="Q113" s="599"/>
      <c r="R113" s="599"/>
      <c r="S113" s="1096">
        <f t="shared" si="4"/>
        <v>0</v>
      </c>
      <c r="T113" s="599">
        <v>0</v>
      </c>
      <c r="U113" s="1096">
        <f t="shared" si="5"/>
        <v>0</v>
      </c>
      <c r="V113" s="599">
        <v>0</v>
      </c>
      <c r="W113" s="620"/>
      <c r="X113" s="621"/>
      <c r="Y113" s="1096">
        <f t="shared" si="6"/>
        <v>0</v>
      </c>
      <c r="Z113" s="882">
        <f t="shared" si="7"/>
        <v>0</v>
      </c>
    </row>
    <row r="114" spans="1:26" ht="27" hidden="1" customHeight="1">
      <c r="A114" s="583"/>
      <c r="B114" s="583">
        <v>401</v>
      </c>
      <c r="C114" s="581">
        <v>11</v>
      </c>
      <c r="D114" s="1137" t="s">
        <v>837</v>
      </c>
      <c r="E114" s="1138" t="s">
        <v>954</v>
      </c>
      <c r="F114" s="599">
        <v>546237546</v>
      </c>
      <c r="G114" s="599">
        <v>-126559736</v>
      </c>
      <c r="H114" s="599">
        <v>-106602475</v>
      </c>
      <c r="I114" s="599"/>
      <c r="J114" s="599"/>
      <c r="K114" s="599"/>
      <c r="L114" s="599">
        <v>-313075335</v>
      </c>
      <c r="M114" s="599"/>
      <c r="N114" s="599"/>
      <c r="O114" s="599"/>
      <c r="P114" s="599"/>
      <c r="Q114" s="599"/>
      <c r="R114" s="599"/>
      <c r="S114" s="1096">
        <f t="shared" si="4"/>
        <v>0</v>
      </c>
      <c r="T114" s="599">
        <v>0</v>
      </c>
      <c r="U114" s="1096">
        <f t="shared" si="5"/>
        <v>0</v>
      </c>
      <c r="V114" s="599">
        <v>0</v>
      </c>
      <c r="W114" s="620"/>
      <c r="X114" s="621"/>
      <c r="Y114" s="1096">
        <f t="shared" si="6"/>
        <v>0</v>
      </c>
      <c r="Z114" s="882">
        <f t="shared" si="7"/>
        <v>0</v>
      </c>
    </row>
    <row r="115" spans="1:26" ht="27" hidden="1" customHeight="1">
      <c r="A115" s="583"/>
      <c r="B115" s="583">
        <v>1009</v>
      </c>
      <c r="C115" s="581">
        <v>17</v>
      </c>
      <c r="D115" s="1137" t="s">
        <v>955</v>
      </c>
      <c r="E115" s="1138" t="s">
        <v>956</v>
      </c>
      <c r="F115" s="599">
        <v>-8687819377</v>
      </c>
      <c r="G115" s="599">
        <v>6191889165</v>
      </c>
      <c r="H115" s="599">
        <v>2223282274</v>
      </c>
      <c r="I115" s="599"/>
      <c r="J115" s="599"/>
      <c r="K115" s="599"/>
      <c r="L115" s="599">
        <f>346380709-73732771</f>
        <v>272647938</v>
      </c>
      <c r="M115" s="599"/>
      <c r="N115" s="599"/>
      <c r="O115" s="599"/>
      <c r="P115" s="599"/>
      <c r="Q115" s="599"/>
      <c r="R115" s="599"/>
      <c r="S115" s="1096">
        <f>SUM(F115:R115)</f>
        <v>0</v>
      </c>
      <c r="T115" s="599">
        <v>0</v>
      </c>
      <c r="U115" s="1096">
        <f t="shared" si="5"/>
        <v>0</v>
      </c>
      <c r="V115" s="599">
        <v>0</v>
      </c>
      <c r="W115" s="620"/>
      <c r="X115" s="621"/>
      <c r="Y115" s="1096">
        <f t="shared" si="6"/>
        <v>0</v>
      </c>
      <c r="Z115" s="882">
        <f t="shared" si="7"/>
        <v>0</v>
      </c>
    </row>
    <row r="116" spans="1:26" ht="27" hidden="1" customHeight="1">
      <c r="A116" s="583"/>
      <c r="B116" s="583">
        <v>1009</v>
      </c>
      <c r="C116" s="581">
        <v>17</v>
      </c>
      <c r="D116" s="1137" t="s">
        <v>1104</v>
      </c>
      <c r="E116" s="1138" t="s">
        <v>1105</v>
      </c>
      <c r="F116" s="599">
        <v>-1235652</v>
      </c>
      <c r="G116" s="599">
        <v>1235652</v>
      </c>
      <c r="H116" s="599"/>
      <c r="I116" s="599"/>
      <c r="J116" s="599"/>
      <c r="K116" s="599"/>
      <c r="L116" s="599"/>
      <c r="M116" s="599"/>
      <c r="N116" s="599"/>
      <c r="O116" s="599"/>
      <c r="P116" s="599"/>
      <c r="Q116" s="599"/>
      <c r="R116" s="599"/>
      <c r="S116" s="1096">
        <f t="shared" si="4"/>
        <v>0</v>
      </c>
      <c r="T116" s="599">
        <v>0</v>
      </c>
      <c r="U116" s="1096">
        <f t="shared" si="5"/>
        <v>0</v>
      </c>
      <c r="V116" s="599">
        <v>0</v>
      </c>
      <c r="W116" s="620"/>
      <c r="X116" s="621"/>
      <c r="Y116" s="1096">
        <f t="shared" si="6"/>
        <v>0</v>
      </c>
      <c r="Z116" s="882">
        <f t="shared" si="7"/>
        <v>0</v>
      </c>
    </row>
    <row r="117" spans="1:26" ht="27" hidden="1" customHeight="1">
      <c r="A117" s="583"/>
      <c r="B117" s="583">
        <v>401</v>
      </c>
      <c r="C117" s="581">
        <v>11</v>
      </c>
      <c r="D117" s="1137" t="s">
        <v>881</v>
      </c>
      <c r="E117" s="1138" t="s">
        <v>880</v>
      </c>
      <c r="F117" s="599">
        <v>12056986582</v>
      </c>
      <c r="G117" s="599">
        <f>5298126716-7422317505</f>
        <v>-2124190789</v>
      </c>
      <c r="H117" s="599">
        <f>8372201654-10125252953</f>
        <v>-1753051299</v>
      </c>
      <c r="I117" s="599"/>
      <c r="J117" s="599">
        <v>-2696327436</v>
      </c>
      <c r="K117" s="599"/>
      <c r="L117" s="599">
        <f>4093090983-3949490983</f>
        <v>143600000</v>
      </c>
      <c r="M117" s="599"/>
      <c r="N117" s="599">
        <v>0</v>
      </c>
      <c r="O117" s="599">
        <v>-5627017058</v>
      </c>
      <c r="P117" s="599"/>
      <c r="Q117" s="599"/>
      <c r="R117" s="599"/>
      <c r="S117" s="1096">
        <f>SUM(F117:R117)</f>
        <v>0</v>
      </c>
      <c r="T117" s="599">
        <v>5733208787</v>
      </c>
      <c r="U117" s="1096">
        <f t="shared" si="5"/>
        <v>0</v>
      </c>
      <c r="V117" s="599">
        <v>5733</v>
      </c>
      <c r="W117" s="620"/>
      <c r="X117" s="621"/>
      <c r="Y117" s="1096">
        <f t="shared" si="6"/>
        <v>0</v>
      </c>
      <c r="Z117" s="882">
        <f t="shared" si="7"/>
        <v>0</v>
      </c>
    </row>
    <row r="118" spans="1:26" ht="27" hidden="1" customHeight="1">
      <c r="A118" s="583"/>
      <c r="B118" s="583">
        <v>401</v>
      </c>
      <c r="C118" s="581">
        <v>11</v>
      </c>
      <c r="D118" s="1137" t="s">
        <v>556</v>
      </c>
      <c r="E118" s="1138" t="s">
        <v>957</v>
      </c>
      <c r="F118" s="599">
        <v>5056033380</v>
      </c>
      <c r="G118" s="599">
        <f>8306184204-11402721193</f>
        <v>-3096536989</v>
      </c>
      <c r="H118" s="599">
        <f>2179367179-4117121370</f>
        <v>-1937754191</v>
      </c>
      <c r="I118" s="599">
        <f>179992200-195734400</f>
        <v>-15742200</v>
      </c>
      <c r="J118" s="599"/>
      <c r="K118" s="599"/>
      <c r="L118" s="599"/>
      <c r="M118" s="599"/>
      <c r="N118" s="599"/>
      <c r="O118" s="599"/>
      <c r="P118" s="599"/>
      <c r="Q118" s="599"/>
      <c r="R118" s="599"/>
      <c r="S118" s="1096">
        <f>SUM(F118:R118)</f>
        <v>6000000</v>
      </c>
      <c r="T118" s="599">
        <v>7510600</v>
      </c>
      <c r="U118" s="1096">
        <f t="shared" si="5"/>
        <v>6</v>
      </c>
      <c r="V118" s="599">
        <v>8</v>
      </c>
      <c r="W118" s="620"/>
      <c r="X118" s="621"/>
      <c r="Y118" s="1096">
        <f t="shared" si="6"/>
        <v>6000000</v>
      </c>
      <c r="Z118" s="882">
        <f t="shared" si="7"/>
        <v>6</v>
      </c>
    </row>
    <row r="119" spans="1:26" ht="27" hidden="1" customHeight="1">
      <c r="A119" s="583"/>
      <c r="B119" s="583">
        <v>402</v>
      </c>
      <c r="C119" s="581">
        <v>11</v>
      </c>
      <c r="D119" s="1137" t="s">
        <v>48</v>
      </c>
      <c r="E119" s="1138" t="s">
        <v>49</v>
      </c>
      <c r="F119" s="599">
        <v>10608448586</v>
      </c>
      <c r="G119" s="599"/>
      <c r="H119" s="599"/>
      <c r="I119" s="599"/>
      <c r="J119" s="599"/>
      <c r="K119" s="599"/>
      <c r="L119" s="599"/>
      <c r="M119" s="599"/>
      <c r="N119" s="599"/>
      <c r="O119" s="599"/>
      <c r="P119" s="599"/>
      <c r="Q119" s="599"/>
      <c r="R119" s="599"/>
      <c r="S119" s="1096">
        <f>SUM(F119:R119)</f>
        <v>10608448586</v>
      </c>
      <c r="T119" s="599">
        <v>10608448586</v>
      </c>
      <c r="U119" s="1096">
        <f t="shared" si="5"/>
        <v>10608</v>
      </c>
      <c r="V119" s="599">
        <v>10608</v>
      </c>
      <c r="W119" s="620"/>
      <c r="X119" s="621"/>
      <c r="Y119" s="1096">
        <f t="shared" si="6"/>
        <v>10608448586</v>
      </c>
      <c r="Z119" s="882">
        <f t="shared" si="7"/>
        <v>10608</v>
      </c>
    </row>
    <row r="120" spans="1:26" ht="27" hidden="1" customHeight="1">
      <c r="A120" s="583"/>
      <c r="B120" s="583">
        <v>1024</v>
      </c>
      <c r="C120" s="581">
        <v>11</v>
      </c>
      <c r="D120" s="1137" t="s">
        <v>50</v>
      </c>
      <c r="E120" s="1138" t="s">
        <v>205</v>
      </c>
      <c r="F120" s="599">
        <v>2382180552</v>
      </c>
      <c r="G120" s="599">
        <f>54377585-1429564066</f>
        <v>-1375186481</v>
      </c>
      <c r="H120" s="599">
        <f>43645051084-697857000</f>
        <v>42947194084</v>
      </c>
      <c r="I120" s="599"/>
      <c r="J120" s="599">
        <v>-4023014087</v>
      </c>
      <c r="K120" s="599">
        <f>19268181258-27064185788</f>
        <v>-7796004530</v>
      </c>
      <c r="L120" s="599">
        <v>-468703336</v>
      </c>
      <c r="M120" s="599"/>
      <c r="N120" s="599">
        <f>2609258291-1945498700</f>
        <v>663759591</v>
      </c>
      <c r="O120" s="599">
        <f>985465796-202384421</f>
        <v>783081375</v>
      </c>
      <c r="P120" s="599"/>
      <c r="Q120" s="599"/>
      <c r="R120" s="599"/>
      <c r="S120" s="1096">
        <f t="shared" si="4"/>
        <v>33113307168</v>
      </c>
      <c r="T120" s="599">
        <v>-12569272683</v>
      </c>
      <c r="U120" s="1096">
        <f t="shared" si="5"/>
        <v>33113</v>
      </c>
      <c r="V120" s="599">
        <v>-12569</v>
      </c>
      <c r="W120" s="620"/>
      <c r="X120" s="621"/>
      <c r="Y120" s="1096">
        <f t="shared" si="6"/>
        <v>33113307168</v>
      </c>
      <c r="Z120" s="882">
        <f t="shared" si="7"/>
        <v>33113</v>
      </c>
    </row>
    <row r="121" spans="1:26" ht="27" hidden="1" customHeight="1">
      <c r="A121" s="583"/>
      <c r="B121" s="583">
        <v>404</v>
      </c>
      <c r="C121" s="581">
        <v>11</v>
      </c>
      <c r="D121" s="1137" t="s">
        <v>51</v>
      </c>
      <c r="E121" s="1138" t="s">
        <v>155</v>
      </c>
      <c r="F121" s="599">
        <v>27093161651</v>
      </c>
      <c r="G121" s="599">
        <f>2124190789-908196130</f>
        <v>1215994659</v>
      </c>
      <c r="H121" s="599">
        <f>7134669597-1881111650</f>
        <v>5253557947</v>
      </c>
      <c r="I121" s="599">
        <v>-742500</v>
      </c>
      <c r="J121" s="599">
        <f>2748663676-82323868</f>
        <v>2666339808</v>
      </c>
      <c r="K121" s="599">
        <f>766400-28308333</f>
        <v>-27541933</v>
      </c>
      <c r="L121" s="599">
        <v>-143600000</v>
      </c>
      <c r="M121" s="599"/>
      <c r="N121" s="599">
        <f>12296056-53811716</f>
        <v>-41515660</v>
      </c>
      <c r="O121" s="599">
        <f>5627017058-75972914-3543160-45318000</f>
        <v>5502182984</v>
      </c>
      <c r="P121" s="599"/>
      <c r="Q121" s="599"/>
      <c r="R121" s="599"/>
      <c r="S121" s="1096">
        <f t="shared" si="4"/>
        <v>41517836956</v>
      </c>
      <c r="T121" s="599">
        <v>42717346873</v>
      </c>
      <c r="U121" s="1096">
        <f t="shared" si="5"/>
        <v>41518</v>
      </c>
      <c r="V121" s="599">
        <v>42717</v>
      </c>
      <c r="W121" s="620"/>
      <c r="X121" s="621"/>
      <c r="Y121" s="1096">
        <f t="shared" si="6"/>
        <v>41517836956</v>
      </c>
      <c r="Z121" s="882">
        <f t="shared" si="7"/>
        <v>41518</v>
      </c>
    </row>
    <row r="122" spans="1:26" ht="27" hidden="1" customHeight="1">
      <c r="A122" s="583"/>
      <c r="B122" s="583">
        <v>406</v>
      </c>
      <c r="C122" s="581">
        <v>11</v>
      </c>
      <c r="D122" s="1137" t="s">
        <v>52</v>
      </c>
      <c r="E122" s="1138" t="s">
        <v>206</v>
      </c>
      <c r="F122" s="599">
        <v>1018616252</v>
      </c>
      <c r="G122" s="599"/>
      <c r="H122" s="599">
        <v>203782035</v>
      </c>
      <c r="I122" s="599"/>
      <c r="J122" s="599"/>
      <c r="K122" s="599"/>
      <c r="L122" s="599"/>
      <c r="M122" s="599"/>
      <c r="N122" s="599"/>
      <c r="O122" s="599"/>
      <c r="P122" s="599"/>
      <c r="Q122" s="599"/>
      <c r="R122" s="599"/>
      <c r="S122" s="1096">
        <f t="shared" si="4"/>
        <v>1222398287</v>
      </c>
      <c r="T122" s="599">
        <v>6246847503</v>
      </c>
      <c r="U122" s="1096">
        <f t="shared" si="5"/>
        <v>1222</v>
      </c>
      <c r="V122" s="599">
        <v>6247</v>
      </c>
      <c r="W122" s="620"/>
      <c r="X122" s="621"/>
      <c r="Y122" s="1096">
        <f t="shared" si="6"/>
        <v>1222398287</v>
      </c>
      <c r="Z122" s="882">
        <f t="shared" si="7"/>
        <v>1222</v>
      </c>
    </row>
    <row r="123" spans="1:26" ht="27" hidden="1" customHeight="1">
      <c r="A123" s="583"/>
      <c r="B123" s="583">
        <v>403</v>
      </c>
      <c r="C123" s="581">
        <v>11</v>
      </c>
      <c r="D123" s="1137" t="s">
        <v>53</v>
      </c>
      <c r="E123" s="1138" t="s">
        <v>757</v>
      </c>
      <c r="F123" s="599"/>
      <c r="G123" s="599"/>
      <c r="H123" s="599"/>
      <c r="I123" s="599"/>
      <c r="J123" s="599"/>
      <c r="K123" s="599"/>
      <c r="L123" s="599"/>
      <c r="M123" s="599"/>
      <c r="N123" s="599"/>
      <c r="O123" s="599"/>
      <c r="P123" s="599"/>
      <c r="Q123" s="599"/>
      <c r="R123" s="599"/>
      <c r="S123" s="1096">
        <f t="shared" si="4"/>
        <v>0</v>
      </c>
      <c r="T123" s="599">
        <v>6</v>
      </c>
      <c r="U123" s="1096">
        <f t="shared" si="5"/>
        <v>0</v>
      </c>
      <c r="V123" s="599">
        <v>0</v>
      </c>
      <c r="W123" s="620"/>
      <c r="X123" s="621"/>
      <c r="Y123" s="1096">
        <f t="shared" si="6"/>
        <v>0</v>
      </c>
      <c r="Z123" s="882">
        <f t="shared" si="7"/>
        <v>0</v>
      </c>
    </row>
    <row r="124" spans="1:26" ht="27" hidden="1" customHeight="1">
      <c r="A124" s="583"/>
      <c r="B124" s="583">
        <v>1001</v>
      </c>
      <c r="C124" s="581">
        <v>17</v>
      </c>
      <c r="D124" s="1137" t="s">
        <v>55</v>
      </c>
      <c r="E124" s="1138" t="s">
        <v>547</v>
      </c>
      <c r="F124" s="599">
        <v>76202996</v>
      </c>
      <c r="G124" s="599"/>
      <c r="H124" s="599"/>
      <c r="I124" s="599"/>
      <c r="J124" s="599"/>
      <c r="K124" s="599"/>
      <c r="L124" s="599"/>
      <c r="M124" s="599"/>
      <c r="N124" s="599"/>
      <c r="O124" s="599">
        <v>-76202996</v>
      </c>
      <c r="P124" s="599"/>
      <c r="Q124" s="599"/>
      <c r="R124" s="599"/>
      <c r="S124" s="1096">
        <f t="shared" si="4"/>
        <v>0</v>
      </c>
      <c r="T124" s="599">
        <v>-329620260</v>
      </c>
      <c r="U124" s="1096">
        <f t="shared" si="5"/>
        <v>0</v>
      </c>
      <c r="V124" s="599">
        <v>-330</v>
      </c>
      <c r="W124" s="620"/>
      <c r="X124" s="621"/>
      <c r="Y124" s="1096">
        <f t="shared" si="6"/>
        <v>0</v>
      </c>
      <c r="Z124" s="882">
        <f t="shared" si="7"/>
        <v>0</v>
      </c>
    </row>
    <row r="125" spans="1:26" ht="27" hidden="1" customHeight="1">
      <c r="A125" s="583"/>
      <c r="B125" s="583">
        <v>1009</v>
      </c>
      <c r="C125" s="581">
        <v>17</v>
      </c>
      <c r="D125" s="1137" t="s">
        <v>56</v>
      </c>
      <c r="E125" s="1138" t="s">
        <v>597</v>
      </c>
      <c r="F125" s="599"/>
      <c r="G125" s="599"/>
      <c r="H125" s="599"/>
      <c r="I125" s="599"/>
      <c r="J125" s="599"/>
      <c r="K125" s="599"/>
      <c r="L125" s="599"/>
      <c r="M125" s="599"/>
      <c r="N125" s="599"/>
      <c r="O125" s="599"/>
      <c r="P125" s="599"/>
      <c r="Q125" s="599"/>
      <c r="R125" s="599"/>
      <c r="S125" s="1096">
        <f t="shared" si="4"/>
        <v>0</v>
      </c>
      <c r="T125" s="599">
        <v>0</v>
      </c>
      <c r="U125" s="1096">
        <f t="shared" si="5"/>
        <v>0</v>
      </c>
      <c r="V125" s="599">
        <v>0</v>
      </c>
      <c r="W125" s="620"/>
      <c r="X125" s="621"/>
      <c r="Y125" s="1096">
        <f t="shared" si="6"/>
        <v>0</v>
      </c>
      <c r="Z125" s="882">
        <f t="shared" si="7"/>
        <v>0</v>
      </c>
    </row>
    <row r="126" spans="1:26" ht="27" hidden="1" customHeight="1">
      <c r="A126" s="583"/>
      <c r="B126" s="1135">
        <v>406</v>
      </c>
      <c r="C126" s="581">
        <v>11</v>
      </c>
      <c r="D126" s="1137" t="s">
        <v>715</v>
      </c>
      <c r="E126" s="1138" t="s">
        <v>716</v>
      </c>
      <c r="F126" s="599">
        <v>538527385</v>
      </c>
      <c r="G126" s="599">
        <v>14771617</v>
      </c>
      <c r="H126" s="599">
        <v>-4018000</v>
      </c>
      <c r="I126" s="599"/>
      <c r="J126" s="599"/>
      <c r="K126" s="599"/>
      <c r="L126" s="599"/>
      <c r="M126" s="599"/>
      <c r="N126" s="599"/>
      <c r="O126" s="599"/>
      <c r="P126" s="599"/>
      <c r="Q126" s="599"/>
      <c r="R126" s="599"/>
      <c r="S126" s="1096">
        <f t="shared" si="4"/>
        <v>549281002</v>
      </c>
      <c r="T126" s="599">
        <v>587814560</v>
      </c>
      <c r="U126" s="1096">
        <f t="shared" si="5"/>
        <v>549</v>
      </c>
      <c r="V126" s="599">
        <v>588</v>
      </c>
      <c r="W126" s="620"/>
      <c r="X126" s="621"/>
      <c r="Y126" s="1096">
        <f t="shared" si="6"/>
        <v>549281002</v>
      </c>
      <c r="Z126" s="882">
        <f t="shared" si="7"/>
        <v>549</v>
      </c>
    </row>
    <row r="127" spans="1:26" ht="27" hidden="1" customHeight="1">
      <c r="A127" s="583"/>
      <c r="B127" s="583">
        <v>406</v>
      </c>
      <c r="C127" s="581">
        <v>11</v>
      </c>
      <c r="D127" s="1137" t="s">
        <v>412</v>
      </c>
      <c r="E127" s="1138" t="s">
        <v>17</v>
      </c>
      <c r="F127" s="599">
        <v>38801600</v>
      </c>
      <c r="G127" s="599"/>
      <c r="H127" s="599">
        <v>2760000</v>
      </c>
      <c r="I127" s="599"/>
      <c r="J127" s="599"/>
      <c r="K127" s="599"/>
      <c r="L127" s="599"/>
      <c r="M127" s="599"/>
      <c r="N127" s="599"/>
      <c r="O127" s="599"/>
      <c r="P127" s="599"/>
      <c r="Q127" s="599"/>
      <c r="R127" s="599"/>
      <c r="S127" s="1096">
        <f t="shared" si="4"/>
        <v>41561600</v>
      </c>
      <c r="T127" s="599">
        <v>17004000</v>
      </c>
      <c r="U127" s="1096">
        <f t="shared" si="5"/>
        <v>42</v>
      </c>
      <c r="V127" s="599">
        <v>17</v>
      </c>
      <c r="W127" s="620"/>
      <c r="X127" s="621"/>
      <c r="Y127" s="1096">
        <f t="shared" si="6"/>
        <v>41561600</v>
      </c>
      <c r="Z127" s="882">
        <f t="shared" si="7"/>
        <v>42</v>
      </c>
    </row>
    <row r="128" spans="1:26" ht="27" hidden="1" customHeight="1">
      <c r="A128" s="583"/>
      <c r="B128" s="583">
        <v>1025</v>
      </c>
      <c r="C128" s="581">
        <v>17</v>
      </c>
      <c r="D128" s="1137" t="s">
        <v>57</v>
      </c>
      <c r="E128" s="1138" t="s">
        <v>137</v>
      </c>
      <c r="F128" s="599">
        <v>-21978299327</v>
      </c>
      <c r="G128" s="599">
        <v>-36689400</v>
      </c>
      <c r="H128" s="599"/>
      <c r="I128" s="599"/>
      <c r="J128" s="599"/>
      <c r="K128" s="599"/>
      <c r="L128" s="599"/>
      <c r="M128" s="599"/>
      <c r="N128" s="599"/>
      <c r="O128" s="599"/>
      <c r="P128" s="599"/>
      <c r="Q128" s="599"/>
      <c r="R128" s="599"/>
      <c r="S128" s="1096">
        <f t="shared" si="4"/>
        <v>-22014988727</v>
      </c>
      <c r="T128" s="599">
        <v>-18425045607</v>
      </c>
      <c r="U128" s="1096">
        <f t="shared" si="5"/>
        <v>-22015</v>
      </c>
      <c r="V128" s="599">
        <v>-18425</v>
      </c>
      <c r="W128" s="620"/>
      <c r="X128" s="621"/>
      <c r="Y128" s="1096">
        <f t="shared" si="6"/>
        <v>-22014988727</v>
      </c>
      <c r="Z128" s="882">
        <f t="shared" si="7"/>
        <v>-22015</v>
      </c>
    </row>
    <row r="129" spans="1:26" ht="27" hidden="1" customHeight="1">
      <c r="A129" s="583"/>
      <c r="B129" s="583">
        <v>407</v>
      </c>
      <c r="C129" s="581">
        <v>11</v>
      </c>
      <c r="D129" s="1137" t="s">
        <v>58</v>
      </c>
      <c r="E129" s="1138" t="s">
        <v>139</v>
      </c>
      <c r="F129" s="599">
        <v>-839454598236</v>
      </c>
      <c r="G129" s="599"/>
      <c r="H129" s="599"/>
      <c r="I129" s="599">
        <v>839454598236</v>
      </c>
      <c r="J129" s="599"/>
      <c r="K129" s="599"/>
      <c r="L129" s="599"/>
      <c r="M129" s="599"/>
      <c r="N129" s="599"/>
      <c r="O129" s="599"/>
      <c r="P129" s="599"/>
      <c r="Q129" s="599"/>
      <c r="R129" s="599"/>
      <c r="S129" s="1096">
        <f t="shared" si="4"/>
        <v>0</v>
      </c>
      <c r="T129" s="599">
        <v>0</v>
      </c>
      <c r="U129" s="1096">
        <f t="shared" si="5"/>
        <v>0</v>
      </c>
      <c r="V129" s="599">
        <v>0</v>
      </c>
      <c r="W129" s="620"/>
      <c r="X129" s="621"/>
      <c r="Y129" s="1096">
        <f t="shared" si="6"/>
        <v>0</v>
      </c>
      <c r="Z129" s="882">
        <f t="shared" si="7"/>
        <v>0</v>
      </c>
    </row>
    <row r="130" spans="1:26" ht="27" hidden="1" customHeight="1">
      <c r="A130" s="583"/>
      <c r="B130" s="583">
        <v>407</v>
      </c>
      <c r="C130" s="581">
        <v>11</v>
      </c>
      <c r="D130" s="1137" t="s">
        <v>1373</v>
      </c>
      <c r="E130" s="1138" t="s">
        <v>1374</v>
      </c>
      <c r="F130" s="599">
        <v>823527395744</v>
      </c>
      <c r="G130" s="599"/>
      <c r="H130" s="599">
        <f>71504493668-3885190</f>
        <v>71500608478</v>
      </c>
      <c r="I130" s="599">
        <v>-839454598236</v>
      </c>
      <c r="J130" s="599">
        <f>1580822-49393122</f>
        <v>-47812300</v>
      </c>
      <c r="K130" s="599"/>
      <c r="L130" s="599"/>
      <c r="M130" s="599"/>
      <c r="N130" s="599">
        <v>2947200000</v>
      </c>
      <c r="O130" s="599">
        <f>2831998-1509511</f>
        <v>1322487</v>
      </c>
      <c r="P130" s="599">
        <f>155510285+73400191</f>
        <v>228910476</v>
      </c>
      <c r="Q130" s="599"/>
      <c r="R130" s="599"/>
      <c r="S130" s="1096">
        <f t="shared" si="4"/>
        <v>58703026649</v>
      </c>
      <c r="T130" s="599">
        <v>42738371375</v>
      </c>
      <c r="U130" s="1096">
        <f t="shared" si="5"/>
        <v>58703</v>
      </c>
      <c r="V130" s="599">
        <v>42738</v>
      </c>
      <c r="W130" s="620"/>
      <c r="X130" s="621"/>
      <c r="Y130" s="1096">
        <f t="shared" si="6"/>
        <v>58703026649</v>
      </c>
      <c r="Z130" s="882">
        <f t="shared" si="7"/>
        <v>58703</v>
      </c>
    </row>
    <row r="131" spans="1:26" ht="27" hidden="1" customHeight="1">
      <c r="A131" s="583">
        <v>1</v>
      </c>
      <c r="B131" s="583">
        <v>10040</v>
      </c>
      <c r="C131" s="581">
        <v>11</v>
      </c>
      <c r="D131" s="1137" t="s">
        <v>59</v>
      </c>
      <c r="E131" s="1138" t="s">
        <v>342</v>
      </c>
      <c r="F131" s="599">
        <v>488241766624</v>
      </c>
      <c r="G131" s="599">
        <f>368420-41689053</f>
        <v>-41320633</v>
      </c>
      <c r="H131" s="599">
        <f>10430237144-2478920879340</f>
        <v>-2468490642196</v>
      </c>
      <c r="I131" s="599">
        <v>2477807488685</v>
      </c>
      <c r="J131" s="599">
        <v>-22284423</v>
      </c>
      <c r="K131" s="599"/>
      <c r="L131" s="599">
        <f>4200000-14611093</f>
        <v>-10411093</v>
      </c>
      <c r="M131" s="599"/>
      <c r="N131" s="599"/>
      <c r="O131" s="599">
        <v>-61854350</v>
      </c>
      <c r="P131" s="599">
        <v>16800000</v>
      </c>
      <c r="Q131" s="599"/>
      <c r="R131" s="599"/>
      <c r="S131" s="1096">
        <f t="shared" si="4"/>
        <v>497439542614</v>
      </c>
      <c r="T131" s="599">
        <v>1853653460347</v>
      </c>
      <c r="U131" s="1096">
        <f t="shared" si="5"/>
        <v>497440</v>
      </c>
      <c r="V131" s="599">
        <v>1853653</v>
      </c>
      <c r="W131" s="620"/>
      <c r="X131" s="621"/>
      <c r="Y131" s="1096">
        <f t="shared" si="6"/>
        <v>497439542614</v>
      </c>
      <c r="Z131" s="882">
        <f t="shared" si="7"/>
        <v>497440</v>
      </c>
    </row>
    <row r="132" spans="1:26" ht="27" customHeight="1">
      <c r="A132" s="583">
        <v>3214</v>
      </c>
      <c r="B132" s="583">
        <v>10040</v>
      </c>
      <c r="C132" s="581">
        <v>11</v>
      </c>
      <c r="D132" s="1137" t="s">
        <v>59</v>
      </c>
      <c r="E132" s="1138" t="s">
        <v>342</v>
      </c>
      <c r="F132" s="599"/>
      <c r="G132" s="599"/>
      <c r="H132" s="599"/>
      <c r="I132" s="599"/>
      <c r="J132" s="599"/>
      <c r="K132" s="599"/>
      <c r="L132" s="599"/>
      <c r="M132" s="599"/>
      <c r="N132" s="599"/>
      <c r="O132" s="599">
        <f>61854350-249976512873</f>
        <v>-249914658523</v>
      </c>
      <c r="P132" s="599"/>
      <c r="Q132" s="599"/>
      <c r="R132" s="599"/>
      <c r="S132" s="1096">
        <f t="shared" ref="S132:S195" si="8">SUM(F132:R132)</f>
        <v>-249914658523</v>
      </c>
      <c r="T132" s="599">
        <v>209949536735</v>
      </c>
      <c r="U132" s="1096">
        <f t="shared" ref="U132:U195" si="9">ROUND((S132/1000000),0)</f>
        <v>-249915</v>
      </c>
      <c r="V132" s="599">
        <v>209950</v>
      </c>
      <c r="W132" s="620"/>
      <c r="X132" s="621"/>
      <c r="Y132" s="1096">
        <f t="shared" si="6"/>
        <v>-249914658523</v>
      </c>
      <c r="Z132" s="882">
        <f t="shared" si="7"/>
        <v>-249915</v>
      </c>
    </row>
    <row r="133" spans="1:26" ht="27" hidden="1" customHeight="1">
      <c r="A133" s="583"/>
      <c r="B133" s="583">
        <v>10040</v>
      </c>
      <c r="C133" s="581">
        <v>11</v>
      </c>
      <c r="D133" s="1137" t="s">
        <v>59</v>
      </c>
      <c r="E133" s="1138" t="s">
        <v>923</v>
      </c>
      <c r="F133" s="599"/>
      <c r="G133" s="599"/>
      <c r="H133" s="599"/>
      <c r="I133" s="599"/>
      <c r="J133" s="599"/>
      <c r="K133" s="599"/>
      <c r="L133" s="599"/>
      <c r="M133" s="599"/>
      <c r="N133" s="599"/>
      <c r="O133" s="599"/>
      <c r="P133" s="599"/>
      <c r="Q133" s="599"/>
      <c r="R133" s="599"/>
      <c r="S133" s="1096">
        <f t="shared" si="8"/>
        <v>0</v>
      </c>
      <c r="T133" s="599">
        <v>0</v>
      </c>
      <c r="U133" s="1096">
        <f t="shared" si="9"/>
        <v>0</v>
      </c>
      <c r="V133" s="599">
        <v>0</v>
      </c>
      <c r="W133" s="620"/>
      <c r="X133" s="621"/>
      <c r="Y133" s="1096">
        <f t="shared" si="6"/>
        <v>0</v>
      </c>
      <c r="Z133" s="882">
        <f t="shared" si="7"/>
        <v>0</v>
      </c>
    </row>
    <row r="134" spans="1:26" ht="27" hidden="1" customHeight="1">
      <c r="A134" s="583"/>
      <c r="B134" s="583">
        <v>406</v>
      </c>
      <c r="C134" s="581">
        <v>11</v>
      </c>
      <c r="D134" s="1137" t="s">
        <v>378</v>
      </c>
      <c r="E134" s="1138" t="s">
        <v>958</v>
      </c>
      <c r="F134" s="599">
        <v>4400000</v>
      </c>
      <c r="G134" s="599"/>
      <c r="H134" s="599"/>
      <c r="I134" s="599"/>
      <c r="J134" s="599"/>
      <c r="K134" s="599"/>
      <c r="L134" s="599"/>
      <c r="M134" s="599"/>
      <c r="N134" s="599"/>
      <c r="O134" s="599"/>
      <c r="P134" s="599"/>
      <c r="Q134" s="599"/>
      <c r="R134" s="599"/>
      <c r="S134" s="1096">
        <f t="shared" si="8"/>
        <v>4400000</v>
      </c>
      <c r="T134" s="599">
        <v>456440382</v>
      </c>
      <c r="U134" s="1096">
        <f t="shared" si="9"/>
        <v>4</v>
      </c>
      <c r="V134" s="599">
        <v>457</v>
      </c>
      <c r="W134" s="620"/>
      <c r="X134" s="621"/>
      <c r="Y134" s="1096">
        <f t="shared" ref="Y134:Y197" si="10">S134+X134-W134</f>
        <v>4400000</v>
      </c>
      <c r="Z134" s="882">
        <f t="shared" ref="Z134:Z197" si="11">ROUND((Y134/1000000),0)</f>
        <v>4</v>
      </c>
    </row>
    <row r="135" spans="1:26" ht="27" hidden="1" customHeight="1">
      <c r="A135" s="583">
        <v>1</v>
      </c>
      <c r="B135" s="583">
        <v>1022</v>
      </c>
      <c r="C135" s="581">
        <v>17</v>
      </c>
      <c r="D135" s="1137" t="s">
        <v>60</v>
      </c>
      <c r="E135" s="1138" t="s">
        <v>1375</v>
      </c>
      <c r="F135" s="599">
        <v>-65132643941</v>
      </c>
      <c r="G135" s="599">
        <v>-6157190721</v>
      </c>
      <c r="H135" s="599">
        <f>6967021846-61472751969</f>
        <v>-54505730123</v>
      </c>
      <c r="I135" s="599">
        <v>-116723858</v>
      </c>
      <c r="J135" s="597">
        <v>41050000</v>
      </c>
      <c r="K135" s="599"/>
      <c r="L135" s="599">
        <f>11097971606-129860605</f>
        <v>10968111001</v>
      </c>
      <c r="M135" s="599"/>
      <c r="N135" s="599">
        <f>236521204000-123191590375</f>
        <v>113329613625</v>
      </c>
      <c r="O135" s="599">
        <v>1676513375</v>
      </c>
      <c r="P135" s="599"/>
      <c r="Q135" s="599"/>
      <c r="R135" s="599"/>
      <c r="S135" s="1096">
        <f>SUM(F135:R135)</f>
        <v>102999358</v>
      </c>
      <c r="T135" s="599">
        <v>-2611459362</v>
      </c>
      <c r="U135" s="1096">
        <f t="shared" si="9"/>
        <v>103</v>
      </c>
      <c r="V135" s="599">
        <v>-2612</v>
      </c>
      <c r="W135" s="620"/>
      <c r="X135" s="621"/>
      <c r="Y135" s="1096">
        <f t="shared" si="10"/>
        <v>102999358</v>
      </c>
      <c r="Z135" s="882">
        <f t="shared" si="11"/>
        <v>103</v>
      </c>
    </row>
    <row r="136" spans="1:26" ht="27" hidden="1" customHeight="1">
      <c r="A136" s="583">
        <v>7</v>
      </c>
      <c r="B136" s="583">
        <v>1022</v>
      </c>
      <c r="C136" s="581">
        <v>17</v>
      </c>
      <c r="D136" s="1137" t="s">
        <v>1327</v>
      </c>
      <c r="E136" s="1138" t="s">
        <v>778</v>
      </c>
      <c r="F136" s="599">
        <v>6455482946934</v>
      </c>
      <c r="G136" s="599">
        <v>464579144646</v>
      </c>
      <c r="H136" s="599">
        <v>55453014597</v>
      </c>
      <c r="I136" s="599"/>
      <c r="J136" s="599">
        <f>2192497811657-60098580</f>
        <v>2192437713077</v>
      </c>
      <c r="K136" s="599"/>
      <c r="L136" s="599">
        <v>-9167952819254</v>
      </c>
      <c r="M136" s="599"/>
      <c r="N136" s="599"/>
      <c r="O136" s="599">
        <f>-922000000000+320000000000</f>
        <v>-602000000000</v>
      </c>
      <c r="P136" s="599">
        <v>-320000000000</v>
      </c>
      <c r="Q136" s="599"/>
      <c r="R136" s="599"/>
      <c r="S136" s="1096">
        <f t="shared" si="8"/>
        <v>-922000000000</v>
      </c>
      <c r="T136" s="599">
        <v>375871257309</v>
      </c>
      <c r="U136" s="1096">
        <f t="shared" si="9"/>
        <v>-922000</v>
      </c>
      <c r="V136" s="599">
        <v>375871</v>
      </c>
      <c r="W136" s="620"/>
      <c r="X136" s="621"/>
      <c r="Y136" s="1096">
        <f t="shared" si="10"/>
        <v>-922000000000</v>
      </c>
      <c r="Z136" s="882">
        <f t="shared" si="11"/>
        <v>-922000</v>
      </c>
    </row>
    <row r="137" spans="1:26" ht="27" hidden="1" customHeight="1">
      <c r="A137" s="583"/>
      <c r="B137" s="583">
        <v>406</v>
      </c>
      <c r="C137" s="581">
        <v>11</v>
      </c>
      <c r="D137" s="1137" t="s">
        <v>565</v>
      </c>
      <c r="E137" s="1138" t="s">
        <v>566</v>
      </c>
      <c r="F137" s="599">
        <v>1710835540</v>
      </c>
      <c r="G137" s="599"/>
      <c r="H137" s="599"/>
      <c r="I137" s="599"/>
      <c r="J137" s="599"/>
      <c r="K137" s="599"/>
      <c r="L137" s="599"/>
      <c r="M137" s="599"/>
      <c r="N137" s="599"/>
      <c r="O137" s="599"/>
      <c r="P137" s="599"/>
      <c r="Q137" s="599"/>
      <c r="R137" s="599"/>
      <c r="S137" s="1096">
        <f t="shared" si="8"/>
        <v>1710835540</v>
      </c>
      <c r="T137" s="599">
        <v>1889867140</v>
      </c>
      <c r="U137" s="1096">
        <f t="shared" si="9"/>
        <v>1711</v>
      </c>
      <c r="V137" s="599">
        <v>1890</v>
      </c>
      <c r="W137" s="620"/>
      <c r="X137" s="621"/>
      <c r="Y137" s="1096">
        <f t="shared" si="10"/>
        <v>1710835540</v>
      </c>
      <c r="Z137" s="882">
        <f t="shared" si="11"/>
        <v>1711</v>
      </c>
    </row>
    <row r="138" spans="1:26" ht="27" hidden="1" customHeight="1">
      <c r="A138" s="583"/>
      <c r="B138" s="1161">
        <v>406</v>
      </c>
      <c r="C138" s="581">
        <v>11</v>
      </c>
      <c r="D138" s="1137" t="s">
        <v>567</v>
      </c>
      <c r="E138" s="1138" t="s">
        <v>777</v>
      </c>
      <c r="F138" s="599">
        <v>3509451248</v>
      </c>
      <c r="G138" s="599"/>
      <c r="H138" s="599">
        <f>101281679-228861143</f>
        <v>-127579464</v>
      </c>
      <c r="I138" s="599"/>
      <c r="J138" s="599"/>
      <c r="K138" s="599"/>
      <c r="L138" s="599"/>
      <c r="M138" s="599"/>
      <c r="N138" s="599"/>
      <c r="O138" s="599"/>
      <c r="P138" s="599"/>
      <c r="Q138" s="599"/>
      <c r="R138" s="599"/>
      <c r="S138" s="1096">
        <f t="shared" si="8"/>
        <v>3381871784</v>
      </c>
      <c r="T138" s="599">
        <v>6362393479</v>
      </c>
      <c r="U138" s="1096">
        <f t="shared" si="9"/>
        <v>3382</v>
      </c>
      <c r="V138" s="599">
        <v>6362</v>
      </c>
      <c r="W138" s="620"/>
      <c r="X138" s="621"/>
      <c r="Y138" s="1096">
        <f t="shared" si="10"/>
        <v>3381871784</v>
      </c>
      <c r="Z138" s="882">
        <f t="shared" si="11"/>
        <v>3382</v>
      </c>
    </row>
    <row r="139" spans="1:26" ht="27" hidden="1" customHeight="1">
      <c r="A139" s="583"/>
      <c r="B139" s="583">
        <v>406</v>
      </c>
      <c r="C139" s="581">
        <v>11</v>
      </c>
      <c r="D139" s="1137" t="s">
        <v>361</v>
      </c>
      <c r="E139" s="1138" t="s">
        <v>253</v>
      </c>
      <c r="F139" s="599"/>
      <c r="G139" s="599"/>
      <c r="H139" s="599"/>
      <c r="I139" s="599"/>
      <c r="J139" s="599"/>
      <c r="K139" s="599"/>
      <c r="L139" s="599"/>
      <c r="M139" s="599"/>
      <c r="N139" s="599"/>
      <c r="O139" s="599"/>
      <c r="P139" s="599"/>
      <c r="Q139" s="599"/>
      <c r="R139" s="599"/>
      <c r="S139" s="1096">
        <f t="shared" si="8"/>
        <v>0</v>
      </c>
      <c r="T139" s="599">
        <v>6746905</v>
      </c>
      <c r="U139" s="1096">
        <f t="shared" si="9"/>
        <v>0</v>
      </c>
      <c r="V139" s="599">
        <v>7</v>
      </c>
      <c r="W139" s="620"/>
      <c r="X139" s="621"/>
      <c r="Y139" s="1096">
        <f t="shared" si="10"/>
        <v>0</v>
      </c>
      <c r="Z139" s="882">
        <f t="shared" si="11"/>
        <v>0</v>
      </c>
    </row>
    <row r="140" spans="1:26" ht="27" hidden="1" customHeight="1">
      <c r="A140" s="583">
        <v>3215</v>
      </c>
      <c r="B140" s="583">
        <v>1028</v>
      </c>
      <c r="C140" s="581">
        <v>17</v>
      </c>
      <c r="D140" s="1137" t="s">
        <v>568</v>
      </c>
      <c r="E140" s="1138" t="s">
        <v>153</v>
      </c>
      <c r="F140" s="599">
        <v>-38702627720</v>
      </c>
      <c r="G140" s="599">
        <v>-4041261746</v>
      </c>
      <c r="H140" s="599">
        <f>7392218388-14354188</f>
        <v>7377864200</v>
      </c>
      <c r="I140" s="599"/>
      <c r="J140" s="599">
        <v>-14150169</v>
      </c>
      <c r="K140" s="599"/>
      <c r="L140" s="599">
        <f>441740338-267144625</f>
        <v>174595713</v>
      </c>
      <c r="M140" s="599"/>
      <c r="N140" s="599">
        <v>-67067095</v>
      </c>
      <c r="O140" s="599">
        <f>521252416-239106613</f>
        <v>282145803</v>
      </c>
      <c r="P140" s="599"/>
      <c r="Q140" s="599"/>
      <c r="R140" s="599"/>
      <c r="S140" s="1096">
        <f t="shared" si="8"/>
        <v>-34990501014</v>
      </c>
      <c r="T140" s="599">
        <v>-69870775766</v>
      </c>
      <c r="U140" s="1096">
        <f t="shared" si="9"/>
        <v>-34991</v>
      </c>
      <c r="V140" s="599">
        <v>-69871</v>
      </c>
      <c r="W140" s="620"/>
      <c r="X140" s="621"/>
      <c r="Y140" s="1096">
        <f t="shared" si="10"/>
        <v>-34990501014</v>
      </c>
      <c r="Z140" s="882">
        <f t="shared" si="11"/>
        <v>-34991</v>
      </c>
    </row>
    <row r="141" spans="1:26" ht="27" hidden="1" customHeight="1">
      <c r="A141" s="583"/>
      <c r="B141" s="583">
        <v>406</v>
      </c>
      <c r="C141" s="581">
        <v>11</v>
      </c>
      <c r="D141" s="1137" t="s">
        <v>254</v>
      </c>
      <c r="E141" s="1138" t="s">
        <v>959</v>
      </c>
      <c r="F141" s="599">
        <v>1137206024</v>
      </c>
      <c r="G141" s="599"/>
      <c r="H141" s="599">
        <v>2776436086</v>
      </c>
      <c r="I141" s="599"/>
      <c r="J141" s="599"/>
      <c r="K141" s="599"/>
      <c r="L141" s="599"/>
      <c r="M141" s="599"/>
      <c r="N141" s="599"/>
      <c r="O141" s="599"/>
      <c r="P141" s="599"/>
      <c r="Q141" s="599"/>
      <c r="R141" s="599"/>
      <c r="S141" s="1096">
        <f t="shared" si="8"/>
        <v>3913642110</v>
      </c>
      <c r="T141" s="599">
        <v>19041951664</v>
      </c>
      <c r="U141" s="1096">
        <f t="shared" si="9"/>
        <v>3914</v>
      </c>
      <c r="V141" s="599">
        <v>19042</v>
      </c>
      <c r="W141" s="620"/>
      <c r="X141" s="621"/>
      <c r="Y141" s="1096">
        <f t="shared" si="10"/>
        <v>3913642110</v>
      </c>
      <c r="Z141" s="882">
        <f t="shared" si="11"/>
        <v>3914</v>
      </c>
    </row>
    <row r="142" spans="1:26" ht="27" hidden="1" customHeight="1">
      <c r="A142" s="583"/>
      <c r="B142" s="583">
        <v>1001</v>
      </c>
      <c r="C142" s="581">
        <v>17</v>
      </c>
      <c r="D142" s="1137" t="s">
        <v>569</v>
      </c>
      <c r="E142" s="1138" t="s">
        <v>961</v>
      </c>
      <c r="F142" s="599">
        <v>-5358416308</v>
      </c>
      <c r="G142" s="599"/>
      <c r="H142" s="599"/>
      <c r="I142" s="599"/>
      <c r="J142" s="599"/>
      <c r="K142" s="599"/>
      <c r="L142" s="599"/>
      <c r="M142" s="599"/>
      <c r="N142" s="599"/>
      <c r="O142" s="599"/>
      <c r="P142" s="599"/>
      <c r="Q142" s="599"/>
      <c r="R142" s="599"/>
      <c r="S142" s="1096">
        <f t="shared" si="8"/>
        <v>-5358416308</v>
      </c>
      <c r="T142" s="599">
        <v>-3912259473</v>
      </c>
      <c r="U142" s="1096">
        <f t="shared" si="9"/>
        <v>-5358</v>
      </c>
      <c r="V142" s="599">
        <v>-3912</v>
      </c>
      <c r="W142" s="620"/>
      <c r="X142" s="621"/>
      <c r="Y142" s="1096">
        <f t="shared" si="10"/>
        <v>-5358416308</v>
      </c>
      <c r="Z142" s="882">
        <f t="shared" si="11"/>
        <v>-5358</v>
      </c>
    </row>
    <row r="143" spans="1:26" ht="27" hidden="1" customHeight="1">
      <c r="A143" s="583"/>
      <c r="B143" s="583">
        <v>406</v>
      </c>
      <c r="C143" s="581">
        <v>11</v>
      </c>
      <c r="D143" s="1137" t="s">
        <v>960</v>
      </c>
      <c r="E143" s="1138" t="s">
        <v>962</v>
      </c>
      <c r="F143" s="599">
        <v>375893040</v>
      </c>
      <c r="G143" s="599"/>
      <c r="H143" s="599"/>
      <c r="I143" s="599"/>
      <c r="J143" s="599"/>
      <c r="K143" s="599"/>
      <c r="L143" s="599"/>
      <c r="M143" s="599"/>
      <c r="N143" s="599"/>
      <c r="O143" s="599"/>
      <c r="P143" s="599"/>
      <c r="Q143" s="599"/>
      <c r="R143" s="599"/>
      <c r="S143" s="1096">
        <f t="shared" si="8"/>
        <v>375893040</v>
      </c>
      <c r="T143" s="599">
        <v>983332600</v>
      </c>
      <c r="U143" s="1096">
        <f t="shared" si="9"/>
        <v>376</v>
      </c>
      <c r="V143" s="599">
        <v>983</v>
      </c>
      <c r="W143" s="620"/>
      <c r="X143" s="621"/>
      <c r="Y143" s="1096">
        <f t="shared" si="10"/>
        <v>375893040</v>
      </c>
      <c r="Z143" s="882">
        <f t="shared" si="11"/>
        <v>376</v>
      </c>
    </row>
    <row r="144" spans="1:26" ht="27" hidden="1" customHeight="1">
      <c r="A144" s="583"/>
      <c r="B144" s="583">
        <v>406</v>
      </c>
      <c r="C144" s="581">
        <v>11</v>
      </c>
      <c r="D144" s="1137" t="s">
        <v>733</v>
      </c>
      <c r="E144" s="1138" t="s">
        <v>963</v>
      </c>
      <c r="F144" s="599"/>
      <c r="G144" s="599"/>
      <c r="H144" s="599"/>
      <c r="I144" s="599"/>
      <c r="J144" s="599"/>
      <c r="K144" s="599"/>
      <c r="L144" s="599"/>
      <c r="M144" s="599"/>
      <c r="N144" s="599"/>
      <c r="O144" s="599"/>
      <c r="P144" s="599"/>
      <c r="Q144" s="599"/>
      <c r="R144" s="599"/>
      <c r="S144" s="1096">
        <f t="shared" si="8"/>
        <v>0</v>
      </c>
      <c r="T144" s="599">
        <v>0</v>
      </c>
      <c r="U144" s="1096">
        <f t="shared" si="9"/>
        <v>0</v>
      </c>
      <c r="V144" s="599">
        <v>0</v>
      </c>
      <c r="W144" s="620"/>
      <c r="X144" s="621"/>
      <c r="Y144" s="1096">
        <f t="shared" si="10"/>
        <v>0</v>
      </c>
      <c r="Z144" s="882">
        <f t="shared" si="11"/>
        <v>0</v>
      </c>
    </row>
    <row r="145" spans="1:26" ht="27" hidden="1" customHeight="1">
      <c r="A145" s="583"/>
      <c r="B145" s="583">
        <v>406</v>
      </c>
      <c r="C145" s="581">
        <v>11</v>
      </c>
      <c r="D145" s="1137" t="s">
        <v>570</v>
      </c>
      <c r="E145" s="1138" t="s">
        <v>257</v>
      </c>
      <c r="F145" s="599">
        <v>478789792</v>
      </c>
      <c r="G145" s="599"/>
      <c r="H145" s="599">
        <v>-161830000</v>
      </c>
      <c r="I145" s="599"/>
      <c r="J145" s="599"/>
      <c r="K145" s="599"/>
      <c r="L145" s="599"/>
      <c r="M145" s="599"/>
      <c r="N145" s="599"/>
      <c r="O145" s="599"/>
      <c r="P145" s="599"/>
      <c r="Q145" s="599"/>
      <c r="R145" s="599"/>
      <c r="S145" s="1096">
        <f t="shared" si="8"/>
        <v>316959792</v>
      </c>
      <c r="T145" s="599">
        <v>313769896</v>
      </c>
      <c r="U145" s="1096">
        <f t="shared" si="9"/>
        <v>317</v>
      </c>
      <c r="V145" s="599">
        <v>314</v>
      </c>
      <c r="W145" s="620"/>
      <c r="X145" s="621"/>
      <c r="Y145" s="1096">
        <f t="shared" si="10"/>
        <v>316959792</v>
      </c>
      <c r="Z145" s="882">
        <f t="shared" si="11"/>
        <v>317</v>
      </c>
    </row>
    <row r="146" spans="1:26" ht="27" hidden="1" customHeight="1">
      <c r="A146" s="583"/>
      <c r="B146" s="583">
        <v>406</v>
      </c>
      <c r="C146" s="581">
        <v>11</v>
      </c>
      <c r="D146" s="1137" t="s">
        <v>256</v>
      </c>
      <c r="E146" s="1138" t="s">
        <v>258</v>
      </c>
      <c r="F146" s="599"/>
      <c r="G146" s="599"/>
      <c r="H146" s="599"/>
      <c r="I146" s="599"/>
      <c r="J146" s="599"/>
      <c r="K146" s="599"/>
      <c r="L146" s="599"/>
      <c r="M146" s="599"/>
      <c r="N146" s="599"/>
      <c r="O146" s="599"/>
      <c r="P146" s="599"/>
      <c r="Q146" s="599"/>
      <c r="R146" s="599"/>
      <c r="S146" s="1096">
        <f t="shared" si="8"/>
        <v>0</v>
      </c>
      <c r="T146" s="599">
        <v>0</v>
      </c>
      <c r="U146" s="1096">
        <f t="shared" si="9"/>
        <v>0</v>
      </c>
      <c r="V146" s="599">
        <v>0</v>
      </c>
      <c r="W146" s="620"/>
      <c r="X146" s="621"/>
      <c r="Y146" s="1096">
        <f t="shared" si="10"/>
        <v>0</v>
      </c>
      <c r="Z146" s="882">
        <f t="shared" si="11"/>
        <v>0</v>
      </c>
    </row>
    <row r="147" spans="1:26" ht="27" hidden="1" customHeight="1">
      <c r="A147" s="583"/>
      <c r="B147" s="583">
        <v>406</v>
      </c>
      <c r="C147" s="581">
        <v>11</v>
      </c>
      <c r="D147" s="1137" t="s">
        <v>571</v>
      </c>
      <c r="E147" s="1138" t="s">
        <v>259</v>
      </c>
      <c r="F147" s="599">
        <v>178760000</v>
      </c>
      <c r="G147" s="599"/>
      <c r="H147" s="599"/>
      <c r="I147" s="599"/>
      <c r="J147" s="599"/>
      <c r="K147" s="599"/>
      <c r="L147" s="599"/>
      <c r="M147" s="599"/>
      <c r="N147" s="599"/>
      <c r="O147" s="599"/>
      <c r="P147" s="599"/>
      <c r="Q147" s="599"/>
      <c r="R147" s="599"/>
      <c r="S147" s="1096">
        <f t="shared" si="8"/>
        <v>178760000</v>
      </c>
      <c r="T147" s="599">
        <v>178760000</v>
      </c>
      <c r="U147" s="1096">
        <f t="shared" si="9"/>
        <v>179</v>
      </c>
      <c r="V147" s="599">
        <v>179</v>
      </c>
      <c r="W147" s="620"/>
      <c r="X147" s="621"/>
      <c r="Y147" s="1096">
        <f t="shared" si="10"/>
        <v>178760000</v>
      </c>
      <c r="Z147" s="882">
        <f t="shared" si="11"/>
        <v>179</v>
      </c>
    </row>
    <row r="148" spans="1:26" ht="27" hidden="1" customHeight="1">
      <c r="A148" s="583"/>
      <c r="B148" s="583">
        <v>406</v>
      </c>
      <c r="C148" s="581">
        <v>11</v>
      </c>
      <c r="D148" s="1137" t="s">
        <v>964</v>
      </c>
      <c r="E148" s="1138" t="s">
        <v>965</v>
      </c>
      <c r="F148" s="599">
        <v>294663600</v>
      </c>
      <c r="G148" s="599"/>
      <c r="H148" s="599"/>
      <c r="I148" s="599"/>
      <c r="J148" s="599"/>
      <c r="K148" s="599"/>
      <c r="L148" s="599"/>
      <c r="M148" s="599"/>
      <c r="N148" s="599"/>
      <c r="O148" s="599"/>
      <c r="P148" s="599"/>
      <c r="Q148" s="599"/>
      <c r="R148" s="599"/>
      <c r="S148" s="1096">
        <f t="shared" si="8"/>
        <v>294663600</v>
      </c>
      <c r="T148" s="599">
        <v>234234000</v>
      </c>
      <c r="U148" s="1096">
        <f t="shared" si="9"/>
        <v>295</v>
      </c>
      <c r="V148" s="599">
        <v>234</v>
      </c>
      <c r="W148" s="620"/>
      <c r="X148" s="621"/>
      <c r="Y148" s="1096">
        <f t="shared" si="10"/>
        <v>294663600</v>
      </c>
      <c r="Z148" s="882">
        <f t="shared" si="11"/>
        <v>295</v>
      </c>
    </row>
    <row r="149" spans="1:26" ht="27" hidden="1" customHeight="1">
      <c r="A149" s="583"/>
      <c r="B149" s="583">
        <v>406</v>
      </c>
      <c r="C149" s="581">
        <v>11</v>
      </c>
      <c r="D149" s="1137" t="s">
        <v>643</v>
      </c>
      <c r="E149" s="1138" t="s">
        <v>642</v>
      </c>
      <c r="F149" s="599">
        <v>28416546240</v>
      </c>
      <c r="G149" s="599">
        <v>5279960000</v>
      </c>
      <c r="H149" s="599">
        <v>-4700843000</v>
      </c>
      <c r="I149" s="599"/>
      <c r="J149" s="599"/>
      <c r="K149" s="599"/>
      <c r="L149" s="599"/>
      <c r="M149" s="599"/>
      <c r="N149" s="599"/>
      <c r="O149" s="599"/>
      <c r="P149" s="599"/>
      <c r="Q149" s="599"/>
      <c r="R149" s="599"/>
      <c r="S149" s="1096">
        <f t="shared" si="8"/>
        <v>28995663240</v>
      </c>
      <c r="T149" s="599">
        <v>209992760</v>
      </c>
      <c r="U149" s="1096">
        <f t="shared" si="9"/>
        <v>28996</v>
      </c>
      <c r="V149" s="599">
        <v>210</v>
      </c>
      <c r="W149" s="620"/>
      <c r="X149" s="621"/>
      <c r="Y149" s="1096">
        <f t="shared" si="10"/>
        <v>28995663240</v>
      </c>
      <c r="Z149" s="882">
        <f t="shared" si="11"/>
        <v>28996</v>
      </c>
    </row>
    <row r="150" spans="1:26" ht="27" hidden="1" customHeight="1">
      <c r="A150" s="583"/>
      <c r="B150" s="583">
        <v>406</v>
      </c>
      <c r="C150" s="581">
        <v>11</v>
      </c>
      <c r="D150" s="1137" t="s">
        <v>572</v>
      </c>
      <c r="E150" s="1138" t="s">
        <v>168</v>
      </c>
      <c r="F150" s="599">
        <v>820481845</v>
      </c>
      <c r="G150" s="599"/>
      <c r="H150" s="599">
        <v>45284897</v>
      </c>
      <c r="I150" s="599"/>
      <c r="J150" s="599"/>
      <c r="K150" s="599"/>
      <c r="L150" s="599"/>
      <c r="M150" s="599"/>
      <c r="N150" s="599"/>
      <c r="O150" s="599"/>
      <c r="P150" s="599"/>
      <c r="Q150" s="599"/>
      <c r="R150" s="599"/>
      <c r="S150" s="1096">
        <f t="shared" si="8"/>
        <v>865766742</v>
      </c>
      <c r="T150" s="599">
        <v>611395285</v>
      </c>
      <c r="U150" s="1096">
        <f t="shared" si="9"/>
        <v>866</v>
      </c>
      <c r="V150" s="599">
        <v>611</v>
      </c>
      <c r="W150" s="620"/>
      <c r="X150" s="621"/>
      <c r="Y150" s="1096">
        <f t="shared" si="10"/>
        <v>865766742</v>
      </c>
      <c r="Z150" s="882">
        <f t="shared" si="11"/>
        <v>866</v>
      </c>
    </row>
    <row r="151" spans="1:26" ht="27" hidden="1" customHeight="1">
      <c r="A151" s="583"/>
      <c r="B151" s="583">
        <v>406</v>
      </c>
      <c r="C151" s="581">
        <v>11</v>
      </c>
      <c r="D151" s="1137" t="s">
        <v>573</v>
      </c>
      <c r="E151" s="1138" t="s">
        <v>966</v>
      </c>
      <c r="F151" s="599">
        <v>61587347</v>
      </c>
      <c r="G151" s="599">
        <f>142589489-270602572</f>
        <v>-128013083</v>
      </c>
      <c r="H151" s="599">
        <v>6574308203</v>
      </c>
      <c r="I151" s="599"/>
      <c r="J151" s="599">
        <v>-128663180</v>
      </c>
      <c r="K151" s="599"/>
      <c r="L151" s="599"/>
      <c r="M151" s="599"/>
      <c r="N151" s="599"/>
      <c r="O151" s="599"/>
      <c r="P151" s="599"/>
      <c r="Q151" s="599"/>
      <c r="R151" s="599"/>
      <c r="S151" s="1096">
        <f t="shared" si="8"/>
        <v>6379219287</v>
      </c>
      <c r="T151" s="599">
        <v>45448127</v>
      </c>
      <c r="U151" s="1096">
        <f t="shared" si="9"/>
        <v>6379</v>
      </c>
      <c r="V151" s="599">
        <v>46</v>
      </c>
      <c r="W151" s="620"/>
      <c r="X151" s="621"/>
      <c r="Y151" s="1096">
        <f t="shared" si="10"/>
        <v>6379219287</v>
      </c>
      <c r="Z151" s="882">
        <f t="shared" si="11"/>
        <v>6379</v>
      </c>
    </row>
    <row r="152" spans="1:26" ht="27" hidden="1" customHeight="1">
      <c r="A152" s="583"/>
      <c r="B152" s="583">
        <v>1001</v>
      </c>
      <c r="C152" s="581">
        <v>17</v>
      </c>
      <c r="D152" s="1137" t="s">
        <v>575</v>
      </c>
      <c r="E152" s="1138" t="s">
        <v>1608</v>
      </c>
      <c r="F152" s="599">
        <v>-3641360</v>
      </c>
      <c r="G152" s="599"/>
      <c r="H152" s="599"/>
      <c r="I152" s="599"/>
      <c r="J152" s="599"/>
      <c r="K152" s="599"/>
      <c r="L152" s="599"/>
      <c r="M152" s="599"/>
      <c r="N152" s="599"/>
      <c r="O152" s="599"/>
      <c r="P152" s="599"/>
      <c r="Q152" s="599"/>
      <c r="R152" s="599"/>
      <c r="S152" s="1096">
        <f t="shared" si="8"/>
        <v>-3641360</v>
      </c>
      <c r="T152" s="599">
        <v>-3641360</v>
      </c>
      <c r="U152" s="1096">
        <f t="shared" si="9"/>
        <v>-4</v>
      </c>
      <c r="V152" s="599">
        <v>-4</v>
      </c>
      <c r="W152" s="620"/>
      <c r="X152" s="621"/>
      <c r="Y152" s="1096">
        <f t="shared" si="10"/>
        <v>-3641360</v>
      </c>
      <c r="Z152" s="882">
        <f t="shared" si="11"/>
        <v>-4</v>
      </c>
    </row>
    <row r="153" spans="1:26" ht="27" hidden="1" customHeight="1">
      <c r="A153" s="583"/>
      <c r="B153" s="583">
        <v>1018</v>
      </c>
      <c r="C153" s="581">
        <v>17</v>
      </c>
      <c r="D153" s="1137" t="s">
        <v>577</v>
      </c>
      <c r="E153" s="1138" t="s">
        <v>578</v>
      </c>
      <c r="F153" s="599">
        <v>-7701962913</v>
      </c>
      <c r="G153" s="599">
        <v>-519499879</v>
      </c>
      <c r="H153" s="599">
        <f>71832538-609497961</f>
        <v>-537665423</v>
      </c>
      <c r="I153" s="599">
        <v>-2381432</v>
      </c>
      <c r="J153" s="599"/>
      <c r="K153" s="599"/>
      <c r="L153" s="599"/>
      <c r="M153" s="599"/>
      <c r="N153" s="599">
        <v>-2381432</v>
      </c>
      <c r="O153" s="599"/>
      <c r="P153" s="599"/>
      <c r="Q153" s="599"/>
      <c r="R153" s="599"/>
      <c r="S153" s="1096">
        <f t="shared" si="8"/>
        <v>-8763891079</v>
      </c>
      <c r="T153" s="599">
        <v>-6972891322</v>
      </c>
      <c r="U153" s="1096">
        <f t="shared" si="9"/>
        <v>-8764</v>
      </c>
      <c r="V153" s="599">
        <v>-6973</v>
      </c>
      <c r="W153" s="620"/>
      <c r="X153" s="621"/>
      <c r="Y153" s="1096">
        <f t="shared" si="10"/>
        <v>-8763891079</v>
      </c>
      <c r="Z153" s="882">
        <f t="shared" si="11"/>
        <v>-8764</v>
      </c>
    </row>
    <row r="154" spans="1:26" ht="27" hidden="1" customHeight="1">
      <c r="A154" s="583"/>
      <c r="B154" s="583">
        <v>1001</v>
      </c>
      <c r="C154" s="581">
        <v>17</v>
      </c>
      <c r="D154" s="1137" t="s">
        <v>1177</v>
      </c>
      <c r="E154" s="1138" t="s">
        <v>1178</v>
      </c>
      <c r="F154" s="599">
        <v>-1809554588</v>
      </c>
      <c r="G154" s="599"/>
      <c r="H154" s="599"/>
      <c r="I154" s="599"/>
      <c r="J154" s="599"/>
      <c r="K154" s="599"/>
      <c r="L154" s="599"/>
      <c r="M154" s="599"/>
      <c r="N154" s="599"/>
      <c r="O154" s="599"/>
      <c r="P154" s="599"/>
      <c r="Q154" s="599"/>
      <c r="R154" s="599"/>
      <c r="S154" s="1096">
        <f t="shared" si="8"/>
        <v>-1809554588</v>
      </c>
      <c r="T154" s="599">
        <v>-1842908588</v>
      </c>
      <c r="U154" s="1096">
        <f t="shared" si="9"/>
        <v>-1810</v>
      </c>
      <c r="V154" s="599">
        <v>-1843</v>
      </c>
      <c r="W154" s="620"/>
      <c r="X154" s="621"/>
      <c r="Y154" s="1096">
        <f t="shared" si="10"/>
        <v>-1809554588</v>
      </c>
      <c r="Z154" s="882">
        <f t="shared" si="11"/>
        <v>-1810</v>
      </c>
    </row>
    <row r="155" spans="1:26" ht="27" hidden="1" customHeight="1">
      <c r="A155" s="583"/>
      <c r="B155" s="583">
        <v>406</v>
      </c>
      <c r="C155" s="581">
        <v>11</v>
      </c>
      <c r="D155" s="582" t="s">
        <v>1833</v>
      </c>
      <c r="E155" s="1138" t="s">
        <v>1827</v>
      </c>
      <c r="F155" s="599">
        <v>52320000</v>
      </c>
      <c r="G155" s="599"/>
      <c r="H155" s="599"/>
      <c r="I155" s="599"/>
      <c r="J155" s="599"/>
      <c r="K155" s="599"/>
      <c r="L155" s="599"/>
      <c r="M155" s="599"/>
      <c r="N155" s="599"/>
      <c r="O155" s="599"/>
      <c r="P155" s="599"/>
      <c r="Q155" s="599"/>
      <c r="R155" s="599"/>
      <c r="S155" s="1096">
        <f t="shared" si="8"/>
        <v>52320000</v>
      </c>
      <c r="T155" s="599">
        <v>69760000</v>
      </c>
      <c r="U155" s="1096">
        <f t="shared" si="9"/>
        <v>52</v>
      </c>
      <c r="V155" s="599">
        <v>70</v>
      </c>
      <c r="W155" s="620"/>
      <c r="X155" s="621"/>
      <c r="Y155" s="1096">
        <f t="shared" si="10"/>
        <v>52320000</v>
      </c>
      <c r="Z155" s="882">
        <f t="shared" si="11"/>
        <v>52</v>
      </c>
    </row>
    <row r="156" spans="1:26" ht="27" hidden="1" customHeight="1">
      <c r="A156" s="583"/>
      <c r="B156" s="583">
        <v>406</v>
      </c>
      <c r="C156" s="581">
        <v>11</v>
      </c>
      <c r="D156" s="1137" t="s">
        <v>579</v>
      </c>
      <c r="E156" s="1138" t="s">
        <v>580</v>
      </c>
      <c r="F156" s="599">
        <v>2481362670</v>
      </c>
      <c r="G156" s="599"/>
      <c r="H156" s="599">
        <v>-2481362671</v>
      </c>
      <c r="I156" s="599"/>
      <c r="J156" s="599"/>
      <c r="K156" s="599"/>
      <c r="L156" s="599"/>
      <c r="M156" s="599"/>
      <c r="N156" s="599"/>
      <c r="O156" s="599"/>
      <c r="P156" s="599"/>
      <c r="Q156" s="599"/>
      <c r="R156" s="599"/>
      <c r="S156" s="1096">
        <f t="shared" si="8"/>
        <v>-1</v>
      </c>
      <c r="T156" s="599">
        <v>2531362670</v>
      </c>
      <c r="U156" s="1096">
        <f t="shared" si="9"/>
        <v>0</v>
      </c>
      <c r="V156" s="599">
        <v>2532</v>
      </c>
      <c r="W156" s="620"/>
      <c r="X156" s="621"/>
      <c r="Y156" s="1096">
        <f t="shared" si="10"/>
        <v>-1</v>
      </c>
      <c r="Z156" s="882">
        <f t="shared" si="11"/>
        <v>0</v>
      </c>
    </row>
    <row r="157" spans="1:26" ht="27" hidden="1" customHeight="1">
      <c r="A157" s="583"/>
      <c r="B157" s="583">
        <v>406</v>
      </c>
      <c r="C157" s="581">
        <v>11</v>
      </c>
      <c r="D157" s="1137" t="s">
        <v>581</v>
      </c>
      <c r="E157" s="1138" t="s">
        <v>756</v>
      </c>
      <c r="F157" s="599">
        <v>48708761238</v>
      </c>
      <c r="G157" s="599">
        <f>57197760617-326058770</f>
        <v>56871701847</v>
      </c>
      <c r="H157" s="599">
        <f>4479937237-10679082846</f>
        <v>-6199145609</v>
      </c>
      <c r="I157" s="599"/>
      <c r="J157" s="599">
        <f>38306946962-39252354680</f>
        <v>-945407718</v>
      </c>
      <c r="K157" s="599"/>
      <c r="L157" s="599"/>
      <c r="M157" s="599"/>
      <c r="N157" s="599"/>
      <c r="O157" s="599"/>
      <c r="P157" s="599"/>
      <c r="Q157" s="599"/>
      <c r="R157" s="599"/>
      <c r="S157" s="1096">
        <f t="shared" si="8"/>
        <v>98435909758</v>
      </c>
      <c r="T157" s="599">
        <v>41350047280</v>
      </c>
      <c r="U157" s="1096">
        <f t="shared" si="9"/>
        <v>98436</v>
      </c>
      <c r="V157" s="599">
        <v>41350</v>
      </c>
      <c r="W157" s="620"/>
      <c r="X157" s="621"/>
      <c r="Y157" s="1096">
        <f t="shared" si="10"/>
        <v>98435909758</v>
      </c>
      <c r="Z157" s="882">
        <f t="shared" si="11"/>
        <v>98436</v>
      </c>
    </row>
    <row r="158" spans="1:26" ht="27" hidden="1" customHeight="1">
      <c r="A158" s="583"/>
      <c r="B158" s="583">
        <v>406</v>
      </c>
      <c r="C158" s="581">
        <v>11</v>
      </c>
      <c r="D158" s="1137" t="s">
        <v>882</v>
      </c>
      <c r="E158" s="1138" t="s">
        <v>883</v>
      </c>
      <c r="F158" s="599"/>
      <c r="G158" s="599"/>
      <c r="H158" s="599"/>
      <c r="I158" s="599"/>
      <c r="J158" s="599"/>
      <c r="K158" s="599"/>
      <c r="L158" s="599"/>
      <c r="M158" s="599"/>
      <c r="N158" s="599"/>
      <c r="O158" s="599"/>
      <c r="P158" s="599"/>
      <c r="Q158" s="599"/>
      <c r="R158" s="599"/>
      <c r="S158" s="1096">
        <f t="shared" si="8"/>
        <v>0</v>
      </c>
      <c r="T158" s="599">
        <v>0</v>
      </c>
      <c r="U158" s="1096">
        <f t="shared" si="9"/>
        <v>0</v>
      </c>
      <c r="V158" s="599">
        <v>0</v>
      </c>
      <c r="W158" s="620"/>
      <c r="X158" s="621"/>
      <c r="Y158" s="1096">
        <f t="shared" si="10"/>
        <v>0</v>
      </c>
      <c r="Z158" s="882">
        <f t="shared" si="11"/>
        <v>0</v>
      </c>
    </row>
    <row r="159" spans="1:26" ht="27" hidden="1" customHeight="1">
      <c r="A159" s="583"/>
      <c r="B159" s="583">
        <v>1001</v>
      </c>
      <c r="C159" s="581">
        <v>17</v>
      </c>
      <c r="D159" s="1137" t="s">
        <v>582</v>
      </c>
      <c r="E159" s="1138" t="s">
        <v>583</v>
      </c>
      <c r="F159" s="599">
        <v>-5483259663</v>
      </c>
      <c r="G159" s="599"/>
      <c r="H159" s="599">
        <v>-937485</v>
      </c>
      <c r="I159" s="599"/>
      <c r="J159" s="599"/>
      <c r="K159" s="599"/>
      <c r="L159" s="599"/>
      <c r="M159" s="599"/>
      <c r="N159" s="599"/>
      <c r="O159" s="599"/>
      <c r="P159" s="599"/>
      <c r="Q159" s="599"/>
      <c r="R159" s="599"/>
      <c r="S159" s="1096">
        <f t="shared" si="8"/>
        <v>-5484197148</v>
      </c>
      <c r="T159" s="599">
        <v>-3687548614</v>
      </c>
      <c r="U159" s="1096">
        <f t="shared" si="9"/>
        <v>-5484</v>
      </c>
      <c r="V159" s="599">
        <v>-3688</v>
      </c>
      <c r="W159" s="620"/>
      <c r="X159" s="621"/>
      <c r="Y159" s="1096">
        <f t="shared" si="10"/>
        <v>-5484197148</v>
      </c>
      <c r="Z159" s="882">
        <f t="shared" si="11"/>
        <v>-5484</v>
      </c>
    </row>
    <row r="160" spans="1:26" ht="27" hidden="1" customHeight="1">
      <c r="A160" s="583"/>
      <c r="B160" s="583">
        <v>406</v>
      </c>
      <c r="C160" s="581">
        <v>11</v>
      </c>
      <c r="D160" s="1137" t="s">
        <v>260</v>
      </c>
      <c r="E160" s="1138" t="s">
        <v>261</v>
      </c>
      <c r="F160" s="599">
        <v>158431500</v>
      </c>
      <c r="G160" s="599"/>
      <c r="H160" s="599"/>
      <c r="I160" s="599"/>
      <c r="J160" s="599"/>
      <c r="K160" s="599"/>
      <c r="L160" s="599"/>
      <c r="M160" s="599"/>
      <c r="N160" s="599"/>
      <c r="O160" s="599"/>
      <c r="P160" s="599"/>
      <c r="Q160" s="599"/>
      <c r="R160" s="599"/>
      <c r="S160" s="1096">
        <f t="shared" si="8"/>
        <v>158431500</v>
      </c>
      <c r="T160" s="599">
        <v>125077500</v>
      </c>
      <c r="U160" s="1096">
        <f t="shared" si="9"/>
        <v>158</v>
      </c>
      <c r="V160" s="599">
        <v>125</v>
      </c>
      <c r="W160" s="620"/>
      <c r="X160" s="621"/>
      <c r="Y160" s="1096">
        <f t="shared" si="10"/>
        <v>158431500</v>
      </c>
      <c r="Z160" s="882">
        <f t="shared" si="11"/>
        <v>158</v>
      </c>
    </row>
    <row r="161" spans="1:26" ht="27" hidden="1" customHeight="1">
      <c r="A161" s="583"/>
      <c r="B161" s="583">
        <v>1001</v>
      </c>
      <c r="C161" s="581">
        <v>17</v>
      </c>
      <c r="D161" s="1137" t="s">
        <v>262</v>
      </c>
      <c r="E161" s="1138" t="s">
        <v>263</v>
      </c>
      <c r="F161" s="599">
        <v>-730745728</v>
      </c>
      <c r="G161" s="599">
        <v>-278464973</v>
      </c>
      <c r="H161" s="599">
        <v>-219218162</v>
      </c>
      <c r="I161" s="599"/>
      <c r="J161" s="599"/>
      <c r="K161" s="599"/>
      <c r="L161" s="599"/>
      <c r="M161" s="599"/>
      <c r="N161" s="599"/>
      <c r="O161" s="599"/>
      <c r="P161" s="599"/>
      <c r="Q161" s="599"/>
      <c r="R161" s="599"/>
      <c r="S161" s="1096">
        <f t="shared" si="8"/>
        <v>-1228428863</v>
      </c>
      <c r="T161" s="599">
        <v>-1000396362</v>
      </c>
      <c r="U161" s="1096">
        <f t="shared" si="9"/>
        <v>-1228</v>
      </c>
      <c r="V161" s="599">
        <v>-1000</v>
      </c>
      <c r="W161" s="620"/>
      <c r="X161" s="621"/>
      <c r="Y161" s="1096">
        <f t="shared" si="10"/>
        <v>-1228428863</v>
      </c>
      <c r="Z161" s="882">
        <f t="shared" si="11"/>
        <v>-1228</v>
      </c>
    </row>
    <row r="162" spans="1:26" ht="27" hidden="1" customHeight="1">
      <c r="A162" s="583"/>
      <c r="B162" s="1161">
        <v>1001</v>
      </c>
      <c r="C162" s="581">
        <v>17</v>
      </c>
      <c r="D162" s="1137" t="s">
        <v>584</v>
      </c>
      <c r="E162" s="1138" t="s">
        <v>645</v>
      </c>
      <c r="F162" s="599">
        <v>-129613660</v>
      </c>
      <c r="G162" s="599"/>
      <c r="H162" s="599"/>
      <c r="I162" s="599"/>
      <c r="J162" s="599"/>
      <c r="K162" s="599"/>
      <c r="L162" s="599"/>
      <c r="M162" s="599"/>
      <c r="N162" s="599"/>
      <c r="O162" s="599"/>
      <c r="P162" s="599"/>
      <c r="Q162" s="599"/>
      <c r="R162" s="599"/>
      <c r="S162" s="1096">
        <f t="shared" si="8"/>
        <v>-129613660</v>
      </c>
      <c r="T162" s="599">
        <v>-234253660</v>
      </c>
      <c r="U162" s="1096">
        <f t="shared" si="9"/>
        <v>-130</v>
      </c>
      <c r="V162" s="599">
        <v>-234</v>
      </c>
      <c r="W162" s="620"/>
      <c r="X162" s="621"/>
      <c r="Y162" s="1096">
        <f t="shared" si="10"/>
        <v>-129613660</v>
      </c>
      <c r="Z162" s="882">
        <f t="shared" si="11"/>
        <v>-130</v>
      </c>
    </row>
    <row r="163" spans="1:26" ht="27" hidden="1" customHeight="1">
      <c r="A163" s="583"/>
      <c r="B163" s="583">
        <v>1001</v>
      </c>
      <c r="C163" s="581">
        <v>17</v>
      </c>
      <c r="D163" s="1137" t="s">
        <v>546</v>
      </c>
      <c r="E163" s="1138" t="s">
        <v>170</v>
      </c>
      <c r="F163" s="599">
        <v>-7940758585</v>
      </c>
      <c r="G163" s="599">
        <v>-681776161</v>
      </c>
      <c r="H163" s="599">
        <v>-1185753937</v>
      </c>
      <c r="I163" s="599">
        <v>-5271111</v>
      </c>
      <c r="J163" s="599"/>
      <c r="K163" s="599"/>
      <c r="L163" s="599"/>
      <c r="M163" s="599"/>
      <c r="N163" s="599"/>
      <c r="O163" s="599">
        <v>-68497780</v>
      </c>
      <c r="P163" s="599"/>
      <c r="Q163" s="599"/>
      <c r="R163" s="599"/>
      <c r="S163" s="1096">
        <f t="shared" si="8"/>
        <v>-9882057574</v>
      </c>
      <c r="T163" s="599">
        <v>-13627117422</v>
      </c>
      <c r="U163" s="1096">
        <f t="shared" si="9"/>
        <v>-9882</v>
      </c>
      <c r="V163" s="599">
        <v>-13627</v>
      </c>
      <c r="W163" s="620"/>
      <c r="X163" s="621"/>
      <c r="Y163" s="1096">
        <f t="shared" si="10"/>
        <v>-9882057574</v>
      </c>
      <c r="Z163" s="882">
        <f t="shared" si="11"/>
        <v>-9882</v>
      </c>
    </row>
    <row r="164" spans="1:26" ht="27" hidden="1" customHeight="1">
      <c r="A164" s="583"/>
      <c r="B164" s="583">
        <v>406</v>
      </c>
      <c r="C164" s="581">
        <v>11</v>
      </c>
      <c r="D164" s="582" t="s">
        <v>1834</v>
      </c>
      <c r="E164" s="1138" t="s">
        <v>1828</v>
      </c>
      <c r="F164" s="599">
        <v>65400000</v>
      </c>
      <c r="G164" s="599"/>
      <c r="H164" s="599"/>
      <c r="I164" s="599"/>
      <c r="J164" s="599"/>
      <c r="K164" s="599"/>
      <c r="L164" s="599"/>
      <c r="M164" s="599"/>
      <c r="N164" s="599"/>
      <c r="O164" s="599"/>
      <c r="P164" s="599"/>
      <c r="Q164" s="599"/>
      <c r="R164" s="599"/>
      <c r="S164" s="1096">
        <f t="shared" si="8"/>
        <v>65400000</v>
      </c>
      <c r="T164" s="599">
        <v>13080000</v>
      </c>
      <c r="U164" s="1096">
        <f t="shared" si="9"/>
        <v>65</v>
      </c>
      <c r="V164" s="599">
        <v>13</v>
      </c>
      <c r="W164" s="620"/>
      <c r="X164" s="621"/>
      <c r="Y164" s="1096">
        <f t="shared" si="10"/>
        <v>65400000</v>
      </c>
      <c r="Z164" s="882">
        <f t="shared" si="11"/>
        <v>65</v>
      </c>
    </row>
    <row r="165" spans="1:26" ht="27" hidden="1" customHeight="1">
      <c r="A165" s="583"/>
      <c r="B165" s="583">
        <v>406</v>
      </c>
      <c r="C165" s="581">
        <v>11</v>
      </c>
      <c r="D165" s="1137" t="s">
        <v>162</v>
      </c>
      <c r="E165" s="1138" t="s">
        <v>171</v>
      </c>
      <c r="F165" s="599">
        <v>1367352442</v>
      </c>
      <c r="G165" s="599"/>
      <c r="H165" s="599">
        <v>62842000</v>
      </c>
      <c r="I165" s="599"/>
      <c r="J165" s="599"/>
      <c r="K165" s="599"/>
      <c r="L165" s="599"/>
      <c r="M165" s="599"/>
      <c r="N165" s="599"/>
      <c r="O165" s="599"/>
      <c r="P165" s="599"/>
      <c r="Q165" s="599"/>
      <c r="R165" s="599"/>
      <c r="S165" s="1096">
        <f t="shared" si="8"/>
        <v>1430194442</v>
      </c>
      <c r="T165" s="599">
        <v>310363129</v>
      </c>
      <c r="U165" s="1096">
        <f t="shared" si="9"/>
        <v>1430</v>
      </c>
      <c r="V165" s="599">
        <v>310</v>
      </c>
      <c r="W165" s="620"/>
      <c r="X165" s="621"/>
      <c r="Y165" s="1096">
        <f t="shared" si="10"/>
        <v>1430194442</v>
      </c>
      <c r="Z165" s="882">
        <f t="shared" si="11"/>
        <v>1430</v>
      </c>
    </row>
    <row r="166" spans="1:26" ht="27" hidden="1" customHeight="1">
      <c r="A166" s="583"/>
      <c r="B166" s="583">
        <v>406</v>
      </c>
      <c r="C166" s="581">
        <v>11</v>
      </c>
      <c r="D166" s="1137" t="s">
        <v>299</v>
      </c>
      <c r="E166" s="1138" t="s">
        <v>644</v>
      </c>
      <c r="F166" s="599"/>
      <c r="G166" s="599"/>
      <c r="H166" s="599"/>
      <c r="I166" s="599"/>
      <c r="J166" s="599"/>
      <c r="K166" s="599"/>
      <c r="L166" s="599"/>
      <c r="M166" s="599"/>
      <c r="N166" s="599"/>
      <c r="O166" s="599"/>
      <c r="P166" s="599"/>
      <c r="Q166" s="599"/>
      <c r="R166" s="599"/>
      <c r="S166" s="1096">
        <f t="shared" si="8"/>
        <v>0</v>
      </c>
      <c r="T166" s="599">
        <v>0</v>
      </c>
      <c r="U166" s="1096">
        <f t="shared" si="9"/>
        <v>0</v>
      </c>
      <c r="V166" s="599">
        <v>0</v>
      </c>
      <c r="W166" s="620"/>
      <c r="X166" s="621"/>
      <c r="Y166" s="1096">
        <f t="shared" si="10"/>
        <v>0</v>
      </c>
      <c r="Z166" s="882">
        <f t="shared" si="11"/>
        <v>0</v>
      </c>
    </row>
    <row r="167" spans="1:26" ht="27" hidden="1" customHeight="1">
      <c r="A167" s="583"/>
      <c r="B167" s="583">
        <v>406</v>
      </c>
      <c r="C167" s="581">
        <v>11</v>
      </c>
      <c r="D167" s="1137" t="s">
        <v>839</v>
      </c>
      <c r="E167" s="1138" t="s">
        <v>838</v>
      </c>
      <c r="F167" s="599"/>
      <c r="G167" s="599"/>
      <c r="H167" s="599"/>
      <c r="I167" s="599"/>
      <c r="J167" s="599"/>
      <c r="K167" s="599"/>
      <c r="L167" s="599"/>
      <c r="M167" s="599"/>
      <c r="N167" s="599"/>
      <c r="O167" s="599"/>
      <c r="P167" s="599"/>
      <c r="Q167" s="599"/>
      <c r="R167" s="599"/>
      <c r="S167" s="1096">
        <f t="shared" si="8"/>
        <v>0</v>
      </c>
      <c r="T167" s="599">
        <v>77820342</v>
      </c>
      <c r="U167" s="1096">
        <f t="shared" si="9"/>
        <v>0</v>
      </c>
      <c r="V167" s="599">
        <v>78</v>
      </c>
      <c r="W167" s="620"/>
      <c r="X167" s="621"/>
      <c r="Y167" s="1096">
        <f t="shared" si="10"/>
        <v>0</v>
      </c>
      <c r="Z167" s="882">
        <f t="shared" si="11"/>
        <v>0</v>
      </c>
    </row>
    <row r="168" spans="1:26" ht="27" hidden="1" customHeight="1">
      <c r="A168" s="583"/>
      <c r="B168" s="583">
        <v>406</v>
      </c>
      <c r="C168" s="581">
        <v>11</v>
      </c>
      <c r="D168" s="1137" t="s">
        <v>884</v>
      </c>
      <c r="E168" s="1138" t="s">
        <v>885</v>
      </c>
      <c r="F168" s="599">
        <v>16677000</v>
      </c>
      <c r="G168" s="599"/>
      <c r="H168" s="599"/>
      <c r="I168" s="599"/>
      <c r="J168" s="599"/>
      <c r="K168" s="599"/>
      <c r="L168" s="599"/>
      <c r="M168" s="599"/>
      <c r="N168" s="599"/>
      <c r="O168" s="599"/>
      <c r="P168" s="599"/>
      <c r="Q168" s="599"/>
      <c r="R168" s="599"/>
      <c r="S168" s="1096">
        <f t="shared" si="8"/>
        <v>16677000</v>
      </c>
      <c r="T168" s="599">
        <v>78118066</v>
      </c>
      <c r="U168" s="1096">
        <f t="shared" si="9"/>
        <v>17</v>
      </c>
      <c r="V168" s="599">
        <v>78</v>
      </c>
      <c r="W168" s="620"/>
      <c r="X168" s="621"/>
      <c r="Y168" s="1096">
        <f t="shared" si="10"/>
        <v>16677000</v>
      </c>
      <c r="Z168" s="882">
        <f t="shared" si="11"/>
        <v>17</v>
      </c>
    </row>
    <row r="169" spans="1:26" ht="27" hidden="1" customHeight="1">
      <c r="A169" s="583"/>
      <c r="B169" s="583">
        <v>1001</v>
      </c>
      <c r="C169" s="581">
        <v>17</v>
      </c>
      <c r="D169" s="1137" t="s">
        <v>301</v>
      </c>
      <c r="E169" s="1138" t="s">
        <v>886</v>
      </c>
      <c r="F169" s="599"/>
      <c r="G169" s="599"/>
      <c r="H169" s="599"/>
      <c r="I169" s="599"/>
      <c r="J169" s="599"/>
      <c r="K169" s="599"/>
      <c r="L169" s="599"/>
      <c r="M169" s="599"/>
      <c r="N169" s="599"/>
      <c r="O169" s="599"/>
      <c r="P169" s="599"/>
      <c r="Q169" s="599"/>
      <c r="R169" s="599"/>
      <c r="S169" s="1096">
        <f t="shared" si="8"/>
        <v>0</v>
      </c>
      <c r="T169" s="599">
        <v>0</v>
      </c>
      <c r="U169" s="1096">
        <f t="shared" si="9"/>
        <v>0</v>
      </c>
      <c r="V169" s="599">
        <v>0</v>
      </c>
      <c r="W169" s="620"/>
      <c r="X169" s="621"/>
      <c r="Y169" s="1096">
        <f t="shared" si="10"/>
        <v>0</v>
      </c>
      <c r="Z169" s="882">
        <f t="shared" si="11"/>
        <v>0</v>
      </c>
    </row>
    <row r="170" spans="1:26" ht="27" hidden="1" customHeight="1">
      <c r="A170" s="583"/>
      <c r="B170" s="583">
        <v>406</v>
      </c>
      <c r="C170" s="581">
        <v>11</v>
      </c>
      <c r="D170" s="1137" t="s">
        <v>264</v>
      </c>
      <c r="E170" s="1138" t="s">
        <v>265</v>
      </c>
      <c r="F170" s="599"/>
      <c r="G170" s="599"/>
      <c r="H170" s="599"/>
      <c r="I170" s="599"/>
      <c r="J170" s="599"/>
      <c r="K170" s="599"/>
      <c r="L170" s="599"/>
      <c r="M170" s="599"/>
      <c r="N170" s="599"/>
      <c r="O170" s="599"/>
      <c r="P170" s="599"/>
      <c r="Q170" s="599"/>
      <c r="R170" s="599"/>
      <c r="S170" s="1096">
        <f t="shared" si="8"/>
        <v>0</v>
      </c>
      <c r="T170" s="599">
        <v>0</v>
      </c>
      <c r="U170" s="1096">
        <f t="shared" si="9"/>
        <v>0</v>
      </c>
      <c r="V170" s="599">
        <v>0</v>
      </c>
      <c r="W170" s="620"/>
      <c r="X170" s="621"/>
      <c r="Y170" s="1096">
        <f t="shared" si="10"/>
        <v>0</v>
      </c>
      <c r="Z170" s="882">
        <f t="shared" si="11"/>
        <v>0</v>
      </c>
    </row>
    <row r="171" spans="1:26" ht="27" hidden="1" customHeight="1">
      <c r="A171" s="583"/>
      <c r="B171" s="583">
        <v>406</v>
      </c>
      <c r="C171" s="581">
        <v>11</v>
      </c>
      <c r="D171" s="1137" t="s">
        <v>647</v>
      </c>
      <c r="E171" s="1138" t="s">
        <v>646</v>
      </c>
      <c r="F171" s="599"/>
      <c r="G171" s="599"/>
      <c r="H171" s="599"/>
      <c r="I171" s="599"/>
      <c r="J171" s="599"/>
      <c r="K171" s="599"/>
      <c r="L171" s="599"/>
      <c r="M171" s="599"/>
      <c r="N171" s="599"/>
      <c r="O171" s="599"/>
      <c r="P171" s="599"/>
      <c r="Q171" s="599"/>
      <c r="R171" s="599"/>
      <c r="S171" s="1096">
        <f t="shared" si="8"/>
        <v>0</v>
      </c>
      <c r="T171" s="599">
        <v>0</v>
      </c>
      <c r="U171" s="1096">
        <f t="shared" si="9"/>
        <v>0</v>
      </c>
      <c r="V171" s="599">
        <v>0</v>
      </c>
      <c r="W171" s="620"/>
      <c r="X171" s="621"/>
      <c r="Y171" s="1096">
        <f t="shared" si="10"/>
        <v>0</v>
      </c>
      <c r="Z171" s="882">
        <f t="shared" si="11"/>
        <v>0</v>
      </c>
    </row>
    <row r="172" spans="1:26" ht="27" hidden="1" customHeight="1">
      <c r="A172" s="583"/>
      <c r="B172" s="583">
        <v>1026</v>
      </c>
      <c r="C172" s="581">
        <v>17</v>
      </c>
      <c r="D172" s="1137" t="s">
        <v>305</v>
      </c>
      <c r="E172" s="1138" t="s">
        <v>172</v>
      </c>
      <c r="F172" s="599">
        <v>-7162590352</v>
      </c>
      <c r="G172" s="599">
        <f>362185200-606438940</f>
        <v>-244253740</v>
      </c>
      <c r="H172" s="599">
        <f>2594529111-77068450</f>
        <v>2517460661</v>
      </c>
      <c r="I172" s="599"/>
      <c r="J172" s="599">
        <v>-1062750</v>
      </c>
      <c r="K172" s="599"/>
      <c r="L172" s="599"/>
      <c r="M172" s="599"/>
      <c r="N172" s="599">
        <f>362185200-362185200</f>
        <v>0</v>
      </c>
      <c r="O172" s="599">
        <v>-362185200</v>
      </c>
      <c r="P172" s="599"/>
      <c r="Q172" s="599"/>
      <c r="R172" s="599"/>
      <c r="S172" s="1096">
        <f t="shared" si="8"/>
        <v>-5252631381</v>
      </c>
      <c r="T172" s="599">
        <v>-9179827714</v>
      </c>
      <c r="U172" s="1096">
        <f t="shared" si="9"/>
        <v>-5253</v>
      </c>
      <c r="V172" s="599">
        <v>-9180</v>
      </c>
      <c r="W172" s="620"/>
      <c r="X172" s="621"/>
      <c r="Y172" s="1096">
        <f t="shared" si="10"/>
        <v>-5252631381</v>
      </c>
      <c r="Z172" s="882">
        <f t="shared" si="11"/>
        <v>-5253</v>
      </c>
    </row>
    <row r="173" spans="1:26" ht="27" hidden="1" customHeight="1">
      <c r="A173" s="583"/>
      <c r="B173" s="583">
        <v>406</v>
      </c>
      <c r="C173" s="581">
        <v>11</v>
      </c>
      <c r="D173" s="1137" t="s">
        <v>306</v>
      </c>
      <c r="E173" s="1138" t="s">
        <v>307</v>
      </c>
      <c r="F173" s="599">
        <v>2262850316</v>
      </c>
      <c r="G173" s="599">
        <v>-60704280</v>
      </c>
      <c r="H173" s="599">
        <v>321511925</v>
      </c>
      <c r="I173" s="599"/>
      <c r="J173" s="599">
        <v>-1412230</v>
      </c>
      <c r="K173" s="599"/>
      <c r="L173" s="599"/>
      <c r="M173" s="599"/>
      <c r="N173" s="599"/>
      <c r="O173" s="599"/>
      <c r="P173" s="599"/>
      <c r="Q173" s="599"/>
      <c r="R173" s="599"/>
      <c r="S173" s="1096">
        <f t="shared" si="8"/>
        <v>2522245731</v>
      </c>
      <c r="T173" s="599">
        <v>18812298</v>
      </c>
      <c r="U173" s="1096">
        <f t="shared" si="9"/>
        <v>2522</v>
      </c>
      <c r="V173" s="599">
        <v>19</v>
      </c>
      <c r="W173" s="620"/>
      <c r="X173" s="621"/>
      <c r="Y173" s="1096">
        <f t="shared" si="10"/>
        <v>2522245731</v>
      </c>
      <c r="Z173" s="882">
        <f t="shared" si="11"/>
        <v>2522</v>
      </c>
    </row>
    <row r="174" spans="1:26" ht="27" hidden="1" customHeight="1">
      <c r="A174" s="583"/>
      <c r="B174" s="583">
        <v>1027</v>
      </c>
      <c r="C174" s="581">
        <v>17</v>
      </c>
      <c r="D174" s="1137" t="s">
        <v>308</v>
      </c>
      <c r="E174" s="1138" t="s">
        <v>309</v>
      </c>
      <c r="F174" s="599">
        <v>-712528911865</v>
      </c>
      <c r="G174" s="599"/>
      <c r="H174" s="599">
        <f>1930468-662221</f>
        <v>1268247</v>
      </c>
      <c r="I174" s="599">
        <f>834861443-1294189722</f>
        <v>-459328279</v>
      </c>
      <c r="J174" s="599"/>
      <c r="K174" s="599"/>
      <c r="L174" s="599"/>
      <c r="M174" s="599"/>
      <c r="N174" s="599"/>
      <c r="O174" s="599">
        <f>16154276237-15603342178</f>
        <v>550934059</v>
      </c>
      <c r="P174" s="599"/>
      <c r="Q174" s="599"/>
      <c r="R174" s="599"/>
      <c r="S174" s="1096">
        <f t="shared" si="8"/>
        <v>-712436037838</v>
      </c>
      <c r="T174" s="599">
        <v>-442284349431</v>
      </c>
      <c r="U174" s="1096">
        <f t="shared" si="9"/>
        <v>-712436</v>
      </c>
      <c r="V174" s="599">
        <v>-442284</v>
      </c>
      <c r="W174" s="620"/>
      <c r="X174" s="621"/>
      <c r="Y174" s="1096">
        <f t="shared" si="10"/>
        <v>-712436037838</v>
      </c>
      <c r="Z174" s="882">
        <f t="shared" si="11"/>
        <v>-712436</v>
      </c>
    </row>
    <row r="175" spans="1:26" ht="27" hidden="1" customHeight="1">
      <c r="A175" s="583"/>
      <c r="B175" s="1161">
        <v>1018</v>
      </c>
      <c r="C175" s="581">
        <v>17</v>
      </c>
      <c r="D175" s="1137" t="s">
        <v>310</v>
      </c>
      <c r="E175" s="1138" t="s">
        <v>967</v>
      </c>
      <c r="F175" s="599">
        <v>14771617</v>
      </c>
      <c r="G175" s="599">
        <v>-14771617</v>
      </c>
      <c r="H175" s="599"/>
      <c r="I175" s="599"/>
      <c r="J175" s="599"/>
      <c r="K175" s="599"/>
      <c r="L175" s="599"/>
      <c r="M175" s="599"/>
      <c r="N175" s="599"/>
      <c r="O175" s="599"/>
      <c r="P175" s="599"/>
      <c r="Q175" s="599"/>
      <c r="R175" s="599"/>
      <c r="S175" s="1096">
        <f>SUM(F175:R175)</f>
        <v>0</v>
      </c>
      <c r="T175" s="599">
        <v>-21262514</v>
      </c>
      <c r="U175" s="1096">
        <f t="shared" si="9"/>
        <v>0</v>
      </c>
      <c r="V175" s="599">
        <v>-21</v>
      </c>
      <c r="W175" s="620"/>
      <c r="X175" s="621"/>
      <c r="Y175" s="1096">
        <f t="shared" si="10"/>
        <v>0</v>
      </c>
      <c r="Z175" s="882">
        <f t="shared" si="11"/>
        <v>0</v>
      </c>
    </row>
    <row r="176" spans="1:26" ht="27" hidden="1" customHeight="1">
      <c r="A176" s="583"/>
      <c r="B176" s="583">
        <v>406</v>
      </c>
      <c r="C176" s="581">
        <v>11</v>
      </c>
      <c r="D176" s="1137" t="s">
        <v>1059</v>
      </c>
      <c r="E176" s="1138" t="s">
        <v>1058</v>
      </c>
      <c r="F176" s="599">
        <v>2272373744</v>
      </c>
      <c r="G176" s="599"/>
      <c r="H176" s="599"/>
      <c r="I176" s="599"/>
      <c r="J176" s="599"/>
      <c r="K176" s="599"/>
      <c r="L176" s="599"/>
      <c r="M176" s="599"/>
      <c r="N176" s="599"/>
      <c r="O176" s="599"/>
      <c r="P176" s="599"/>
      <c r="Q176" s="599"/>
      <c r="R176" s="599"/>
      <c r="S176" s="1096">
        <f t="shared" si="8"/>
        <v>2272373744</v>
      </c>
      <c r="T176" s="599">
        <v>0</v>
      </c>
      <c r="U176" s="1096">
        <f t="shared" si="9"/>
        <v>2272</v>
      </c>
      <c r="V176" s="599">
        <v>0</v>
      </c>
      <c r="W176" s="620"/>
      <c r="X176" s="621"/>
      <c r="Y176" s="1096">
        <f t="shared" si="10"/>
        <v>2272373744</v>
      </c>
      <c r="Z176" s="882">
        <f t="shared" si="11"/>
        <v>2272</v>
      </c>
    </row>
    <row r="177" spans="1:26" ht="27" hidden="1" customHeight="1">
      <c r="A177" s="583"/>
      <c r="B177" s="583">
        <v>406</v>
      </c>
      <c r="C177" s="581">
        <v>11</v>
      </c>
      <c r="D177" s="1137" t="s">
        <v>109</v>
      </c>
      <c r="E177" s="1138" t="s">
        <v>840</v>
      </c>
      <c r="F177" s="599">
        <v>2861659179</v>
      </c>
      <c r="G177" s="599"/>
      <c r="H177" s="599"/>
      <c r="I177" s="599"/>
      <c r="J177" s="599"/>
      <c r="K177" s="599"/>
      <c r="L177" s="599"/>
      <c r="M177" s="599"/>
      <c r="N177" s="599"/>
      <c r="O177" s="599"/>
      <c r="P177" s="599"/>
      <c r="Q177" s="599"/>
      <c r="R177" s="599"/>
      <c r="S177" s="1096">
        <f t="shared" si="8"/>
        <v>2861659179</v>
      </c>
      <c r="T177" s="599">
        <v>1090758538</v>
      </c>
      <c r="U177" s="1096">
        <f t="shared" si="9"/>
        <v>2862</v>
      </c>
      <c r="V177" s="599">
        <v>1091</v>
      </c>
      <c r="W177" s="620"/>
      <c r="X177" s="621"/>
      <c r="Y177" s="1096">
        <f t="shared" si="10"/>
        <v>2861659179</v>
      </c>
      <c r="Z177" s="882">
        <f t="shared" si="11"/>
        <v>2862</v>
      </c>
    </row>
    <row r="178" spans="1:26" ht="27" hidden="1" customHeight="1">
      <c r="A178" s="583"/>
      <c r="B178" s="583">
        <v>406</v>
      </c>
      <c r="C178" s="581">
        <v>11</v>
      </c>
      <c r="D178" s="1137" t="s">
        <v>110</v>
      </c>
      <c r="E178" s="1138" t="s">
        <v>174</v>
      </c>
      <c r="F178" s="599">
        <v>2985090512</v>
      </c>
      <c r="G178" s="599"/>
      <c r="H178" s="599"/>
      <c r="I178" s="599"/>
      <c r="J178" s="599"/>
      <c r="K178" s="599"/>
      <c r="L178" s="599"/>
      <c r="M178" s="599"/>
      <c r="N178" s="599"/>
      <c r="O178" s="599"/>
      <c r="P178" s="599"/>
      <c r="Q178" s="599"/>
      <c r="R178" s="599"/>
      <c r="S178" s="1096">
        <f t="shared" si="8"/>
        <v>2985090512</v>
      </c>
      <c r="T178" s="599">
        <v>1665750720</v>
      </c>
      <c r="U178" s="1096">
        <f t="shared" si="9"/>
        <v>2985</v>
      </c>
      <c r="V178" s="599">
        <v>1666</v>
      </c>
      <c r="W178" s="620"/>
      <c r="X178" s="621"/>
      <c r="Y178" s="1096">
        <f t="shared" si="10"/>
        <v>2985090512</v>
      </c>
      <c r="Z178" s="882">
        <f t="shared" si="11"/>
        <v>2985</v>
      </c>
    </row>
    <row r="179" spans="1:26" ht="27" hidden="1" customHeight="1">
      <c r="A179" s="583"/>
      <c r="B179" s="583">
        <v>1001</v>
      </c>
      <c r="C179" s="581">
        <v>17</v>
      </c>
      <c r="D179" s="1137" t="s">
        <v>335</v>
      </c>
      <c r="E179" s="1138" t="s">
        <v>763</v>
      </c>
      <c r="F179" s="599"/>
      <c r="G179" s="599"/>
      <c r="H179" s="599"/>
      <c r="I179" s="599"/>
      <c r="J179" s="599"/>
      <c r="K179" s="599"/>
      <c r="L179" s="599"/>
      <c r="M179" s="599"/>
      <c r="N179" s="599"/>
      <c r="O179" s="599"/>
      <c r="P179" s="599"/>
      <c r="Q179" s="599"/>
      <c r="R179" s="599"/>
      <c r="S179" s="1096">
        <f t="shared" si="8"/>
        <v>0</v>
      </c>
      <c r="T179" s="599">
        <v>0</v>
      </c>
      <c r="U179" s="1096">
        <f t="shared" si="9"/>
        <v>0</v>
      </c>
      <c r="V179" s="599">
        <v>0</v>
      </c>
      <c r="W179" s="620"/>
      <c r="X179" s="621"/>
      <c r="Y179" s="1096">
        <f t="shared" si="10"/>
        <v>0</v>
      </c>
      <c r="Z179" s="882">
        <f t="shared" si="11"/>
        <v>0</v>
      </c>
    </row>
    <row r="180" spans="1:26" ht="27" hidden="1" customHeight="1">
      <c r="A180" s="583"/>
      <c r="B180" s="583">
        <v>406</v>
      </c>
      <c r="C180" s="581">
        <v>11</v>
      </c>
      <c r="D180" s="1137" t="s">
        <v>336</v>
      </c>
      <c r="E180" s="1138" t="s">
        <v>656</v>
      </c>
      <c r="F180" s="599">
        <v>6029856640</v>
      </c>
      <c r="G180" s="599">
        <v>53680000</v>
      </c>
      <c r="H180" s="599">
        <v>169582000</v>
      </c>
      <c r="I180" s="599"/>
      <c r="J180" s="599">
        <v>-169852200</v>
      </c>
      <c r="K180" s="599"/>
      <c r="L180" s="599"/>
      <c r="M180" s="599"/>
      <c r="N180" s="599"/>
      <c r="O180" s="599"/>
      <c r="P180" s="599"/>
      <c r="Q180" s="599"/>
      <c r="R180" s="599"/>
      <c r="S180" s="1096">
        <f t="shared" si="8"/>
        <v>6083266440</v>
      </c>
      <c r="T180" s="599">
        <v>7901394560</v>
      </c>
      <c r="U180" s="1096">
        <f t="shared" si="9"/>
        <v>6083</v>
      </c>
      <c r="V180" s="599">
        <v>7901</v>
      </c>
      <c r="W180" s="620"/>
      <c r="X180" s="621"/>
      <c r="Y180" s="1096">
        <f t="shared" si="10"/>
        <v>6083266440</v>
      </c>
      <c r="Z180" s="882">
        <f t="shared" si="11"/>
        <v>6083</v>
      </c>
    </row>
    <row r="181" spans="1:26" ht="27" hidden="1" customHeight="1">
      <c r="A181" s="583"/>
      <c r="B181" s="583">
        <v>409</v>
      </c>
      <c r="C181" s="581">
        <v>11</v>
      </c>
      <c r="D181" s="1137" t="s">
        <v>336</v>
      </c>
      <c r="E181" s="1138" t="s">
        <v>655</v>
      </c>
      <c r="F181" s="599"/>
      <c r="G181" s="599"/>
      <c r="H181" s="599"/>
      <c r="I181" s="599"/>
      <c r="J181" s="599"/>
      <c r="K181" s="599"/>
      <c r="L181" s="599"/>
      <c r="M181" s="599"/>
      <c r="N181" s="599"/>
      <c r="O181" s="599"/>
      <c r="P181" s="599"/>
      <c r="Q181" s="599"/>
      <c r="R181" s="599"/>
      <c r="S181" s="1096">
        <f t="shared" si="8"/>
        <v>0</v>
      </c>
      <c r="T181" s="599">
        <v>0</v>
      </c>
      <c r="U181" s="1096">
        <f t="shared" si="9"/>
        <v>0</v>
      </c>
      <c r="V181" s="599">
        <v>0</v>
      </c>
      <c r="W181" s="620"/>
      <c r="X181" s="621"/>
      <c r="Y181" s="1096">
        <f t="shared" si="10"/>
        <v>0</v>
      </c>
      <c r="Z181" s="882">
        <f t="shared" si="11"/>
        <v>0</v>
      </c>
    </row>
    <row r="182" spans="1:26" ht="27" hidden="1" customHeight="1">
      <c r="A182" s="583">
        <v>1</v>
      </c>
      <c r="B182" s="583">
        <v>414</v>
      </c>
      <c r="C182" s="581">
        <v>17</v>
      </c>
      <c r="D182" s="1137" t="s">
        <v>338</v>
      </c>
      <c r="E182" s="1138" t="s">
        <v>152</v>
      </c>
      <c r="F182" s="599">
        <v>-20767094557</v>
      </c>
      <c r="G182" s="599">
        <v>-852972404</v>
      </c>
      <c r="H182" s="599">
        <f>5677612860-485771751</f>
        <v>5191841109</v>
      </c>
      <c r="I182" s="599"/>
      <c r="J182" s="599">
        <v>-31590500689</v>
      </c>
      <c r="K182" s="599"/>
      <c r="L182" s="599">
        <v>48018726541</v>
      </c>
      <c r="M182" s="599"/>
      <c r="N182" s="599">
        <v>-14745139391</v>
      </c>
      <c r="O182" s="599"/>
      <c r="P182" s="599"/>
      <c r="Q182" s="599"/>
      <c r="R182" s="599"/>
      <c r="S182" s="1096">
        <f t="shared" si="8"/>
        <v>-14745139391</v>
      </c>
      <c r="T182" s="599">
        <v>-20682116095</v>
      </c>
      <c r="U182" s="1096">
        <f t="shared" si="9"/>
        <v>-14745</v>
      </c>
      <c r="V182" s="599">
        <v>-20682</v>
      </c>
      <c r="W182" s="620"/>
      <c r="X182" s="621"/>
      <c r="Y182" s="1096">
        <f t="shared" si="10"/>
        <v>-14745139391</v>
      </c>
      <c r="Z182" s="882">
        <f t="shared" si="11"/>
        <v>-14745</v>
      </c>
    </row>
    <row r="183" spans="1:26" ht="27" hidden="1" customHeight="1">
      <c r="A183" s="583">
        <v>7</v>
      </c>
      <c r="B183" s="583">
        <v>414</v>
      </c>
      <c r="C183" s="581">
        <v>17</v>
      </c>
      <c r="D183" s="1137" t="s">
        <v>1376</v>
      </c>
      <c r="E183" s="1138" t="s">
        <v>1377</v>
      </c>
      <c r="F183" s="599">
        <v>1753667425746</v>
      </c>
      <c r="G183" s="599">
        <v>110673053452</v>
      </c>
      <c r="H183" s="599"/>
      <c r="I183" s="599"/>
      <c r="J183" s="599">
        <v>437836138935</v>
      </c>
      <c r="K183" s="599"/>
      <c r="L183" s="599">
        <v>-2302176618133</v>
      </c>
      <c r="M183" s="599"/>
      <c r="N183" s="599"/>
      <c r="O183" s="599"/>
      <c r="P183" s="599"/>
      <c r="Q183" s="599"/>
      <c r="R183" s="599"/>
      <c r="S183" s="1096">
        <f t="shared" si="8"/>
        <v>0</v>
      </c>
      <c r="T183" s="599">
        <v>537360181191</v>
      </c>
      <c r="U183" s="1096">
        <f t="shared" si="9"/>
        <v>0</v>
      </c>
      <c r="V183" s="599">
        <v>537360</v>
      </c>
      <c r="W183" s="620"/>
      <c r="X183" s="621"/>
      <c r="Y183" s="1096">
        <f t="shared" si="10"/>
        <v>0</v>
      </c>
      <c r="Z183" s="882">
        <f t="shared" si="11"/>
        <v>0</v>
      </c>
    </row>
    <row r="184" spans="1:26" ht="27" hidden="1" customHeight="1">
      <c r="A184" s="583">
        <v>1</v>
      </c>
      <c r="B184" s="583">
        <v>1005</v>
      </c>
      <c r="C184" s="581">
        <v>17</v>
      </c>
      <c r="D184" s="1137" t="s">
        <v>527</v>
      </c>
      <c r="E184" s="1138" t="s">
        <v>528</v>
      </c>
      <c r="F184" s="599">
        <v>608437608</v>
      </c>
      <c r="G184" s="599">
        <v>-5213005428</v>
      </c>
      <c r="H184" s="599">
        <v>-1336480309</v>
      </c>
      <c r="I184" s="599">
        <v>-1597166814</v>
      </c>
      <c r="J184" s="599">
        <v>-113258000</v>
      </c>
      <c r="K184" s="599"/>
      <c r="L184" s="599">
        <v>7651472943</v>
      </c>
      <c r="M184" s="599"/>
      <c r="N184" s="599">
        <v>-27685729</v>
      </c>
      <c r="O184" s="599"/>
      <c r="P184" s="599"/>
      <c r="Q184" s="599"/>
      <c r="R184" s="599"/>
      <c r="S184" s="1096">
        <f t="shared" si="8"/>
        <v>-27685729</v>
      </c>
      <c r="T184" s="599">
        <v>0</v>
      </c>
      <c r="U184" s="1096">
        <f t="shared" si="9"/>
        <v>-28</v>
      </c>
      <c r="V184" s="599">
        <v>0</v>
      </c>
      <c r="W184" s="620"/>
      <c r="X184" s="621"/>
      <c r="Y184" s="1096">
        <f t="shared" si="10"/>
        <v>-27685729</v>
      </c>
      <c r="Z184" s="882">
        <f t="shared" si="11"/>
        <v>-28</v>
      </c>
    </row>
    <row r="185" spans="1:26" ht="27" hidden="1" customHeight="1">
      <c r="A185" s="583">
        <v>7</v>
      </c>
      <c r="B185" s="583">
        <v>1005</v>
      </c>
      <c r="C185" s="581">
        <v>17</v>
      </c>
      <c r="D185" s="1137" t="s">
        <v>1378</v>
      </c>
      <c r="E185" s="1138" t="s">
        <v>1379</v>
      </c>
      <c r="F185" s="599">
        <v>264203503679</v>
      </c>
      <c r="G185" s="599">
        <v>24498799141</v>
      </c>
      <c r="H185" s="599"/>
      <c r="I185" s="599"/>
      <c r="J185" s="599">
        <v>103531318833</v>
      </c>
      <c r="K185" s="599"/>
      <c r="L185" s="599">
        <v>-392233621653</v>
      </c>
      <c r="M185" s="599"/>
      <c r="N185" s="599"/>
      <c r="O185" s="599"/>
      <c r="P185" s="599"/>
      <c r="Q185" s="599"/>
      <c r="R185" s="599"/>
      <c r="S185" s="1096">
        <f t="shared" si="8"/>
        <v>0</v>
      </c>
      <c r="T185" s="599">
        <v>-25077232278</v>
      </c>
      <c r="U185" s="1096">
        <f t="shared" si="9"/>
        <v>0</v>
      </c>
      <c r="V185" s="599">
        <v>-25077</v>
      </c>
      <c r="W185" s="620"/>
      <c r="X185" s="621"/>
      <c r="Y185" s="1096">
        <f t="shared" si="10"/>
        <v>0</v>
      </c>
      <c r="Z185" s="882">
        <f t="shared" si="11"/>
        <v>0</v>
      </c>
    </row>
    <row r="186" spans="1:26" ht="27" hidden="1" customHeight="1">
      <c r="A186" s="583">
        <v>1</v>
      </c>
      <c r="B186" s="583">
        <v>1006</v>
      </c>
      <c r="C186" s="581">
        <v>17</v>
      </c>
      <c r="D186" s="1137" t="s">
        <v>529</v>
      </c>
      <c r="E186" s="1138" t="s">
        <v>156</v>
      </c>
      <c r="F186" s="599">
        <v>-28070186506</v>
      </c>
      <c r="G186" s="599">
        <v>-63533845149</v>
      </c>
      <c r="H186" s="599">
        <v>-11406328872</v>
      </c>
      <c r="I186" s="599">
        <f>6948060778-8533813519</f>
        <v>-1585752741</v>
      </c>
      <c r="J186" s="599">
        <v>-30546560778</v>
      </c>
      <c r="K186" s="599"/>
      <c r="L186" s="599">
        <f>135142674046-1280000</f>
        <v>135141394046</v>
      </c>
      <c r="M186" s="599"/>
      <c r="N186" s="599">
        <v>-1172985729</v>
      </c>
      <c r="O186" s="599">
        <v>1280000</v>
      </c>
      <c r="P186" s="599"/>
      <c r="Q186" s="599"/>
      <c r="R186" s="599"/>
      <c r="S186" s="1096">
        <f t="shared" si="8"/>
        <v>-1172985729</v>
      </c>
      <c r="T186" s="599">
        <v>-112800000</v>
      </c>
      <c r="U186" s="1096">
        <f t="shared" si="9"/>
        <v>-1173</v>
      </c>
      <c r="V186" s="599">
        <v>-113</v>
      </c>
      <c r="W186" s="620"/>
      <c r="X186" s="621"/>
      <c r="Y186" s="1096">
        <f t="shared" si="10"/>
        <v>-1172985729</v>
      </c>
      <c r="Z186" s="882">
        <f t="shared" si="11"/>
        <v>-1173</v>
      </c>
    </row>
    <row r="187" spans="1:26" ht="27" hidden="1" customHeight="1">
      <c r="A187" s="583">
        <v>7</v>
      </c>
      <c r="B187" s="583">
        <v>1006</v>
      </c>
      <c r="C187" s="581">
        <v>17</v>
      </c>
      <c r="D187" s="1137" t="s">
        <v>1381</v>
      </c>
      <c r="E187" s="1138" t="s">
        <v>1380</v>
      </c>
      <c r="F187" s="599">
        <v>2401347674902</v>
      </c>
      <c r="G187" s="599">
        <v>177694157600</v>
      </c>
      <c r="H187" s="599"/>
      <c r="I187" s="599"/>
      <c r="J187" s="599">
        <v>672627195500</v>
      </c>
      <c r="K187" s="599"/>
      <c r="L187" s="599">
        <v>-3251669028002</v>
      </c>
      <c r="M187" s="599"/>
      <c r="N187" s="599"/>
      <c r="O187" s="599"/>
      <c r="P187" s="599"/>
      <c r="Q187" s="599"/>
      <c r="R187" s="599"/>
      <c r="S187" s="1096">
        <f t="shared" si="8"/>
        <v>0</v>
      </c>
      <c r="T187" s="599">
        <v>540464024602</v>
      </c>
      <c r="U187" s="1096">
        <f t="shared" si="9"/>
        <v>0</v>
      </c>
      <c r="V187" s="599">
        <v>540464</v>
      </c>
      <c r="W187" s="620"/>
      <c r="X187" s="621"/>
      <c r="Y187" s="1096">
        <f t="shared" si="10"/>
        <v>0</v>
      </c>
      <c r="Z187" s="882">
        <f t="shared" si="11"/>
        <v>0</v>
      </c>
    </row>
    <row r="188" spans="1:26" ht="27" hidden="1" customHeight="1">
      <c r="A188" s="583">
        <v>1</v>
      </c>
      <c r="B188" s="583">
        <v>415</v>
      </c>
      <c r="C188" s="581">
        <v>17</v>
      </c>
      <c r="D188" s="1137" t="s">
        <v>157</v>
      </c>
      <c r="E188" s="1138" t="s">
        <v>558</v>
      </c>
      <c r="F188" s="599">
        <v>-6744375177</v>
      </c>
      <c r="G188" s="599"/>
      <c r="H188" s="599">
        <v>18000000</v>
      </c>
      <c r="I188" s="599"/>
      <c r="J188" s="599">
        <f>55590000-204000000</f>
        <v>-148410000</v>
      </c>
      <c r="K188" s="599">
        <f>16000000-3370401502</f>
        <v>-3354401502</v>
      </c>
      <c r="L188" s="599">
        <v>6874785177</v>
      </c>
      <c r="M188" s="599"/>
      <c r="N188" s="599">
        <f>97375477-130343185</f>
        <v>-32967708</v>
      </c>
      <c r="O188" s="599">
        <v>-1692513375</v>
      </c>
      <c r="P188" s="599"/>
      <c r="Q188" s="599"/>
      <c r="R188" s="599"/>
      <c r="S188" s="1096">
        <f t="shared" si="8"/>
        <v>-5079882585</v>
      </c>
      <c r="T188" s="599">
        <v>-1570705303</v>
      </c>
      <c r="U188" s="1096">
        <f t="shared" si="9"/>
        <v>-5080</v>
      </c>
      <c r="V188" s="599">
        <v>-1571</v>
      </c>
      <c r="W188" s="620"/>
      <c r="X188" s="621"/>
      <c r="Y188" s="1096">
        <f t="shared" si="10"/>
        <v>-5079882585</v>
      </c>
      <c r="Z188" s="882">
        <f t="shared" si="11"/>
        <v>-5080</v>
      </c>
    </row>
    <row r="189" spans="1:26" ht="27" hidden="1" customHeight="1">
      <c r="A189" s="583">
        <v>7</v>
      </c>
      <c r="B189" s="583">
        <v>415</v>
      </c>
      <c r="C189" s="581">
        <v>17</v>
      </c>
      <c r="D189" s="1137" t="s">
        <v>1328</v>
      </c>
      <c r="E189" s="1138" t="s">
        <v>558</v>
      </c>
      <c r="F189" s="599">
        <v>478927383345</v>
      </c>
      <c r="G189" s="599">
        <v>51431621734</v>
      </c>
      <c r="H189" s="599"/>
      <c r="I189" s="599"/>
      <c r="J189" s="599">
        <v>192955776878</v>
      </c>
      <c r="K189" s="599">
        <v>-56143</v>
      </c>
      <c r="L189" s="599">
        <v>-723314781957</v>
      </c>
      <c r="N189" s="599"/>
      <c r="O189" s="599">
        <f>750489148-750433005</f>
        <v>56143</v>
      </c>
      <c r="P189" s="599"/>
      <c r="Q189" s="599"/>
      <c r="R189" s="599"/>
      <c r="S189" s="1096">
        <f t="shared" si="8"/>
        <v>0</v>
      </c>
      <c r="T189" s="599">
        <v>-54445426384</v>
      </c>
      <c r="U189" s="1096">
        <f t="shared" si="9"/>
        <v>0</v>
      </c>
      <c r="V189" s="599">
        <v>-54445</v>
      </c>
      <c r="W189" s="620"/>
      <c r="X189" s="621"/>
      <c r="Y189" s="1096">
        <f t="shared" si="10"/>
        <v>0</v>
      </c>
      <c r="Z189" s="882">
        <f t="shared" si="11"/>
        <v>0</v>
      </c>
    </row>
    <row r="190" spans="1:26" ht="27" hidden="1" customHeight="1">
      <c r="A190" s="583">
        <v>1</v>
      </c>
      <c r="B190" s="583">
        <v>1019</v>
      </c>
      <c r="C190" s="581">
        <v>17</v>
      </c>
      <c r="D190" s="1137" t="s">
        <v>158</v>
      </c>
      <c r="E190" s="1138" t="s">
        <v>159</v>
      </c>
      <c r="F190" s="599">
        <v>3929483316</v>
      </c>
      <c r="G190" s="599"/>
      <c r="H190" s="599">
        <f>34089833-7482365785</f>
        <v>-7448275952</v>
      </c>
      <c r="I190" s="599"/>
      <c r="J190" s="599"/>
      <c r="K190" s="599"/>
      <c r="L190" s="599">
        <f>3518792636-1356356488</f>
        <v>2162436148</v>
      </c>
      <c r="M190" s="599"/>
      <c r="N190" s="599"/>
      <c r="O190" s="599"/>
      <c r="P190" s="599"/>
      <c r="Q190" s="599"/>
      <c r="R190" s="599"/>
      <c r="S190" s="1096">
        <f t="shared" si="8"/>
        <v>-1356356488</v>
      </c>
      <c r="T190" s="599">
        <v>0</v>
      </c>
      <c r="U190" s="1096">
        <f t="shared" si="9"/>
        <v>-1356</v>
      </c>
      <c r="V190" s="599">
        <v>0</v>
      </c>
      <c r="W190" s="620"/>
      <c r="X190" s="621"/>
      <c r="Y190" s="1096">
        <f t="shared" si="10"/>
        <v>-1356356488</v>
      </c>
      <c r="Z190" s="882">
        <f t="shared" si="11"/>
        <v>-1356</v>
      </c>
    </row>
    <row r="191" spans="1:26" ht="27" hidden="1" customHeight="1">
      <c r="A191" s="583">
        <v>7</v>
      </c>
      <c r="B191" s="583">
        <v>1019</v>
      </c>
      <c r="C191" s="581">
        <v>17</v>
      </c>
      <c r="D191" s="1137" t="s">
        <v>1570</v>
      </c>
      <c r="E191" s="1138" t="s">
        <v>159</v>
      </c>
      <c r="F191" s="599">
        <v>102045251927</v>
      </c>
      <c r="G191" s="599">
        <v>7382218332</v>
      </c>
      <c r="H191" s="599"/>
      <c r="I191" s="599"/>
      <c r="J191" s="599">
        <v>37340721178</v>
      </c>
      <c r="K191" s="599"/>
      <c r="L191" s="599">
        <f>1733251049-148501442486</f>
        <v>-146768191437</v>
      </c>
      <c r="M191" s="599"/>
      <c r="N191" s="599"/>
      <c r="O191" s="599"/>
      <c r="P191" s="599"/>
      <c r="Q191" s="599"/>
      <c r="R191" s="599"/>
      <c r="S191" s="1096">
        <f t="shared" si="8"/>
        <v>0</v>
      </c>
      <c r="T191" s="599">
        <v>-3743638544</v>
      </c>
      <c r="U191" s="1096">
        <f t="shared" si="9"/>
        <v>0</v>
      </c>
      <c r="V191" s="599">
        <v>-3744</v>
      </c>
      <c r="W191" s="620"/>
      <c r="X191" s="621"/>
      <c r="Y191" s="1096">
        <f t="shared" si="10"/>
        <v>0</v>
      </c>
      <c r="Z191" s="882">
        <f t="shared" si="11"/>
        <v>0</v>
      </c>
    </row>
    <row r="192" spans="1:26" ht="27" hidden="1" customHeight="1">
      <c r="A192" s="583">
        <v>1</v>
      </c>
      <c r="B192" s="583">
        <v>1023</v>
      </c>
      <c r="C192" s="581">
        <v>11</v>
      </c>
      <c r="D192" s="1137" t="s">
        <v>521</v>
      </c>
      <c r="E192" s="1138" t="s">
        <v>207</v>
      </c>
      <c r="F192" s="599">
        <v>-8779314634</v>
      </c>
      <c r="G192" s="599">
        <f>383113061-2918088571</f>
        <v>-2534975510</v>
      </c>
      <c r="H192" s="599">
        <f>446266406-6843856545</f>
        <v>-6397590139</v>
      </c>
      <c r="I192" s="599">
        <f>-4081375399</f>
        <v>-4081375399</v>
      </c>
      <c r="J192" s="599">
        <v>-2774739239</v>
      </c>
      <c r="K192" s="599">
        <v>16723330</v>
      </c>
      <c r="L192" s="599">
        <v>24567994921</v>
      </c>
      <c r="M192" s="599"/>
      <c r="N192" s="599"/>
      <c r="O192" s="599">
        <v>3276670</v>
      </c>
      <c r="P192" s="599"/>
      <c r="Q192" s="599"/>
      <c r="R192" s="599"/>
      <c r="S192" s="1096">
        <f t="shared" si="8"/>
        <v>20000000</v>
      </c>
      <c r="T192" s="599">
        <v>-1209512856</v>
      </c>
      <c r="U192" s="1096">
        <f t="shared" si="9"/>
        <v>20</v>
      </c>
      <c r="V192" s="599">
        <v>-1210</v>
      </c>
      <c r="W192" s="620"/>
      <c r="X192" s="621"/>
      <c r="Y192" s="1096">
        <f t="shared" si="10"/>
        <v>20000000</v>
      </c>
      <c r="Z192" s="882">
        <f t="shared" si="11"/>
        <v>20</v>
      </c>
    </row>
    <row r="193" spans="1:26" ht="27" hidden="1" customHeight="1">
      <c r="A193" s="583">
        <v>7</v>
      </c>
      <c r="B193" s="583">
        <v>1023</v>
      </c>
      <c r="C193" s="581">
        <v>11</v>
      </c>
      <c r="D193" s="1137" t="s">
        <v>1329</v>
      </c>
      <c r="E193" s="1138" t="s">
        <v>207</v>
      </c>
      <c r="F193" s="599">
        <v>2067654624219</v>
      </c>
      <c r="G193" s="599">
        <v>69023941120</v>
      </c>
      <c r="H193" s="599">
        <v>204312506100</v>
      </c>
      <c r="I193" s="599"/>
      <c r="J193" s="599">
        <f>769898686132-522900000</f>
        <v>769375786132</v>
      </c>
      <c r="K193" s="599"/>
      <c r="L193" s="599">
        <v>-3110366857571</v>
      </c>
      <c r="M193" s="599"/>
      <c r="N193" s="599"/>
      <c r="O193" s="599"/>
      <c r="P193" s="599"/>
      <c r="Q193" s="599"/>
      <c r="R193" s="599"/>
      <c r="S193" s="1096">
        <f t="shared" si="8"/>
        <v>0</v>
      </c>
      <c r="T193" s="599">
        <v>16445123122</v>
      </c>
      <c r="U193" s="1096">
        <f t="shared" si="9"/>
        <v>0</v>
      </c>
      <c r="V193" s="599">
        <v>16445</v>
      </c>
      <c r="W193" s="620"/>
      <c r="X193" s="621"/>
      <c r="Y193" s="1096">
        <f t="shared" si="10"/>
        <v>0</v>
      </c>
      <c r="Z193" s="882">
        <f t="shared" si="11"/>
        <v>0</v>
      </c>
    </row>
    <row r="194" spans="1:26" ht="27" hidden="1" customHeight="1">
      <c r="A194" s="583">
        <v>1</v>
      </c>
      <c r="B194" s="583">
        <v>1003</v>
      </c>
      <c r="C194" s="581">
        <v>17</v>
      </c>
      <c r="D194" s="1137" t="s">
        <v>208</v>
      </c>
      <c r="E194" s="1138" t="s">
        <v>209</v>
      </c>
      <c r="F194" s="599">
        <v>2473045318</v>
      </c>
      <c r="G194" s="599">
        <v>-84224300</v>
      </c>
      <c r="H194" s="599">
        <f>452484985-217776106</f>
        <v>234708879</v>
      </c>
      <c r="I194" s="599">
        <v>-377074600</v>
      </c>
      <c r="J194" s="599">
        <v>-4527314845</v>
      </c>
      <c r="K194" s="599">
        <v>-391301</v>
      </c>
      <c r="L194" s="599">
        <f>2280859548-38746258</f>
        <v>2242113290</v>
      </c>
      <c r="M194" s="599"/>
      <c r="N194" s="599"/>
      <c r="O194" s="599">
        <v>1160303</v>
      </c>
      <c r="P194" s="599"/>
      <c r="Q194" s="599"/>
      <c r="R194" s="599"/>
      <c r="S194" s="1096">
        <f t="shared" si="8"/>
        <v>-37977256</v>
      </c>
      <c r="T194" s="599">
        <v>-20829876</v>
      </c>
      <c r="U194" s="1096">
        <f t="shared" si="9"/>
        <v>-38</v>
      </c>
      <c r="V194" s="599">
        <v>-21</v>
      </c>
      <c r="W194" s="620"/>
      <c r="X194" s="621"/>
      <c r="Y194" s="1096">
        <f t="shared" si="10"/>
        <v>-37977256</v>
      </c>
      <c r="Z194" s="882">
        <f t="shared" si="11"/>
        <v>-38</v>
      </c>
    </row>
    <row r="195" spans="1:26" ht="27" hidden="1" customHeight="1">
      <c r="A195" s="583">
        <v>7</v>
      </c>
      <c r="B195" s="583">
        <v>1003</v>
      </c>
      <c r="C195" s="581">
        <v>17</v>
      </c>
      <c r="D195" s="1137" t="s">
        <v>1330</v>
      </c>
      <c r="E195" s="1138" t="s">
        <v>209</v>
      </c>
      <c r="F195" s="599">
        <v>1211767056103</v>
      </c>
      <c r="G195" s="599">
        <v>123122969620</v>
      </c>
      <c r="H195" s="599"/>
      <c r="I195" s="599"/>
      <c r="J195" s="599">
        <f>539707755365-61048302340</f>
        <v>478659453025</v>
      </c>
      <c r="K195" s="599"/>
      <c r="L195" s="599">
        <v>-1813549478748</v>
      </c>
      <c r="M195" s="599"/>
      <c r="N195" s="599"/>
      <c r="O195" s="599"/>
      <c r="P195" s="599"/>
      <c r="Q195" s="599"/>
      <c r="R195" s="599"/>
      <c r="S195" s="1096">
        <f t="shared" si="8"/>
        <v>0</v>
      </c>
      <c r="T195" s="599">
        <v>-115816316526</v>
      </c>
      <c r="U195" s="1096">
        <f t="shared" si="9"/>
        <v>0</v>
      </c>
      <c r="V195" s="599">
        <v>-115816</v>
      </c>
      <c r="W195" s="620"/>
      <c r="X195" s="621"/>
      <c r="Y195" s="1096">
        <f t="shared" si="10"/>
        <v>0</v>
      </c>
      <c r="Z195" s="882">
        <f t="shared" si="11"/>
        <v>0</v>
      </c>
    </row>
    <row r="196" spans="1:26" ht="27" hidden="1" customHeight="1">
      <c r="A196" s="583">
        <v>1</v>
      </c>
      <c r="B196" s="583">
        <v>1021</v>
      </c>
      <c r="C196" s="581">
        <v>17</v>
      </c>
      <c r="D196" s="1137" t="s">
        <v>343</v>
      </c>
      <c r="E196" s="1138" t="s">
        <v>344</v>
      </c>
      <c r="F196" s="599">
        <v>-54069821777</v>
      </c>
      <c r="G196" s="599">
        <f>32201093310-34198849366</f>
        <v>-1997756056</v>
      </c>
      <c r="H196" s="599"/>
      <c r="I196" s="599"/>
      <c r="J196" s="599"/>
      <c r="K196" s="599">
        <f>3063144699-282581018</f>
        <v>2780563681</v>
      </c>
      <c r="L196" s="599"/>
      <c r="M196" s="599"/>
      <c r="N196" s="599">
        <f>13200000-66801352602</f>
        <v>-66788152602</v>
      </c>
      <c r="O196" s="599">
        <f>1373502058-2585043852+199773989-1580100153</f>
        <v>-2591867958</v>
      </c>
      <c r="P196" s="599"/>
      <c r="Q196" s="599"/>
      <c r="R196" s="599"/>
      <c r="S196" s="1096">
        <f t="shared" ref="S196:S259" si="12">SUM(F196:R196)</f>
        <v>-122667034712</v>
      </c>
      <c r="T196" s="599">
        <v>-33263585099</v>
      </c>
      <c r="U196" s="1096">
        <f t="shared" ref="U196:U259" si="13">ROUND((S196/1000000),0)</f>
        <v>-122667</v>
      </c>
      <c r="V196" s="599">
        <v>-33264</v>
      </c>
      <c r="W196" s="620"/>
      <c r="X196" s="621"/>
      <c r="Y196" s="1096">
        <f t="shared" si="10"/>
        <v>-122667034712</v>
      </c>
      <c r="Z196" s="882">
        <f t="shared" si="11"/>
        <v>-122667</v>
      </c>
    </row>
    <row r="197" spans="1:26" ht="27" hidden="1" customHeight="1">
      <c r="A197" s="583"/>
      <c r="B197" s="583">
        <v>1018</v>
      </c>
      <c r="C197" s="581">
        <v>17</v>
      </c>
      <c r="D197" s="1137" t="s">
        <v>266</v>
      </c>
      <c r="E197" s="1138" t="s">
        <v>267</v>
      </c>
      <c r="F197" s="599">
        <v>79010032888</v>
      </c>
      <c r="G197" s="599"/>
      <c r="H197" s="599">
        <v>-79833780000</v>
      </c>
      <c r="I197" s="599"/>
      <c r="J197" s="599"/>
      <c r="K197" s="599"/>
      <c r="L197" s="599"/>
      <c r="M197" s="599"/>
      <c r="N197" s="599"/>
      <c r="O197" s="599"/>
      <c r="P197" s="599"/>
      <c r="Q197" s="599"/>
      <c r="R197" s="599"/>
      <c r="S197" s="1096">
        <f t="shared" si="12"/>
        <v>-823747112</v>
      </c>
      <c r="T197" s="599">
        <v>-1387928631</v>
      </c>
      <c r="U197" s="1096">
        <f t="shared" si="13"/>
        <v>-824</v>
      </c>
      <c r="V197" s="599">
        <v>-1388</v>
      </c>
      <c r="W197" s="620"/>
      <c r="X197" s="621"/>
      <c r="Y197" s="1096">
        <f t="shared" si="10"/>
        <v>-823747112</v>
      </c>
      <c r="Z197" s="882">
        <f t="shared" si="11"/>
        <v>-824</v>
      </c>
    </row>
    <row r="198" spans="1:26" ht="27" hidden="1" customHeight="1">
      <c r="A198" s="583"/>
      <c r="B198" s="583">
        <v>1001</v>
      </c>
      <c r="C198" s="581">
        <v>17</v>
      </c>
      <c r="D198" s="1137" t="s">
        <v>393</v>
      </c>
      <c r="E198" s="1138" t="s">
        <v>394</v>
      </c>
      <c r="F198" s="599"/>
      <c r="G198" s="599"/>
      <c r="H198" s="599"/>
      <c r="I198" s="599"/>
      <c r="J198" s="599"/>
      <c r="K198" s="599"/>
      <c r="L198" s="599"/>
      <c r="M198" s="599"/>
      <c r="N198" s="599"/>
      <c r="O198" s="599"/>
      <c r="P198" s="599"/>
      <c r="Q198" s="599"/>
      <c r="R198" s="599"/>
      <c r="S198" s="1096">
        <f t="shared" si="12"/>
        <v>0</v>
      </c>
      <c r="T198" s="599">
        <v>0</v>
      </c>
      <c r="U198" s="1096">
        <f t="shared" si="13"/>
        <v>0</v>
      </c>
      <c r="V198" s="599">
        <v>0</v>
      </c>
      <c r="W198" s="620"/>
      <c r="X198" s="621"/>
      <c r="Y198" s="1096">
        <f t="shared" ref="Y198:Y261" si="14">S198+X198-W198</f>
        <v>0</v>
      </c>
      <c r="Z198" s="882">
        <f t="shared" ref="Z198:Z261" si="15">ROUND((Y198/1000000),0)</f>
        <v>0</v>
      </c>
    </row>
    <row r="199" spans="1:26" ht="27" hidden="1" customHeight="1">
      <c r="A199" s="583"/>
      <c r="B199" s="583">
        <v>406</v>
      </c>
      <c r="C199" s="581">
        <v>11</v>
      </c>
      <c r="D199" s="1137" t="s">
        <v>345</v>
      </c>
      <c r="E199" s="1138" t="s">
        <v>1336</v>
      </c>
      <c r="F199" s="599">
        <v>33354000</v>
      </c>
      <c r="G199" s="599"/>
      <c r="H199" s="599"/>
      <c r="I199" s="599"/>
      <c r="J199" s="599"/>
      <c r="K199" s="599"/>
      <c r="L199" s="599"/>
      <c r="M199" s="599"/>
      <c r="N199" s="599"/>
      <c r="O199" s="599"/>
      <c r="P199" s="599"/>
      <c r="Q199" s="599"/>
      <c r="R199" s="599"/>
      <c r="S199" s="1096">
        <f t="shared" si="12"/>
        <v>33354000</v>
      </c>
      <c r="T199" s="599">
        <v>133416000</v>
      </c>
      <c r="U199" s="1096">
        <f t="shared" si="13"/>
        <v>33</v>
      </c>
      <c r="V199" s="599">
        <v>134</v>
      </c>
      <c r="W199" s="620"/>
      <c r="X199" s="621"/>
      <c r="Y199" s="1096">
        <f t="shared" si="14"/>
        <v>33354000</v>
      </c>
      <c r="Z199" s="882">
        <f t="shared" si="15"/>
        <v>33</v>
      </c>
    </row>
    <row r="200" spans="1:26" ht="27" hidden="1" customHeight="1">
      <c r="A200" s="583"/>
      <c r="B200" s="1135">
        <v>1001</v>
      </c>
      <c r="C200" s="581">
        <v>17</v>
      </c>
      <c r="D200" s="1137" t="s">
        <v>269</v>
      </c>
      <c r="E200" s="1138" t="s">
        <v>268</v>
      </c>
      <c r="F200" s="599">
        <v>64787029</v>
      </c>
      <c r="G200" s="599"/>
      <c r="H200" s="599"/>
      <c r="I200" s="599"/>
      <c r="J200" s="599">
        <v>-26792000</v>
      </c>
      <c r="K200" s="599"/>
      <c r="L200" s="599"/>
      <c r="M200" s="599"/>
      <c r="N200" s="599"/>
      <c r="O200" s="599"/>
      <c r="P200" s="599"/>
      <c r="Q200" s="599"/>
      <c r="R200" s="599"/>
      <c r="S200" s="1096">
        <f t="shared" si="12"/>
        <v>37995029</v>
      </c>
      <c r="T200" s="599">
        <v>-202844971</v>
      </c>
      <c r="U200" s="1096">
        <f t="shared" si="13"/>
        <v>38</v>
      </c>
      <c r="V200" s="599">
        <v>-203</v>
      </c>
      <c r="W200" s="620"/>
      <c r="X200" s="621"/>
      <c r="Y200" s="1096">
        <f t="shared" si="14"/>
        <v>37995029</v>
      </c>
      <c r="Z200" s="882">
        <f t="shared" si="15"/>
        <v>38</v>
      </c>
    </row>
    <row r="201" spans="1:26" ht="27" hidden="1" customHeight="1">
      <c r="A201" s="583"/>
      <c r="B201" s="1135">
        <v>406</v>
      </c>
      <c r="C201" s="581">
        <v>11</v>
      </c>
      <c r="D201" s="1137" t="s">
        <v>535</v>
      </c>
      <c r="E201" s="1138" t="s">
        <v>64</v>
      </c>
      <c r="F201" s="599">
        <v>183447000</v>
      </c>
      <c r="G201" s="599"/>
      <c r="H201" s="599"/>
      <c r="I201" s="599"/>
      <c r="J201" s="599"/>
      <c r="K201" s="599"/>
      <c r="L201" s="599"/>
      <c r="M201" s="599"/>
      <c r="N201" s="599"/>
      <c r="O201" s="599"/>
      <c r="P201" s="599"/>
      <c r="Q201" s="599"/>
      <c r="R201" s="599"/>
      <c r="S201" s="1096">
        <f t="shared" si="12"/>
        <v>183447000</v>
      </c>
      <c r="T201" s="599">
        <v>116739000</v>
      </c>
      <c r="U201" s="1096">
        <f t="shared" si="13"/>
        <v>183</v>
      </c>
      <c r="V201" s="599">
        <v>117</v>
      </c>
      <c r="W201" s="620"/>
      <c r="X201" s="621"/>
      <c r="Y201" s="1096">
        <f t="shared" si="14"/>
        <v>183447000</v>
      </c>
      <c r="Z201" s="882">
        <f t="shared" si="15"/>
        <v>183</v>
      </c>
    </row>
    <row r="202" spans="1:26" ht="27" hidden="1" customHeight="1">
      <c r="A202" s="583"/>
      <c r="B202" s="583">
        <v>406</v>
      </c>
      <c r="C202" s="581">
        <v>11</v>
      </c>
      <c r="D202" s="1137" t="s">
        <v>347</v>
      </c>
      <c r="E202" s="1138" t="s">
        <v>1060</v>
      </c>
      <c r="F202" s="599"/>
      <c r="G202" s="599"/>
      <c r="H202" s="599"/>
      <c r="I202" s="599"/>
      <c r="J202" s="599"/>
      <c r="K202" s="599"/>
      <c r="L202" s="599"/>
      <c r="M202" s="599"/>
      <c r="N202" s="599"/>
      <c r="O202" s="599"/>
      <c r="P202" s="599"/>
      <c r="Q202" s="599"/>
      <c r="R202" s="599"/>
      <c r="S202" s="1096">
        <f t="shared" si="12"/>
        <v>0</v>
      </c>
      <c r="T202" s="599">
        <v>0</v>
      </c>
      <c r="U202" s="1096">
        <f t="shared" si="13"/>
        <v>0</v>
      </c>
      <c r="V202" s="599">
        <v>0</v>
      </c>
      <c r="W202" s="620"/>
      <c r="X202" s="621"/>
      <c r="Y202" s="1096">
        <f t="shared" si="14"/>
        <v>0</v>
      </c>
      <c r="Z202" s="882">
        <f t="shared" si="15"/>
        <v>0</v>
      </c>
    </row>
    <row r="203" spans="1:26" ht="27" hidden="1" customHeight="1">
      <c r="A203" s="583"/>
      <c r="B203" s="583">
        <v>406</v>
      </c>
      <c r="C203" s="581">
        <v>11</v>
      </c>
      <c r="D203" s="1137" t="s">
        <v>270</v>
      </c>
      <c r="E203" s="1138" t="s">
        <v>271</v>
      </c>
      <c r="F203" s="599"/>
      <c r="G203" s="599"/>
      <c r="H203" s="599"/>
      <c r="I203" s="599"/>
      <c r="J203" s="599"/>
      <c r="K203" s="599"/>
      <c r="L203" s="599"/>
      <c r="M203" s="599"/>
      <c r="N203" s="599"/>
      <c r="O203" s="599"/>
      <c r="P203" s="599"/>
      <c r="Q203" s="599"/>
      <c r="R203" s="599"/>
      <c r="S203" s="1096">
        <f t="shared" si="12"/>
        <v>0</v>
      </c>
      <c r="T203" s="599">
        <v>0</v>
      </c>
      <c r="U203" s="1096">
        <f t="shared" si="13"/>
        <v>0</v>
      </c>
      <c r="V203" s="599">
        <v>0</v>
      </c>
      <c r="W203" s="620"/>
      <c r="X203" s="621"/>
      <c r="Y203" s="1096">
        <f t="shared" si="14"/>
        <v>0</v>
      </c>
      <c r="Z203" s="882">
        <f t="shared" si="15"/>
        <v>0</v>
      </c>
    </row>
    <row r="204" spans="1:26" ht="27" hidden="1" customHeight="1">
      <c r="A204" s="583"/>
      <c r="B204" s="583">
        <v>1001</v>
      </c>
      <c r="C204" s="581">
        <v>17</v>
      </c>
      <c r="D204" s="1137" t="s">
        <v>968</v>
      </c>
      <c r="E204" s="1138" t="s">
        <v>969</v>
      </c>
      <c r="F204" s="599"/>
      <c r="G204" s="599"/>
      <c r="H204" s="599"/>
      <c r="I204" s="599"/>
      <c r="J204" s="599"/>
      <c r="K204" s="599"/>
      <c r="L204" s="599"/>
      <c r="M204" s="599"/>
      <c r="N204" s="599"/>
      <c r="O204" s="599"/>
      <c r="P204" s="599"/>
      <c r="Q204" s="599"/>
      <c r="R204" s="599"/>
      <c r="S204" s="1096">
        <f t="shared" si="12"/>
        <v>0</v>
      </c>
      <c r="T204" s="599">
        <v>0</v>
      </c>
      <c r="U204" s="1096">
        <f t="shared" si="13"/>
        <v>0</v>
      </c>
      <c r="V204" s="599">
        <v>0</v>
      </c>
      <c r="W204" s="620"/>
      <c r="X204" s="621"/>
      <c r="Y204" s="1096">
        <f t="shared" si="14"/>
        <v>0</v>
      </c>
      <c r="Z204" s="882">
        <f t="shared" si="15"/>
        <v>0</v>
      </c>
    </row>
    <row r="205" spans="1:26" ht="27" hidden="1" customHeight="1">
      <c r="A205" s="583"/>
      <c r="B205" s="583">
        <v>1001</v>
      </c>
      <c r="C205" s="581">
        <v>17</v>
      </c>
      <c r="D205" s="1137" t="s">
        <v>349</v>
      </c>
      <c r="E205" s="1138" t="s">
        <v>285</v>
      </c>
      <c r="F205" s="599"/>
      <c r="G205" s="599"/>
      <c r="H205" s="599"/>
      <c r="I205" s="599"/>
      <c r="J205" s="599"/>
      <c r="K205" s="599"/>
      <c r="L205" s="599"/>
      <c r="M205" s="599"/>
      <c r="N205" s="599"/>
      <c r="O205" s="599"/>
      <c r="P205" s="599"/>
      <c r="Q205" s="599"/>
      <c r="R205" s="599"/>
      <c r="S205" s="1096">
        <f t="shared" si="12"/>
        <v>0</v>
      </c>
      <c r="T205" s="599">
        <v>0</v>
      </c>
      <c r="U205" s="1096">
        <f t="shared" si="13"/>
        <v>0</v>
      </c>
      <c r="V205" s="599">
        <v>0</v>
      </c>
      <c r="W205" s="620"/>
      <c r="X205" s="621"/>
      <c r="Y205" s="1096">
        <f t="shared" si="14"/>
        <v>0</v>
      </c>
      <c r="Z205" s="882">
        <f t="shared" si="15"/>
        <v>0</v>
      </c>
    </row>
    <row r="206" spans="1:26" ht="27" hidden="1" customHeight="1">
      <c r="A206" s="583"/>
      <c r="B206" s="583">
        <v>1001</v>
      </c>
      <c r="C206" s="581">
        <v>17</v>
      </c>
      <c r="D206" s="1137" t="s">
        <v>1064</v>
      </c>
      <c r="E206" s="1138" t="s">
        <v>1240</v>
      </c>
      <c r="F206" s="599"/>
      <c r="G206" s="599"/>
      <c r="H206" s="599"/>
      <c r="I206" s="599"/>
      <c r="J206" s="599"/>
      <c r="K206" s="599"/>
      <c r="L206" s="599"/>
      <c r="M206" s="599"/>
      <c r="N206" s="599"/>
      <c r="O206" s="599"/>
      <c r="P206" s="599"/>
      <c r="Q206" s="599"/>
      <c r="R206" s="599"/>
      <c r="S206" s="1096">
        <f t="shared" si="12"/>
        <v>0</v>
      </c>
      <c r="T206" s="599">
        <v>0</v>
      </c>
      <c r="U206" s="1096">
        <f t="shared" si="13"/>
        <v>0</v>
      </c>
      <c r="V206" s="599">
        <v>0</v>
      </c>
      <c r="W206" s="620"/>
      <c r="X206" s="621"/>
      <c r="Y206" s="1096">
        <f t="shared" si="14"/>
        <v>0</v>
      </c>
      <c r="Z206" s="882">
        <f t="shared" si="15"/>
        <v>0</v>
      </c>
    </row>
    <row r="207" spans="1:26" ht="27" hidden="1" customHeight="1">
      <c r="A207" s="583"/>
      <c r="B207" s="583">
        <v>406</v>
      </c>
      <c r="C207" s="581">
        <v>11</v>
      </c>
      <c r="D207" s="1137" t="s">
        <v>1061</v>
      </c>
      <c r="E207" s="1138" t="s">
        <v>1062</v>
      </c>
      <c r="F207" s="599"/>
      <c r="G207" s="599"/>
      <c r="H207" s="599"/>
      <c r="I207" s="599"/>
      <c r="J207" s="599"/>
      <c r="K207" s="599"/>
      <c r="L207" s="599"/>
      <c r="M207" s="599"/>
      <c r="N207" s="599"/>
      <c r="O207" s="599"/>
      <c r="P207" s="599"/>
      <c r="Q207" s="599"/>
      <c r="R207" s="599"/>
      <c r="S207" s="1096">
        <f t="shared" si="12"/>
        <v>0</v>
      </c>
      <c r="T207" s="599">
        <v>0</v>
      </c>
      <c r="U207" s="1096">
        <f t="shared" si="13"/>
        <v>0</v>
      </c>
      <c r="V207" s="599">
        <v>0</v>
      </c>
      <c r="W207" s="620"/>
      <c r="X207" s="621"/>
      <c r="Y207" s="1096">
        <f t="shared" si="14"/>
        <v>0</v>
      </c>
      <c r="Z207" s="882">
        <f t="shared" si="15"/>
        <v>0</v>
      </c>
    </row>
    <row r="208" spans="1:26" ht="27" hidden="1" customHeight="1">
      <c r="A208" s="583"/>
      <c r="B208" s="583">
        <v>1001</v>
      </c>
      <c r="C208" s="581">
        <v>17</v>
      </c>
      <c r="D208" s="1137" t="s">
        <v>657</v>
      </c>
      <c r="E208" s="1138" t="s">
        <v>658</v>
      </c>
      <c r="F208" s="599"/>
      <c r="G208" s="599"/>
      <c r="H208" s="599"/>
      <c r="I208" s="599"/>
      <c r="J208" s="599"/>
      <c r="K208" s="599"/>
      <c r="L208" s="599"/>
      <c r="M208" s="599"/>
      <c r="N208" s="599"/>
      <c r="O208" s="599"/>
      <c r="P208" s="599"/>
      <c r="Q208" s="599"/>
      <c r="R208" s="599"/>
      <c r="S208" s="1096">
        <f t="shared" si="12"/>
        <v>0</v>
      </c>
      <c r="T208" s="599">
        <v>0</v>
      </c>
      <c r="U208" s="1096">
        <f t="shared" si="13"/>
        <v>0</v>
      </c>
      <c r="V208" s="599">
        <v>0</v>
      </c>
      <c r="W208" s="620"/>
      <c r="X208" s="621"/>
      <c r="Y208" s="1096">
        <f t="shared" si="14"/>
        <v>0</v>
      </c>
      <c r="Z208" s="882">
        <f t="shared" si="15"/>
        <v>0</v>
      </c>
    </row>
    <row r="209" spans="1:26" ht="27" hidden="1" customHeight="1">
      <c r="A209" s="583"/>
      <c r="B209" s="583">
        <v>406</v>
      </c>
      <c r="C209" s="581">
        <v>11</v>
      </c>
      <c r="D209" s="1137" t="s">
        <v>272</v>
      </c>
      <c r="E209" s="1138" t="s">
        <v>970</v>
      </c>
      <c r="F209" s="599"/>
      <c r="G209" s="599"/>
      <c r="H209" s="599"/>
      <c r="I209" s="599"/>
      <c r="J209" s="599"/>
      <c r="K209" s="599"/>
      <c r="L209" s="599"/>
      <c r="M209" s="599"/>
      <c r="N209" s="599"/>
      <c r="O209" s="599"/>
      <c r="P209" s="599"/>
      <c r="Q209" s="599"/>
      <c r="R209" s="599"/>
      <c r="S209" s="1096">
        <f t="shared" si="12"/>
        <v>0</v>
      </c>
      <c r="T209" s="599">
        <v>0</v>
      </c>
      <c r="U209" s="1096">
        <f t="shared" si="13"/>
        <v>0</v>
      </c>
      <c r="V209" s="599">
        <v>0</v>
      </c>
      <c r="W209" s="620"/>
      <c r="X209" s="621"/>
      <c r="Y209" s="1096">
        <f t="shared" si="14"/>
        <v>0</v>
      </c>
      <c r="Z209" s="882">
        <f t="shared" si="15"/>
        <v>0</v>
      </c>
    </row>
    <row r="210" spans="1:26" ht="27" hidden="1" customHeight="1">
      <c r="A210" s="583"/>
      <c r="B210" s="583">
        <v>406</v>
      </c>
      <c r="C210" s="581">
        <v>11</v>
      </c>
      <c r="D210" s="1137" t="s">
        <v>235</v>
      </c>
      <c r="E210" s="1138" t="s">
        <v>1063</v>
      </c>
      <c r="F210" s="599"/>
      <c r="G210" s="599"/>
      <c r="H210" s="599"/>
      <c r="I210" s="599"/>
      <c r="J210" s="599"/>
      <c r="K210" s="599"/>
      <c r="L210" s="599"/>
      <c r="M210" s="599"/>
      <c r="N210" s="599"/>
      <c r="O210" s="599"/>
      <c r="P210" s="599"/>
      <c r="Q210" s="599"/>
      <c r="R210" s="599"/>
      <c r="S210" s="1096">
        <f t="shared" si="12"/>
        <v>0</v>
      </c>
      <c r="T210" s="599">
        <v>0</v>
      </c>
      <c r="U210" s="1096">
        <f t="shared" si="13"/>
        <v>0</v>
      </c>
      <c r="V210" s="599">
        <v>0</v>
      </c>
      <c r="W210" s="620"/>
      <c r="X210" s="621"/>
      <c r="Y210" s="1096">
        <f t="shared" si="14"/>
        <v>0</v>
      </c>
      <c r="Z210" s="882">
        <f t="shared" si="15"/>
        <v>0</v>
      </c>
    </row>
    <row r="211" spans="1:26" ht="27" hidden="1" customHeight="1">
      <c r="A211" s="583"/>
      <c r="B211" s="583">
        <v>1001</v>
      </c>
      <c r="C211" s="581">
        <v>17</v>
      </c>
      <c r="D211" s="1137" t="s">
        <v>237</v>
      </c>
      <c r="E211" s="1138" t="s">
        <v>1003</v>
      </c>
      <c r="F211" s="599"/>
      <c r="G211" s="599"/>
      <c r="H211" s="599"/>
      <c r="I211" s="599"/>
      <c r="J211" s="599"/>
      <c r="K211" s="599"/>
      <c r="L211" s="599"/>
      <c r="M211" s="599"/>
      <c r="N211" s="599"/>
      <c r="O211" s="599"/>
      <c r="P211" s="599"/>
      <c r="Q211" s="599"/>
      <c r="R211" s="599"/>
      <c r="S211" s="1096">
        <f t="shared" si="12"/>
        <v>0</v>
      </c>
      <c r="T211" s="599">
        <v>0</v>
      </c>
      <c r="U211" s="1096">
        <f t="shared" si="13"/>
        <v>0</v>
      </c>
      <c r="V211" s="599">
        <v>0</v>
      </c>
      <c r="W211" s="620"/>
      <c r="X211" s="621"/>
      <c r="Y211" s="1096">
        <f t="shared" si="14"/>
        <v>0</v>
      </c>
      <c r="Z211" s="882">
        <f t="shared" si="15"/>
        <v>0</v>
      </c>
    </row>
    <row r="212" spans="1:26" ht="27" hidden="1" customHeight="1">
      <c r="A212" s="583"/>
      <c r="B212" s="583">
        <v>406</v>
      </c>
      <c r="C212" s="581">
        <v>11</v>
      </c>
      <c r="D212" s="1137" t="s">
        <v>971</v>
      </c>
      <c r="E212" s="1138" t="s">
        <v>972</v>
      </c>
      <c r="F212" s="599">
        <v>1195504593</v>
      </c>
      <c r="G212" s="599"/>
      <c r="H212" s="599"/>
      <c r="I212" s="599"/>
      <c r="J212" s="599"/>
      <c r="K212" s="599"/>
      <c r="L212" s="599"/>
      <c r="M212" s="599"/>
      <c r="N212" s="599"/>
      <c r="O212" s="599"/>
      <c r="P212" s="599"/>
      <c r="Q212" s="599"/>
      <c r="R212" s="599"/>
      <c r="S212" s="1096">
        <f t="shared" si="12"/>
        <v>1195504593</v>
      </c>
      <c r="T212" s="599">
        <v>1005452193</v>
      </c>
      <c r="U212" s="1096">
        <f t="shared" si="13"/>
        <v>1196</v>
      </c>
      <c r="V212" s="599">
        <v>1005</v>
      </c>
      <c r="W212" s="620"/>
      <c r="X212" s="621"/>
      <c r="Y212" s="1096">
        <f t="shared" si="14"/>
        <v>1195504593</v>
      </c>
      <c r="Z212" s="882">
        <f t="shared" si="15"/>
        <v>1196</v>
      </c>
    </row>
    <row r="213" spans="1:26" ht="27" hidden="1" customHeight="1">
      <c r="A213" s="583"/>
      <c r="B213" s="583">
        <v>406</v>
      </c>
      <c r="C213" s="581">
        <v>11</v>
      </c>
      <c r="D213" s="1137" t="s">
        <v>1267</v>
      </c>
      <c r="E213" s="1138" t="s">
        <v>1065</v>
      </c>
      <c r="G213" s="599"/>
      <c r="H213" s="599"/>
      <c r="I213" s="599"/>
      <c r="J213" s="599"/>
      <c r="K213" s="599"/>
      <c r="L213" s="599"/>
      <c r="M213" s="599"/>
      <c r="N213" s="599"/>
      <c r="O213" s="599"/>
      <c r="P213" s="599"/>
      <c r="Q213" s="599"/>
      <c r="R213" s="599"/>
      <c r="S213" s="1096">
        <f t="shared" si="12"/>
        <v>0</v>
      </c>
      <c r="T213" s="599">
        <v>0</v>
      </c>
      <c r="U213" s="1096">
        <f t="shared" si="13"/>
        <v>0</v>
      </c>
      <c r="V213" s="599">
        <v>0</v>
      </c>
      <c r="W213" s="620"/>
      <c r="X213" s="621"/>
      <c r="Y213" s="1096">
        <f t="shared" si="14"/>
        <v>0</v>
      </c>
      <c r="Z213" s="882">
        <f t="shared" si="15"/>
        <v>0</v>
      </c>
    </row>
    <row r="214" spans="1:26" ht="27" hidden="1" customHeight="1">
      <c r="A214" s="583"/>
      <c r="B214" s="583">
        <v>406</v>
      </c>
      <c r="C214" s="581">
        <v>11</v>
      </c>
      <c r="D214" s="1137" t="s">
        <v>210</v>
      </c>
      <c r="E214" s="1138" t="s">
        <v>211</v>
      </c>
      <c r="F214" s="599">
        <v>139247486</v>
      </c>
      <c r="G214" s="599"/>
      <c r="H214" s="599"/>
      <c r="I214" s="599"/>
      <c r="J214" s="599"/>
      <c r="K214" s="599"/>
      <c r="L214" s="599"/>
      <c r="M214" s="599"/>
      <c r="N214" s="599"/>
      <c r="O214" s="599"/>
      <c r="P214" s="599"/>
      <c r="Q214" s="599"/>
      <c r="R214" s="599"/>
      <c r="S214" s="1096">
        <f t="shared" si="12"/>
        <v>139247486</v>
      </c>
      <c r="T214" s="599">
        <v>105893486</v>
      </c>
      <c r="U214" s="1096">
        <f t="shared" si="13"/>
        <v>139</v>
      </c>
      <c r="V214" s="599">
        <v>106</v>
      </c>
      <c r="W214" s="620"/>
      <c r="X214" s="621"/>
      <c r="Y214" s="1096">
        <f t="shared" si="14"/>
        <v>139247486</v>
      </c>
      <c r="Z214" s="882">
        <f t="shared" si="15"/>
        <v>139</v>
      </c>
    </row>
    <row r="215" spans="1:26" ht="27" hidden="1" customHeight="1">
      <c r="A215" s="583"/>
      <c r="B215" s="583">
        <v>406</v>
      </c>
      <c r="C215" s="581">
        <v>11</v>
      </c>
      <c r="D215" s="1137" t="s">
        <v>274</v>
      </c>
      <c r="E215" s="1138" t="s">
        <v>276</v>
      </c>
      <c r="F215" s="599"/>
      <c r="G215" s="599"/>
      <c r="H215" s="599"/>
      <c r="I215" s="599"/>
      <c r="J215" s="599"/>
      <c r="K215" s="599"/>
      <c r="L215" s="599"/>
      <c r="M215" s="599"/>
      <c r="N215" s="599"/>
      <c r="O215" s="599"/>
      <c r="P215" s="599"/>
      <c r="Q215" s="599"/>
      <c r="R215" s="599"/>
      <c r="S215" s="1096">
        <f t="shared" si="12"/>
        <v>0</v>
      </c>
      <c r="T215" s="599">
        <v>0</v>
      </c>
      <c r="U215" s="1096">
        <f t="shared" si="13"/>
        <v>0</v>
      </c>
      <c r="V215" s="599">
        <v>0</v>
      </c>
      <c r="W215" s="620"/>
      <c r="X215" s="621"/>
      <c r="Y215" s="1096">
        <f t="shared" si="14"/>
        <v>0</v>
      </c>
      <c r="Z215" s="882">
        <f t="shared" si="15"/>
        <v>0</v>
      </c>
    </row>
    <row r="216" spans="1:26" ht="27" hidden="1" customHeight="1">
      <c r="A216" s="583"/>
      <c r="B216" s="583">
        <v>406</v>
      </c>
      <c r="C216" s="581">
        <v>11</v>
      </c>
      <c r="D216" s="1137" t="s">
        <v>1031</v>
      </c>
      <c r="E216" s="1138" t="s">
        <v>1032</v>
      </c>
      <c r="F216" s="599"/>
      <c r="G216" s="599"/>
      <c r="H216" s="599"/>
      <c r="I216" s="599"/>
      <c r="J216" s="599"/>
      <c r="K216" s="599"/>
      <c r="L216" s="599"/>
      <c r="M216" s="599"/>
      <c r="N216" s="599"/>
      <c r="O216" s="599"/>
      <c r="P216" s="599"/>
      <c r="Q216" s="599"/>
      <c r="R216" s="599"/>
      <c r="S216" s="1096">
        <f t="shared" si="12"/>
        <v>0</v>
      </c>
      <c r="T216" s="599">
        <v>0</v>
      </c>
      <c r="U216" s="1096">
        <f t="shared" si="13"/>
        <v>0</v>
      </c>
      <c r="V216" s="599">
        <v>0</v>
      </c>
      <c r="W216" s="620"/>
      <c r="X216" s="621"/>
      <c r="Y216" s="1096">
        <f t="shared" si="14"/>
        <v>0</v>
      </c>
      <c r="Z216" s="882">
        <f t="shared" si="15"/>
        <v>0</v>
      </c>
    </row>
    <row r="217" spans="1:26" ht="27" hidden="1" customHeight="1">
      <c r="A217" s="583"/>
      <c r="B217" s="583">
        <v>406</v>
      </c>
      <c r="C217" s="581">
        <v>11</v>
      </c>
      <c r="D217" s="1137" t="s">
        <v>1005</v>
      </c>
      <c r="E217" s="1138" t="s">
        <v>841</v>
      </c>
      <c r="F217" s="599"/>
      <c r="G217" s="599"/>
      <c r="H217" s="599"/>
      <c r="I217" s="599"/>
      <c r="J217" s="599"/>
      <c r="K217" s="599"/>
      <c r="L217" s="599"/>
      <c r="M217" s="599"/>
      <c r="N217" s="599"/>
      <c r="O217" s="599"/>
      <c r="P217" s="599"/>
      <c r="Q217" s="599"/>
      <c r="R217" s="599"/>
      <c r="S217" s="1096">
        <f t="shared" si="12"/>
        <v>0</v>
      </c>
      <c r="T217" s="599">
        <v>0</v>
      </c>
      <c r="U217" s="1096">
        <f t="shared" si="13"/>
        <v>0</v>
      </c>
      <c r="V217" s="599">
        <v>0</v>
      </c>
      <c r="W217" s="620"/>
      <c r="X217" s="621"/>
      <c r="Y217" s="1096">
        <f t="shared" si="14"/>
        <v>0</v>
      </c>
      <c r="Z217" s="882">
        <f t="shared" si="15"/>
        <v>0</v>
      </c>
    </row>
    <row r="218" spans="1:26" ht="27" hidden="1" customHeight="1">
      <c r="A218" s="583"/>
      <c r="B218" s="583">
        <v>1001</v>
      </c>
      <c r="C218" s="581">
        <v>17</v>
      </c>
      <c r="D218" s="1137" t="s">
        <v>65</v>
      </c>
      <c r="E218" s="1138" t="s">
        <v>1337</v>
      </c>
      <c r="F218" s="599"/>
      <c r="G218" s="599"/>
      <c r="H218" s="599"/>
      <c r="I218" s="599"/>
      <c r="J218" s="599"/>
      <c r="K218" s="599"/>
      <c r="L218" s="599"/>
      <c r="M218" s="599"/>
      <c r="N218" s="599"/>
      <c r="O218" s="599"/>
      <c r="P218" s="599"/>
      <c r="Q218" s="599"/>
      <c r="R218" s="599"/>
      <c r="S218" s="1096">
        <f t="shared" si="12"/>
        <v>0</v>
      </c>
      <c r="T218" s="599">
        <v>0</v>
      </c>
      <c r="U218" s="1096">
        <f t="shared" si="13"/>
        <v>0</v>
      </c>
      <c r="V218" s="599">
        <v>0</v>
      </c>
      <c r="W218" s="620"/>
      <c r="X218" s="621"/>
      <c r="Y218" s="1096">
        <f t="shared" si="14"/>
        <v>0</v>
      </c>
      <c r="Z218" s="882">
        <f t="shared" si="15"/>
        <v>0</v>
      </c>
    </row>
    <row r="219" spans="1:26" ht="27" hidden="1" customHeight="1">
      <c r="A219" s="583"/>
      <c r="B219" s="583">
        <v>1001</v>
      </c>
      <c r="C219" s="581">
        <v>17</v>
      </c>
      <c r="D219" s="1137" t="s">
        <v>1066</v>
      </c>
      <c r="E219" s="1138" t="s">
        <v>1067</v>
      </c>
      <c r="F219" s="599"/>
      <c r="G219" s="599"/>
      <c r="H219" s="599"/>
      <c r="I219" s="599"/>
      <c r="J219" s="599"/>
      <c r="K219" s="599"/>
      <c r="L219" s="599"/>
      <c r="M219" s="599"/>
      <c r="N219" s="599"/>
      <c r="O219" s="599"/>
      <c r="P219" s="599"/>
      <c r="Q219" s="599"/>
      <c r="R219" s="599"/>
      <c r="S219" s="1096">
        <f t="shared" si="12"/>
        <v>0</v>
      </c>
      <c r="T219" s="599">
        <v>0</v>
      </c>
      <c r="U219" s="1096">
        <f t="shared" si="13"/>
        <v>0</v>
      </c>
      <c r="V219" s="599">
        <v>0</v>
      </c>
      <c r="W219" s="620"/>
      <c r="X219" s="621"/>
      <c r="Y219" s="1096">
        <f t="shared" si="14"/>
        <v>0</v>
      </c>
      <c r="Z219" s="882">
        <f t="shared" si="15"/>
        <v>0</v>
      </c>
    </row>
    <row r="220" spans="1:26" ht="27" hidden="1" customHeight="1">
      <c r="A220" s="583"/>
      <c r="B220" s="583">
        <v>406</v>
      </c>
      <c r="C220" s="581">
        <v>11</v>
      </c>
      <c r="D220" s="1137" t="s">
        <v>1068</v>
      </c>
      <c r="E220" s="1138" t="s">
        <v>1069</v>
      </c>
      <c r="F220" s="599"/>
      <c r="G220" s="599"/>
      <c r="H220" s="599"/>
      <c r="I220" s="599"/>
      <c r="J220" s="599"/>
      <c r="K220" s="599"/>
      <c r="L220" s="599"/>
      <c r="M220" s="599"/>
      <c r="N220" s="599"/>
      <c r="O220" s="599"/>
      <c r="P220" s="599"/>
      <c r="Q220" s="599"/>
      <c r="R220" s="599"/>
      <c r="S220" s="1096">
        <f t="shared" si="12"/>
        <v>0</v>
      </c>
      <c r="T220" s="599">
        <v>0</v>
      </c>
      <c r="U220" s="1096">
        <f t="shared" si="13"/>
        <v>0</v>
      </c>
      <c r="V220" s="599">
        <v>0</v>
      </c>
      <c r="W220" s="620"/>
      <c r="X220" s="621"/>
      <c r="Y220" s="1096">
        <f t="shared" si="14"/>
        <v>0</v>
      </c>
      <c r="Z220" s="882">
        <f t="shared" si="15"/>
        <v>0</v>
      </c>
    </row>
    <row r="221" spans="1:26" ht="27" hidden="1" customHeight="1">
      <c r="A221" s="583"/>
      <c r="B221" s="583">
        <v>406</v>
      </c>
      <c r="C221" s="581">
        <v>11</v>
      </c>
      <c r="D221" s="1137" t="s">
        <v>1070</v>
      </c>
      <c r="E221" s="1138" t="s">
        <v>1071</v>
      </c>
      <c r="F221" s="599">
        <v>364560780</v>
      </c>
      <c r="G221" s="599"/>
      <c r="H221" s="599"/>
      <c r="I221" s="599"/>
      <c r="J221" s="599"/>
      <c r="K221" s="599"/>
      <c r="L221" s="599"/>
      <c r="M221" s="599"/>
      <c r="N221" s="599"/>
      <c r="O221" s="599"/>
      <c r="P221" s="599"/>
      <c r="Q221" s="599"/>
      <c r="R221" s="599"/>
      <c r="S221" s="1096">
        <f t="shared" si="12"/>
        <v>364560780</v>
      </c>
      <c r="T221" s="599">
        <v>336857340</v>
      </c>
      <c r="U221" s="1096">
        <f t="shared" si="13"/>
        <v>365</v>
      </c>
      <c r="V221" s="599">
        <v>337</v>
      </c>
      <c r="W221" s="620"/>
      <c r="X221" s="621"/>
      <c r="Y221" s="1096">
        <f t="shared" si="14"/>
        <v>364560780</v>
      </c>
      <c r="Z221" s="882">
        <f t="shared" si="15"/>
        <v>365</v>
      </c>
    </row>
    <row r="222" spans="1:26" ht="27" hidden="1" customHeight="1">
      <c r="A222" s="583"/>
      <c r="B222" s="583">
        <v>1001</v>
      </c>
      <c r="C222" s="581">
        <v>17</v>
      </c>
      <c r="D222" s="1137" t="s">
        <v>1073</v>
      </c>
      <c r="E222" s="1138" t="s">
        <v>1072</v>
      </c>
      <c r="F222" s="599">
        <v>-550934059</v>
      </c>
      <c r="G222" s="599"/>
      <c r="H222" s="599"/>
      <c r="I222" s="599">
        <v>550934059</v>
      </c>
      <c r="J222" s="599"/>
      <c r="K222" s="599"/>
      <c r="L222" s="599"/>
      <c r="M222" s="599"/>
      <c r="N222" s="599"/>
      <c r="O222" s="599">
        <v>-550934059</v>
      </c>
      <c r="P222" s="599"/>
      <c r="Q222" s="599"/>
      <c r="R222" s="599"/>
      <c r="S222" s="1096">
        <f t="shared" si="12"/>
        <v>-550934059</v>
      </c>
      <c r="T222" s="599">
        <v>-550934059</v>
      </c>
      <c r="U222" s="1096">
        <f t="shared" si="13"/>
        <v>-551</v>
      </c>
      <c r="V222" s="599">
        <v>-551</v>
      </c>
      <c r="W222" s="620"/>
      <c r="X222" s="621"/>
      <c r="Y222" s="1096">
        <f t="shared" si="14"/>
        <v>-550934059</v>
      </c>
      <c r="Z222" s="882">
        <f t="shared" si="15"/>
        <v>-551</v>
      </c>
    </row>
    <row r="223" spans="1:26" ht="27" hidden="1" customHeight="1">
      <c r="A223" s="583"/>
      <c r="B223" s="583">
        <v>1001</v>
      </c>
      <c r="C223" s="581">
        <v>17</v>
      </c>
      <c r="D223" s="1137" t="s">
        <v>1733</v>
      </c>
      <c r="E223" s="1138" t="s">
        <v>1734</v>
      </c>
      <c r="F223" s="599"/>
      <c r="G223" s="599"/>
      <c r="H223" s="599"/>
      <c r="I223" s="599"/>
      <c r="J223" s="599"/>
      <c r="K223" s="599"/>
      <c r="L223" s="599"/>
      <c r="M223" s="599"/>
      <c r="N223" s="599"/>
      <c r="O223" s="599"/>
      <c r="P223" s="599"/>
      <c r="Q223" s="599"/>
      <c r="R223" s="599"/>
      <c r="S223" s="1096">
        <f t="shared" si="12"/>
        <v>0</v>
      </c>
      <c r="T223" s="599">
        <v>0</v>
      </c>
      <c r="U223" s="1096">
        <f t="shared" si="13"/>
        <v>0</v>
      </c>
      <c r="V223" s="599">
        <v>0</v>
      </c>
      <c r="W223" s="620"/>
      <c r="X223" s="621"/>
      <c r="Y223" s="1096">
        <f t="shared" si="14"/>
        <v>0</v>
      </c>
      <c r="Z223" s="882">
        <f t="shared" si="15"/>
        <v>0</v>
      </c>
    </row>
    <row r="224" spans="1:26" ht="27" hidden="1" customHeight="1">
      <c r="A224" s="583"/>
      <c r="B224" s="583">
        <v>406</v>
      </c>
      <c r="C224" s="581">
        <v>11</v>
      </c>
      <c r="D224" s="1137" t="s">
        <v>975</v>
      </c>
      <c r="E224" s="1138" t="s">
        <v>976</v>
      </c>
      <c r="F224" s="599">
        <v>-781151649</v>
      </c>
      <c r="G224" s="599"/>
      <c r="H224" s="599"/>
      <c r="I224" s="599"/>
      <c r="J224" s="599"/>
      <c r="K224" s="599"/>
      <c r="L224" s="599"/>
      <c r="M224" s="599"/>
      <c r="N224" s="599"/>
      <c r="O224" s="599"/>
      <c r="P224" s="599"/>
      <c r="Q224" s="599"/>
      <c r="R224" s="599"/>
      <c r="S224" s="1096">
        <f t="shared" si="12"/>
        <v>-781151649</v>
      </c>
      <c r="T224" s="599">
        <v>389918367</v>
      </c>
      <c r="U224" s="1096">
        <f t="shared" si="13"/>
        <v>-781</v>
      </c>
      <c r="V224" s="599">
        <v>390</v>
      </c>
      <c r="W224" s="620"/>
      <c r="X224" s="621"/>
      <c r="Y224" s="1096">
        <f t="shared" si="14"/>
        <v>-781151649</v>
      </c>
      <c r="Z224" s="882">
        <f t="shared" si="15"/>
        <v>-781</v>
      </c>
    </row>
    <row r="225" spans="1:26" ht="27" hidden="1" customHeight="1">
      <c r="A225" s="583"/>
      <c r="B225" s="583">
        <v>406</v>
      </c>
      <c r="C225" s="581">
        <v>11</v>
      </c>
      <c r="D225" s="1137" t="s">
        <v>977</v>
      </c>
      <c r="E225" s="1138" t="s">
        <v>978</v>
      </c>
      <c r="F225" s="599"/>
      <c r="G225" s="599"/>
      <c r="H225" s="599"/>
      <c r="I225" s="599"/>
      <c r="J225" s="599"/>
      <c r="K225" s="599"/>
      <c r="L225" s="599"/>
      <c r="M225" s="599"/>
      <c r="N225" s="599"/>
      <c r="O225" s="599"/>
      <c r="P225" s="599"/>
      <c r="Q225" s="599"/>
      <c r="R225" s="599"/>
      <c r="S225" s="1096">
        <f t="shared" si="12"/>
        <v>0</v>
      </c>
      <c r="T225" s="599">
        <v>294469793</v>
      </c>
      <c r="U225" s="1096">
        <f t="shared" si="13"/>
        <v>0</v>
      </c>
      <c r="V225" s="599">
        <v>295</v>
      </c>
      <c r="W225" s="620"/>
      <c r="X225" s="621"/>
      <c r="Y225" s="1096">
        <f t="shared" si="14"/>
        <v>0</v>
      </c>
      <c r="Z225" s="882">
        <f t="shared" si="15"/>
        <v>0</v>
      </c>
    </row>
    <row r="226" spans="1:26" ht="27" hidden="1" customHeight="1">
      <c r="A226" s="583"/>
      <c r="B226" s="583">
        <v>1001</v>
      </c>
      <c r="C226" s="581">
        <v>17</v>
      </c>
      <c r="D226" s="1137" t="s">
        <v>746</v>
      </c>
      <c r="E226" s="1138" t="s">
        <v>745</v>
      </c>
      <c r="F226" s="599"/>
      <c r="G226" s="599"/>
      <c r="H226" s="599">
        <v>-120000000</v>
      </c>
      <c r="I226" s="599"/>
      <c r="J226" s="599"/>
      <c r="K226" s="599"/>
      <c r="L226" s="599"/>
      <c r="M226" s="599"/>
      <c r="N226" s="599"/>
      <c r="O226" s="599"/>
      <c r="P226" s="599"/>
      <c r="Q226" s="599"/>
      <c r="R226" s="599"/>
      <c r="S226" s="1096">
        <f t="shared" si="12"/>
        <v>-120000000</v>
      </c>
      <c r="T226" s="599">
        <v>0</v>
      </c>
      <c r="U226" s="1096">
        <f t="shared" si="13"/>
        <v>-120</v>
      </c>
      <c r="V226" s="599">
        <v>0</v>
      </c>
      <c r="W226" s="620"/>
      <c r="X226" s="621"/>
      <c r="Y226" s="1096">
        <f t="shared" si="14"/>
        <v>-120000000</v>
      </c>
      <c r="Z226" s="882">
        <f t="shared" si="15"/>
        <v>-120</v>
      </c>
    </row>
    <row r="227" spans="1:26" ht="27" hidden="1" customHeight="1">
      <c r="A227" s="583"/>
      <c r="B227" s="583">
        <v>1001</v>
      </c>
      <c r="C227" s="581">
        <v>17</v>
      </c>
      <c r="D227" s="1137" t="s">
        <v>1735</v>
      </c>
      <c r="E227" s="1138" t="s">
        <v>1736</v>
      </c>
      <c r="F227" s="599">
        <v>-415000000</v>
      </c>
      <c r="G227" s="599"/>
      <c r="H227" s="599"/>
      <c r="I227" s="599"/>
      <c r="J227" s="599"/>
      <c r="K227" s="599"/>
      <c r="L227" s="599"/>
      <c r="M227" s="599"/>
      <c r="N227" s="599"/>
      <c r="O227" s="599"/>
      <c r="P227" s="599"/>
      <c r="Q227" s="599"/>
      <c r="R227" s="599"/>
      <c r="S227" s="1096">
        <f t="shared" si="12"/>
        <v>-415000000</v>
      </c>
      <c r="T227" s="599">
        <v>-115601478</v>
      </c>
      <c r="U227" s="1096">
        <f t="shared" si="13"/>
        <v>-415</v>
      </c>
      <c r="V227" s="599">
        <v>-116</v>
      </c>
      <c r="W227" s="620"/>
      <c r="X227" s="621"/>
      <c r="Y227" s="1096">
        <f t="shared" si="14"/>
        <v>-415000000</v>
      </c>
      <c r="Z227" s="882">
        <f t="shared" si="15"/>
        <v>-415</v>
      </c>
    </row>
    <row r="228" spans="1:26" ht="27" hidden="1" customHeight="1">
      <c r="A228" s="583"/>
      <c r="B228" s="583">
        <v>1001</v>
      </c>
      <c r="C228" s="581">
        <v>17</v>
      </c>
      <c r="D228" s="1137" t="s">
        <v>979</v>
      </c>
      <c r="E228" s="1138" t="s">
        <v>980</v>
      </c>
      <c r="F228" s="599"/>
      <c r="G228" s="599"/>
      <c r="H228" s="599"/>
      <c r="I228" s="599"/>
      <c r="J228" s="599"/>
      <c r="K228" s="599"/>
      <c r="L228" s="599"/>
      <c r="M228" s="599"/>
      <c r="N228" s="599"/>
      <c r="O228" s="599"/>
      <c r="P228" s="599"/>
      <c r="Q228" s="599"/>
      <c r="R228" s="599"/>
      <c r="S228" s="1096">
        <f t="shared" si="12"/>
        <v>0</v>
      </c>
      <c r="T228" s="599">
        <v>0</v>
      </c>
      <c r="U228" s="1096">
        <f t="shared" si="13"/>
        <v>0</v>
      </c>
      <c r="V228" s="599">
        <v>0</v>
      </c>
      <c r="W228" s="620"/>
      <c r="X228" s="621"/>
      <c r="Y228" s="1096">
        <f t="shared" si="14"/>
        <v>0</v>
      </c>
      <c r="Z228" s="882">
        <f t="shared" si="15"/>
        <v>0</v>
      </c>
    </row>
    <row r="229" spans="1:26" ht="27" hidden="1" customHeight="1">
      <c r="A229" s="583"/>
      <c r="B229" s="583">
        <v>1001</v>
      </c>
      <c r="C229" s="581">
        <v>17</v>
      </c>
      <c r="D229" s="1137" t="s">
        <v>275</v>
      </c>
      <c r="E229" s="1138" t="s">
        <v>844</v>
      </c>
      <c r="F229" s="599"/>
      <c r="G229" s="599"/>
      <c r="H229" s="599"/>
      <c r="I229" s="599"/>
      <c r="J229" s="599"/>
      <c r="K229" s="599"/>
      <c r="L229" s="599"/>
      <c r="M229" s="599"/>
      <c r="N229" s="599"/>
      <c r="O229" s="599"/>
      <c r="P229" s="599"/>
      <c r="Q229" s="599"/>
      <c r="R229" s="599"/>
      <c r="S229" s="1096">
        <f t="shared" si="12"/>
        <v>0</v>
      </c>
      <c r="T229" s="599">
        <v>-1016814710</v>
      </c>
      <c r="U229" s="1096">
        <f t="shared" si="13"/>
        <v>0</v>
      </c>
      <c r="V229" s="599">
        <v>-1017</v>
      </c>
      <c r="W229" s="620"/>
      <c r="X229" s="621"/>
      <c r="Y229" s="1096">
        <f t="shared" si="14"/>
        <v>0</v>
      </c>
      <c r="Z229" s="882">
        <f t="shared" si="15"/>
        <v>0</v>
      </c>
    </row>
    <row r="230" spans="1:26" ht="27" hidden="1" customHeight="1">
      <c r="A230" s="583"/>
      <c r="B230" s="583">
        <v>406</v>
      </c>
      <c r="C230" s="581">
        <v>11</v>
      </c>
      <c r="D230" s="1137" t="s">
        <v>981</v>
      </c>
      <c r="E230" s="1138" t="s">
        <v>982</v>
      </c>
      <c r="F230" s="599"/>
      <c r="G230" s="599"/>
      <c r="H230" s="599"/>
      <c r="I230" s="599"/>
      <c r="J230" s="599">
        <v>309776931</v>
      </c>
      <c r="K230" s="599"/>
      <c r="L230" s="599"/>
      <c r="M230" s="599"/>
      <c r="N230" s="599"/>
      <c r="O230" s="599"/>
      <c r="P230" s="599"/>
      <c r="Q230" s="599"/>
      <c r="R230" s="599"/>
      <c r="S230" s="1096">
        <f t="shared" si="12"/>
        <v>309776931</v>
      </c>
      <c r="T230" s="599">
        <v>0</v>
      </c>
      <c r="U230" s="1096">
        <f t="shared" si="13"/>
        <v>310</v>
      </c>
      <c r="V230" s="599">
        <v>0</v>
      </c>
      <c r="W230" s="620"/>
      <c r="X230" s="621"/>
      <c r="Y230" s="1096">
        <f t="shared" si="14"/>
        <v>309776931</v>
      </c>
      <c r="Z230" s="882">
        <f t="shared" si="15"/>
        <v>310</v>
      </c>
    </row>
    <row r="231" spans="1:26" ht="27" hidden="1" customHeight="1">
      <c r="A231" s="583"/>
      <c r="B231" s="583">
        <v>406</v>
      </c>
      <c r="C231" s="581">
        <v>11</v>
      </c>
      <c r="D231" s="1137" t="s">
        <v>983</v>
      </c>
      <c r="E231" s="1138" t="s">
        <v>984</v>
      </c>
      <c r="F231" s="599"/>
      <c r="G231" s="599"/>
      <c r="H231" s="599"/>
      <c r="I231" s="599"/>
      <c r="J231" s="599"/>
      <c r="K231" s="599"/>
      <c r="L231" s="599"/>
      <c r="M231" s="599"/>
      <c r="N231" s="599"/>
      <c r="O231" s="599"/>
      <c r="P231" s="599"/>
      <c r="Q231" s="599"/>
      <c r="R231" s="599"/>
      <c r="S231" s="1096">
        <f t="shared" si="12"/>
        <v>0</v>
      </c>
      <c r="T231" s="599">
        <v>0</v>
      </c>
      <c r="U231" s="1096">
        <f t="shared" si="13"/>
        <v>0</v>
      </c>
      <c r="V231" s="599">
        <v>0</v>
      </c>
      <c r="W231" s="620"/>
      <c r="X231" s="621"/>
      <c r="Y231" s="1096">
        <f t="shared" si="14"/>
        <v>0</v>
      </c>
      <c r="Z231" s="882">
        <f t="shared" si="15"/>
        <v>0</v>
      </c>
    </row>
    <row r="232" spans="1:26" ht="27" hidden="1" customHeight="1">
      <c r="A232" s="583"/>
      <c r="B232" s="583">
        <v>406</v>
      </c>
      <c r="C232" s="581">
        <v>11</v>
      </c>
      <c r="D232" s="1137" t="s">
        <v>1338</v>
      </c>
      <c r="E232" s="1138" t="s">
        <v>1339</v>
      </c>
      <c r="F232" s="599"/>
      <c r="G232" s="599"/>
      <c r="H232" s="599"/>
      <c r="I232" s="599"/>
      <c r="J232" s="599"/>
      <c r="K232" s="599"/>
      <c r="L232" s="599"/>
      <c r="M232" s="599"/>
      <c r="N232" s="599"/>
      <c r="O232" s="599"/>
      <c r="P232" s="599"/>
      <c r="Q232" s="599"/>
      <c r="R232" s="599"/>
      <c r="S232" s="1096">
        <f t="shared" si="12"/>
        <v>0</v>
      </c>
      <c r="T232" s="599">
        <v>3994000</v>
      </c>
      <c r="U232" s="1096">
        <f t="shared" si="13"/>
        <v>0</v>
      </c>
      <c r="V232" s="599">
        <v>4</v>
      </c>
      <c r="W232" s="620"/>
      <c r="X232" s="621"/>
      <c r="Y232" s="1096">
        <f t="shared" si="14"/>
        <v>0</v>
      </c>
      <c r="Z232" s="882">
        <f t="shared" si="15"/>
        <v>0</v>
      </c>
    </row>
    <row r="233" spans="1:26" ht="27" hidden="1" customHeight="1">
      <c r="A233" s="583"/>
      <c r="B233" s="583">
        <v>1001</v>
      </c>
      <c r="C233" s="581">
        <v>17</v>
      </c>
      <c r="D233" s="1137" t="s">
        <v>1737</v>
      </c>
      <c r="E233" s="1138" t="s">
        <v>1738</v>
      </c>
      <c r="F233" s="599"/>
      <c r="G233" s="599"/>
      <c r="H233" s="599"/>
      <c r="I233" s="599"/>
      <c r="J233" s="599"/>
      <c r="K233" s="599"/>
      <c r="L233" s="599"/>
      <c r="M233" s="599"/>
      <c r="N233" s="599"/>
      <c r="O233" s="599"/>
      <c r="P233" s="599"/>
      <c r="Q233" s="599"/>
      <c r="R233" s="599"/>
      <c r="S233" s="1096">
        <f t="shared" si="12"/>
        <v>0</v>
      </c>
      <c r="T233" s="599">
        <v>0</v>
      </c>
      <c r="U233" s="1096">
        <f t="shared" si="13"/>
        <v>0</v>
      </c>
      <c r="V233" s="599">
        <v>0</v>
      </c>
      <c r="W233" s="620"/>
      <c r="X233" s="621"/>
      <c r="Y233" s="1096">
        <f t="shared" si="14"/>
        <v>0</v>
      </c>
      <c r="Z233" s="882">
        <f t="shared" si="15"/>
        <v>0</v>
      </c>
    </row>
    <row r="234" spans="1:26" ht="27" hidden="1" customHeight="1">
      <c r="A234" s="583"/>
      <c r="B234" s="583">
        <v>406</v>
      </c>
      <c r="C234" s="581">
        <v>11</v>
      </c>
      <c r="D234" s="1137" t="s">
        <v>985</v>
      </c>
      <c r="E234" s="1138" t="s">
        <v>986</v>
      </c>
      <c r="F234" s="599"/>
      <c r="G234" s="599"/>
      <c r="H234" s="599"/>
      <c r="I234" s="599"/>
      <c r="J234" s="599"/>
      <c r="K234" s="599"/>
      <c r="L234" s="599"/>
      <c r="M234" s="599"/>
      <c r="N234" s="599"/>
      <c r="O234" s="599"/>
      <c r="P234" s="599"/>
      <c r="Q234" s="599"/>
      <c r="R234" s="599"/>
      <c r="S234" s="1096">
        <f t="shared" si="12"/>
        <v>0</v>
      </c>
      <c r="T234" s="599">
        <v>65907182</v>
      </c>
      <c r="U234" s="1096">
        <f t="shared" si="13"/>
        <v>0</v>
      </c>
      <c r="V234" s="599">
        <v>66</v>
      </c>
      <c r="W234" s="620"/>
      <c r="X234" s="621"/>
      <c r="Y234" s="1096">
        <f t="shared" si="14"/>
        <v>0</v>
      </c>
      <c r="Z234" s="882">
        <f t="shared" si="15"/>
        <v>0</v>
      </c>
    </row>
    <row r="235" spans="1:26" ht="27" hidden="1" customHeight="1">
      <c r="A235" s="583"/>
      <c r="B235" s="583">
        <v>1001</v>
      </c>
      <c r="C235" s="581">
        <v>17</v>
      </c>
      <c r="D235" s="1137" t="s">
        <v>1074</v>
      </c>
      <c r="E235" s="1138" t="s">
        <v>1075</v>
      </c>
      <c r="F235" s="599"/>
      <c r="G235" s="599"/>
      <c r="H235" s="599">
        <v>5095890</v>
      </c>
      <c r="I235" s="599"/>
      <c r="J235" s="599"/>
      <c r="K235" s="599"/>
      <c r="L235" s="599"/>
      <c r="M235" s="599"/>
      <c r="N235" s="599"/>
      <c r="O235" s="599"/>
      <c r="P235" s="599"/>
      <c r="Q235" s="599"/>
      <c r="R235" s="599"/>
      <c r="S235" s="1096">
        <f t="shared" si="12"/>
        <v>5095890</v>
      </c>
      <c r="T235" s="599">
        <v>0</v>
      </c>
      <c r="U235" s="1096">
        <f t="shared" si="13"/>
        <v>5</v>
      </c>
      <c r="V235" s="599">
        <v>0</v>
      </c>
      <c r="W235" s="620"/>
      <c r="X235" s="621"/>
      <c r="Y235" s="1096">
        <f t="shared" si="14"/>
        <v>5095890</v>
      </c>
      <c r="Z235" s="882">
        <f t="shared" si="15"/>
        <v>5</v>
      </c>
    </row>
    <row r="236" spans="1:26" ht="27" hidden="1" customHeight="1">
      <c r="A236" s="583"/>
      <c r="B236" s="583">
        <v>1001</v>
      </c>
      <c r="C236" s="581">
        <v>17</v>
      </c>
      <c r="D236" s="1137" t="s">
        <v>1241</v>
      </c>
      <c r="E236" s="1138" t="s">
        <v>1242</v>
      </c>
      <c r="F236" s="599"/>
      <c r="G236" s="599"/>
      <c r="H236" s="599"/>
      <c r="I236" s="599"/>
      <c r="J236" s="599"/>
      <c r="K236" s="599"/>
      <c r="L236" s="599"/>
      <c r="M236" s="599"/>
      <c r="N236" s="599"/>
      <c r="O236" s="599"/>
      <c r="P236" s="599"/>
      <c r="Q236" s="599"/>
      <c r="R236" s="599"/>
      <c r="S236" s="1096">
        <f t="shared" si="12"/>
        <v>0</v>
      </c>
      <c r="T236" s="599">
        <v>0</v>
      </c>
      <c r="U236" s="1096">
        <f t="shared" si="13"/>
        <v>0</v>
      </c>
      <c r="V236" s="599">
        <v>0</v>
      </c>
      <c r="W236" s="620"/>
      <c r="X236" s="621"/>
      <c r="Y236" s="1096">
        <f t="shared" si="14"/>
        <v>0</v>
      </c>
      <c r="Z236" s="882">
        <f t="shared" si="15"/>
        <v>0</v>
      </c>
    </row>
    <row r="237" spans="1:26" ht="27" hidden="1" customHeight="1">
      <c r="A237" s="583"/>
      <c r="B237" s="583">
        <v>406</v>
      </c>
      <c r="C237" s="581">
        <v>11</v>
      </c>
      <c r="D237" s="1137" t="s">
        <v>987</v>
      </c>
      <c r="E237" s="1138" t="s">
        <v>988</v>
      </c>
      <c r="F237" s="599"/>
      <c r="G237" s="599"/>
      <c r="H237" s="599"/>
      <c r="I237" s="599"/>
      <c r="J237" s="599"/>
      <c r="K237" s="599"/>
      <c r="L237" s="599"/>
      <c r="M237" s="599"/>
      <c r="N237" s="599"/>
      <c r="O237" s="599"/>
      <c r="P237" s="599"/>
      <c r="Q237" s="599"/>
      <c r="R237" s="599"/>
      <c r="S237" s="1096">
        <f t="shared" si="12"/>
        <v>0</v>
      </c>
      <c r="T237" s="599">
        <v>0</v>
      </c>
      <c r="U237" s="1096">
        <f t="shared" si="13"/>
        <v>0</v>
      </c>
      <c r="V237" s="599">
        <v>0</v>
      </c>
      <c r="W237" s="620"/>
      <c r="X237" s="621"/>
      <c r="Y237" s="1096">
        <f t="shared" si="14"/>
        <v>0</v>
      </c>
      <c r="Z237" s="882">
        <f t="shared" si="15"/>
        <v>0</v>
      </c>
    </row>
    <row r="238" spans="1:26" ht="27" hidden="1" customHeight="1">
      <c r="A238" s="583"/>
      <c r="B238" s="583">
        <v>1001</v>
      </c>
      <c r="C238" s="581">
        <v>17</v>
      </c>
      <c r="D238" s="1137" t="s">
        <v>1076</v>
      </c>
      <c r="E238" s="1138" t="s">
        <v>1077</v>
      </c>
      <c r="F238" s="599"/>
      <c r="G238" s="599"/>
      <c r="H238" s="599"/>
      <c r="I238" s="599"/>
      <c r="J238" s="599"/>
      <c r="K238" s="599"/>
      <c r="L238" s="599"/>
      <c r="M238" s="599"/>
      <c r="N238" s="599"/>
      <c r="O238" s="599"/>
      <c r="P238" s="599"/>
      <c r="Q238" s="599"/>
      <c r="R238" s="599"/>
      <c r="S238" s="1096">
        <f t="shared" si="12"/>
        <v>0</v>
      </c>
      <c r="T238" s="599">
        <v>-2128838886</v>
      </c>
      <c r="U238" s="1096">
        <f t="shared" si="13"/>
        <v>0</v>
      </c>
      <c r="V238" s="599">
        <v>-2129</v>
      </c>
      <c r="W238" s="620"/>
      <c r="X238" s="621"/>
      <c r="Y238" s="1096">
        <f t="shared" si="14"/>
        <v>0</v>
      </c>
      <c r="Z238" s="882">
        <f t="shared" si="15"/>
        <v>0</v>
      </c>
    </row>
    <row r="239" spans="1:26" ht="27" hidden="1" customHeight="1">
      <c r="A239" s="583"/>
      <c r="B239" s="583">
        <v>1001</v>
      </c>
      <c r="C239" s="581">
        <v>17</v>
      </c>
      <c r="D239" s="1137" t="s">
        <v>239</v>
      </c>
      <c r="E239" s="1138" t="s">
        <v>1642</v>
      </c>
      <c r="F239" s="599"/>
      <c r="G239" s="599"/>
      <c r="H239" s="599"/>
      <c r="I239" s="599">
        <v>-91605780</v>
      </c>
      <c r="J239" s="599">
        <v>91605780</v>
      </c>
      <c r="K239" s="599"/>
      <c r="L239" s="599"/>
      <c r="M239" s="599"/>
      <c r="N239" s="599"/>
      <c r="O239" s="599"/>
      <c r="P239" s="599"/>
      <c r="Q239" s="599"/>
      <c r="R239" s="599"/>
      <c r="S239" s="1096">
        <f t="shared" si="12"/>
        <v>0</v>
      </c>
      <c r="T239" s="599">
        <v>-1268247</v>
      </c>
      <c r="U239" s="1096">
        <f t="shared" si="13"/>
        <v>0</v>
      </c>
      <c r="V239" s="599">
        <v>-1</v>
      </c>
      <c r="W239" s="620"/>
      <c r="X239" s="621"/>
      <c r="Y239" s="1096">
        <f t="shared" si="14"/>
        <v>0</v>
      </c>
      <c r="Z239" s="882">
        <f t="shared" si="15"/>
        <v>0</v>
      </c>
    </row>
    <row r="240" spans="1:26" ht="27" hidden="1" customHeight="1">
      <c r="A240" s="583"/>
      <c r="B240" s="583">
        <v>1001</v>
      </c>
      <c r="C240" s="581">
        <v>17</v>
      </c>
      <c r="D240" s="1137" t="s">
        <v>1609</v>
      </c>
      <c r="E240" s="1138" t="s">
        <v>1610</v>
      </c>
      <c r="F240" s="599"/>
      <c r="G240" s="599"/>
      <c r="H240" s="599"/>
      <c r="I240" s="599"/>
      <c r="J240" s="599"/>
      <c r="K240" s="599"/>
      <c r="L240" s="599"/>
      <c r="M240" s="599"/>
      <c r="N240" s="599"/>
      <c r="O240" s="599"/>
      <c r="P240" s="599"/>
      <c r="Q240" s="599"/>
      <c r="R240" s="599"/>
      <c r="S240" s="1096">
        <f t="shared" si="12"/>
        <v>0</v>
      </c>
      <c r="T240" s="599">
        <v>-67705290</v>
      </c>
      <c r="U240" s="1096">
        <f t="shared" si="13"/>
        <v>0</v>
      </c>
      <c r="V240" s="599">
        <v>-68</v>
      </c>
      <c r="W240" s="620"/>
      <c r="X240" s="621"/>
      <c r="Y240" s="1096">
        <f t="shared" si="14"/>
        <v>0</v>
      </c>
      <c r="Z240" s="882">
        <f t="shared" si="15"/>
        <v>0</v>
      </c>
    </row>
    <row r="241" spans="1:26" ht="27" hidden="1" customHeight="1">
      <c r="A241" s="583"/>
      <c r="B241" s="583">
        <v>1001</v>
      </c>
      <c r="C241" s="581">
        <v>17</v>
      </c>
      <c r="D241" s="1137" t="s">
        <v>1243</v>
      </c>
      <c r="E241" s="1138" t="s">
        <v>1244</v>
      </c>
      <c r="F241" s="599"/>
      <c r="G241" s="599"/>
      <c r="H241" s="599"/>
      <c r="I241" s="599"/>
      <c r="J241" s="599"/>
      <c r="K241" s="599"/>
      <c r="L241" s="599"/>
      <c r="M241" s="599"/>
      <c r="N241" s="599"/>
      <c r="O241" s="599"/>
      <c r="P241" s="599"/>
      <c r="Q241" s="599"/>
      <c r="R241" s="599"/>
      <c r="S241" s="1096">
        <f t="shared" si="12"/>
        <v>0</v>
      </c>
      <c r="T241" s="599">
        <v>0</v>
      </c>
      <c r="U241" s="1096">
        <f t="shared" si="13"/>
        <v>0</v>
      </c>
      <c r="V241" s="599">
        <v>0</v>
      </c>
      <c r="W241" s="620"/>
      <c r="X241" s="621"/>
      <c r="Y241" s="1096">
        <f t="shared" si="14"/>
        <v>0</v>
      </c>
      <c r="Z241" s="882">
        <f t="shared" si="15"/>
        <v>0</v>
      </c>
    </row>
    <row r="242" spans="1:26" ht="27" hidden="1" customHeight="1">
      <c r="A242" s="583"/>
      <c r="B242" s="1135">
        <v>406</v>
      </c>
      <c r="C242" s="581">
        <v>11</v>
      </c>
      <c r="D242" s="1137" t="s">
        <v>241</v>
      </c>
      <c r="E242" s="1138" t="s">
        <v>755</v>
      </c>
      <c r="F242" s="599">
        <v>421780961</v>
      </c>
      <c r="G242" s="599"/>
      <c r="H242" s="599"/>
      <c r="I242" s="599"/>
      <c r="J242" s="599"/>
      <c r="K242" s="599"/>
      <c r="L242" s="599"/>
      <c r="M242" s="599"/>
      <c r="N242" s="599"/>
      <c r="O242" s="599"/>
      <c r="P242" s="599"/>
      <c r="Q242" s="599"/>
      <c r="R242" s="599"/>
      <c r="S242" s="1096">
        <f t="shared" si="12"/>
        <v>421780961</v>
      </c>
      <c r="T242" s="599">
        <v>0</v>
      </c>
      <c r="U242" s="1096">
        <f t="shared" si="13"/>
        <v>422</v>
      </c>
      <c r="V242" s="599">
        <v>0</v>
      </c>
      <c r="W242" s="620"/>
      <c r="X242" s="621"/>
      <c r="Y242" s="1096">
        <f t="shared" si="14"/>
        <v>421780961</v>
      </c>
      <c r="Z242" s="882">
        <f t="shared" si="15"/>
        <v>422</v>
      </c>
    </row>
    <row r="243" spans="1:26" ht="27" hidden="1" customHeight="1">
      <c r="A243" s="583"/>
      <c r="B243" s="583">
        <v>1001</v>
      </c>
      <c r="C243" s="581">
        <v>17</v>
      </c>
      <c r="D243" s="1137" t="s">
        <v>1246</v>
      </c>
      <c r="E243" s="1138" t="s">
        <v>1245</v>
      </c>
      <c r="F243" s="599">
        <v>-2623775</v>
      </c>
      <c r="G243" s="599"/>
      <c r="H243" s="599">
        <v>2623775</v>
      </c>
      <c r="I243" s="599"/>
      <c r="J243" s="599"/>
      <c r="K243" s="599"/>
      <c r="L243" s="599"/>
      <c r="M243" s="599"/>
      <c r="N243" s="599"/>
      <c r="O243" s="599"/>
      <c r="P243" s="599"/>
      <c r="Q243" s="599"/>
      <c r="R243" s="599"/>
      <c r="S243" s="1096">
        <f t="shared" si="12"/>
        <v>0</v>
      </c>
      <c r="T243" s="599">
        <v>-2623775</v>
      </c>
      <c r="U243" s="1096">
        <f t="shared" si="13"/>
        <v>0</v>
      </c>
      <c r="V243" s="599">
        <v>-3</v>
      </c>
      <c r="W243" s="620"/>
      <c r="X243" s="621"/>
      <c r="Y243" s="1096">
        <f t="shared" si="14"/>
        <v>0</v>
      </c>
      <c r="Z243" s="882">
        <f t="shared" si="15"/>
        <v>0</v>
      </c>
    </row>
    <row r="244" spans="1:26" ht="27" hidden="1" customHeight="1">
      <c r="A244" s="583"/>
      <c r="B244" s="583">
        <v>406</v>
      </c>
      <c r="C244" s="581">
        <v>11</v>
      </c>
      <c r="D244" s="1137" t="s">
        <v>491</v>
      </c>
      <c r="E244" s="1138" t="s">
        <v>659</v>
      </c>
      <c r="F244" s="599"/>
      <c r="G244" s="599"/>
      <c r="H244" s="599"/>
      <c r="I244" s="599"/>
      <c r="J244" s="599"/>
      <c r="K244" s="599"/>
      <c r="L244" s="599"/>
      <c r="M244" s="599"/>
      <c r="N244" s="599"/>
      <c r="O244" s="599"/>
      <c r="P244" s="599"/>
      <c r="Q244" s="599"/>
      <c r="R244" s="599"/>
      <c r="S244" s="1096">
        <f t="shared" si="12"/>
        <v>0</v>
      </c>
      <c r="T244" s="599">
        <v>1029795952</v>
      </c>
      <c r="U244" s="1096">
        <f t="shared" si="13"/>
        <v>0</v>
      </c>
      <c r="V244" s="599">
        <v>1030</v>
      </c>
      <c r="W244" s="620"/>
      <c r="X244" s="621"/>
      <c r="Y244" s="1096">
        <f t="shared" si="14"/>
        <v>0</v>
      </c>
      <c r="Z244" s="882">
        <f t="shared" si="15"/>
        <v>0</v>
      </c>
    </row>
    <row r="245" spans="1:26" ht="27" hidden="1" customHeight="1">
      <c r="A245" s="583"/>
      <c r="B245" s="1135">
        <v>406</v>
      </c>
      <c r="C245" s="581">
        <v>11</v>
      </c>
      <c r="D245" s="1137" t="s">
        <v>1033</v>
      </c>
      <c r="E245" s="1138" t="s">
        <v>1034</v>
      </c>
      <c r="F245" s="599">
        <v>91605780</v>
      </c>
      <c r="G245" s="599"/>
      <c r="H245" s="599"/>
      <c r="I245" s="599"/>
      <c r="J245" s="599">
        <v>-91605780</v>
      </c>
      <c r="K245" s="599"/>
      <c r="L245" s="599"/>
      <c r="M245" s="599"/>
      <c r="N245" s="599"/>
      <c r="O245" s="599"/>
      <c r="P245" s="599"/>
      <c r="Q245" s="599"/>
      <c r="R245" s="599"/>
      <c r="S245" s="1096">
        <f t="shared" si="12"/>
        <v>0</v>
      </c>
      <c r="T245" s="599">
        <v>468438323</v>
      </c>
      <c r="U245" s="1096">
        <f t="shared" si="13"/>
        <v>0</v>
      </c>
      <c r="V245" s="599">
        <v>469</v>
      </c>
      <c r="W245" s="620"/>
      <c r="X245" s="621"/>
      <c r="Y245" s="1096">
        <f t="shared" si="14"/>
        <v>0</v>
      </c>
      <c r="Z245" s="882">
        <f t="shared" si="15"/>
        <v>0</v>
      </c>
    </row>
    <row r="246" spans="1:26" ht="27" hidden="1" customHeight="1">
      <c r="A246" s="583"/>
      <c r="B246" s="583">
        <v>406</v>
      </c>
      <c r="C246" s="581">
        <v>11</v>
      </c>
      <c r="D246" s="1137" t="s">
        <v>660</v>
      </c>
      <c r="E246" s="1138" t="s">
        <v>661</v>
      </c>
      <c r="F246" s="599">
        <v>704573835</v>
      </c>
      <c r="G246" s="599"/>
      <c r="H246" s="599"/>
      <c r="I246" s="599"/>
      <c r="J246" s="599"/>
      <c r="K246" s="599"/>
      <c r="L246" s="599"/>
      <c r="M246" s="599"/>
      <c r="N246" s="599"/>
      <c r="O246" s="599"/>
      <c r="P246" s="599"/>
      <c r="Q246" s="599"/>
      <c r="R246" s="599"/>
      <c r="S246" s="1096">
        <f t="shared" si="12"/>
        <v>704573835</v>
      </c>
      <c r="T246" s="599">
        <v>637865835</v>
      </c>
      <c r="U246" s="1096">
        <f t="shared" si="13"/>
        <v>705</v>
      </c>
      <c r="V246" s="599">
        <v>638</v>
      </c>
      <c r="W246" s="620"/>
      <c r="X246" s="621"/>
      <c r="Y246" s="1096">
        <f t="shared" si="14"/>
        <v>704573835</v>
      </c>
      <c r="Z246" s="882">
        <f t="shared" si="15"/>
        <v>705</v>
      </c>
    </row>
    <row r="247" spans="1:26" ht="27" hidden="1" customHeight="1">
      <c r="A247" s="583"/>
      <c r="B247" s="583">
        <v>1001</v>
      </c>
      <c r="C247" s="581">
        <v>17</v>
      </c>
      <c r="D247" s="1137" t="s">
        <v>1740</v>
      </c>
      <c r="E247" s="1138" t="s">
        <v>1739</v>
      </c>
      <c r="F247" s="599"/>
      <c r="G247" s="599"/>
      <c r="H247" s="599"/>
      <c r="I247" s="599"/>
      <c r="J247" s="599"/>
      <c r="K247" s="599"/>
      <c r="L247" s="599"/>
      <c r="M247" s="599"/>
      <c r="N247" s="599"/>
      <c r="O247" s="599"/>
      <c r="P247" s="599"/>
      <c r="Q247" s="599"/>
      <c r="R247" s="599"/>
      <c r="S247" s="1096">
        <f t="shared" si="12"/>
        <v>0</v>
      </c>
      <c r="T247" s="599">
        <v>0</v>
      </c>
      <c r="U247" s="1096">
        <f t="shared" si="13"/>
        <v>0</v>
      </c>
      <c r="V247" s="599">
        <v>0</v>
      </c>
      <c r="W247" s="620"/>
      <c r="X247" s="621"/>
      <c r="Y247" s="1096">
        <f t="shared" si="14"/>
        <v>0</v>
      </c>
      <c r="Z247" s="882">
        <f t="shared" si="15"/>
        <v>0</v>
      </c>
    </row>
    <row r="248" spans="1:26" ht="27" hidden="1" customHeight="1">
      <c r="A248" s="583"/>
      <c r="B248" s="583">
        <v>1001</v>
      </c>
      <c r="C248" s="581">
        <v>17</v>
      </c>
      <c r="D248" s="1137" t="s">
        <v>888</v>
      </c>
      <c r="E248" s="1138" t="s">
        <v>887</v>
      </c>
      <c r="F248" s="599"/>
      <c r="G248" s="599"/>
      <c r="H248" s="599"/>
      <c r="I248" s="599"/>
      <c r="J248" s="599"/>
      <c r="K248" s="599"/>
      <c r="L248" s="599"/>
      <c r="M248" s="599"/>
      <c r="N248" s="599"/>
      <c r="O248" s="599"/>
      <c r="P248" s="599"/>
      <c r="Q248" s="599"/>
      <c r="R248" s="599"/>
      <c r="S248" s="1096">
        <f t="shared" si="12"/>
        <v>0</v>
      </c>
      <c r="T248" s="599">
        <v>0</v>
      </c>
      <c r="U248" s="1096">
        <f t="shared" si="13"/>
        <v>0</v>
      </c>
      <c r="V248" s="599">
        <v>0</v>
      </c>
      <c r="W248" s="620"/>
      <c r="X248" s="621"/>
      <c r="Y248" s="1096">
        <f t="shared" si="14"/>
        <v>0</v>
      </c>
      <c r="Z248" s="882">
        <f t="shared" si="15"/>
        <v>0</v>
      </c>
    </row>
    <row r="249" spans="1:26" ht="27" hidden="1" customHeight="1">
      <c r="A249" s="583"/>
      <c r="B249" s="583">
        <v>406</v>
      </c>
      <c r="C249" s="581">
        <v>11</v>
      </c>
      <c r="D249" s="1137" t="s">
        <v>493</v>
      </c>
      <c r="E249" s="1138" t="s">
        <v>891</v>
      </c>
      <c r="F249" s="599"/>
      <c r="G249" s="599"/>
      <c r="H249" s="599"/>
      <c r="I249" s="599"/>
      <c r="J249" s="599"/>
      <c r="K249" s="599"/>
      <c r="L249" s="599"/>
      <c r="M249" s="599"/>
      <c r="N249" s="599"/>
      <c r="O249" s="599"/>
      <c r="P249" s="599"/>
      <c r="Q249" s="599"/>
      <c r="R249" s="599"/>
      <c r="S249" s="1096">
        <f t="shared" si="12"/>
        <v>0</v>
      </c>
      <c r="T249" s="599">
        <v>0</v>
      </c>
      <c r="U249" s="1096">
        <f t="shared" si="13"/>
        <v>0</v>
      </c>
      <c r="V249" s="599">
        <v>0</v>
      </c>
      <c r="W249" s="620"/>
      <c r="X249" s="621"/>
      <c r="Y249" s="1096">
        <f t="shared" si="14"/>
        <v>0</v>
      </c>
      <c r="Z249" s="882">
        <f t="shared" si="15"/>
        <v>0</v>
      </c>
    </row>
    <row r="250" spans="1:26" ht="27" hidden="1" customHeight="1">
      <c r="A250" s="583"/>
      <c r="B250" s="583"/>
      <c r="C250" s="581">
        <v>11</v>
      </c>
      <c r="D250" s="1137" t="s">
        <v>842</v>
      </c>
      <c r="E250" s="1138" t="s">
        <v>1247</v>
      </c>
      <c r="F250" s="599"/>
      <c r="G250" s="599"/>
      <c r="H250" s="599"/>
      <c r="I250" s="599"/>
      <c r="J250" s="599"/>
      <c r="K250" s="599"/>
      <c r="L250" s="599"/>
      <c r="M250" s="599"/>
      <c r="N250" s="599"/>
      <c r="O250" s="599"/>
      <c r="P250" s="599"/>
      <c r="Q250" s="599"/>
      <c r="R250" s="599"/>
      <c r="S250" s="1096">
        <f t="shared" si="12"/>
        <v>0</v>
      </c>
      <c r="T250" s="599">
        <v>0</v>
      </c>
      <c r="U250" s="1096">
        <f t="shared" si="13"/>
        <v>0</v>
      </c>
      <c r="V250" s="599">
        <v>0</v>
      </c>
      <c r="W250" s="620"/>
      <c r="X250" s="621"/>
      <c r="Y250" s="1096">
        <f t="shared" si="14"/>
        <v>0</v>
      </c>
      <c r="Z250" s="882">
        <f t="shared" si="15"/>
        <v>0</v>
      </c>
    </row>
    <row r="251" spans="1:26" ht="27" hidden="1" customHeight="1">
      <c r="A251" s="583"/>
      <c r="B251" s="583">
        <v>406</v>
      </c>
      <c r="C251" s="581">
        <v>11</v>
      </c>
      <c r="D251" s="1137" t="s">
        <v>843</v>
      </c>
      <c r="E251" s="1138" t="s">
        <v>889</v>
      </c>
      <c r="F251" s="599"/>
      <c r="G251" s="599"/>
      <c r="H251" s="599"/>
      <c r="I251" s="599"/>
      <c r="J251" s="599"/>
      <c r="K251" s="599"/>
      <c r="L251" s="599"/>
      <c r="M251" s="599"/>
      <c r="N251" s="599"/>
      <c r="O251" s="599"/>
      <c r="P251" s="599"/>
      <c r="Q251" s="599"/>
      <c r="R251" s="599"/>
      <c r="S251" s="1096">
        <f t="shared" si="12"/>
        <v>0</v>
      </c>
      <c r="T251" s="599">
        <v>0</v>
      </c>
      <c r="U251" s="1096">
        <f t="shared" si="13"/>
        <v>0</v>
      </c>
      <c r="V251" s="599">
        <v>0</v>
      </c>
      <c r="W251" s="620"/>
      <c r="X251" s="621"/>
      <c r="Y251" s="1096">
        <f t="shared" si="14"/>
        <v>0</v>
      </c>
      <c r="Z251" s="882">
        <f t="shared" si="15"/>
        <v>0</v>
      </c>
    </row>
    <row r="252" spans="1:26" ht="27" hidden="1" customHeight="1">
      <c r="A252" s="583"/>
      <c r="B252" s="583">
        <v>406</v>
      </c>
      <c r="C252" s="581">
        <v>11</v>
      </c>
      <c r="D252" s="1137" t="s">
        <v>1078</v>
      </c>
      <c r="E252" s="1138" t="s">
        <v>1079</v>
      </c>
      <c r="F252" s="599"/>
      <c r="G252" s="599"/>
      <c r="H252" s="599"/>
      <c r="I252" s="599"/>
      <c r="J252" s="599"/>
      <c r="K252" s="599"/>
      <c r="L252" s="599"/>
      <c r="M252" s="599"/>
      <c r="N252" s="599"/>
      <c r="O252" s="599"/>
      <c r="P252" s="599"/>
      <c r="Q252" s="599"/>
      <c r="R252" s="599"/>
      <c r="S252" s="1096">
        <f t="shared" si="12"/>
        <v>0</v>
      </c>
      <c r="T252" s="599">
        <v>0</v>
      </c>
      <c r="U252" s="1096">
        <f t="shared" si="13"/>
        <v>0</v>
      </c>
      <c r="V252" s="599">
        <v>0</v>
      </c>
      <c r="W252" s="620"/>
      <c r="X252" s="621"/>
      <c r="Y252" s="1096">
        <f t="shared" si="14"/>
        <v>0</v>
      </c>
      <c r="Z252" s="882">
        <f t="shared" si="15"/>
        <v>0</v>
      </c>
    </row>
    <row r="253" spans="1:26" ht="27" hidden="1" customHeight="1">
      <c r="A253" s="583"/>
      <c r="B253" s="583">
        <v>1001</v>
      </c>
      <c r="C253" s="581">
        <v>17</v>
      </c>
      <c r="D253" s="1137" t="s">
        <v>1671</v>
      </c>
      <c r="E253" s="1138" t="s">
        <v>1672</v>
      </c>
      <c r="F253" s="599"/>
      <c r="G253" s="599"/>
      <c r="H253" s="599"/>
      <c r="I253" s="599"/>
      <c r="J253" s="599"/>
      <c r="K253" s="599"/>
      <c r="L253" s="599"/>
      <c r="M253" s="599"/>
      <c r="N253" s="599"/>
      <c r="O253" s="599"/>
      <c r="P253" s="599"/>
      <c r="Q253" s="599"/>
      <c r="R253" s="599"/>
      <c r="S253" s="1096">
        <f t="shared" si="12"/>
        <v>0</v>
      </c>
      <c r="T253" s="599">
        <v>0</v>
      </c>
      <c r="U253" s="1096">
        <f t="shared" si="13"/>
        <v>0</v>
      </c>
      <c r="V253" s="599">
        <v>0</v>
      </c>
      <c r="W253" s="620"/>
      <c r="X253" s="621"/>
      <c r="Y253" s="1096">
        <f t="shared" si="14"/>
        <v>0</v>
      </c>
      <c r="Z253" s="882">
        <f t="shared" si="15"/>
        <v>0</v>
      </c>
    </row>
    <row r="254" spans="1:26" ht="27" hidden="1" customHeight="1">
      <c r="A254" s="583"/>
      <c r="B254" s="583">
        <v>406</v>
      </c>
      <c r="C254" s="581">
        <v>11</v>
      </c>
      <c r="D254" s="1137" t="s">
        <v>1080</v>
      </c>
      <c r="E254" s="1138" t="s">
        <v>1081</v>
      </c>
      <c r="F254" s="599"/>
      <c r="G254" s="599"/>
      <c r="H254" s="599"/>
      <c r="I254" s="599"/>
      <c r="J254" s="599"/>
      <c r="K254" s="599"/>
      <c r="L254" s="599"/>
      <c r="M254" s="599"/>
      <c r="N254" s="599"/>
      <c r="O254" s="599"/>
      <c r="P254" s="599"/>
      <c r="Q254" s="599"/>
      <c r="R254" s="599"/>
      <c r="S254" s="1096">
        <f t="shared" si="12"/>
        <v>0</v>
      </c>
      <c r="T254" s="599">
        <v>0</v>
      </c>
      <c r="U254" s="1096">
        <f t="shared" si="13"/>
        <v>0</v>
      </c>
      <c r="V254" s="599">
        <v>0</v>
      </c>
      <c r="W254" s="620"/>
      <c r="X254" s="621"/>
      <c r="Y254" s="1096">
        <f t="shared" si="14"/>
        <v>0</v>
      </c>
      <c r="Z254" s="882">
        <f t="shared" si="15"/>
        <v>0</v>
      </c>
    </row>
    <row r="255" spans="1:26" ht="27" hidden="1" customHeight="1">
      <c r="A255" s="583"/>
      <c r="B255" s="583">
        <v>406</v>
      </c>
      <c r="C255" s="581">
        <v>11</v>
      </c>
      <c r="D255" s="1137" t="s">
        <v>560</v>
      </c>
      <c r="E255" s="1138" t="s">
        <v>1181</v>
      </c>
      <c r="F255" s="599">
        <v>1</v>
      </c>
      <c r="G255" s="599"/>
      <c r="H255" s="599"/>
      <c r="I255" s="599"/>
      <c r="J255" s="599"/>
      <c r="K255" s="599"/>
      <c r="L255" s="599"/>
      <c r="M255" s="599"/>
      <c r="N255" s="599"/>
      <c r="O255" s="599"/>
      <c r="P255" s="599"/>
      <c r="Q255" s="599"/>
      <c r="R255" s="599"/>
      <c r="S255" s="1096">
        <f t="shared" si="12"/>
        <v>1</v>
      </c>
      <c r="T255" s="599">
        <v>1</v>
      </c>
      <c r="U255" s="1096">
        <f t="shared" si="13"/>
        <v>0</v>
      </c>
      <c r="V255" s="599">
        <v>0</v>
      </c>
      <c r="W255" s="620"/>
      <c r="X255" s="621"/>
      <c r="Y255" s="1096">
        <f t="shared" si="14"/>
        <v>1</v>
      </c>
      <c r="Z255" s="882">
        <f t="shared" si="15"/>
        <v>0</v>
      </c>
    </row>
    <row r="256" spans="1:26" ht="27" hidden="1" customHeight="1">
      <c r="A256" s="583"/>
      <c r="B256" s="583">
        <v>406</v>
      </c>
      <c r="C256" s="581">
        <v>11</v>
      </c>
      <c r="D256" s="1137">
        <v>9298971</v>
      </c>
      <c r="E256" s="1138" t="s">
        <v>1945</v>
      </c>
      <c r="F256" s="599"/>
      <c r="G256" s="599"/>
      <c r="H256" s="599"/>
      <c r="I256" s="599"/>
      <c r="J256" s="599"/>
      <c r="K256" s="599"/>
      <c r="L256" s="599"/>
      <c r="M256" s="599"/>
      <c r="N256" s="599"/>
      <c r="O256" s="599"/>
      <c r="P256" s="599"/>
      <c r="Q256" s="599"/>
      <c r="R256" s="599"/>
      <c r="S256" s="1096">
        <f t="shared" si="12"/>
        <v>0</v>
      </c>
      <c r="T256" s="599">
        <v>0</v>
      </c>
      <c r="U256" s="1096">
        <f t="shared" si="13"/>
        <v>0</v>
      </c>
      <c r="V256" s="599">
        <v>0</v>
      </c>
      <c r="W256" s="620"/>
      <c r="X256" s="621"/>
      <c r="Y256" s="1096">
        <f t="shared" si="14"/>
        <v>0</v>
      </c>
      <c r="Z256" s="882">
        <f t="shared" si="15"/>
        <v>0</v>
      </c>
    </row>
    <row r="257" spans="1:26" ht="27" hidden="1" customHeight="1">
      <c r="A257" s="583"/>
      <c r="B257" s="583">
        <v>406</v>
      </c>
      <c r="C257" s="581">
        <v>11</v>
      </c>
      <c r="D257" s="1137" t="s">
        <v>662</v>
      </c>
      <c r="E257" s="1138" t="s">
        <v>989</v>
      </c>
      <c r="F257" s="599">
        <v>8544026008</v>
      </c>
      <c r="G257" s="599">
        <v>-234433365</v>
      </c>
      <c r="H257" s="599">
        <v>-8568440</v>
      </c>
      <c r="I257" s="599">
        <v>-297798335</v>
      </c>
      <c r="J257" s="599"/>
      <c r="K257" s="599"/>
      <c r="L257" s="599"/>
      <c r="M257" s="599"/>
      <c r="N257" s="599">
        <v>0</v>
      </c>
      <c r="O257" s="599">
        <v>-4600500</v>
      </c>
      <c r="P257" s="599"/>
      <c r="Q257" s="599"/>
      <c r="R257" s="599"/>
      <c r="S257" s="1096">
        <f t="shared" si="12"/>
        <v>7998625368</v>
      </c>
      <c r="T257" s="599">
        <v>2565120445</v>
      </c>
      <c r="U257" s="1096">
        <f t="shared" si="13"/>
        <v>7999</v>
      </c>
      <c r="V257" s="599">
        <v>2565</v>
      </c>
      <c r="W257" s="620"/>
      <c r="X257" s="621"/>
      <c r="Y257" s="1096">
        <f t="shared" si="14"/>
        <v>7998625368</v>
      </c>
      <c r="Z257" s="882">
        <f t="shared" si="15"/>
        <v>7999</v>
      </c>
    </row>
    <row r="258" spans="1:26" ht="27" hidden="1" customHeight="1">
      <c r="A258" s="583"/>
      <c r="B258" s="583">
        <v>1018</v>
      </c>
      <c r="C258" s="581">
        <v>17</v>
      </c>
      <c r="D258" s="1137" t="s">
        <v>890</v>
      </c>
      <c r="E258" s="1138" t="s">
        <v>892</v>
      </c>
      <c r="F258" s="599"/>
      <c r="G258" s="599"/>
      <c r="H258" s="599"/>
      <c r="I258" s="599"/>
      <c r="J258" s="599"/>
      <c r="K258" s="599"/>
      <c r="L258" s="599"/>
      <c r="M258" s="599"/>
      <c r="N258" s="599"/>
      <c r="O258" s="599"/>
      <c r="P258" s="599"/>
      <c r="Q258" s="599"/>
      <c r="R258" s="599"/>
      <c r="S258" s="1096">
        <f t="shared" si="12"/>
        <v>0</v>
      </c>
      <c r="T258" s="599">
        <v>0</v>
      </c>
      <c r="U258" s="1096">
        <f t="shared" si="13"/>
        <v>0</v>
      </c>
      <c r="V258" s="599">
        <v>0</v>
      </c>
      <c r="W258" s="620"/>
      <c r="X258" s="621"/>
      <c r="Y258" s="1096">
        <f t="shared" si="14"/>
        <v>0</v>
      </c>
      <c r="Z258" s="882">
        <f t="shared" si="15"/>
        <v>0</v>
      </c>
    </row>
    <row r="259" spans="1:26" ht="27" hidden="1" customHeight="1">
      <c r="A259" s="583"/>
      <c r="B259" s="583">
        <v>1001</v>
      </c>
      <c r="C259" s="581">
        <v>17</v>
      </c>
      <c r="D259" s="1137" t="s">
        <v>116</v>
      </c>
      <c r="E259" s="1138" t="s">
        <v>1268</v>
      </c>
      <c r="F259" s="599">
        <v>-10700000</v>
      </c>
      <c r="G259" s="599"/>
      <c r="H259" s="599"/>
      <c r="I259" s="599"/>
      <c r="J259" s="599"/>
      <c r="K259" s="599"/>
      <c r="L259" s="599"/>
      <c r="M259" s="599"/>
      <c r="N259" s="599"/>
      <c r="O259" s="599"/>
      <c r="P259" s="599"/>
      <c r="Q259" s="599"/>
      <c r="R259" s="599"/>
      <c r="S259" s="1096">
        <f t="shared" si="12"/>
        <v>-10700000</v>
      </c>
      <c r="T259" s="599">
        <v>-8000000</v>
      </c>
      <c r="U259" s="1096">
        <f t="shared" si="13"/>
        <v>-11</v>
      </c>
      <c r="V259" s="599">
        <v>-8</v>
      </c>
      <c r="W259" s="620"/>
      <c r="X259" s="621"/>
      <c r="Y259" s="1096">
        <f t="shared" si="14"/>
        <v>-10700000</v>
      </c>
      <c r="Z259" s="882">
        <f t="shared" si="15"/>
        <v>-11</v>
      </c>
    </row>
    <row r="260" spans="1:26" ht="27" hidden="1" customHeight="1">
      <c r="A260" s="583"/>
      <c r="B260" s="583">
        <v>1001</v>
      </c>
      <c r="C260" s="581">
        <v>17</v>
      </c>
      <c r="D260" s="1137" t="s">
        <v>485</v>
      </c>
      <c r="E260" s="1138" t="s">
        <v>899</v>
      </c>
      <c r="F260" s="599">
        <v>-416175150</v>
      </c>
      <c r="G260" s="599"/>
      <c r="H260" s="599"/>
      <c r="I260" s="599"/>
      <c r="J260" s="599"/>
      <c r="K260" s="599"/>
      <c r="L260" s="599">
        <f>417704944-1529794</f>
        <v>416175150</v>
      </c>
      <c r="M260" s="599"/>
      <c r="N260" s="599"/>
      <c r="O260" s="599"/>
      <c r="P260" s="599"/>
      <c r="Q260" s="599"/>
      <c r="R260" s="599"/>
      <c r="S260" s="1096">
        <f t="shared" ref="S260:S323" si="16">SUM(F260:R260)</f>
        <v>0</v>
      </c>
      <c r="T260" s="599">
        <v>1409794</v>
      </c>
      <c r="U260" s="1096">
        <f t="shared" ref="U260:U323" si="17">ROUND((S260/1000000),0)</f>
        <v>0</v>
      </c>
      <c r="V260" s="599">
        <v>1</v>
      </c>
      <c r="W260" s="620"/>
      <c r="X260" s="621"/>
      <c r="Y260" s="1096">
        <f t="shared" si="14"/>
        <v>0</v>
      </c>
      <c r="Z260" s="882">
        <f t="shared" si="15"/>
        <v>0</v>
      </c>
    </row>
    <row r="261" spans="1:26" ht="27" hidden="1" customHeight="1">
      <c r="A261" s="583"/>
      <c r="B261" s="583">
        <v>1001</v>
      </c>
      <c r="C261" s="581">
        <v>17</v>
      </c>
      <c r="D261" s="1137" t="s">
        <v>485</v>
      </c>
      <c r="E261" s="1138" t="s">
        <v>899</v>
      </c>
      <c r="F261" s="599"/>
      <c r="G261" s="599"/>
      <c r="H261" s="599"/>
      <c r="I261" s="599"/>
      <c r="J261" s="599"/>
      <c r="K261" s="599"/>
      <c r="L261" s="599"/>
      <c r="M261" s="599"/>
      <c r="N261" s="599"/>
      <c r="O261" s="599"/>
      <c r="P261" s="599"/>
      <c r="Q261" s="599"/>
      <c r="R261" s="599"/>
      <c r="S261" s="1096">
        <f t="shared" si="16"/>
        <v>0</v>
      </c>
      <c r="T261" s="599">
        <v>0</v>
      </c>
      <c r="U261" s="1096">
        <f t="shared" si="17"/>
        <v>0</v>
      </c>
      <c r="V261" s="599">
        <v>0</v>
      </c>
      <c r="W261" s="620"/>
      <c r="X261" s="621"/>
      <c r="Y261" s="1096">
        <f t="shared" si="14"/>
        <v>0</v>
      </c>
      <c r="Z261" s="882">
        <f t="shared" si="15"/>
        <v>0</v>
      </c>
    </row>
    <row r="262" spans="1:26" ht="27" hidden="1" customHeight="1">
      <c r="A262" s="583"/>
      <c r="B262" s="583">
        <v>1018</v>
      </c>
      <c r="C262" s="581">
        <v>17</v>
      </c>
      <c r="D262" s="1137" t="s">
        <v>846</v>
      </c>
      <c r="E262" s="1138" t="s">
        <v>900</v>
      </c>
      <c r="F262" s="599">
        <v>-156192762</v>
      </c>
      <c r="G262" s="599"/>
      <c r="H262" s="599"/>
      <c r="I262" s="599"/>
      <c r="J262" s="599"/>
      <c r="K262" s="599"/>
      <c r="L262" s="599">
        <v>52678392</v>
      </c>
      <c r="M262" s="599"/>
      <c r="N262" s="599"/>
      <c r="O262" s="599">
        <v>-1280000</v>
      </c>
      <c r="P262" s="599"/>
      <c r="Q262" s="599"/>
      <c r="R262" s="599"/>
      <c r="S262" s="1096">
        <f t="shared" si="16"/>
        <v>-104794370</v>
      </c>
      <c r="T262" s="599">
        <v>113292202</v>
      </c>
      <c r="U262" s="1096">
        <f t="shared" si="17"/>
        <v>-105</v>
      </c>
      <c r="V262" s="599">
        <v>113</v>
      </c>
      <c r="W262" s="620"/>
      <c r="X262" s="621"/>
      <c r="Y262" s="1096">
        <f t="shared" ref="Y262:Y325" si="18">S262+X262-W262</f>
        <v>-104794370</v>
      </c>
      <c r="Z262" s="882">
        <f t="shared" ref="Z262:Z325" si="19">ROUND((Y262/1000000),0)</f>
        <v>-105</v>
      </c>
    </row>
    <row r="263" spans="1:26" ht="27" hidden="1" customHeight="1">
      <c r="A263" s="583"/>
      <c r="B263" s="583">
        <v>1018</v>
      </c>
      <c r="C263" s="581">
        <v>17</v>
      </c>
      <c r="D263" s="1137" t="s">
        <v>893</v>
      </c>
      <c r="E263" s="1138" t="s">
        <v>1182</v>
      </c>
      <c r="F263" s="599">
        <v>-21513132</v>
      </c>
      <c r="G263" s="599"/>
      <c r="H263" s="599"/>
      <c r="I263" s="599"/>
      <c r="J263" s="599"/>
      <c r="K263" s="599"/>
      <c r="L263" s="599">
        <v>21513132</v>
      </c>
      <c r="M263" s="599"/>
      <c r="N263" s="599"/>
      <c r="O263" s="599"/>
      <c r="P263" s="599"/>
      <c r="Q263" s="599"/>
      <c r="R263" s="599"/>
      <c r="S263" s="1096">
        <f t="shared" si="16"/>
        <v>0</v>
      </c>
      <c r="T263" s="599">
        <v>-18195021</v>
      </c>
      <c r="U263" s="1096">
        <f t="shared" si="17"/>
        <v>0</v>
      </c>
      <c r="V263" s="599">
        <v>-18</v>
      </c>
      <c r="W263" s="620"/>
      <c r="X263" s="621"/>
      <c r="Y263" s="1096">
        <f t="shared" si="18"/>
        <v>0</v>
      </c>
      <c r="Z263" s="882">
        <f t="shared" si="19"/>
        <v>0</v>
      </c>
    </row>
    <row r="264" spans="1:26" ht="27" hidden="1" customHeight="1">
      <c r="A264" s="583"/>
      <c r="B264" s="583">
        <v>1018</v>
      </c>
      <c r="C264" s="581">
        <v>17</v>
      </c>
      <c r="D264" s="1137" t="s">
        <v>1183</v>
      </c>
      <c r="E264" s="1138" t="s">
        <v>1184</v>
      </c>
      <c r="F264" s="599">
        <v>-60000</v>
      </c>
      <c r="G264" s="599"/>
      <c r="H264" s="599"/>
      <c r="I264" s="599"/>
      <c r="J264" s="599"/>
      <c r="K264" s="599"/>
      <c r="L264" s="599"/>
      <c r="M264" s="599"/>
      <c r="N264" s="599"/>
      <c r="O264" s="599"/>
      <c r="P264" s="599"/>
      <c r="Q264" s="599"/>
      <c r="R264" s="599"/>
      <c r="S264" s="1096">
        <f t="shared" si="16"/>
        <v>-60000</v>
      </c>
      <c r="T264" s="599">
        <v>-30000</v>
      </c>
      <c r="U264" s="1096">
        <f t="shared" si="17"/>
        <v>0</v>
      </c>
      <c r="V264" s="599">
        <v>0</v>
      </c>
      <c r="W264" s="620"/>
      <c r="X264" s="621"/>
      <c r="Y264" s="1096">
        <f t="shared" si="18"/>
        <v>-60000</v>
      </c>
      <c r="Z264" s="882">
        <f t="shared" si="19"/>
        <v>0</v>
      </c>
    </row>
    <row r="265" spans="1:26" ht="27" hidden="1" customHeight="1">
      <c r="A265" s="583"/>
      <c r="B265" s="583">
        <v>1018</v>
      </c>
      <c r="C265" s="581">
        <v>17</v>
      </c>
      <c r="D265" s="1137" t="s">
        <v>1185</v>
      </c>
      <c r="E265" s="1138" t="s">
        <v>1186</v>
      </c>
      <c r="F265" s="599">
        <v>-120000</v>
      </c>
      <c r="G265" s="599"/>
      <c r="H265" s="599"/>
      <c r="I265" s="599"/>
      <c r="J265" s="599"/>
      <c r="K265" s="599"/>
      <c r="L265" s="599"/>
      <c r="M265" s="599"/>
      <c r="N265" s="599"/>
      <c r="O265" s="599"/>
      <c r="P265" s="599"/>
      <c r="Q265" s="599"/>
      <c r="R265" s="599"/>
      <c r="S265" s="1096">
        <f t="shared" si="16"/>
        <v>-120000</v>
      </c>
      <c r="T265" s="599">
        <v>0</v>
      </c>
      <c r="U265" s="1096">
        <f t="shared" si="17"/>
        <v>0</v>
      </c>
      <c r="V265" s="599">
        <v>0</v>
      </c>
      <c r="W265" s="620"/>
      <c r="X265" s="621"/>
      <c r="Y265" s="1096">
        <f t="shared" si="18"/>
        <v>-120000</v>
      </c>
      <c r="Z265" s="882">
        <f t="shared" si="19"/>
        <v>0</v>
      </c>
    </row>
    <row r="266" spans="1:26" ht="27" hidden="1" customHeight="1">
      <c r="A266" s="583"/>
      <c r="B266" s="583">
        <v>1018</v>
      </c>
      <c r="C266" s="581">
        <v>17</v>
      </c>
      <c r="D266" s="1137" t="s">
        <v>1187</v>
      </c>
      <c r="E266" s="1138" t="s">
        <v>1188</v>
      </c>
      <c r="F266" s="599">
        <v>60589</v>
      </c>
      <c r="G266" s="599"/>
      <c r="H266" s="599"/>
      <c r="I266" s="599"/>
      <c r="J266" s="599"/>
      <c r="K266" s="599"/>
      <c r="L266" s="599"/>
      <c r="M266" s="599"/>
      <c r="N266" s="599"/>
      <c r="O266" s="599"/>
      <c r="P266" s="599"/>
      <c r="Q266" s="599"/>
      <c r="R266" s="599"/>
      <c r="S266" s="1096">
        <f t="shared" si="16"/>
        <v>60589</v>
      </c>
      <c r="T266" s="599">
        <v>180589</v>
      </c>
      <c r="U266" s="1096">
        <f t="shared" si="17"/>
        <v>0</v>
      </c>
      <c r="V266" s="599">
        <v>0</v>
      </c>
      <c r="W266" s="620"/>
      <c r="X266" s="621"/>
      <c r="Y266" s="1096">
        <f t="shared" si="18"/>
        <v>60589</v>
      </c>
      <c r="Z266" s="882">
        <f t="shared" si="19"/>
        <v>0</v>
      </c>
    </row>
    <row r="267" spans="1:26" ht="27" hidden="1" customHeight="1">
      <c r="A267" s="583"/>
      <c r="B267" s="583">
        <v>1018</v>
      </c>
      <c r="C267" s="581">
        <v>17</v>
      </c>
      <c r="D267" s="1137" t="s">
        <v>845</v>
      </c>
      <c r="E267" s="1138" t="s">
        <v>1189</v>
      </c>
      <c r="F267" s="599">
        <v>-240000</v>
      </c>
      <c r="G267" s="599"/>
      <c r="H267" s="599"/>
      <c r="I267" s="599"/>
      <c r="J267" s="599"/>
      <c r="K267" s="599"/>
      <c r="L267" s="599"/>
      <c r="M267" s="599"/>
      <c r="N267" s="599"/>
      <c r="O267" s="599"/>
      <c r="P267" s="599"/>
      <c r="Q267" s="599"/>
      <c r="R267" s="599"/>
      <c r="S267" s="1096">
        <f t="shared" si="16"/>
        <v>-240000</v>
      </c>
      <c r="T267" s="599">
        <v>0</v>
      </c>
      <c r="U267" s="1096">
        <f t="shared" si="17"/>
        <v>0</v>
      </c>
      <c r="V267" s="599">
        <v>0</v>
      </c>
      <c r="W267" s="620"/>
      <c r="X267" s="621"/>
      <c r="Y267" s="1096">
        <f t="shared" si="18"/>
        <v>-240000</v>
      </c>
      <c r="Z267" s="882">
        <f t="shared" si="19"/>
        <v>0</v>
      </c>
    </row>
    <row r="268" spans="1:26" ht="27" hidden="1" customHeight="1">
      <c r="A268" s="583"/>
      <c r="B268" s="583">
        <v>1018</v>
      </c>
      <c r="C268" s="581">
        <v>17</v>
      </c>
      <c r="D268" s="1137" t="s">
        <v>1250</v>
      </c>
      <c r="E268" s="1138" t="s">
        <v>1106</v>
      </c>
      <c r="F268" s="599">
        <v>500000</v>
      </c>
      <c r="G268" s="599"/>
      <c r="H268" s="599"/>
      <c r="I268" s="599"/>
      <c r="J268" s="599"/>
      <c r="K268" s="599"/>
      <c r="L268" s="599"/>
      <c r="M268" s="599"/>
      <c r="N268" s="599"/>
      <c r="O268" s="599"/>
      <c r="P268" s="599"/>
      <c r="Q268" s="599"/>
      <c r="R268" s="599"/>
      <c r="S268" s="1096">
        <f t="shared" si="16"/>
        <v>500000</v>
      </c>
      <c r="T268" s="599">
        <v>-1200000</v>
      </c>
      <c r="U268" s="1096">
        <f t="shared" si="17"/>
        <v>1</v>
      </c>
      <c r="V268" s="599">
        <v>-1</v>
      </c>
      <c r="W268" s="620"/>
      <c r="X268" s="621"/>
      <c r="Y268" s="1096">
        <f t="shared" si="18"/>
        <v>500000</v>
      </c>
      <c r="Z268" s="882">
        <f t="shared" si="19"/>
        <v>1</v>
      </c>
    </row>
    <row r="269" spans="1:26" ht="27" hidden="1" customHeight="1">
      <c r="A269" s="583"/>
      <c r="B269" s="583">
        <v>401</v>
      </c>
      <c r="C269" s="581">
        <v>11</v>
      </c>
      <c r="D269" s="1137" t="s">
        <v>487</v>
      </c>
      <c r="E269" s="1138" t="s">
        <v>663</v>
      </c>
      <c r="F269" s="599"/>
      <c r="G269" s="599"/>
      <c r="H269" s="599"/>
      <c r="I269" s="599"/>
      <c r="J269" s="599"/>
      <c r="K269" s="599"/>
      <c r="L269" s="599"/>
      <c r="M269" s="599"/>
      <c r="N269" s="599"/>
      <c r="O269" s="599"/>
      <c r="P269" s="599"/>
      <c r="Q269" s="599"/>
      <c r="R269" s="599"/>
      <c r="S269" s="1096">
        <f t="shared" si="16"/>
        <v>0</v>
      </c>
      <c r="T269" s="599">
        <v>0</v>
      </c>
      <c r="U269" s="1096">
        <f t="shared" si="17"/>
        <v>0</v>
      </c>
      <c r="V269" s="599">
        <v>0</v>
      </c>
      <c r="W269" s="620"/>
      <c r="X269" s="621"/>
      <c r="Y269" s="1096">
        <f t="shared" si="18"/>
        <v>0</v>
      </c>
      <c r="Z269" s="882">
        <f t="shared" si="19"/>
        <v>0</v>
      </c>
    </row>
    <row r="270" spans="1:26" ht="27" hidden="1" customHeight="1">
      <c r="A270" s="583"/>
      <c r="B270" s="583">
        <v>401</v>
      </c>
      <c r="C270" s="581">
        <v>11</v>
      </c>
      <c r="D270" s="1137" t="s">
        <v>847</v>
      </c>
      <c r="E270" s="1138" t="s">
        <v>848</v>
      </c>
      <c r="F270" s="599"/>
      <c r="G270" s="599"/>
      <c r="H270" s="599"/>
      <c r="I270" s="599"/>
      <c r="J270" s="599"/>
      <c r="K270" s="599"/>
      <c r="L270" s="599"/>
      <c r="M270" s="599"/>
      <c r="N270" s="599"/>
      <c r="O270" s="599"/>
      <c r="P270" s="599"/>
      <c r="Q270" s="599"/>
      <c r="R270" s="599"/>
      <c r="S270" s="1096">
        <f t="shared" si="16"/>
        <v>0</v>
      </c>
      <c r="T270" s="599">
        <v>0</v>
      </c>
      <c r="U270" s="1096">
        <f t="shared" si="17"/>
        <v>0</v>
      </c>
      <c r="V270" s="599">
        <v>0</v>
      </c>
      <c r="W270" s="620"/>
      <c r="X270" s="621"/>
      <c r="Y270" s="1096">
        <f t="shared" si="18"/>
        <v>0</v>
      </c>
      <c r="Z270" s="882">
        <f t="shared" si="19"/>
        <v>0</v>
      </c>
    </row>
    <row r="271" spans="1:26" ht="27" hidden="1" customHeight="1">
      <c r="A271" s="583"/>
      <c r="B271" s="583">
        <v>1018</v>
      </c>
      <c r="C271" s="581">
        <v>17</v>
      </c>
      <c r="D271" s="1137" t="s">
        <v>1190</v>
      </c>
      <c r="E271" s="1138" t="s">
        <v>1191</v>
      </c>
      <c r="F271" s="599">
        <v>-498216238</v>
      </c>
      <c r="G271" s="599"/>
      <c r="H271" s="599"/>
      <c r="I271" s="599">
        <v>-1418150</v>
      </c>
      <c r="J271" s="599"/>
      <c r="K271" s="599"/>
      <c r="L271" s="599"/>
      <c r="M271" s="599"/>
      <c r="N271" s="599"/>
      <c r="O271" s="599"/>
      <c r="P271" s="599"/>
      <c r="Q271" s="599"/>
      <c r="R271" s="599"/>
      <c r="S271" s="1096">
        <f t="shared" si="16"/>
        <v>-499634388</v>
      </c>
      <c r="T271" s="599">
        <v>-471221640</v>
      </c>
      <c r="U271" s="1096">
        <f t="shared" si="17"/>
        <v>-500</v>
      </c>
      <c r="V271" s="599">
        <v>-471</v>
      </c>
      <c r="W271" s="620"/>
      <c r="X271" s="621"/>
      <c r="Y271" s="1096">
        <f t="shared" si="18"/>
        <v>-499634388</v>
      </c>
      <c r="Z271" s="882">
        <f t="shared" si="19"/>
        <v>-500</v>
      </c>
    </row>
    <row r="272" spans="1:26" ht="27" hidden="1" customHeight="1">
      <c r="A272" s="583"/>
      <c r="B272" s="583">
        <v>1001</v>
      </c>
      <c r="C272" s="581">
        <v>17</v>
      </c>
      <c r="D272" s="1137" t="s">
        <v>1340</v>
      </c>
      <c r="E272" s="1138" t="s">
        <v>1341</v>
      </c>
      <c r="F272" s="599">
        <v>12115607</v>
      </c>
      <c r="G272" s="599"/>
      <c r="H272" s="599"/>
      <c r="I272" s="599"/>
      <c r="J272" s="599"/>
      <c r="K272" s="599"/>
      <c r="L272" s="599"/>
      <c r="M272" s="599"/>
      <c r="N272" s="599"/>
      <c r="O272" s="599"/>
      <c r="P272" s="599"/>
      <c r="Q272" s="599"/>
      <c r="R272" s="599"/>
      <c r="S272" s="1096">
        <f t="shared" si="16"/>
        <v>12115607</v>
      </c>
      <c r="T272" s="599">
        <v>11304644</v>
      </c>
      <c r="U272" s="1096">
        <f t="shared" si="17"/>
        <v>12</v>
      </c>
      <c r="V272" s="599">
        <v>11</v>
      </c>
      <c r="W272" s="620"/>
      <c r="X272" s="621"/>
      <c r="Y272" s="1096">
        <f t="shared" si="18"/>
        <v>12115607</v>
      </c>
      <c r="Z272" s="882">
        <f t="shared" si="19"/>
        <v>12</v>
      </c>
    </row>
    <row r="273" spans="1:26" ht="27" hidden="1" customHeight="1">
      <c r="A273" s="583"/>
      <c r="B273" s="583">
        <v>1001</v>
      </c>
      <c r="C273" s="581">
        <v>17</v>
      </c>
      <c r="D273" s="1137" t="s">
        <v>1579</v>
      </c>
      <c r="E273" s="1138" t="s">
        <v>1586</v>
      </c>
      <c r="F273" s="599">
        <v>-804134</v>
      </c>
      <c r="G273" s="599"/>
      <c r="H273" s="599"/>
      <c r="I273" s="599"/>
      <c r="J273" s="599"/>
      <c r="K273" s="599"/>
      <c r="L273" s="599"/>
      <c r="M273" s="599"/>
      <c r="N273" s="599"/>
      <c r="O273" s="599"/>
      <c r="P273" s="599"/>
      <c r="Q273" s="599"/>
      <c r="R273" s="599"/>
      <c r="S273" s="1096">
        <f t="shared" si="16"/>
        <v>-804134</v>
      </c>
      <c r="T273" s="599">
        <v>-158134</v>
      </c>
      <c r="U273" s="1096">
        <f t="shared" si="17"/>
        <v>-1</v>
      </c>
      <c r="V273" s="599">
        <v>0</v>
      </c>
      <c r="W273" s="620"/>
      <c r="X273" s="621"/>
      <c r="Y273" s="1096">
        <f t="shared" si="18"/>
        <v>-804134</v>
      </c>
      <c r="Z273" s="882">
        <f t="shared" si="19"/>
        <v>-1</v>
      </c>
    </row>
    <row r="274" spans="1:26" ht="27" hidden="1" customHeight="1">
      <c r="A274" s="583"/>
      <c r="B274" s="583">
        <v>1001</v>
      </c>
      <c r="C274" s="581">
        <v>17</v>
      </c>
      <c r="D274" s="1137" t="s">
        <v>1580</v>
      </c>
      <c r="E274" s="1138" t="s">
        <v>1587</v>
      </c>
      <c r="F274" s="599">
        <v>11149</v>
      </c>
      <c r="G274" s="599"/>
      <c r="H274" s="599"/>
      <c r="I274" s="599"/>
      <c r="J274" s="599"/>
      <c r="K274" s="599"/>
      <c r="L274" s="599"/>
      <c r="M274" s="599"/>
      <c r="N274" s="599"/>
      <c r="O274" s="599"/>
      <c r="P274" s="599"/>
      <c r="Q274" s="599"/>
      <c r="R274" s="599"/>
      <c r="S274" s="1096">
        <f t="shared" si="16"/>
        <v>11149</v>
      </c>
      <c r="T274" s="599">
        <v>151658</v>
      </c>
      <c r="U274" s="1096">
        <f t="shared" si="17"/>
        <v>0</v>
      </c>
      <c r="V274" s="599">
        <v>0</v>
      </c>
      <c r="W274" s="620"/>
      <c r="X274" s="621"/>
      <c r="Y274" s="1096">
        <f t="shared" si="18"/>
        <v>11149</v>
      </c>
      <c r="Z274" s="882">
        <f t="shared" si="19"/>
        <v>0</v>
      </c>
    </row>
    <row r="275" spans="1:26" ht="27" hidden="1" customHeight="1">
      <c r="A275" s="583"/>
      <c r="B275" s="583">
        <v>1001</v>
      </c>
      <c r="C275" s="581">
        <v>17</v>
      </c>
      <c r="D275" s="1137" t="s">
        <v>1581</v>
      </c>
      <c r="E275" s="1138" t="s">
        <v>1588</v>
      </c>
      <c r="F275" s="599">
        <v>-1381380</v>
      </c>
      <c r="G275" s="599"/>
      <c r="H275" s="599"/>
      <c r="I275" s="599"/>
      <c r="J275" s="599"/>
      <c r="K275" s="599"/>
      <c r="L275" s="599"/>
      <c r="M275" s="599"/>
      <c r="N275" s="599"/>
      <c r="O275" s="599"/>
      <c r="P275" s="599"/>
      <c r="Q275" s="599"/>
      <c r="R275" s="599"/>
      <c r="S275" s="1096">
        <f t="shared" si="16"/>
        <v>-1381380</v>
      </c>
      <c r="T275" s="599">
        <v>-198380</v>
      </c>
      <c r="U275" s="1096">
        <f t="shared" si="17"/>
        <v>-1</v>
      </c>
      <c r="V275" s="599">
        <v>0</v>
      </c>
      <c r="W275" s="620"/>
      <c r="X275" s="621"/>
      <c r="Y275" s="1096">
        <f t="shared" si="18"/>
        <v>-1381380</v>
      </c>
      <c r="Z275" s="882">
        <f t="shared" si="19"/>
        <v>-1</v>
      </c>
    </row>
    <row r="276" spans="1:26" ht="27" hidden="1" customHeight="1">
      <c r="A276" s="583"/>
      <c r="B276" s="583">
        <v>1001</v>
      </c>
      <c r="C276" s="581">
        <v>17</v>
      </c>
      <c r="D276" s="1137" t="s">
        <v>1582</v>
      </c>
      <c r="E276" s="1138" t="s">
        <v>1589</v>
      </c>
      <c r="F276" s="599">
        <v>1636389</v>
      </c>
      <c r="G276" s="599"/>
      <c r="H276" s="599"/>
      <c r="I276" s="599"/>
      <c r="J276" s="599"/>
      <c r="K276" s="599"/>
      <c r="L276" s="599"/>
      <c r="M276" s="599"/>
      <c r="N276" s="599"/>
      <c r="O276" s="599"/>
      <c r="P276" s="599"/>
      <c r="Q276" s="599"/>
      <c r="R276" s="599"/>
      <c r="S276" s="1096">
        <f t="shared" si="16"/>
        <v>1636389</v>
      </c>
      <c r="T276" s="599">
        <v>3533240</v>
      </c>
      <c r="U276" s="1096">
        <f t="shared" si="17"/>
        <v>2</v>
      </c>
      <c r="V276" s="599">
        <v>4</v>
      </c>
      <c r="W276" s="620"/>
      <c r="X276" s="621"/>
      <c r="Y276" s="1096">
        <f t="shared" si="18"/>
        <v>1636389</v>
      </c>
      <c r="Z276" s="882">
        <f t="shared" si="19"/>
        <v>2</v>
      </c>
    </row>
    <row r="277" spans="1:26" ht="27" hidden="1" customHeight="1">
      <c r="A277" s="583"/>
      <c r="B277" s="583">
        <v>1001</v>
      </c>
      <c r="C277" s="581">
        <v>17</v>
      </c>
      <c r="D277" s="1137" t="s">
        <v>1583</v>
      </c>
      <c r="E277" s="1138" t="s">
        <v>1590</v>
      </c>
      <c r="F277" s="599">
        <v>-3216610</v>
      </c>
      <c r="G277" s="599"/>
      <c r="H277" s="599"/>
      <c r="I277" s="599"/>
      <c r="J277" s="599"/>
      <c r="K277" s="599"/>
      <c r="L277" s="599"/>
      <c r="M277" s="599"/>
      <c r="N277" s="599"/>
      <c r="O277" s="599"/>
      <c r="P277" s="599"/>
      <c r="Q277" s="599"/>
      <c r="R277" s="599"/>
      <c r="S277" s="1096">
        <f t="shared" si="16"/>
        <v>-3216610</v>
      </c>
      <c r="T277" s="599">
        <v>-632610</v>
      </c>
      <c r="U277" s="1096">
        <f t="shared" si="17"/>
        <v>-3</v>
      </c>
      <c r="V277" s="599">
        <v>-1</v>
      </c>
      <c r="W277" s="620"/>
      <c r="X277" s="621"/>
      <c r="Y277" s="1096">
        <f t="shared" si="18"/>
        <v>-3216610</v>
      </c>
      <c r="Z277" s="882">
        <f t="shared" si="19"/>
        <v>-3</v>
      </c>
    </row>
    <row r="278" spans="1:26" ht="27" hidden="1" customHeight="1">
      <c r="A278" s="583"/>
      <c r="B278" s="583">
        <v>1001</v>
      </c>
      <c r="C278" s="581">
        <v>17</v>
      </c>
      <c r="D278" s="1137" t="s">
        <v>1584</v>
      </c>
      <c r="E278" s="1138" t="s">
        <v>1591</v>
      </c>
      <c r="F278" s="599">
        <v>22268</v>
      </c>
      <c r="G278" s="599"/>
      <c r="H278" s="599"/>
      <c r="I278" s="599"/>
      <c r="J278" s="599"/>
      <c r="K278" s="599"/>
      <c r="L278" s="599"/>
      <c r="M278" s="599"/>
      <c r="N278" s="599"/>
      <c r="O278" s="599"/>
      <c r="P278" s="599"/>
      <c r="Q278" s="599"/>
      <c r="R278" s="599"/>
      <c r="S278" s="1096">
        <f t="shared" si="16"/>
        <v>22268</v>
      </c>
      <c r="T278" s="599">
        <v>303284</v>
      </c>
      <c r="U278" s="1096">
        <f t="shared" si="17"/>
        <v>0</v>
      </c>
      <c r="V278" s="599">
        <v>0</v>
      </c>
      <c r="W278" s="620"/>
      <c r="X278" s="621"/>
      <c r="Y278" s="1096">
        <f t="shared" si="18"/>
        <v>22268</v>
      </c>
      <c r="Z278" s="882">
        <f t="shared" si="19"/>
        <v>0</v>
      </c>
    </row>
    <row r="279" spans="1:26" ht="27" hidden="1" customHeight="1">
      <c r="A279" s="583"/>
      <c r="B279" s="583">
        <v>1001</v>
      </c>
      <c r="C279" s="581">
        <v>17</v>
      </c>
      <c r="D279" s="1137" t="s">
        <v>1585</v>
      </c>
      <c r="E279" s="1138" t="s">
        <v>1592</v>
      </c>
      <c r="F279" s="599">
        <v>-262940</v>
      </c>
      <c r="G279" s="599"/>
      <c r="H279" s="599"/>
      <c r="I279" s="599"/>
      <c r="J279" s="599"/>
      <c r="K279" s="599"/>
      <c r="L279" s="599"/>
      <c r="M279" s="599"/>
      <c r="N279" s="599"/>
      <c r="O279" s="599"/>
      <c r="P279" s="599"/>
      <c r="Q279" s="599"/>
      <c r="R279" s="599"/>
      <c r="S279" s="1096">
        <f t="shared" si="16"/>
        <v>-262940</v>
      </c>
      <c r="T279" s="599">
        <v>1104060</v>
      </c>
      <c r="U279" s="1096">
        <f t="shared" si="17"/>
        <v>0</v>
      </c>
      <c r="V279" s="599">
        <v>1</v>
      </c>
      <c r="W279" s="620"/>
      <c r="X279" s="621"/>
      <c r="Y279" s="1096">
        <f t="shared" si="18"/>
        <v>-262940</v>
      </c>
      <c r="Z279" s="882">
        <f t="shared" si="19"/>
        <v>0</v>
      </c>
    </row>
    <row r="280" spans="1:26" ht="27" hidden="1" customHeight="1">
      <c r="A280" s="583"/>
      <c r="B280" s="583">
        <v>406</v>
      </c>
      <c r="C280" s="581">
        <v>11</v>
      </c>
      <c r="D280" s="1137" t="s">
        <v>1192</v>
      </c>
      <c r="E280" s="1138" t="s">
        <v>1193</v>
      </c>
      <c r="F280" s="599">
        <v>3233832</v>
      </c>
      <c r="G280" s="599"/>
      <c r="H280" s="599"/>
      <c r="I280" s="599"/>
      <c r="J280" s="599"/>
      <c r="K280" s="599"/>
      <c r="L280" s="599"/>
      <c r="M280" s="599"/>
      <c r="N280" s="599"/>
      <c r="O280" s="599"/>
      <c r="P280" s="599"/>
      <c r="Q280" s="599"/>
      <c r="R280" s="599"/>
      <c r="S280" s="1096">
        <f t="shared" si="16"/>
        <v>3233832</v>
      </c>
      <c r="T280" s="599">
        <v>3233832</v>
      </c>
      <c r="U280" s="1096">
        <f t="shared" si="17"/>
        <v>3</v>
      </c>
      <c r="V280" s="599">
        <v>3</v>
      </c>
      <c r="W280" s="620"/>
      <c r="X280" s="621"/>
      <c r="Y280" s="1096">
        <f t="shared" si="18"/>
        <v>3233832</v>
      </c>
      <c r="Z280" s="882">
        <f t="shared" si="19"/>
        <v>3</v>
      </c>
    </row>
    <row r="281" spans="1:26" ht="27" hidden="1" customHeight="1">
      <c r="A281" s="583"/>
      <c r="B281" s="583">
        <v>1018</v>
      </c>
      <c r="C281" s="581">
        <v>17</v>
      </c>
      <c r="D281" s="1137" t="s">
        <v>990</v>
      </c>
      <c r="E281" s="1138" t="s">
        <v>991</v>
      </c>
      <c r="F281" s="599"/>
      <c r="G281" s="599"/>
      <c r="H281" s="599"/>
      <c r="I281" s="599"/>
      <c r="J281" s="599"/>
      <c r="K281" s="599"/>
      <c r="L281" s="599"/>
      <c r="M281" s="599"/>
      <c r="N281" s="599"/>
      <c r="O281" s="599"/>
      <c r="P281" s="599"/>
      <c r="Q281" s="599"/>
      <c r="R281" s="599"/>
      <c r="S281" s="1096">
        <f t="shared" si="16"/>
        <v>0</v>
      </c>
      <c r="T281" s="599">
        <v>0</v>
      </c>
      <c r="U281" s="1096">
        <f t="shared" si="17"/>
        <v>0</v>
      </c>
      <c r="V281" s="599">
        <v>0</v>
      </c>
      <c r="W281" s="620"/>
      <c r="X281" s="621"/>
      <c r="Y281" s="1096">
        <f t="shared" si="18"/>
        <v>0</v>
      </c>
      <c r="Z281" s="882">
        <f t="shared" si="19"/>
        <v>0</v>
      </c>
    </row>
    <row r="282" spans="1:26" ht="27" hidden="1" customHeight="1">
      <c r="A282" s="583"/>
      <c r="B282" s="583">
        <v>1018</v>
      </c>
      <c r="C282" s="581">
        <v>17</v>
      </c>
      <c r="D282" s="1137" t="s">
        <v>992</v>
      </c>
      <c r="E282" s="1138" t="s">
        <v>993</v>
      </c>
      <c r="F282" s="599"/>
      <c r="G282" s="599"/>
      <c r="H282" s="599"/>
      <c r="I282" s="599"/>
      <c r="J282" s="599"/>
      <c r="K282" s="599"/>
      <c r="L282" s="599"/>
      <c r="M282" s="599"/>
      <c r="N282" s="599"/>
      <c r="O282" s="599"/>
      <c r="P282" s="599"/>
      <c r="Q282" s="599"/>
      <c r="R282" s="599"/>
      <c r="S282" s="1096">
        <f t="shared" si="16"/>
        <v>0</v>
      </c>
      <c r="T282" s="599">
        <v>-3200000</v>
      </c>
      <c r="U282" s="1096">
        <f t="shared" si="17"/>
        <v>0</v>
      </c>
      <c r="V282" s="599">
        <v>-3</v>
      </c>
      <c r="W282" s="620"/>
      <c r="X282" s="621"/>
      <c r="Y282" s="1096">
        <f t="shared" si="18"/>
        <v>0</v>
      </c>
      <c r="Z282" s="882">
        <f t="shared" si="19"/>
        <v>0</v>
      </c>
    </row>
    <row r="283" spans="1:26" ht="27" hidden="1" customHeight="1">
      <c r="A283" s="583"/>
      <c r="B283" s="583">
        <v>1018</v>
      </c>
      <c r="C283" s="581">
        <v>17</v>
      </c>
      <c r="D283" s="1137" t="s">
        <v>277</v>
      </c>
      <c r="E283" s="1138" t="s">
        <v>278</v>
      </c>
      <c r="F283" s="599">
        <v>5552211</v>
      </c>
      <c r="G283" s="599"/>
      <c r="H283" s="599"/>
      <c r="I283" s="599"/>
      <c r="J283" s="599"/>
      <c r="K283" s="599"/>
      <c r="L283" s="599"/>
      <c r="M283" s="599"/>
      <c r="N283" s="599"/>
      <c r="O283" s="599"/>
      <c r="P283" s="599"/>
      <c r="Q283" s="599"/>
      <c r="R283" s="599"/>
      <c r="S283" s="1096">
        <f t="shared" si="16"/>
        <v>5552211</v>
      </c>
      <c r="T283" s="599">
        <v>381800</v>
      </c>
      <c r="U283" s="1096">
        <f t="shared" si="17"/>
        <v>6</v>
      </c>
      <c r="V283" s="599">
        <v>0</v>
      </c>
      <c r="W283" s="620"/>
      <c r="X283" s="621"/>
      <c r="Y283" s="1096">
        <f t="shared" si="18"/>
        <v>5552211</v>
      </c>
      <c r="Z283" s="882">
        <f t="shared" si="19"/>
        <v>6</v>
      </c>
    </row>
    <row r="284" spans="1:26" ht="27" hidden="1" customHeight="1">
      <c r="A284" s="583"/>
      <c r="B284" s="583">
        <v>1018</v>
      </c>
      <c r="C284" s="581">
        <v>17</v>
      </c>
      <c r="D284" s="1137" t="s">
        <v>994</v>
      </c>
      <c r="E284" s="1138" t="s">
        <v>995</v>
      </c>
      <c r="F284" s="599">
        <v>-200000</v>
      </c>
      <c r="G284" s="599"/>
      <c r="H284" s="599"/>
      <c r="I284" s="599"/>
      <c r="J284" s="599"/>
      <c r="K284" s="599"/>
      <c r="L284" s="599"/>
      <c r="M284" s="599"/>
      <c r="N284" s="599"/>
      <c r="O284" s="599"/>
      <c r="P284" s="599"/>
      <c r="Q284" s="599"/>
      <c r="R284" s="599"/>
      <c r="S284" s="1096">
        <f t="shared" si="16"/>
        <v>-200000</v>
      </c>
      <c r="T284" s="599">
        <v>-200000</v>
      </c>
      <c r="U284" s="1096">
        <f t="shared" si="17"/>
        <v>0</v>
      </c>
      <c r="V284" s="599">
        <v>0</v>
      </c>
      <c r="W284" s="620"/>
      <c r="X284" s="621"/>
      <c r="Y284" s="1096">
        <f t="shared" si="18"/>
        <v>-200000</v>
      </c>
      <c r="Z284" s="882">
        <f t="shared" si="19"/>
        <v>0</v>
      </c>
    </row>
    <row r="285" spans="1:26" ht="27" hidden="1" customHeight="1">
      <c r="A285" s="583"/>
      <c r="B285" s="583">
        <v>1018</v>
      </c>
      <c r="C285" s="581">
        <v>17</v>
      </c>
      <c r="D285" s="1137" t="s">
        <v>996</v>
      </c>
      <c r="E285" s="1138" t="s">
        <v>997</v>
      </c>
      <c r="F285" s="599">
        <v>100000</v>
      </c>
      <c r="G285" s="599"/>
      <c r="H285" s="599"/>
      <c r="I285" s="599"/>
      <c r="J285" s="599"/>
      <c r="K285" s="599"/>
      <c r="L285" s="599"/>
      <c r="M285" s="599"/>
      <c r="N285" s="599"/>
      <c r="O285" s="599"/>
      <c r="P285" s="599"/>
      <c r="Q285" s="599"/>
      <c r="R285" s="599"/>
      <c r="S285" s="1096">
        <f t="shared" si="16"/>
        <v>100000</v>
      </c>
      <c r="T285" s="599">
        <v>100000</v>
      </c>
      <c r="U285" s="1096">
        <f t="shared" si="17"/>
        <v>0</v>
      </c>
      <c r="V285" s="599">
        <v>0</v>
      </c>
      <c r="W285" s="620"/>
      <c r="X285" s="621"/>
      <c r="Y285" s="1096">
        <f t="shared" si="18"/>
        <v>100000</v>
      </c>
      <c r="Z285" s="882">
        <f t="shared" si="19"/>
        <v>0</v>
      </c>
    </row>
    <row r="286" spans="1:26" ht="27" hidden="1" customHeight="1">
      <c r="A286" s="583"/>
      <c r="B286" s="583">
        <v>406</v>
      </c>
      <c r="C286" s="581">
        <v>11</v>
      </c>
      <c r="D286" s="1137" t="s">
        <v>1107</v>
      </c>
      <c r="E286" s="1138" t="s">
        <v>1342</v>
      </c>
      <c r="F286" s="599"/>
      <c r="G286" s="599"/>
      <c r="H286" s="599"/>
      <c r="I286" s="599"/>
      <c r="J286" s="599"/>
      <c r="K286" s="599"/>
      <c r="L286" s="599"/>
      <c r="M286" s="599"/>
      <c r="N286" s="599"/>
      <c r="O286" s="599"/>
      <c r="P286" s="599"/>
      <c r="Q286" s="599"/>
      <c r="R286" s="599"/>
      <c r="S286" s="1096">
        <f t="shared" si="16"/>
        <v>0</v>
      </c>
      <c r="T286" s="599">
        <v>0</v>
      </c>
      <c r="U286" s="1096">
        <f t="shared" si="17"/>
        <v>0</v>
      </c>
      <c r="V286" s="599">
        <v>0</v>
      </c>
      <c r="W286" s="620"/>
      <c r="X286" s="621"/>
      <c r="Y286" s="1096">
        <f t="shared" si="18"/>
        <v>0</v>
      </c>
      <c r="Z286" s="882">
        <f t="shared" si="19"/>
        <v>0</v>
      </c>
    </row>
    <row r="287" spans="1:26" ht="27" hidden="1" customHeight="1">
      <c r="A287" s="583"/>
      <c r="B287" s="583">
        <v>1018</v>
      </c>
      <c r="C287" s="581">
        <v>17</v>
      </c>
      <c r="D287" s="1137" t="s">
        <v>1382</v>
      </c>
      <c r="E287" s="1138" t="s">
        <v>1383</v>
      </c>
      <c r="F287" s="599"/>
      <c r="G287" s="599"/>
      <c r="H287" s="599"/>
      <c r="I287" s="599"/>
      <c r="J287" s="599"/>
      <c r="K287" s="599"/>
      <c r="L287" s="599"/>
      <c r="M287" s="599"/>
      <c r="N287" s="599"/>
      <c r="O287" s="599"/>
      <c r="P287" s="599"/>
      <c r="Q287" s="599"/>
      <c r="R287" s="599"/>
      <c r="S287" s="1096">
        <f t="shared" si="16"/>
        <v>0</v>
      </c>
      <c r="T287" s="599">
        <v>0</v>
      </c>
      <c r="U287" s="1096">
        <f t="shared" si="17"/>
        <v>0</v>
      </c>
      <c r="V287" s="599">
        <v>0</v>
      </c>
      <c r="W287" s="620"/>
      <c r="X287" s="621"/>
      <c r="Y287" s="1096">
        <f t="shared" si="18"/>
        <v>0</v>
      </c>
      <c r="Z287" s="882">
        <f t="shared" si="19"/>
        <v>0</v>
      </c>
    </row>
    <row r="288" spans="1:26" ht="27" hidden="1" customHeight="1">
      <c r="A288" s="583"/>
      <c r="B288" s="583">
        <v>1018</v>
      </c>
      <c r="C288" s="581">
        <v>17</v>
      </c>
      <c r="D288" s="1137" t="s">
        <v>1194</v>
      </c>
      <c r="E288" s="1138" t="s">
        <v>1195</v>
      </c>
      <c r="F288" s="599">
        <v>-1350074</v>
      </c>
      <c r="G288" s="599"/>
      <c r="H288" s="599"/>
      <c r="I288" s="599"/>
      <c r="J288" s="599"/>
      <c r="K288" s="599"/>
      <c r="L288" s="599"/>
      <c r="M288" s="599"/>
      <c r="N288" s="599"/>
      <c r="O288" s="599"/>
      <c r="P288" s="599"/>
      <c r="Q288" s="599"/>
      <c r="R288" s="599"/>
      <c r="S288" s="1096">
        <f t="shared" si="16"/>
        <v>-1350074</v>
      </c>
      <c r="T288" s="599">
        <v>-430000</v>
      </c>
      <c r="U288" s="1096">
        <f t="shared" si="17"/>
        <v>-1</v>
      </c>
      <c r="V288" s="599">
        <v>0</v>
      </c>
      <c r="W288" s="620"/>
      <c r="X288" s="621"/>
      <c r="Y288" s="1096">
        <f t="shared" si="18"/>
        <v>-1350074</v>
      </c>
      <c r="Z288" s="882">
        <f t="shared" si="19"/>
        <v>-1</v>
      </c>
    </row>
    <row r="289" spans="1:26" ht="27" hidden="1" customHeight="1">
      <c r="A289" s="583"/>
      <c r="B289" s="583">
        <v>1001</v>
      </c>
      <c r="C289" s="581">
        <v>17</v>
      </c>
      <c r="D289" s="1137" t="s">
        <v>1343</v>
      </c>
      <c r="E289" s="1138" t="s">
        <v>1344</v>
      </c>
      <c r="F289" s="599">
        <v>0</v>
      </c>
      <c r="G289" s="599"/>
      <c r="H289" s="599"/>
      <c r="I289" s="599"/>
      <c r="J289" s="599"/>
      <c r="K289" s="599"/>
      <c r="L289" s="599"/>
      <c r="M289" s="599"/>
      <c r="N289" s="599"/>
      <c r="O289" s="599"/>
      <c r="P289" s="599"/>
      <c r="Q289" s="599"/>
      <c r="R289" s="599"/>
      <c r="S289" s="1096">
        <f t="shared" si="16"/>
        <v>0</v>
      </c>
      <c r="T289" s="599">
        <v>0</v>
      </c>
      <c r="U289" s="1096">
        <f t="shared" si="17"/>
        <v>0</v>
      </c>
      <c r="V289" s="599">
        <v>0</v>
      </c>
      <c r="W289" s="620"/>
      <c r="X289" s="621"/>
      <c r="Y289" s="1096">
        <f t="shared" si="18"/>
        <v>0</v>
      </c>
      <c r="Z289" s="882">
        <f t="shared" si="19"/>
        <v>0</v>
      </c>
    </row>
    <row r="290" spans="1:26" ht="27" hidden="1" customHeight="1">
      <c r="A290" s="583"/>
      <c r="B290" s="583">
        <v>1018</v>
      </c>
      <c r="C290" s="581">
        <v>17</v>
      </c>
      <c r="D290" s="1137" t="s">
        <v>753</v>
      </c>
      <c r="E290" s="1138" t="s">
        <v>998</v>
      </c>
      <c r="F290" s="599"/>
      <c r="G290" s="599"/>
      <c r="H290" s="599"/>
      <c r="I290" s="599"/>
      <c r="J290" s="599"/>
      <c r="K290" s="599"/>
      <c r="L290" s="599"/>
      <c r="M290" s="599"/>
      <c r="N290" s="599"/>
      <c r="O290" s="599"/>
      <c r="P290" s="599"/>
      <c r="Q290" s="599"/>
      <c r="R290" s="599"/>
      <c r="S290" s="1096">
        <f t="shared" si="16"/>
        <v>0</v>
      </c>
      <c r="T290" s="599">
        <v>0</v>
      </c>
      <c r="U290" s="1096">
        <f t="shared" si="17"/>
        <v>0</v>
      </c>
      <c r="V290" s="599">
        <v>0</v>
      </c>
      <c r="W290" s="620"/>
      <c r="X290" s="621"/>
      <c r="Y290" s="1096">
        <f t="shared" si="18"/>
        <v>0</v>
      </c>
      <c r="Z290" s="882">
        <f t="shared" si="19"/>
        <v>0</v>
      </c>
    </row>
    <row r="291" spans="1:26" ht="27" hidden="1" customHeight="1">
      <c r="A291" s="583"/>
      <c r="B291" s="583">
        <v>1018</v>
      </c>
      <c r="C291" s="581">
        <v>17</v>
      </c>
      <c r="D291" s="1137" t="s">
        <v>665</v>
      </c>
      <c r="E291" s="1138" t="s">
        <v>664</v>
      </c>
      <c r="F291" s="599"/>
      <c r="G291" s="599"/>
      <c r="H291" s="599"/>
      <c r="I291" s="599"/>
      <c r="J291" s="599"/>
      <c r="K291" s="599"/>
      <c r="L291" s="599"/>
      <c r="M291" s="599"/>
      <c r="N291" s="599"/>
      <c r="O291" s="599"/>
      <c r="P291" s="599"/>
      <c r="Q291" s="599"/>
      <c r="R291" s="599"/>
      <c r="S291" s="1096">
        <f t="shared" si="16"/>
        <v>0</v>
      </c>
      <c r="T291" s="599">
        <v>0</v>
      </c>
      <c r="U291" s="1096">
        <f t="shared" si="17"/>
        <v>0</v>
      </c>
      <c r="V291" s="599">
        <v>0</v>
      </c>
      <c r="W291" s="620"/>
      <c r="X291" s="621"/>
      <c r="Y291" s="1096">
        <f t="shared" si="18"/>
        <v>0</v>
      </c>
      <c r="Z291" s="882">
        <f t="shared" si="19"/>
        <v>0</v>
      </c>
    </row>
    <row r="292" spans="1:26" ht="27" hidden="1" customHeight="1">
      <c r="A292" s="583"/>
      <c r="B292" s="583">
        <v>406</v>
      </c>
      <c r="C292" s="581">
        <v>11</v>
      </c>
      <c r="D292" s="1137" t="s">
        <v>489</v>
      </c>
      <c r="E292" s="1138" t="s">
        <v>855</v>
      </c>
      <c r="F292" s="599">
        <v>71320783</v>
      </c>
      <c r="G292" s="599"/>
      <c r="H292" s="599"/>
      <c r="I292" s="599"/>
      <c r="J292" s="599"/>
      <c r="K292" s="599"/>
      <c r="L292" s="599"/>
      <c r="M292" s="599"/>
      <c r="N292" s="599"/>
      <c r="O292" s="599"/>
      <c r="P292" s="599"/>
      <c r="Q292" s="599"/>
      <c r="R292" s="599"/>
      <c r="S292" s="1096">
        <f t="shared" si="16"/>
        <v>71320783</v>
      </c>
      <c r="T292" s="599">
        <v>71320783</v>
      </c>
      <c r="U292" s="1096">
        <f t="shared" si="17"/>
        <v>71</v>
      </c>
      <c r="V292" s="599">
        <v>71</v>
      </c>
      <c r="W292" s="620"/>
      <c r="X292" s="621"/>
      <c r="Y292" s="1096">
        <f t="shared" si="18"/>
        <v>71320783</v>
      </c>
      <c r="Z292" s="882">
        <f t="shared" si="19"/>
        <v>71</v>
      </c>
    </row>
    <row r="293" spans="1:26" ht="26.25" hidden="1" customHeight="1">
      <c r="A293" s="583"/>
      <c r="B293" s="583">
        <v>406</v>
      </c>
      <c r="C293" s="581">
        <v>11</v>
      </c>
      <c r="D293" s="1137" t="s">
        <v>293</v>
      </c>
      <c r="E293" s="1138" t="s">
        <v>467</v>
      </c>
      <c r="F293" s="599">
        <v>5248156308</v>
      </c>
      <c r="G293" s="599">
        <v>811899733</v>
      </c>
      <c r="H293" s="599"/>
      <c r="I293" s="599"/>
      <c r="J293" s="599"/>
      <c r="K293" s="599"/>
      <c r="L293" s="599"/>
      <c r="M293" s="599"/>
      <c r="N293" s="599"/>
      <c r="O293" s="599"/>
      <c r="P293" s="599"/>
      <c r="Q293" s="599"/>
      <c r="R293" s="599"/>
      <c r="S293" s="1096">
        <f t="shared" si="16"/>
        <v>6060056041</v>
      </c>
      <c r="T293" s="599">
        <v>5288493247</v>
      </c>
      <c r="U293" s="1096">
        <f t="shared" si="17"/>
        <v>6060</v>
      </c>
      <c r="V293" s="599">
        <v>5289</v>
      </c>
      <c r="W293" s="620"/>
      <c r="X293" s="621"/>
      <c r="Y293" s="1096">
        <f t="shared" si="18"/>
        <v>6060056041</v>
      </c>
      <c r="Z293" s="882">
        <f t="shared" si="19"/>
        <v>6060</v>
      </c>
    </row>
    <row r="294" spans="1:26" ht="27" customHeight="1">
      <c r="A294" s="583">
        <v>3214</v>
      </c>
      <c r="B294" s="583">
        <v>408</v>
      </c>
      <c r="C294" s="581">
        <v>11</v>
      </c>
      <c r="D294" s="1137" t="s">
        <v>293</v>
      </c>
      <c r="E294" s="1138" t="s">
        <v>1457</v>
      </c>
      <c r="F294" s="599"/>
      <c r="G294" s="599"/>
      <c r="H294" s="599"/>
      <c r="I294" s="599"/>
      <c r="J294" s="599"/>
      <c r="K294" s="599"/>
      <c r="L294" s="599"/>
      <c r="M294" s="599"/>
      <c r="N294" s="599"/>
      <c r="O294" s="599">
        <v>491284846526</v>
      </c>
      <c r="P294" s="599"/>
      <c r="Q294" s="599"/>
      <c r="R294" s="599"/>
      <c r="S294" s="1096">
        <f t="shared" si="16"/>
        <v>491284846526</v>
      </c>
      <c r="T294" s="599">
        <v>180334216</v>
      </c>
      <c r="U294" s="1096">
        <f t="shared" si="17"/>
        <v>491285</v>
      </c>
      <c r="V294" s="599">
        <v>180</v>
      </c>
      <c r="W294" s="620"/>
      <c r="X294" s="621"/>
      <c r="Y294" s="1096">
        <f t="shared" si="18"/>
        <v>491284846526</v>
      </c>
      <c r="Z294" s="882">
        <f t="shared" si="19"/>
        <v>491285</v>
      </c>
    </row>
    <row r="295" spans="1:26" ht="27" hidden="1" customHeight="1">
      <c r="A295" s="583"/>
      <c r="B295" s="583">
        <v>1018</v>
      </c>
      <c r="C295" s="581">
        <v>17</v>
      </c>
      <c r="D295" s="1137" t="s">
        <v>296</v>
      </c>
      <c r="E295" s="1138" t="s">
        <v>1593</v>
      </c>
      <c r="F295" s="599">
        <v>-1765606872</v>
      </c>
      <c r="G295" s="599"/>
      <c r="H295" s="599"/>
      <c r="I295" s="599"/>
      <c r="J295" s="599"/>
      <c r="K295" s="599"/>
      <c r="L295" s="599"/>
      <c r="M295" s="599"/>
      <c r="N295" s="599"/>
      <c r="O295" s="599"/>
      <c r="P295" s="599"/>
      <c r="Q295" s="599"/>
      <c r="R295" s="599"/>
      <c r="S295" s="1096">
        <f t="shared" si="16"/>
        <v>-1765606872</v>
      </c>
      <c r="T295" s="599">
        <v>-2230023718</v>
      </c>
      <c r="U295" s="1096">
        <f t="shared" si="17"/>
        <v>-1766</v>
      </c>
      <c r="V295" s="599">
        <v>-2230</v>
      </c>
      <c r="W295" s="620"/>
      <c r="X295" s="621"/>
      <c r="Y295" s="1096">
        <f t="shared" si="18"/>
        <v>-1765606872</v>
      </c>
      <c r="Z295" s="882">
        <f t="shared" si="19"/>
        <v>-1766</v>
      </c>
    </row>
    <row r="296" spans="1:26" ht="27" hidden="1" customHeight="1">
      <c r="A296" s="583"/>
      <c r="B296" s="583">
        <v>1018</v>
      </c>
      <c r="C296" s="581">
        <v>17</v>
      </c>
      <c r="D296" s="1137" t="s">
        <v>298</v>
      </c>
      <c r="E296" s="1138" t="s">
        <v>1594</v>
      </c>
      <c r="F296" s="599">
        <v>-8166235638</v>
      </c>
      <c r="G296" s="599">
        <f>12777345584-12777345577</f>
        <v>7</v>
      </c>
      <c r="H296" s="599"/>
      <c r="I296" s="599"/>
      <c r="J296" s="599"/>
      <c r="K296" s="599"/>
      <c r="L296" s="599"/>
      <c r="M296" s="599"/>
      <c r="N296" s="599"/>
      <c r="O296" s="599"/>
      <c r="P296" s="599"/>
      <c r="Q296" s="599"/>
      <c r="R296" s="599"/>
      <c r="S296" s="1096">
        <f t="shared" si="16"/>
        <v>-8166235631</v>
      </c>
      <c r="T296" s="599">
        <v>-32387892779</v>
      </c>
      <c r="U296" s="1096">
        <f t="shared" si="17"/>
        <v>-8166</v>
      </c>
      <c r="V296" s="599">
        <v>-32388</v>
      </c>
      <c r="W296" s="620"/>
      <c r="X296" s="621"/>
      <c r="Y296" s="1096">
        <f t="shared" si="18"/>
        <v>-8166235631</v>
      </c>
      <c r="Z296" s="882">
        <f t="shared" si="19"/>
        <v>-8166</v>
      </c>
    </row>
    <row r="297" spans="1:26" ht="27" hidden="1" customHeight="1">
      <c r="A297" s="1558"/>
      <c r="B297" s="583">
        <v>501</v>
      </c>
      <c r="C297" s="1235">
        <v>13</v>
      </c>
      <c r="D297" s="1137" t="s">
        <v>79</v>
      </c>
      <c r="E297" s="1138" t="s">
        <v>1595</v>
      </c>
      <c r="F297" s="599">
        <v>6423535728</v>
      </c>
      <c r="G297" s="599">
        <f>126412992591-1736986984</f>
        <v>124676005607</v>
      </c>
      <c r="H297" s="599"/>
      <c r="I297" s="599"/>
      <c r="J297" s="599"/>
      <c r="K297" s="599"/>
      <c r="L297" s="599"/>
      <c r="M297" s="599"/>
      <c r="N297" s="599"/>
      <c r="O297" s="599"/>
      <c r="P297" s="599"/>
      <c r="Q297" s="599"/>
      <c r="R297" s="599"/>
      <c r="S297" s="1096">
        <f t="shared" si="16"/>
        <v>131099541335</v>
      </c>
      <c r="T297" s="599">
        <v>5565644747</v>
      </c>
      <c r="U297" s="1096">
        <f t="shared" si="17"/>
        <v>131100</v>
      </c>
      <c r="V297" s="599">
        <v>5566</v>
      </c>
      <c r="W297" s="620"/>
      <c r="X297" s="621"/>
      <c r="Y297" s="1096">
        <f t="shared" si="18"/>
        <v>131099541335</v>
      </c>
      <c r="Z297" s="882">
        <f t="shared" si="19"/>
        <v>131100</v>
      </c>
    </row>
    <row r="298" spans="1:26" ht="27" hidden="1" customHeight="1">
      <c r="A298" s="583"/>
      <c r="B298" s="583">
        <v>1018</v>
      </c>
      <c r="C298" s="581">
        <v>17</v>
      </c>
      <c r="D298" s="1137" t="s">
        <v>443</v>
      </c>
      <c r="E298" s="1138" t="s">
        <v>1596</v>
      </c>
      <c r="F298" s="599">
        <v>-503174998</v>
      </c>
      <c r="G298" s="599">
        <f>1-3</f>
        <v>-2</v>
      </c>
      <c r="H298" s="599"/>
      <c r="I298" s="599"/>
      <c r="J298" s="599"/>
      <c r="K298" s="599"/>
      <c r="L298" s="599"/>
      <c r="M298" s="599"/>
      <c r="N298" s="599"/>
      <c r="O298" s="599"/>
      <c r="P298" s="599"/>
      <c r="Q298" s="599"/>
      <c r="R298" s="599"/>
      <c r="S298" s="1096">
        <f t="shared" si="16"/>
        <v>-503175000</v>
      </c>
      <c r="T298" s="599">
        <v>-79780082107</v>
      </c>
      <c r="U298" s="1096">
        <f t="shared" si="17"/>
        <v>-503</v>
      </c>
      <c r="V298" s="599">
        <v>-79780</v>
      </c>
      <c r="W298" s="620"/>
      <c r="X298" s="621"/>
      <c r="Y298" s="1096">
        <f t="shared" si="18"/>
        <v>-503175000</v>
      </c>
      <c r="Z298" s="882">
        <f t="shared" si="19"/>
        <v>-503</v>
      </c>
    </row>
    <row r="299" spans="1:26" ht="27" hidden="1" customHeight="1">
      <c r="A299" s="583"/>
      <c r="B299" s="583">
        <v>1018</v>
      </c>
      <c r="C299" s="581">
        <v>17</v>
      </c>
      <c r="D299" s="582" t="s">
        <v>1835</v>
      </c>
      <c r="E299" s="1138" t="s">
        <v>1824</v>
      </c>
      <c r="F299" s="599"/>
      <c r="G299" s="599"/>
      <c r="H299" s="599"/>
      <c r="I299" s="599"/>
      <c r="J299" s="599"/>
      <c r="K299" s="599"/>
      <c r="L299" s="599"/>
      <c r="M299" s="599"/>
      <c r="N299" s="599"/>
      <c r="O299" s="599"/>
      <c r="P299" s="599"/>
      <c r="Q299" s="599"/>
      <c r="R299" s="599"/>
      <c r="S299" s="1096">
        <f t="shared" si="16"/>
        <v>0</v>
      </c>
      <c r="T299" s="599">
        <v>0</v>
      </c>
      <c r="U299" s="1096">
        <f t="shared" si="17"/>
        <v>0</v>
      </c>
      <c r="V299" s="599">
        <v>0</v>
      </c>
      <c r="W299" s="620"/>
      <c r="X299" s="621"/>
      <c r="Y299" s="1096">
        <f t="shared" si="18"/>
        <v>0</v>
      </c>
      <c r="Z299" s="882">
        <f t="shared" si="19"/>
        <v>0</v>
      </c>
    </row>
    <row r="300" spans="1:26" ht="27" hidden="1" customHeight="1">
      <c r="A300" s="1558"/>
      <c r="B300" s="583">
        <v>501</v>
      </c>
      <c r="C300" s="1235">
        <v>13</v>
      </c>
      <c r="D300" s="1137" t="s">
        <v>445</v>
      </c>
      <c r="E300" s="1138" t="s">
        <v>1597</v>
      </c>
      <c r="F300" s="599">
        <v>15039235455</v>
      </c>
      <c r="G300" s="599">
        <f>340816200-13132954378</f>
        <v>-12792138178</v>
      </c>
      <c r="H300" s="599">
        <f>28500000-28500000</f>
        <v>0</v>
      </c>
      <c r="I300" s="599">
        <v>-12444718</v>
      </c>
      <c r="J300" s="599"/>
      <c r="K300" s="599"/>
      <c r="L300" s="599"/>
      <c r="M300" s="599"/>
      <c r="N300" s="599"/>
      <c r="O300" s="599"/>
      <c r="P300" s="599"/>
      <c r="Q300" s="599"/>
      <c r="R300" s="599"/>
      <c r="S300" s="1096">
        <f t="shared" si="16"/>
        <v>2234652559</v>
      </c>
      <c r="T300" s="599">
        <v>8215564704</v>
      </c>
      <c r="U300" s="1096">
        <f t="shared" si="17"/>
        <v>2235</v>
      </c>
      <c r="V300" s="599">
        <v>8216</v>
      </c>
      <c r="W300" s="620"/>
      <c r="X300" s="621"/>
      <c r="Y300" s="1096">
        <f t="shared" si="18"/>
        <v>2234652559</v>
      </c>
      <c r="Z300" s="882">
        <f t="shared" si="19"/>
        <v>2235</v>
      </c>
    </row>
    <row r="301" spans="1:26" ht="27" hidden="1" customHeight="1">
      <c r="A301" s="1558"/>
      <c r="B301" s="583">
        <v>501</v>
      </c>
      <c r="C301" s="1235">
        <v>13</v>
      </c>
      <c r="D301" s="1137" t="s">
        <v>449</v>
      </c>
      <c r="E301" s="1138" t="s">
        <v>1650</v>
      </c>
      <c r="F301" s="599"/>
      <c r="G301" s="599"/>
      <c r="H301" s="599"/>
      <c r="I301" s="599"/>
      <c r="J301" s="599"/>
      <c r="K301" s="599"/>
      <c r="L301" s="599"/>
      <c r="M301" s="599"/>
      <c r="N301" s="599"/>
      <c r="O301" s="599"/>
      <c r="P301" s="599"/>
      <c r="Q301" s="599"/>
      <c r="R301" s="599"/>
      <c r="S301" s="1096">
        <f t="shared" si="16"/>
        <v>0</v>
      </c>
      <c r="T301" s="599">
        <v>37833875</v>
      </c>
      <c r="U301" s="1096">
        <f t="shared" si="17"/>
        <v>0</v>
      </c>
      <c r="V301" s="599">
        <v>38</v>
      </c>
      <c r="W301" s="620"/>
      <c r="X301" s="621"/>
      <c r="Y301" s="1096">
        <f t="shared" si="18"/>
        <v>0</v>
      </c>
      <c r="Z301" s="882">
        <f t="shared" si="19"/>
        <v>0</v>
      </c>
    </row>
    <row r="302" spans="1:26" ht="27" hidden="1" customHeight="1">
      <c r="A302" s="583"/>
      <c r="B302" s="583">
        <v>1018</v>
      </c>
      <c r="C302" s="581">
        <v>17</v>
      </c>
      <c r="D302" s="1137" t="s">
        <v>450</v>
      </c>
      <c r="E302" s="1138" t="s">
        <v>1012</v>
      </c>
      <c r="F302" s="599"/>
      <c r="G302" s="599"/>
      <c r="H302" s="599"/>
      <c r="I302" s="599"/>
      <c r="J302" s="599"/>
      <c r="K302" s="599"/>
      <c r="L302" s="599"/>
      <c r="M302" s="599"/>
      <c r="N302" s="599"/>
      <c r="O302" s="599"/>
      <c r="P302" s="599"/>
      <c r="Q302" s="599"/>
      <c r="R302" s="599"/>
      <c r="S302" s="1096">
        <f t="shared" si="16"/>
        <v>0</v>
      </c>
      <c r="T302" s="599">
        <v>-817916887</v>
      </c>
      <c r="U302" s="1096">
        <f t="shared" si="17"/>
        <v>0</v>
      </c>
      <c r="V302" s="599">
        <v>-818</v>
      </c>
      <c r="W302" s="620"/>
      <c r="X302" s="621"/>
      <c r="Y302" s="1096">
        <f t="shared" si="18"/>
        <v>0</v>
      </c>
      <c r="Z302" s="882">
        <f t="shared" si="19"/>
        <v>0</v>
      </c>
    </row>
    <row r="303" spans="1:26" ht="27" hidden="1" customHeight="1">
      <c r="A303" s="583"/>
      <c r="B303" s="583">
        <v>501</v>
      </c>
      <c r="C303" s="1235">
        <v>13</v>
      </c>
      <c r="D303" s="1137" t="s">
        <v>452</v>
      </c>
      <c r="E303" s="1138" t="s">
        <v>1651</v>
      </c>
      <c r="F303" s="599">
        <v>39284614324</v>
      </c>
      <c r="G303" s="599">
        <f>2268650999-41553265321</f>
        <v>-39284614322</v>
      </c>
      <c r="H303" s="599"/>
      <c r="I303" s="599"/>
      <c r="J303" s="599"/>
      <c r="K303" s="599"/>
      <c r="L303" s="599"/>
      <c r="M303" s="599"/>
      <c r="N303" s="599"/>
      <c r="O303" s="599"/>
      <c r="P303" s="599"/>
      <c r="Q303" s="599"/>
      <c r="R303" s="599"/>
      <c r="S303" s="1096">
        <f t="shared" si="16"/>
        <v>2</v>
      </c>
      <c r="T303" s="599">
        <v>3357427</v>
      </c>
      <c r="U303" s="1096">
        <f t="shared" si="17"/>
        <v>0</v>
      </c>
      <c r="V303" s="599">
        <v>3</v>
      </c>
      <c r="W303" s="620"/>
      <c r="X303" s="621"/>
      <c r="Y303" s="1096">
        <f t="shared" si="18"/>
        <v>2</v>
      </c>
      <c r="Z303" s="882">
        <f t="shared" si="19"/>
        <v>0</v>
      </c>
    </row>
    <row r="304" spans="1:26" ht="27" hidden="1" customHeight="1">
      <c r="A304" s="583"/>
      <c r="B304" s="583">
        <v>908</v>
      </c>
      <c r="C304" s="581">
        <v>8</v>
      </c>
      <c r="D304" s="1137" t="s">
        <v>454</v>
      </c>
      <c r="E304" s="1138" t="s">
        <v>1013</v>
      </c>
      <c r="F304" s="599">
        <v>300109437</v>
      </c>
      <c r="G304" s="599">
        <v>-300109437</v>
      </c>
      <c r="H304" s="599"/>
      <c r="I304" s="599"/>
      <c r="J304" s="599"/>
      <c r="K304" s="599"/>
      <c r="L304" s="599"/>
      <c r="M304" s="599"/>
      <c r="N304" s="599"/>
      <c r="O304" s="599"/>
      <c r="P304" s="599"/>
      <c r="Q304" s="599"/>
      <c r="R304" s="599"/>
      <c r="S304" s="1096">
        <f t="shared" si="16"/>
        <v>0</v>
      </c>
      <c r="T304" s="599">
        <v>8645000</v>
      </c>
      <c r="U304" s="1096">
        <f t="shared" si="17"/>
        <v>0</v>
      </c>
      <c r="V304" s="599">
        <v>9</v>
      </c>
      <c r="W304" s="620"/>
      <c r="X304" s="621"/>
      <c r="Y304" s="1096">
        <f t="shared" si="18"/>
        <v>0</v>
      </c>
      <c r="Z304" s="882">
        <f t="shared" si="19"/>
        <v>0</v>
      </c>
    </row>
    <row r="305" spans="1:26" ht="27" hidden="1" customHeight="1">
      <c r="A305" s="583"/>
      <c r="B305" s="583">
        <v>501</v>
      </c>
      <c r="C305" s="1235">
        <v>13</v>
      </c>
      <c r="D305" s="1137" t="s">
        <v>460</v>
      </c>
      <c r="E305" s="1138" t="s">
        <v>758</v>
      </c>
      <c r="F305" s="599">
        <v>3127177718172</v>
      </c>
      <c r="G305" s="599">
        <f>99463876088-32957776584</f>
        <v>66506099504</v>
      </c>
      <c r="H305" s="599"/>
      <c r="I305" s="599"/>
      <c r="J305" s="599">
        <v>-974838634550</v>
      </c>
      <c r="K305" s="599"/>
      <c r="L305" s="599"/>
      <c r="M305" s="599"/>
      <c r="N305" s="599"/>
      <c r="O305" s="599"/>
      <c r="P305" s="599"/>
      <c r="Q305" s="599"/>
      <c r="R305" s="599"/>
      <c r="S305" s="1096">
        <f t="shared" si="16"/>
        <v>2218845183126</v>
      </c>
      <c r="T305" s="599">
        <v>2165055579646</v>
      </c>
      <c r="U305" s="1096">
        <f t="shared" si="17"/>
        <v>2218845</v>
      </c>
      <c r="V305" s="599">
        <v>2165055</v>
      </c>
      <c r="W305" s="620"/>
      <c r="X305" s="621"/>
      <c r="Y305" s="1096">
        <f t="shared" si="18"/>
        <v>2218845183126</v>
      </c>
      <c r="Z305" s="882">
        <f t="shared" si="19"/>
        <v>2218845</v>
      </c>
    </row>
    <row r="306" spans="1:26" ht="27" hidden="1" customHeight="1">
      <c r="A306" s="583"/>
      <c r="B306" s="583">
        <v>501</v>
      </c>
      <c r="C306" s="1235">
        <v>13</v>
      </c>
      <c r="D306" s="1137" t="s">
        <v>460</v>
      </c>
      <c r="E306" s="1138" t="s">
        <v>759</v>
      </c>
      <c r="F306" s="599"/>
      <c r="G306" s="599"/>
      <c r="H306" s="599"/>
      <c r="I306" s="599"/>
      <c r="J306" s="599"/>
      <c r="K306" s="599"/>
      <c r="L306" s="599"/>
      <c r="M306" s="599"/>
      <c r="N306" s="599"/>
      <c r="O306" s="599"/>
      <c r="P306" s="599"/>
      <c r="Q306" s="599"/>
      <c r="R306" s="599"/>
      <c r="S306" s="1096">
        <f t="shared" si="16"/>
        <v>0</v>
      </c>
      <c r="T306" s="599">
        <v>0</v>
      </c>
      <c r="U306" s="1096">
        <f t="shared" si="17"/>
        <v>0</v>
      </c>
      <c r="V306" s="599">
        <v>0</v>
      </c>
      <c r="W306" s="620"/>
      <c r="X306" s="621"/>
      <c r="Y306" s="1096">
        <f t="shared" si="18"/>
        <v>0</v>
      </c>
      <c r="Z306" s="882">
        <f t="shared" si="19"/>
        <v>0</v>
      </c>
    </row>
    <row r="307" spans="1:26" ht="27" hidden="1" customHeight="1">
      <c r="A307" s="583"/>
      <c r="B307" s="583">
        <v>503</v>
      </c>
      <c r="C307" s="1235">
        <v>13</v>
      </c>
      <c r="D307" s="1137" t="s">
        <v>460</v>
      </c>
      <c r="E307" s="1138" t="s">
        <v>760</v>
      </c>
      <c r="F307" s="599"/>
      <c r="G307" s="599"/>
      <c r="H307" s="599"/>
      <c r="I307" s="599"/>
      <c r="J307" s="599"/>
      <c r="K307" s="599"/>
      <c r="L307" s="599"/>
      <c r="M307" s="599"/>
      <c r="N307" s="599"/>
      <c r="O307" s="599"/>
      <c r="P307" s="599"/>
      <c r="Q307" s="599"/>
      <c r="R307" s="599"/>
      <c r="S307" s="1096">
        <f t="shared" si="16"/>
        <v>0</v>
      </c>
      <c r="T307" s="599">
        <v>0</v>
      </c>
      <c r="U307" s="1096">
        <f t="shared" si="17"/>
        <v>0</v>
      </c>
      <c r="V307" s="599">
        <v>0</v>
      </c>
      <c r="W307" s="620"/>
      <c r="X307" s="621"/>
      <c r="Y307" s="1096">
        <f t="shared" si="18"/>
        <v>0</v>
      </c>
      <c r="Z307" s="882">
        <f t="shared" si="19"/>
        <v>0</v>
      </c>
    </row>
    <row r="308" spans="1:26" ht="27" hidden="1" customHeight="1">
      <c r="A308" s="583"/>
      <c r="B308" s="583">
        <v>908</v>
      </c>
      <c r="C308" s="581">
        <v>8</v>
      </c>
      <c r="D308" s="1137" t="s">
        <v>462</v>
      </c>
      <c r="E308" s="1138" t="s">
        <v>463</v>
      </c>
      <c r="F308" s="599">
        <v>389263869400</v>
      </c>
      <c r="G308" s="599">
        <v>-8599256</v>
      </c>
      <c r="H308" s="599"/>
      <c r="I308" s="599"/>
      <c r="J308" s="599">
        <v>-389255270144</v>
      </c>
      <c r="K308" s="599"/>
      <c r="L308" s="599"/>
      <c r="M308" s="599"/>
      <c r="N308" s="599"/>
      <c r="O308" s="599"/>
      <c r="P308" s="599"/>
      <c r="Q308" s="599">
        <v>37941942619</v>
      </c>
      <c r="R308" s="599"/>
      <c r="S308" s="1096">
        <f t="shared" si="16"/>
        <v>37941942619</v>
      </c>
      <c r="T308" s="599">
        <v>108090000000</v>
      </c>
      <c r="U308" s="1096">
        <f t="shared" si="17"/>
        <v>37942</v>
      </c>
      <c r="V308" s="599">
        <v>108090</v>
      </c>
      <c r="W308" s="620"/>
      <c r="X308" s="621"/>
      <c r="Y308" s="1096">
        <f t="shared" si="18"/>
        <v>37941942619</v>
      </c>
      <c r="Z308" s="882">
        <f t="shared" si="19"/>
        <v>37942</v>
      </c>
    </row>
    <row r="309" spans="1:26" ht="27" hidden="1" customHeight="1">
      <c r="A309" s="1558"/>
      <c r="B309" s="583">
        <v>501</v>
      </c>
      <c r="C309" s="1235">
        <v>13</v>
      </c>
      <c r="D309" s="1137" t="s">
        <v>163</v>
      </c>
      <c r="E309" s="1138" t="s">
        <v>1599</v>
      </c>
      <c r="F309" s="599">
        <v>398064700</v>
      </c>
      <c r="G309" s="599">
        <f>12697942904-12697942904</f>
        <v>0</v>
      </c>
      <c r="H309" s="599"/>
      <c r="I309" s="599"/>
      <c r="J309" s="599"/>
      <c r="K309" s="599"/>
      <c r="L309" s="599"/>
      <c r="M309" s="599"/>
      <c r="N309" s="599"/>
      <c r="O309" s="599"/>
      <c r="P309" s="599"/>
      <c r="Q309" s="599"/>
      <c r="R309" s="599"/>
      <c r="S309" s="1096">
        <f t="shared" si="16"/>
        <v>398064700</v>
      </c>
      <c r="T309" s="599">
        <v>12107572</v>
      </c>
      <c r="U309" s="1096">
        <f t="shared" si="17"/>
        <v>398</v>
      </c>
      <c r="V309" s="599">
        <v>12</v>
      </c>
      <c r="W309" s="620"/>
      <c r="X309" s="621"/>
      <c r="Y309" s="1096">
        <f t="shared" si="18"/>
        <v>398064700</v>
      </c>
      <c r="Z309" s="882">
        <f t="shared" si="19"/>
        <v>398</v>
      </c>
    </row>
    <row r="310" spans="1:26" ht="27" hidden="1" customHeight="1">
      <c r="A310" s="1558"/>
      <c r="B310" s="583">
        <v>501</v>
      </c>
      <c r="C310" s="1235">
        <v>13</v>
      </c>
      <c r="D310" s="1137" t="s">
        <v>165</v>
      </c>
      <c r="E310" s="1138" t="s">
        <v>1600</v>
      </c>
      <c r="F310" s="599">
        <v>77588121808</v>
      </c>
      <c r="G310" s="599">
        <f>31808602018-35388449513</f>
        <v>-3579847495</v>
      </c>
      <c r="H310" s="599"/>
      <c r="I310" s="599"/>
      <c r="J310" s="599"/>
      <c r="K310" s="599"/>
      <c r="L310" s="599"/>
      <c r="M310" s="599"/>
      <c r="N310" s="599"/>
      <c r="O310" s="599"/>
      <c r="P310" s="599"/>
      <c r="Q310" s="599"/>
      <c r="R310" s="599"/>
      <c r="S310" s="1096">
        <f t="shared" si="16"/>
        <v>74008274313</v>
      </c>
      <c r="T310" s="599">
        <v>10041196695</v>
      </c>
      <c r="U310" s="1096">
        <f t="shared" si="17"/>
        <v>74008</v>
      </c>
      <c r="V310" s="599">
        <v>10041</v>
      </c>
      <c r="W310" s="620"/>
      <c r="X310" s="621"/>
      <c r="Y310" s="1096">
        <f t="shared" si="18"/>
        <v>74008274313</v>
      </c>
      <c r="Z310" s="882">
        <f t="shared" si="19"/>
        <v>74008</v>
      </c>
    </row>
    <row r="311" spans="1:26" ht="27" hidden="1" customHeight="1">
      <c r="A311" s="1558"/>
      <c r="B311" s="583">
        <v>501</v>
      </c>
      <c r="C311" s="1235">
        <v>13</v>
      </c>
      <c r="D311" s="1137" t="s">
        <v>1598</v>
      </c>
      <c r="E311" s="1138" t="s">
        <v>1601</v>
      </c>
      <c r="F311" s="599"/>
      <c r="G311" s="599"/>
      <c r="H311" s="599"/>
      <c r="I311" s="599"/>
      <c r="J311" s="599"/>
      <c r="K311" s="599"/>
      <c r="L311" s="599"/>
      <c r="M311" s="599"/>
      <c r="N311" s="599"/>
      <c r="O311" s="599"/>
      <c r="P311" s="599"/>
      <c r="Q311" s="599"/>
      <c r="R311" s="599"/>
      <c r="S311" s="1096">
        <f t="shared" si="16"/>
        <v>0</v>
      </c>
      <c r="T311" s="599">
        <v>0</v>
      </c>
      <c r="U311" s="1096">
        <f t="shared" si="17"/>
        <v>0</v>
      </c>
      <c r="V311" s="599">
        <v>0</v>
      </c>
      <c r="W311" s="620"/>
      <c r="X311" s="621"/>
      <c r="Y311" s="1096">
        <f t="shared" si="18"/>
        <v>0</v>
      </c>
      <c r="Z311" s="882">
        <f t="shared" si="19"/>
        <v>0</v>
      </c>
    </row>
    <row r="312" spans="1:26" ht="27" hidden="1" customHeight="1">
      <c r="A312" s="583"/>
      <c r="B312" s="583">
        <v>1018</v>
      </c>
      <c r="C312" s="581">
        <v>17</v>
      </c>
      <c r="D312" s="1137" t="s">
        <v>395</v>
      </c>
      <c r="E312" s="1138" t="s">
        <v>1652</v>
      </c>
      <c r="F312" s="599">
        <v>-917200000000</v>
      </c>
      <c r="G312" s="599"/>
      <c r="H312" s="599"/>
      <c r="I312" s="599"/>
      <c r="J312" s="599">
        <v>922000000000</v>
      </c>
      <c r="K312" s="599"/>
      <c r="L312" s="599"/>
      <c r="M312" s="599"/>
      <c r="N312" s="599"/>
      <c r="O312" s="599"/>
      <c r="P312" s="599"/>
      <c r="Q312" s="599"/>
      <c r="R312" s="599"/>
      <c r="S312" s="1096">
        <f t="shared" si="16"/>
        <v>4800000000</v>
      </c>
      <c r="T312" s="599">
        <v>0</v>
      </c>
      <c r="U312" s="1096">
        <f t="shared" si="17"/>
        <v>4800</v>
      </c>
      <c r="V312" s="599">
        <v>0</v>
      </c>
      <c r="W312" s="620"/>
      <c r="X312" s="621"/>
      <c r="Y312" s="1096">
        <f t="shared" si="18"/>
        <v>4800000000</v>
      </c>
      <c r="Z312" s="882">
        <f t="shared" si="19"/>
        <v>4800</v>
      </c>
    </row>
    <row r="313" spans="1:26" ht="27" hidden="1" customHeight="1">
      <c r="A313" s="1558"/>
      <c r="B313" s="583">
        <v>501</v>
      </c>
      <c r="C313" s="1235">
        <v>13</v>
      </c>
      <c r="D313" s="1137" t="s">
        <v>1007</v>
      </c>
      <c r="E313" s="1138" t="s">
        <v>1008</v>
      </c>
      <c r="F313" s="599">
        <v>-23531764</v>
      </c>
      <c r="G313" s="599"/>
      <c r="H313" s="599"/>
      <c r="I313" s="599">
        <v>23531764</v>
      </c>
      <c r="J313" s="599"/>
      <c r="K313" s="599"/>
      <c r="L313" s="599"/>
      <c r="M313" s="599"/>
      <c r="N313" s="599"/>
      <c r="O313" s="599"/>
      <c r="P313" s="599"/>
      <c r="Q313" s="599"/>
      <c r="R313" s="599"/>
      <c r="S313" s="1096">
        <f t="shared" si="16"/>
        <v>0</v>
      </c>
      <c r="T313" s="599">
        <v>0</v>
      </c>
      <c r="U313" s="1096">
        <f t="shared" si="17"/>
        <v>0</v>
      </c>
      <c r="V313" s="599">
        <v>0</v>
      </c>
      <c r="W313" s="620"/>
      <c r="X313" s="621"/>
      <c r="Y313" s="1096">
        <f t="shared" si="18"/>
        <v>0</v>
      </c>
      <c r="Z313" s="882">
        <f t="shared" si="19"/>
        <v>0</v>
      </c>
    </row>
    <row r="314" spans="1:26" ht="27" hidden="1" customHeight="1">
      <c r="A314" s="1558"/>
      <c r="B314" s="583">
        <v>501</v>
      </c>
      <c r="C314" s="1235">
        <v>13</v>
      </c>
      <c r="D314" s="1137" t="s">
        <v>167</v>
      </c>
      <c r="E314" s="1138" t="s">
        <v>1027</v>
      </c>
      <c r="F314" s="599"/>
      <c r="G314" s="599"/>
      <c r="H314" s="599"/>
      <c r="I314" s="599"/>
      <c r="J314" s="599"/>
      <c r="K314" s="599"/>
      <c r="L314" s="599"/>
      <c r="M314" s="599"/>
      <c r="N314" s="599"/>
      <c r="O314" s="599"/>
      <c r="P314" s="599"/>
      <c r="Q314" s="599"/>
      <c r="R314" s="599"/>
      <c r="S314" s="1096">
        <f t="shared" si="16"/>
        <v>0</v>
      </c>
      <c r="T314" s="599">
        <v>0</v>
      </c>
      <c r="U314" s="1096">
        <f t="shared" si="17"/>
        <v>0</v>
      </c>
      <c r="V314" s="599">
        <v>0</v>
      </c>
      <c r="W314" s="620"/>
      <c r="X314" s="621"/>
      <c r="Y314" s="1096">
        <f t="shared" si="18"/>
        <v>0</v>
      </c>
      <c r="Z314" s="882">
        <f t="shared" si="19"/>
        <v>0</v>
      </c>
    </row>
    <row r="315" spans="1:26" ht="27" hidden="1" customHeight="1">
      <c r="A315" s="1558"/>
      <c r="B315" s="583">
        <v>501</v>
      </c>
      <c r="C315" s="1235">
        <v>13</v>
      </c>
      <c r="D315" s="1137" t="s">
        <v>1009</v>
      </c>
      <c r="E315" s="1138" t="s">
        <v>1008</v>
      </c>
      <c r="F315" s="599">
        <v>23522421</v>
      </c>
      <c r="G315" s="599"/>
      <c r="H315" s="599"/>
      <c r="I315" s="599">
        <v>-23522421</v>
      </c>
      <c r="J315" s="599"/>
      <c r="K315" s="599"/>
      <c r="L315" s="599"/>
      <c r="M315" s="599"/>
      <c r="N315" s="599"/>
      <c r="O315" s="599"/>
      <c r="P315" s="599"/>
      <c r="Q315" s="599"/>
      <c r="R315" s="599"/>
      <c r="S315" s="1096">
        <f t="shared" si="16"/>
        <v>0</v>
      </c>
      <c r="T315" s="599">
        <v>0</v>
      </c>
      <c r="U315" s="1096">
        <f t="shared" si="17"/>
        <v>0</v>
      </c>
      <c r="V315" s="599">
        <v>0</v>
      </c>
      <c r="W315" s="620"/>
      <c r="X315" s="621"/>
      <c r="Y315" s="1096">
        <f t="shared" si="18"/>
        <v>0</v>
      </c>
      <c r="Z315" s="882">
        <f t="shared" si="19"/>
        <v>0</v>
      </c>
    </row>
    <row r="316" spans="1:26" ht="27" hidden="1" customHeight="1">
      <c r="A316" s="1558"/>
      <c r="B316" s="583">
        <v>501</v>
      </c>
      <c r="C316" s="1235">
        <v>13</v>
      </c>
      <c r="D316" s="1137" t="s">
        <v>1024</v>
      </c>
      <c r="E316" s="1138" t="s">
        <v>1025</v>
      </c>
      <c r="F316" s="599">
        <v>60</v>
      </c>
      <c r="G316" s="599"/>
      <c r="H316" s="599"/>
      <c r="I316" s="599">
        <v>-60</v>
      </c>
      <c r="J316" s="599"/>
      <c r="K316" s="599"/>
      <c r="L316" s="599"/>
      <c r="M316" s="599"/>
      <c r="N316" s="599"/>
      <c r="O316" s="599"/>
      <c r="P316" s="599"/>
      <c r="Q316" s="599"/>
      <c r="R316" s="599"/>
      <c r="S316" s="1096">
        <f t="shared" si="16"/>
        <v>0</v>
      </c>
      <c r="T316" s="599">
        <v>60</v>
      </c>
      <c r="U316" s="1096">
        <f t="shared" si="17"/>
        <v>0</v>
      </c>
      <c r="V316" s="599">
        <v>0</v>
      </c>
      <c r="W316" s="620"/>
      <c r="X316" s="621"/>
      <c r="Y316" s="1096">
        <f t="shared" si="18"/>
        <v>0</v>
      </c>
      <c r="Z316" s="882">
        <f t="shared" si="19"/>
        <v>0</v>
      </c>
    </row>
    <row r="317" spans="1:26" ht="27" hidden="1" customHeight="1">
      <c r="A317" s="1558"/>
      <c r="B317" s="583">
        <v>501</v>
      </c>
      <c r="C317" s="1235">
        <v>13</v>
      </c>
      <c r="D317" s="1137" t="s">
        <v>282</v>
      </c>
      <c r="E317" s="1138" t="s">
        <v>283</v>
      </c>
      <c r="F317" s="599"/>
      <c r="G317" s="599"/>
      <c r="H317" s="599"/>
      <c r="I317" s="599"/>
      <c r="J317" s="599"/>
      <c r="K317" s="599"/>
      <c r="L317" s="599"/>
      <c r="M317" s="599"/>
      <c r="N317" s="599"/>
      <c r="O317" s="599"/>
      <c r="P317" s="599"/>
      <c r="Q317" s="599"/>
      <c r="R317" s="599"/>
      <c r="S317" s="1096">
        <f t="shared" si="16"/>
        <v>0</v>
      </c>
      <c r="T317" s="599">
        <v>0</v>
      </c>
      <c r="U317" s="1096">
        <f t="shared" si="17"/>
        <v>0</v>
      </c>
      <c r="V317" s="599">
        <v>0</v>
      </c>
      <c r="W317" s="620"/>
      <c r="X317" s="621"/>
      <c r="Y317" s="1096">
        <f t="shared" si="18"/>
        <v>0</v>
      </c>
      <c r="Z317" s="882">
        <f t="shared" si="19"/>
        <v>0</v>
      </c>
    </row>
    <row r="318" spans="1:26" ht="27" hidden="1" customHeight="1">
      <c r="A318" s="1558"/>
      <c r="B318" s="583">
        <v>501</v>
      </c>
      <c r="C318" s="1235">
        <v>13</v>
      </c>
      <c r="D318" s="1137" t="s">
        <v>76</v>
      </c>
      <c r="E318" s="1138" t="s">
        <v>77</v>
      </c>
      <c r="F318" s="599"/>
      <c r="G318" s="599"/>
      <c r="H318" s="599"/>
      <c r="I318" s="599"/>
      <c r="J318" s="599"/>
      <c r="K318" s="599"/>
      <c r="L318" s="599"/>
      <c r="M318" s="599"/>
      <c r="N318" s="599"/>
      <c r="O318" s="599"/>
      <c r="P318" s="599"/>
      <c r="Q318" s="599"/>
      <c r="R318" s="599"/>
      <c r="S318" s="1096">
        <f t="shared" si="16"/>
        <v>0</v>
      </c>
      <c r="T318" s="599">
        <v>0</v>
      </c>
      <c r="U318" s="1096">
        <f t="shared" si="17"/>
        <v>0</v>
      </c>
      <c r="V318" s="599">
        <v>0</v>
      </c>
      <c r="W318" s="620"/>
      <c r="X318" s="621"/>
      <c r="Y318" s="1096">
        <f t="shared" si="18"/>
        <v>0</v>
      </c>
      <c r="Z318" s="882">
        <f t="shared" si="19"/>
        <v>0</v>
      </c>
    </row>
    <row r="319" spans="1:26" ht="27" hidden="1" customHeight="1">
      <c r="A319" s="1558"/>
      <c r="B319" s="583">
        <v>501</v>
      </c>
      <c r="C319" s="1235">
        <v>13</v>
      </c>
      <c r="D319" s="1137" t="s">
        <v>1741</v>
      </c>
      <c r="E319" s="1138" t="s">
        <v>77</v>
      </c>
      <c r="F319" s="599"/>
      <c r="G319" s="599"/>
      <c r="H319" s="599"/>
      <c r="I319" s="599"/>
      <c r="J319" s="599"/>
      <c r="K319" s="599"/>
      <c r="L319" s="599"/>
      <c r="M319" s="599"/>
      <c r="N319" s="599"/>
      <c r="O319" s="599"/>
      <c r="P319" s="599"/>
      <c r="Q319" s="599"/>
      <c r="R319" s="599"/>
      <c r="S319" s="1096">
        <f t="shared" si="16"/>
        <v>0</v>
      </c>
      <c r="T319" s="599">
        <v>0</v>
      </c>
      <c r="U319" s="1096">
        <f t="shared" si="17"/>
        <v>0</v>
      </c>
      <c r="V319" s="599">
        <v>0</v>
      </c>
      <c r="W319" s="620"/>
      <c r="X319" s="621"/>
      <c r="Y319" s="1096">
        <f t="shared" si="18"/>
        <v>0</v>
      </c>
      <c r="Z319" s="882">
        <f t="shared" si="19"/>
        <v>0</v>
      </c>
    </row>
    <row r="320" spans="1:26" ht="27" hidden="1" customHeight="1">
      <c r="A320" s="583"/>
      <c r="B320" s="583">
        <v>1018</v>
      </c>
      <c r="C320" s="581">
        <v>17</v>
      </c>
      <c r="D320" s="1137" t="s">
        <v>464</v>
      </c>
      <c r="E320" s="1138" t="s">
        <v>311</v>
      </c>
      <c r="F320" s="599">
        <v>-178313400</v>
      </c>
      <c r="G320" s="599">
        <f>38838224256-38873863539</f>
        <v>-35639283</v>
      </c>
      <c r="H320" s="599"/>
      <c r="I320" s="599"/>
      <c r="J320" s="599"/>
      <c r="K320" s="599"/>
      <c r="L320" s="599"/>
      <c r="M320" s="599"/>
      <c r="N320" s="599"/>
      <c r="O320" s="599"/>
      <c r="P320" s="599"/>
      <c r="Q320" s="599"/>
      <c r="R320" s="599"/>
      <c r="S320" s="1096">
        <f t="shared" si="16"/>
        <v>-213952683</v>
      </c>
      <c r="T320" s="599">
        <v>-842961986</v>
      </c>
      <c r="U320" s="1096">
        <f t="shared" si="17"/>
        <v>-214</v>
      </c>
      <c r="V320" s="599">
        <v>-843</v>
      </c>
      <c r="W320" s="620"/>
      <c r="X320" s="621"/>
      <c r="Y320" s="1096">
        <f t="shared" si="18"/>
        <v>-213952683</v>
      </c>
      <c r="Z320" s="882">
        <f t="shared" si="19"/>
        <v>-214</v>
      </c>
    </row>
    <row r="321" spans="1:26" ht="27" hidden="1" customHeight="1">
      <c r="A321" s="1558"/>
      <c r="B321" s="583">
        <v>501</v>
      </c>
      <c r="C321" s="1235">
        <v>13</v>
      </c>
      <c r="D321" s="1137" t="s">
        <v>1602</v>
      </c>
      <c r="E321" s="1138" t="s">
        <v>1603</v>
      </c>
      <c r="F321" s="599"/>
      <c r="G321" s="599"/>
      <c r="H321" s="599"/>
      <c r="I321" s="599"/>
      <c r="J321" s="599"/>
      <c r="K321" s="599"/>
      <c r="L321" s="599"/>
      <c r="M321" s="599"/>
      <c r="N321" s="599"/>
      <c r="O321" s="599"/>
      <c r="P321" s="599"/>
      <c r="Q321" s="599"/>
      <c r="R321" s="599"/>
      <c r="S321" s="1096">
        <f t="shared" si="16"/>
        <v>0</v>
      </c>
      <c r="T321" s="599">
        <v>0</v>
      </c>
      <c r="U321" s="1096">
        <f t="shared" si="17"/>
        <v>0</v>
      </c>
      <c r="V321" s="599">
        <v>0</v>
      </c>
      <c r="W321" s="620"/>
      <c r="X321" s="621"/>
      <c r="Y321" s="1096">
        <f t="shared" si="18"/>
        <v>0</v>
      </c>
      <c r="Z321" s="882">
        <f t="shared" si="19"/>
        <v>0</v>
      </c>
    </row>
    <row r="322" spans="1:26" ht="27" hidden="1" customHeight="1">
      <c r="A322" s="1558"/>
      <c r="B322" s="583">
        <v>501</v>
      </c>
      <c r="C322" s="1235">
        <v>13</v>
      </c>
      <c r="D322" s="1137" t="s">
        <v>594</v>
      </c>
      <c r="E322" s="1138" t="s">
        <v>314</v>
      </c>
      <c r="F322" s="599"/>
      <c r="G322" s="599">
        <f>761134091-761134091</f>
        <v>0</v>
      </c>
      <c r="H322" s="599"/>
      <c r="I322" s="599"/>
      <c r="J322" s="599"/>
      <c r="K322" s="599"/>
      <c r="L322" s="599"/>
      <c r="M322" s="599"/>
      <c r="N322" s="599"/>
      <c r="O322" s="599"/>
      <c r="P322" s="599"/>
      <c r="Q322" s="599"/>
      <c r="R322" s="599"/>
      <c r="S322" s="1096">
        <f t="shared" si="16"/>
        <v>0</v>
      </c>
      <c r="T322" s="599">
        <v>0</v>
      </c>
      <c r="U322" s="1096">
        <f t="shared" si="17"/>
        <v>0</v>
      </c>
      <c r="V322" s="599">
        <v>0</v>
      </c>
      <c r="W322" s="620"/>
      <c r="X322" s="621"/>
      <c r="Y322" s="1096">
        <f t="shared" si="18"/>
        <v>0</v>
      </c>
      <c r="Z322" s="882">
        <f t="shared" si="19"/>
        <v>0</v>
      </c>
    </row>
    <row r="323" spans="1:26" ht="27" hidden="1" customHeight="1">
      <c r="A323" s="583"/>
      <c r="B323" s="583">
        <v>906</v>
      </c>
      <c r="C323" s="581">
        <v>8</v>
      </c>
      <c r="D323" s="1137" t="s">
        <v>1604</v>
      </c>
      <c r="E323" s="1138" t="s">
        <v>1605</v>
      </c>
      <c r="F323" s="599"/>
      <c r="G323" s="599"/>
      <c r="H323" s="599"/>
      <c r="I323" s="599"/>
      <c r="J323" s="599"/>
      <c r="K323" s="599"/>
      <c r="L323" s="599"/>
      <c r="M323" s="599"/>
      <c r="N323" s="599"/>
      <c r="O323" s="599"/>
      <c r="P323" s="599"/>
      <c r="Q323" s="599"/>
      <c r="R323" s="599"/>
      <c r="S323" s="1096">
        <f t="shared" si="16"/>
        <v>0</v>
      </c>
      <c r="T323" s="599">
        <v>0</v>
      </c>
      <c r="U323" s="1096">
        <f t="shared" si="17"/>
        <v>0</v>
      </c>
      <c r="V323" s="599">
        <v>0</v>
      </c>
      <c r="W323" s="620"/>
      <c r="X323" s="621"/>
      <c r="Y323" s="1096">
        <f t="shared" si="18"/>
        <v>0</v>
      </c>
      <c r="Z323" s="882">
        <f t="shared" si="19"/>
        <v>0</v>
      </c>
    </row>
    <row r="324" spans="1:26" ht="27" hidden="1" customHeight="1">
      <c r="A324" s="583"/>
      <c r="B324" s="583"/>
      <c r="C324" s="1235">
        <v>13</v>
      </c>
      <c r="D324" s="1137" t="s">
        <v>595</v>
      </c>
      <c r="E324" s="1138" t="s">
        <v>315</v>
      </c>
      <c r="F324" s="599"/>
      <c r="G324" s="599"/>
      <c r="H324" s="599"/>
      <c r="I324" s="599"/>
      <c r="J324" s="599"/>
      <c r="K324" s="599"/>
      <c r="L324" s="599"/>
      <c r="M324" s="599"/>
      <c r="N324" s="599"/>
      <c r="O324" s="599"/>
      <c r="P324" s="599"/>
      <c r="Q324" s="599"/>
      <c r="R324" s="599"/>
      <c r="S324" s="1096">
        <f t="shared" ref="S324:S387" si="20">SUM(F324:R324)</f>
        <v>0</v>
      </c>
      <c r="T324" s="599">
        <v>0</v>
      </c>
      <c r="U324" s="1096">
        <f t="shared" ref="U324:U387" si="21">ROUND((S324/1000000),0)</f>
        <v>0</v>
      </c>
      <c r="V324" s="599">
        <v>0</v>
      </c>
      <c r="W324" s="620"/>
      <c r="X324" s="621"/>
      <c r="Y324" s="1096">
        <f t="shared" si="18"/>
        <v>0</v>
      </c>
      <c r="Z324" s="882">
        <f t="shared" si="19"/>
        <v>0</v>
      </c>
    </row>
    <row r="325" spans="1:26" ht="27" hidden="1" customHeight="1">
      <c r="A325" s="583"/>
      <c r="B325" s="583">
        <v>1018</v>
      </c>
      <c r="C325" s="581">
        <v>17</v>
      </c>
      <c r="D325" s="582" t="s">
        <v>1836</v>
      </c>
      <c r="E325" s="1138" t="s">
        <v>1825</v>
      </c>
      <c r="F325" s="599">
        <v>-5014309171</v>
      </c>
      <c r="G325" s="599"/>
      <c r="H325" s="599"/>
      <c r="I325" s="599"/>
      <c r="J325" s="599"/>
      <c r="K325" s="599"/>
      <c r="L325" s="599"/>
      <c r="M325" s="599"/>
      <c r="N325" s="599"/>
      <c r="O325" s="599">
        <v>224376383</v>
      </c>
      <c r="P325" s="599"/>
      <c r="Q325" s="599"/>
      <c r="R325" s="599"/>
      <c r="S325" s="1096">
        <f t="shared" si="20"/>
        <v>-4789932788</v>
      </c>
      <c r="T325" s="599">
        <v>0</v>
      </c>
      <c r="U325" s="1096">
        <f t="shared" si="21"/>
        <v>-4790</v>
      </c>
      <c r="V325" s="599">
        <v>0</v>
      </c>
      <c r="W325" s="620"/>
      <c r="X325" s="621"/>
      <c r="Y325" s="1096">
        <f t="shared" si="18"/>
        <v>-4789932788</v>
      </c>
      <c r="Z325" s="882">
        <f t="shared" si="19"/>
        <v>-4790</v>
      </c>
    </row>
    <row r="326" spans="1:26" ht="27" hidden="1" customHeight="1">
      <c r="A326" s="1558"/>
      <c r="B326" s="583">
        <v>501</v>
      </c>
      <c r="C326" s="1235">
        <v>13</v>
      </c>
      <c r="D326" s="1137" t="s">
        <v>333</v>
      </c>
      <c r="E326" s="1138" t="s">
        <v>334</v>
      </c>
      <c r="F326" s="599"/>
      <c r="G326" s="599"/>
      <c r="H326" s="599"/>
      <c r="I326" s="599"/>
      <c r="J326" s="599"/>
      <c r="K326" s="599"/>
      <c r="L326" s="599"/>
      <c r="M326" s="599"/>
      <c r="N326" s="599"/>
      <c r="O326" s="599"/>
      <c r="P326" s="599"/>
      <c r="Q326" s="599"/>
      <c r="R326" s="599"/>
      <c r="S326" s="1096">
        <f t="shared" si="20"/>
        <v>0</v>
      </c>
      <c r="T326" s="599">
        <v>0</v>
      </c>
      <c r="U326" s="1096">
        <f t="shared" si="21"/>
        <v>0</v>
      </c>
      <c r="V326" s="599">
        <v>0</v>
      </c>
      <c r="W326" s="620"/>
      <c r="X326" s="621"/>
      <c r="Y326" s="1096">
        <f t="shared" ref="Y326:Y390" si="22">S326+X326-W326</f>
        <v>0</v>
      </c>
      <c r="Z326" s="882">
        <f t="shared" ref="Z326:Z390" si="23">ROUND((Y326/1000000),0)</f>
        <v>0</v>
      </c>
    </row>
    <row r="327" spans="1:26" ht="27" hidden="1" customHeight="1">
      <c r="A327" s="583"/>
      <c r="B327" s="583">
        <v>501</v>
      </c>
      <c r="C327" s="1235">
        <v>13</v>
      </c>
      <c r="D327" s="1137" t="s">
        <v>902</v>
      </c>
      <c r="E327" s="1138" t="s">
        <v>1030</v>
      </c>
      <c r="F327" s="599">
        <v>-4323808647</v>
      </c>
      <c r="G327" s="599"/>
      <c r="H327" s="599"/>
      <c r="I327" s="599"/>
      <c r="J327" s="599"/>
      <c r="K327" s="599"/>
      <c r="L327" s="599"/>
      <c r="M327" s="599"/>
      <c r="N327" s="599"/>
      <c r="O327" s="599"/>
      <c r="P327" s="599"/>
      <c r="Q327" s="599"/>
      <c r="R327" s="599"/>
      <c r="S327" s="1096">
        <f t="shared" si="20"/>
        <v>-4323808647</v>
      </c>
      <c r="T327" s="599">
        <v>-2366695647</v>
      </c>
      <c r="U327" s="1096">
        <f t="shared" si="21"/>
        <v>-4324</v>
      </c>
      <c r="V327" s="599">
        <v>-2367</v>
      </c>
      <c r="W327" s="620"/>
      <c r="X327" s="621"/>
      <c r="Y327" s="1096">
        <f t="shared" si="22"/>
        <v>-4323808647</v>
      </c>
      <c r="Z327" s="882">
        <f t="shared" si="23"/>
        <v>-4324</v>
      </c>
    </row>
    <row r="328" spans="1:26" ht="27" hidden="1" customHeight="1">
      <c r="A328" s="583"/>
      <c r="B328" s="583"/>
      <c r="C328" s="581">
        <v>8</v>
      </c>
      <c r="D328" s="1137" t="s">
        <v>903</v>
      </c>
      <c r="E328" s="1138" t="s">
        <v>912</v>
      </c>
      <c r="F328" s="599"/>
      <c r="G328" s="599"/>
      <c r="H328" s="599"/>
      <c r="I328" s="599"/>
      <c r="J328" s="599"/>
      <c r="K328" s="599"/>
      <c r="L328" s="599"/>
      <c r="M328" s="599"/>
      <c r="N328" s="599"/>
      <c r="O328" s="599"/>
      <c r="P328" s="599"/>
      <c r="Q328" s="599"/>
      <c r="R328" s="599"/>
      <c r="S328" s="1096">
        <f t="shared" si="20"/>
        <v>0</v>
      </c>
      <c r="T328" s="599">
        <v>0</v>
      </c>
      <c r="U328" s="1096">
        <f t="shared" si="21"/>
        <v>0</v>
      </c>
      <c r="V328" s="599">
        <v>0</v>
      </c>
      <c r="W328" s="620"/>
      <c r="X328" s="621"/>
      <c r="Y328" s="1096">
        <f t="shared" si="22"/>
        <v>0</v>
      </c>
      <c r="Z328" s="882">
        <f t="shared" si="23"/>
        <v>0</v>
      </c>
    </row>
    <row r="329" spans="1:26" ht="27" hidden="1" customHeight="1">
      <c r="A329" s="1558"/>
      <c r="B329" s="583">
        <v>501</v>
      </c>
      <c r="C329" s="1235">
        <v>13</v>
      </c>
      <c r="D329" s="1137" t="s">
        <v>596</v>
      </c>
      <c r="E329" s="1138" t="s">
        <v>762</v>
      </c>
      <c r="F329" s="599">
        <v>3179904270</v>
      </c>
      <c r="G329" s="599">
        <f>15957223908-15957223910</f>
        <v>-2</v>
      </c>
      <c r="H329" s="599"/>
      <c r="I329" s="599"/>
      <c r="J329" s="599"/>
      <c r="K329" s="599"/>
      <c r="L329" s="599"/>
      <c r="M329" s="599"/>
      <c r="N329" s="599"/>
      <c r="O329" s="599"/>
      <c r="P329" s="599">
        <v>227303138</v>
      </c>
      <c r="Q329" s="599"/>
      <c r="R329" s="599"/>
      <c r="S329" s="1096">
        <f t="shared" si="20"/>
        <v>3407207406</v>
      </c>
      <c r="T329" s="599">
        <v>14642515296</v>
      </c>
      <c r="U329" s="1096">
        <f t="shared" si="21"/>
        <v>3407</v>
      </c>
      <c r="V329" s="599">
        <v>14643</v>
      </c>
      <c r="W329" s="620"/>
      <c r="X329" s="621"/>
      <c r="Y329" s="1096">
        <f t="shared" si="22"/>
        <v>3407207406</v>
      </c>
      <c r="Z329" s="882">
        <f t="shared" si="23"/>
        <v>3407</v>
      </c>
    </row>
    <row r="330" spans="1:26" ht="27" customHeight="1">
      <c r="A330" s="583">
        <v>3214</v>
      </c>
      <c r="B330" s="583">
        <v>907</v>
      </c>
      <c r="C330" s="581">
        <v>8</v>
      </c>
      <c r="D330" s="1137" t="s">
        <v>596</v>
      </c>
      <c r="E330" s="1138" t="s">
        <v>1458</v>
      </c>
      <c r="F330" s="599"/>
      <c r="G330" s="599"/>
      <c r="H330" s="599"/>
      <c r="I330" s="599"/>
      <c r="J330" s="599"/>
      <c r="K330" s="599"/>
      <c r="L330" s="599"/>
      <c r="M330" s="599"/>
      <c r="N330" s="599"/>
      <c r="O330" s="599"/>
      <c r="P330" s="599"/>
      <c r="Q330" s="599"/>
      <c r="R330" s="599"/>
      <c r="S330" s="1096">
        <f t="shared" si="20"/>
        <v>0</v>
      </c>
      <c r="T330" s="599">
        <v>0</v>
      </c>
      <c r="U330" s="1096">
        <f t="shared" si="21"/>
        <v>0</v>
      </c>
      <c r="V330" s="599">
        <v>0</v>
      </c>
      <c r="W330" s="620"/>
      <c r="X330" s="621"/>
      <c r="Y330" s="1096">
        <f t="shared" si="22"/>
        <v>0</v>
      </c>
      <c r="Z330" s="882">
        <f t="shared" si="23"/>
        <v>0</v>
      </c>
    </row>
    <row r="331" spans="1:26" ht="27" hidden="1" customHeight="1">
      <c r="A331" s="583"/>
      <c r="B331" s="583">
        <v>607</v>
      </c>
      <c r="C331" s="581">
        <v>12</v>
      </c>
      <c r="D331" s="1137" t="s">
        <v>1384</v>
      </c>
      <c r="E331" s="1138" t="s">
        <v>1401</v>
      </c>
      <c r="F331" s="599"/>
      <c r="G331" s="599"/>
      <c r="H331" s="599"/>
      <c r="I331" s="599"/>
      <c r="J331" s="599"/>
      <c r="K331" s="599"/>
      <c r="L331" s="599">
        <v>7513585649</v>
      </c>
      <c r="M331" s="599"/>
      <c r="N331" s="599"/>
      <c r="O331" s="599"/>
      <c r="P331" s="599"/>
      <c r="Q331" s="599"/>
      <c r="R331" s="599"/>
      <c r="S331" s="1096">
        <f t="shared" si="20"/>
        <v>7513585649</v>
      </c>
      <c r="T331" s="599">
        <v>88370502433</v>
      </c>
      <c r="U331" s="1096">
        <f t="shared" si="21"/>
        <v>7514</v>
      </c>
      <c r="V331" s="599">
        <v>88371</v>
      </c>
      <c r="W331" s="620"/>
      <c r="X331" s="621"/>
      <c r="Y331" s="1096">
        <f t="shared" si="22"/>
        <v>7513585649</v>
      </c>
      <c r="Z331" s="882">
        <f t="shared" si="23"/>
        <v>7514</v>
      </c>
    </row>
    <row r="332" spans="1:26" ht="27" hidden="1" customHeight="1">
      <c r="A332" s="583"/>
      <c r="B332" s="583">
        <v>607</v>
      </c>
      <c r="C332" s="581">
        <v>12</v>
      </c>
      <c r="D332" s="1137" t="s">
        <v>319</v>
      </c>
      <c r="E332" s="1138" t="s">
        <v>1035</v>
      </c>
      <c r="F332" s="599"/>
      <c r="G332" s="599"/>
      <c r="H332" s="599"/>
      <c r="I332" s="599"/>
      <c r="J332" s="599"/>
      <c r="K332" s="599"/>
      <c r="L332" s="599"/>
      <c r="M332" s="599"/>
      <c r="N332" s="599"/>
      <c r="O332" s="599"/>
      <c r="P332" s="599"/>
      <c r="Q332" s="599"/>
      <c r="R332" s="599"/>
      <c r="S332" s="1096">
        <f t="shared" si="20"/>
        <v>0</v>
      </c>
      <c r="T332" s="599">
        <v>0</v>
      </c>
      <c r="U332" s="1096">
        <f t="shared" si="21"/>
        <v>0</v>
      </c>
      <c r="V332" s="599">
        <v>0</v>
      </c>
      <c r="W332" s="620"/>
      <c r="X332" s="621"/>
      <c r="Y332" s="1096">
        <f t="shared" si="22"/>
        <v>0</v>
      </c>
      <c r="Z332" s="882">
        <f t="shared" si="23"/>
        <v>0</v>
      </c>
    </row>
    <row r="333" spans="1:26" ht="27" hidden="1" customHeight="1">
      <c r="A333" s="583"/>
      <c r="B333" s="1238">
        <v>607</v>
      </c>
      <c r="C333" s="581">
        <v>12</v>
      </c>
      <c r="D333" s="1137" t="s">
        <v>321</v>
      </c>
      <c r="E333" s="1138" t="s">
        <v>1656</v>
      </c>
      <c r="F333" s="599">
        <v>160637345563</v>
      </c>
      <c r="G333" s="599">
        <f>3084500000-129240507515</f>
        <v>-126156007515</v>
      </c>
      <c r="H333" s="599"/>
      <c r="I333" s="599"/>
      <c r="J333" s="599"/>
      <c r="K333" s="599"/>
      <c r="L333" s="599"/>
      <c r="M333" s="599"/>
      <c r="N333" s="599"/>
      <c r="O333" s="599"/>
      <c r="P333" s="599"/>
      <c r="Q333" s="599"/>
      <c r="R333" s="599"/>
      <c r="S333" s="1096">
        <f t="shared" si="20"/>
        <v>34481338048</v>
      </c>
      <c r="T333" s="599">
        <v>53221486020</v>
      </c>
      <c r="U333" s="1096">
        <f t="shared" si="21"/>
        <v>34481</v>
      </c>
      <c r="V333" s="599">
        <v>53221</v>
      </c>
      <c r="W333" s="620"/>
      <c r="X333" s="621"/>
      <c r="Y333" s="1096">
        <f t="shared" si="22"/>
        <v>34481338048</v>
      </c>
      <c r="Z333" s="882">
        <f t="shared" si="23"/>
        <v>34481</v>
      </c>
    </row>
    <row r="334" spans="1:26" ht="27" hidden="1" customHeight="1">
      <c r="A334" s="583">
        <v>11</v>
      </c>
      <c r="B334" s="583">
        <v>907</v>
      </c>
      <c r="C334" s="581">
        <v>8</v>
      </c>
      <c r="D334" s="1137" t="s">
        <v>323</v>
      </c>
      <c r="E334" s="1138" t="s">
        <v>1037</v>
      </c>
      <c r="F334" s="599">
        <v>66660980101</v>
      </c>
      <c r="G334" s="599"/>
      <c r="H334" s="599"/>
      <c r="I334" s="599"/>
      <c r="J334" s="599">
        <v>-66660980101</v>
      </c>
      <c r="K334" s="599"/>
      <c r="L334" s="599"/>
      <c r="M334" s="599"/>
      <c r="N334" s="599"/>
      <c r="O334" s="599"/>
      <c r="P334" s="599"/>
      <c r="Q334" s="599"/>
      <c r="R334" s="599"/>
      <c r="S334" s="1096">
        <f t="shared" si="20"/>
        <v>0</v>
      </c>
      <c r="T334" s="599">
        <v>0</v>
      </c>
      <c r="U334" s="1096">
        <f t="shared" si="21"/>
        <v>0</v>
      </c>
      <c r="V334" s="599">
        <v>0</v>
      </c>
      <c r="W334" s="620"/>
      <c r="X334" s="621"/>
      <c r="Y334" s="1096">
        <f t="shared" si="22"/>
        <v>0</v>
      </c>
      <c r="Z334" s="882">
        <f t="shared" si="23"/>
        <v>0</v>
      </c>
    </row>
    <row r="335" spans="1:26" ht="27" hidden="1" customHeight="1">
      <c r="A335" s="583">
        <v>11</v>
      </c>
      <c r="B335" s="583">
        <v>907</v>
      </c>
      <c r="C335" s="581">
        <v>8</v>
      </c>
      <c r="D335" s="1137" t="s">
        <v>325</v>
      </c>
      <c r="E335" s="1138" t="s">
        <v>1038</v>
      </c>
      <c r="F335" s="599">
        <v>29859106579</v>
      </c>
      <c r="G335" s="599"/>
      <c r="H335" s="599"/>
      <c r="I335" s="599"/>
      <c r="J335" s="599">
        <v>-29859106579</v>
      </c>
      <c r="K335" s="599"/>
      <c r="L335" s="599"/>
      <c r="M335" s="599"/>
      <c r="N335" s="599"/>
      <c r="O335" s="599"/>
      <c r="P335" s="599"/>
      <c r="Q335" s="599"/>
      <c r="R335" s="599"/>
      <c r="S335" s="1096">
        <f t="shared" si="20"/>
        <v>0</v>
      </c>
      <c r="T335" s="599">
        <v>0</v>
      </c>
      <c r="U335" s="1096">
        <f t="shared" si="21"/>
        <v>0</v>
      </c>
      <c r="V335" s="599">
        <v>0</v>
      </c>
      <c r="W335" s="620"/>
      <c r="X335" s="621"/>
      <c r="Y335" s="1096">
        <f t="shared" si="22"/>
        <v>0</v>
      </c>
      <c r="Z335" s="882">
        <f t="shared" si="23"/>
        <v>0</v>
      </c>
    </row>
    <row r="336" spans="1:26" ht="27" hidden="1" customHeight="1">
      <c r="A336" s="583"/>
      <c r="B336" s="583">
        <v>906</v>
      </c>
      <c r="C336" s="581">
        <v>8</v>
      </c>
      <c r="D336" s="1137" t="s">
        <v>751</v>
      </c>
      <c r="E336" s="1138" t="s">
        <v>752</v>
      </c>
      <c r="F336" s="599"/>
      <c r="G336" s="599"/>
      <c r="H336" s="599"/>
      <c r="I336" s="599"/>
      <c r="J336" s="599"/>
      <c r="K336" s="599"/>
      <c r="L336" s="599"/>
      <c r="M336" s="599"/>
      <c r="N336" s="599"/>
      <c r="O336" s="599"/>
      <c r="P336" s="599"/>
      <c r="Q336" s="599"/>
      <c r="R336" s="599"/>
      <c r="S336" s="1096">
        <f t="shared" si="20"/>
        <v>0</v>
      </c>
      <c r="T336" s="599">
        <v>0</v>
      </c>
      <c r="U336" s="1096">
        <f t="shared" si="21"/>
        <v>0</v>
      </c>
      <c r="V336" s="599">
        <v>0</v>
      </c>
      <c r="W336" s="620"/>
      <c r="X336" s="621"/>
      <c r="Y336" s="1096">
        <f t="shared" si="22"/>
        <v>0</v>
      </c>
      <c r="Z336" s="882">
        <f t="shared" si="23"/>
        <v>0</v>
      </c>
    </row>
    <row r="337" spans="1:26" ht="27" hidden="1" customHeight="1">
      <c r="A337" s="583"/>
      <c r="B337" s="583">
        <v>907</v>
      </c>
      <c r="C337" s="581">
        <v>8</v>
      </c>
      <c r="D337" s="1137" t="s">
        <v>751</v>
      </c>
      <c r="E337" s="1138" t="s">
        <v>752</v>
      </c>
      <c r="F337" s="599"/>
      <c r="G337" s="599"/>
      <c r="H337" s="599"/>
      <c r="I337" s="599"/>
      <c r="J337" s="599"/>
      <c r="K337" s="599"/>
      <c r="L337" s="599"/>
      <c r="M337" s="599"/>
      <c r="N337" s="599"/>
      <c r="O337" s="599"/>
      <c r="P337" s="599"/>
      <c r="Q337" s="599"/>
      <c r="R337" s="599"/>
      <c r="S337" s="1096">
        <f t="shared" si="20"/>
        <v>0</v>
      </c>
      <c r="T337" s="599">
        <v>0</v>
      </c>
      <c r="U337" s="1096">
        <f t="shared" si="21"/>
        <v>0</v>
      </c>
      <c r="V337" s="599">
        <v>0</v>
      </c>
      <c r="W337" s="620"/>
      <c r="X337" s="621"/>
      <c r="Y337" s="1096">
        <f t="shared" si="22"/>
        <v>0</v>
      </c>
      <c r="Z337" s="882">
        <f t="shared" si="23"/>
        <v>0</v>
      </c>
    </row>
    <row r="338" spans="1:26" ht="27" hidden="1" customHeight="1">
      <c r="A338" s="583"/>
      <c r="B338" s="583">
        <v>601</v>
      </c>
      <c r="C338" s="581">
        <v>12</v>
      </c>
      <c r="D338" s="1137" t="s">
        <v>750</v>
      </c>
      <c r="E338" s="1138" t="s">
        <v>752</v>
      </c>
      <c r="F338" s="599"/>
      <c r="G338" s="599"/>
      <c r="H338" s="599"/>
      <c r="I338" s="599"/>
      <c r="J338" s="599"/>
      <c r="K338" s="599"/>
      <c r="L338" s="599"/>
      <c r="M338" s="599"/>
      <c r="N338" s="599"/>
      <c r="O338" s="599"/>
      <c r="P338" s="599"/>
      <c r="Q338" s="599"/>
      <c r="R338" s="599"/>
      <c r="S338" s="1096">
        <f t="shared" si="20"/>
        <v>0</v>
      </c>
      <c r="T338" s="599">
        <v>0</v>
      </c>
      <c r="U338" s="1096">
        <f t="shared" si="21"/>
        <v>0</v>
      </c>
      <c r="V338" s="599">
        <v>0</v>
      </c>
      <c r="W338" s="620"/>
      <c r="X338" s="621"/>
      <c r="Y338" s="1096">
        <f t="shared" si="22"/>
        <v>0</v>
      </c>
      <c r="Z338" s="882">
        <f t="shared" si="23"/>
        <v>0</v>
      </c>
    </row>
    <row r="339" spans="1:26" ht="27" hidden="1" customHeight="1">
      <c r="A339" s="583"/>
      <c r="B339" s="583">
        <v>302</v>
      </c>
      <c r="C339" s="581">
        <v>14</v>
      </c>
      <c r="D339" s="1137" t="s">
        <v>750</v>
      </c>
      <c r="E339" s="1138" t="s">
        <v>752</v>
      </c>
      <c r="F339" s="599"/>
      <c r="G339" s="599"/>
      <c r="H339" s="599"/>
      <c r="I339" s="599"/>
      <c r="J339" s="599"/>
      <c r="K339" s="599"/>
      <c r="L339" s="599"/>
      <c r="M339" s="599"/>
      <c r="N339" s="599"/>
      <c r="O339" s="599"/>
      <c r="P339" s="599"/>
      <c r="Q339" s="599"/>
      <c r="R339" s="599"/>
      <c r="S339" s="1096">
        <f t="shared" si="20"/>
        <v>0</v>
      </c>
      <c r="T339" s="599">
        <v>0</v>
      </c>
      <c r="U339" s="1096">
        <f t="shared" si="21"/>
        <v>0</v>
      </c>
      <c r="V339" s="599">
        <v>0</v>
      </c>
      <c r="W339" s="620"/>
      <c r="X339" s="621"/>
      <c r="Y339" s="1096">
        <f t="shared" si="22"/>
        <v>0</v>
      </c>
      <c r="Z339" s="882">
        <f t="shared" si="23"/>
        <v>0</v>
      </c>
    </row>
    <row r="340" spans="1:26" ht="27" hidden="1" customHeight="1">
      <c r="A340" s="583"/>
      <c r="B340" s="583"/>
      <c r="C340" s="581">
        <v>15</v>
      </c>
      <c r="D340" s="1137" t="s">
        <v>327</v>
      </c>
      <c r="E340" s="1138" t="s">
        <v>328</v>
      </c>
      <c r="F340" s="599">
        <v>-11999995356000</v>
      </c>
      <c r="G340" s="599"/>
      <c r="H340" s="599"/>
      <c r="I340" s="599"/>
      <c r="J340" s="599"/>
      <c r="K340" s="599"/>
      <c r="L340" s="599"/>
      <c r="M340" s="599"/>
      <c r="N340" s="599"/>
      <c r="O340" s="599"/>
      <c r="P340" s="599"/>
      <c r="Q340" s="599"/>
      <c r="R340" s="599"/>
      <c r="S340" s="1096">
        <f t="shared" si="20"/>
        <v>-11999995356000</v>
      </c>
      <c r="T340" s="599">
        <v>-12000000000000</v>
      </c>
      <c r="U340" s="1096">
        <f t="shared" si="21"/>
        <v>-11999995</v>
      </c>
      <c r="V340" s="599">
        <v>-12000000</v>
      </c>
      <c r="W340" s="620"/>
      <c r="X340" s="621"/>
      <c r="Y340" s="1096">
        <f t="shared" si="22"/>
        <v>-11999995356000</v>
      </c>
      <c r="Z340" s="882">
        <f t="shared" si="23"/>
        <v>-11999995</v>
      </c>
    </row>
    <row r="341" spans="1:26" ht="27" hidden="1" customHeight="1">
      <c r="A341" s="583"/>
      <c r="B341" s="583">
        <v>10040</v>
      </c>
      <c r="C341" s="581">
        <v>11</v>
      </c>
      <c r="D341" s="1137" t="s">
        <v>1345</v>
      </c>
      <c r="E341" s="1138" t="s">
        <v>1346</v>
      </c>
      <c r="F341" s="599"/>
      <c r="G341" s="599"/>
      <c r="H341" s="599"/>
      <c r="I341" s="599"/>
      <c r="J341" s="599"/>
      <c r="K341" s="599"/>
      <c r="L341" s="599"/>
      <c r="M341" s="599"/>
      <c r="N341" s="599"/>
      <c r="O341" s="599"/>
      <c r="P341" s="599"/>
      <c r="Q341" s="599"/>
      <c r="R341" s="599"/>
      <c r="S341" s="1096">
        <f t="shared" si="20"/>
        <v>0</v>
      </c>
      <c r="T341" s="599">
        <v>0</v>
      </c>
      <c r="U341" s="1096">
        <f t="shared" si="21"/>
        <v>0</v>
      </c>
      <c r="V341" s="599">
        <v>0</v>
      </c>
      <c r="W341" s="620"/>
      <c r="X341" s="621"/>
      <c r="Y341" s="1096">
        <f t="shared" si="22"/>
        <v>0</v>
      </c>
      <c r="Z341" s="882">
        <f t="shared" si="23"/>
        <v>0</v>
      </c>
    </row>
    <row r="342" spans="1:26" ht="27" hidden="1" customHeight="1">
      <c r="A342" s="583"/>
      <c r="B342" s="583">
        <v>1401</v>
      </c>
      <c r="C342" s="581">
        <v>16</v>
      </c>
      <c r="D342" s="1137" t="s">
        <v>329</v>
      </c>
      <c r="E342" s="1138" t="s">
        <v>330</v>
      </c>
      <c r="F342" s="599">
        <v>-500000</v>
      </c>
      <c r="G342" s="599"/>
      <c r="H342" s="599"/>
      <c r="I342" s="599"/>
      <c r="J342" s="599"/>
      <c r="K342" s="599"/>
      <c r="L342" s="599"/>
      <c r="M342" s="599"/>
      <c r="N342" s="599"/>
      <c r="O342" s="599"/>
      <c r="P342" s="599"/>
      <c r="Q342" s="599"/>
      <c r="R342" s="599"/>
      <c r="S342" s="1096">
        <f t="shared" si="20"/>
        <v>-500000</v>
      </c>
      <c r="T342" s="599">
        <v>-500000</v>
      </c>
      <c r="U342" s="1096">
        <f t="shared" si="21"/>
        <v>-1</v>
      </c>
      <c r="V342" s="599">
        <v>-1</v>
      </c>
      <c r="W342" s="620"/>
      <c r="X342" s="621"/>
      <c r="Y342" s="1096">
        <f t="shared" si="22"/>
        <v>-500000</v>
      </c>
      <c r="Z342" s="882">
        <f t="shared" si="23"/>
        <v>-1</v>
      </c>
    </row>
    <row r="343" spans="1:26" ht="27" hidden="1" customHeight="1">
      <c r="A343" s="583"/>
      <c r="B343" s="583">
        <v>1402</v>
      </c>
      <c r="C343" s="581">
        <v>16</v>
      </c>
      <c r="D343" s="1137" t="s">
        <v>331</v>
      </c>
      <c r="E343" s="1138" t="s">
        <v>332</v>
      </c>
      <c r="F343" s="599">
        <v>-2735500000</v>
      </c>
      <c r="G343" s="599"/>
      <c r="H343" s="599"/>
      <c r="I343" s="599"/>
      <c r="J343" s="599"/>
      <c r="K343" s="599"/>
      <c r="L343" s="599"/>
      <c r="M343" s="599"/>
      <c r="N343" s="599"/>
      <c r="O343" s="599"/>
      <c r="P343" s="599"/>
      <c r="Q343" s="599"/>
      <c r="R343" s="599"/>
      <c r="S343" s="1096">
        <f t="shared" si="20"/>
        <v>-2735500000</v>
      </c>
      <c r="T343" s="599">
        <v>-2735500000</v>
      </c>
      <c r="U343" s="1096">
        <f t="shared" si="21"/>
        <v>-2736</v>
      </c>
      <c r="V343" s="599">
        <v>-2736</v>
      </c>
      <c r="W343" s="620"/>
      <c r="X343" s="621"/>
      <c r="Y343" s="1096">
        <f t="shared" si="22"/>
        <v>-2735500000</v>
      </c>
      <c r="Z343" s="882">
        <f t="shared" si="23"/>
        <v>-2736</v>
      </c>
    </row>
    <row r="344" spans="1:26" ht="27" hidden="1" customHeight="1">
      <c r="A344" s="583"/>
      <c r="B344" s="583">
        <v>406</v>
      </c>
      <c r="C344" s="581">
        <v>11</v>
      </c>
      <c r="D344" s="1137" t="s">
        <v>1211</v>
      </c>
      <c r="E344" s="1138" t="s">
        <v>1165</v>
      </c>
      <c r="F344" s="599"/>
      <c r="G344" s="599"/>
      <c r="H344" s="599"/>
      <c r="I344" s="599"/>
      <c r="J344" s="599"/>
      <c r="K344" s="599"/>
      <c r="L344" s="599"/>
      <c r="M344" s="599"/>
      <c r="N344" s="599"/>
      <c r="O344" s="599"/>
      <c r="P344" s="599"/>
      <c r="Q344" s="599"/>
      <c r="R344" s="599"/>
      <c r="S344" s="1096">
        <f t="shared" si="20"/>
        <v>0</v>
      </c>
      <c r="T344" s="599">
        <v>0</v>
      </c>
      <c r="U344" s="1096">
        <f t="shared" si="21"/>
        <v>0</v>
      </c>
      <c r="V344" s="599">
        <v>0</v>
      </c>
      <c r="W344" s="620"/>
      <c r="X344" s="621"/>
      <c r="Y344" s="1096">
        <f t="shared" si="22"/>
        <v>0</v>
      </c>
      <c r="Z344" s="882">
        <f t="shared" si="23"/>
        <v>0</v>
      </c>
    </row>
    <row r="345" spans="1:26" ht="27" hidden="1" customHeight="1">
      <c r="A345" s="583"/>
      <c r="B345" s="583">
        <v>901</v>
      </c>
      <c r="C345" s="581">
        <v>8</v>
      </c>
      <c r="D345" s="1137" t="s">
        <v>112</v>
      </c>
      <c r="E345" s="1138" t="s">
        <v>113</v>
      </c>
      <c r="F345" s="599">
        <v>2347769722997</v>
      </c>
      <c r="G345" s="599"/>
      <c r="H345" s="599">
        <v>54598289410</v>
      </c>
      <c r="I345" s="599"/>
      <c r="J345" s="599">
        <v>-16605324</v>
      </c>
      <c r="K345" s="599"/>
      <c r="L345" s="599"/>
      <c r="M345" s="599"/>
      <c r="N345" s="599"/>
      <c r="O345" s="599"/>
      <c r="P345" s="599"/>
      <c r="Q345" s="599"/>
      <c r="R345" s="599"/>
      <c r="S345" s="1096">
        <f t="shared" si="20"/>
        <v>2402351407083</v>
      </c>
      <c r="T345" s="599">
        <v>2347769722997</v>
      </c>
      <c r="U345" s="1096">
        <f t="shared" si="21"/>
        <v>2402351</v>
      </c>
      <c r="V345" s="599">
        <v>2347769</v>
      </c>
      <c r="W345" s="620"/>
      <c r="X345" s="621"/>
      <c r="Y345" s="1096">
        <f t="shared" si="22"/>
        <v>2402351407083</v>
      </c>
      <c r="Z345" s="882">
        <f t="shared" si="23"/>
        <v>2402351</v>
      </c>
    </row>
    <row r="346" spans="1:26" ht="27" hidden="1" customHeight="1">
      <c r="A346" s="583"/>
      <c r="B346" s="583">
        <v>901</v>
      </c>
      <c r="C346" s="581">
        <v>8</v>
      </c>
      <c r="D346" s="1230">
        <v>90002006</v>
      </c>
      <c r="E346" s="1138" t="s">
        <v>1829</v>
      </c>
      <c r="F346" s="599">
        <v>-16605324</v>
      </c>
      <c r="G346" s="599"/>
      <c r="H346" s="599"/>
      <c r="I346" s="599"/>
      <c r="J346" s="599">
        <v>16605324</v>
      </c>
      <c r="K346" s="599"/>
      <c r="L346" s="599"/>
      <c r="M346" s="599"/>
      <c r="N346" s="599"/>
      <c r="O346" s="599"/>
      <c r="P346" s="599"/>
      <c r="Q346" s="599"/>
      <c r="R346" s="599"/>
      <c r="S346" s="1096">
        <f t="shared" si="20"/>
        <v>0</v>
      </c>
      <c r="T346" s="599">
        <v>0</v>
      </c>
      <c r="U346" s="1096">
        <f t="shared" si="21"/>
        <v>0</v>
      </c>
      <c r="V346" s="599">
        <v>0</v>
      </c>
      <c r="W346" s="620"/>
      <c r="X346" s="621"/>
      <c r="Y346" s="1096">
        <f t="shared" si="22"/>
        <v>0</v>
      </c>
      <c r="Z346" s="882">
        <f t="shared" si="23"/>
        <v>0</v>
      </c>
    </row>
    <row r="347" spans="1:26" ht="27" hidden="1" customHeight="1">
      <c r="A347" s="583"/>
      <c r="B347" s="583">
        <v>902</v>
      </c>
      <c r="C347" s="581">
        <v>8</v>
      </c>
      <c r="D347" s="1137" t="s">
        <v>114</v>
      </c>
      <c r="E347" s="1138" t="s">
        <v>921</v>
      </c>
      <c r="F347" s="599">
        <v>32898588228596</v>
      </c>
      <c r="G347" s="599">
        <v>104222855082</v>
      </c>
      <c r="H347" s="599">
        <v>4159320620765</v>
      </c>
      <c r="I347" s="599">
        <f>2391768137-3448849051653</f>
        <v>-3446457283516</v>
      </c>
      <c r="J347" s="599">
        <f>1925532904-175136309703</f>
        <v>-173210776799</v>
      </c>
      <c r="K347" s="599">
        <v>-3301275317</v>
      </c>
      <c r="L347" s="599"/>
      <c r="M347" s="599"/>
      <c r="N347" s="599"/>
      <c r="O347" s="599"/>
      <c r="P347" s="599"/>
      <c r="Q347" s="599"/>
      <c r="R347" s="599"/>
      <c r="S347" s="1096">
        <f t="shared" si="20"/>
        <v>33539162368811</v>
      </c>
      <c r="T347" s="599">
        <v>32318244329107</v>
      </c>
      <c r="U347" s="1555">
        <f>ROUND((S347/1000000),0)+1</f>
        <v>33539163</v>
      </c>
      <c r="V347" s="599">
        <v>32318244</v>
      </c>
      <c r="W347" s="620"/>
      <c r="X347" s="621"/>
      <c r="Y347" s="1096">
        <f t="shared" si="22"/>
        <v>33539162368811</v>
      </c>
      <c r="Z347" s="882">
        <f t="shared" si="23"/>
        <v>33539162</v>
      </c>
    </row>
    <row r="348" spans="1:26" s="1433" customFormat="1" ht="27" hidden="1" customHeight="1">
      <c r="A348" s="1427"/>
      <c r="B348" s="1427">
        <v>902</v>
      </c>
      <c r="C348" s="581">
        <v>8</v>
      </c>
      <c r="D348" s="1428">
        <v>90002102</v>
      </c>
      <c r="E348" s="1429" t="s">
        <v>1857</v>
      </c>
      <c r="F348" s="1430">
        <v>-15041107905</v>
      </c>
      <c r="G348" s="1430"/>
      <c r="H348" s="1430"/>
      <c r="I348" s="1430"/>
      <c r="J348" s="1430">
        <v>15041107905</v>
      </c>
      <c r="K348" s="1430"/>
      <c r="L348" s="1430"/>
      <c r="M348" s="1430"/>
      <c r="N348" s="1430"/>
      <c r="O348" s="1430"/>
      <c r="P348" s="1430"/>
      <c r="Q348" s="1430"/>
      <c r="R348" s="1430"/>
      <c r="S348" s="1096">
        <f t="shared" si="20"/>
        <v>0</v>
      </c>
      <c r="T348" s="1430"/>
      <c r="U348" s="1096">
        <f t="shared" si="21"/>
        <v>0</v>
      </c>
      <c r="V348" s="1430"/>
      <c r="W348" s="1431"/>
      <c r="X348" s="1432"/>
      <c r="Y348" s="1430"/>
      <c r="Z348" s="1430"/>
    </row>
    <row r="349" spans="1:26" ht="27" hidden="1" customHeight="1">
      <c r="A349" s="583"/>
      <c r="B349" s="583">
        <v>902</v>
      </c>
      <c r="C349" s="581">
        <v>8</v>
      </c>
      <c r="D349" s="1137" t="s">
        <v>1666</v>
      </c>
      <c r="E349" s="1138" t="s">
        <v>1645</v>
      </c>
      <c r="F349" s="599">
        <v>-144660000</v>
      </c>
      <c r="G349" s="599"/>
      <c r="H349" s="599"/>
      <c r="I349" s="599"/>
      <c r="J349" s="599">
        <v>144660000</v>
      </c>
      <c r="K349" s="599"/>
      <c r="L349" s="599"/>
      <c r="M349" s="599"/>
      <c r="N349" s="599"/>
      <c r="O349" s="599"/>
      <c r="P349" s="599"/>
      <c r="Q349" s="599"/>
      <c r="R349" s="599"/>
      <c r="S349" s="1096">
        <f t="shared" si="20"/>
        <v>0</v>
      </c>
      <c r="T349" s="599">
        <v>0</v>
      </c>
      <c r="U349" s="1096">
        <f t="shared" si="21"/>
        <v>0</v>
      </c>
      <c r="V349" s="599">
        <v>0</v>
      </c>
      <c r="W349" s="620"/>
      <c r="X349" s="621"/>
      <c r="Y349" s="1096">
        <f t="shared" si="22"/>
        <v>0</v>
      </c>
      <c r="Z349" s="882">
        <f t="shared" si="23"/>
        <v>0</v>
      </c>
    </row>
    <row r="350" spans="1:26" ht="27" hidden="1" customHeight="1">
      <c r="A350" s="583"/>
      <c r="B350" s="583"/>
      <c r="C350" s="581">
        <v>9</v>
      </c>
      <c r="D350" s="1137" t="s">
        <v>667</v>
      </c>
      <c r="E350" s="1138" t="s">
        <v>666</v>
      </c>
      <c r="F350" s="599">
        <v>8557763010</v>
      </c>
      <c r="G350" s="599"/>
      <c r="H350" s="599"/>
      <c r="I350" s="599"/>
      <c r="J350" s="599"/>
      <c r="K350" s="599"/>
      <c r="L350" s="599"/>
      <c r="M350" s="599"/>
      <c r="N350" s="599"/>
      <c r="O350" s="599"/>
      <c r="P350" s="599"/>
      <c r="Q350" s="599"/>
      <c r="R350" s="599"/>
      <c r="S350" s="1096">
        <f t="shared" si="20"/>
        <v>8557763010</v>
      </c>
      <c r="T350" s="599">
        <v>8557763010</v>
      </c>
      <c r="U350" s="1096">
        <f t="shared" si="21"/>
        <v>8558</v>
      </c>
      <c r="V350" s="599">
        <v>8558</v>
      </c>
      <c r="W350" s="620"/>
      <c r="X350" s="621"/>
      <c r="Y350" s="1096">
        <f t="shared" si="22"/>
        <v>8557763010</v>
      </c>
      <c r="Z350" s="882">
        <f t="shared" si="23"/>
        <v>8558</v>
      </c>
    </row>
    <row r="351" spans="1:26" ht="27" hidden="1" customHeight="1">
      <c r="A351" s="583"/>
      <c r="B351" s="583">
        <v>903</v>
      </c>
      <c r="C351" s="581">
        <v>8</v>
      </c>
      <c r="D351" s="1137" t="s">
        <v>105</v>
      </c>
      <c r="E351" s="1138" t="s">
        <v>914</v>
      </c>
      <c r="F351" s="599">
        <v>1546047622524</v>
      </c>
      <c r="G351" s="599"/>
      <c r="H351" s="599"/>
      <c r="I351" s="599"/>
      <c r="J351" s="599"/>
      <c r="K351" s="599"/>
      <c r="L351" s="599"/>
      <c r="M351" s="599"/>
      <c r="N351" s="599">
        <f>388897667194-2487545789</f>
        <v>386410121405</v>
      </c>
      <c r="O351" s="599"/>
      <c r="P351" s="599"/>
      <c r="Q351" s="599"/>
      <c r="R351" s="599"/>
      <c r="S351" s="1096">
        <f t="shared" si="20"/>
        <v>1932457743929</v>
      </c>
      <c r="T351" s="599">
        <v>1546047261859</v>
      </c>
      <c r="U351" s="1096">
        <f t="shared" si="21"/>
        <v>1932458</v>
      </c>
      <c r="V351" s="599">
        <v>1546047</v>
      </c>
      <c r="W351" s="620"/>
      <c r="X351" s="621"/>
      <c r="Y351" s="1096">
        <f t="shared" si="22"/>
        <v>1932457743929</v>
      </c>
      <c r="Z351" s="882">
        <f t="shared" si="23"/>
        <v>1932458</v>
      </c>
    </row>
    <row r="352" spans="1:26" ht="27" hidden="1" customHeight="1">
      <c r="A352" s="583"/>
      <c r="B352" s="583">
        <v>903</v>
      </c>
      <c r="C352" s="581">
        <v>8</v>
      </c>
      <c r="D352" s="1137" t="s">
        <v>1108</v>
      </c>
      <c r="E352" s="1138" t="s">
        <v>1109</v>
      </c>
      <c r="F352" s="599">
        <v>220758441264</v>
      </c>
      <c r="G352" s="599">
        <f>16501844676-41095667</f>
        <v>16460749009</v>
      </c>
      <c r="H352" s="599"/>
      <c r="I352" s="599">
        <v>11021838311</v>
      </c>
      <c r="J352" s="599">
        <v>139541343233</v>
      </c>
      <c r="K352" s="599">
        <f>3301275317-2185979940</f>
        <v>1115295377</v>
      </c>
      <c r="L352" s="599"/>
      <c r="M352" s="599"/>
      <c r="N352" s="599">
        <v>-388897667194</v>
      </c>
      <c r="O352" s="599"/>
      <c r="P352" s="599"/>
      <c r="Q352" s="599"/>
      <c r="R352" s="599"/>
      <c r="S352" s="1096">
        <f t="shared" si="20"/>
        <v>0</v>
      </c>
      <c r="T352" s="599">
        <v>0</v>
      </c>
      <c r="U352" s="1096">
        <f t="shared" si="21"/>
        <v>0</v>
      </c>
      <c r="V352" s="599">
        <v>0</v>
      </c>
      <c r="W352" s="620"/>
      <c r="X352" s="621"/>
      <c r="Y352" s="1096">
        <f t="shared" si="22"/>
        <v>0</v>
      </c>
      <c r="Z352" s="882">
        <f t="shared" si="23"/>
        <v>0</v>
      </c>
    </row>
    <row r="353" spans="1:26" ht="27" hidden="1" customHeight="1">
      <c r="A353" s="583"/>
      <c r="B353" s="583">
        <v>903</v>
      </c>
      <c r="C353" s="581">
        <v>8</v>
      </c>
      <c r="D353" s="1137" t="s">
        <v>1110</v>
      </c>
      <c r="E353" s="1138" t="s">
        <v>1111</v>
      </c>
      <c r="F353" s="599">
        <v>-2487545789</v>
      </c>
      <c r="G353" s="599"/>
      <c r="H353" s="599"/>
      <c r="I353" s="599"/>
      <c r="J353" s="599"/>
      <c r="K353" s="599"/>
      <c r="L353" s="599"/>
      <c r="M353" s="599"/>
      <c r="N353" s="599">
        <v>2487545789</v>
      </c>
      <c r="O353" s="599"/>
      <c r="P353" s="599"/>
      <c r="Q353" s="599"/>
      <c r="R353" s="599"/>
      <c r="S353" s="1096">
        <f t="shared" si="20"/>
        <v>0</v>
      </c>
      <c r="T353" s="599">
        <v>0</v>
      </c>
      <c r="U353" s="1096">
        <f t="shared" si="21"/>
        <v>0</v>
      </c>
      <c r="V353" s="599">
        <v>0</v>
      </c>
      <c r="W353" s="620"/>
      <c r="X353" s="621"/>
      <c r="Y353" s="1096">
        <f t="shared" si="22"/>
        <v>0</v>
      </c>
      <c r="Z353" s="882">
        <f t="shared" si="23"/>
        <v>0</v>
      </c>
    </row>
    <row r="354" spans="1:26" ht="27" hidden="1" customHeight="1">
      <c r="A354" s="583"/>
      <c r="B354" s="583">
        <v>903</v>
      </c>
      <c r="C354" s="581">
        <v>8</v>
      </c>
      <c r="D354" s="1137" t="s">
        <v>1612</v>
      </c>
      <c r="E354" s="1138" t="s">
        <v>1112</v>
      </c>
      <c r="F354" s="599"/>
      <c r="G354" s="599"/>
      <c r="H354" s="599"/>
      <c r="I354" s="599"/>
      <c r="J354" s="599"/>
      <c r="K354" s="599"/>
      <c r="L354" s="599"/>
      <c r="M354" s="599"/>
      <c r="N354" s="599"/>
      <c r="O354" s="599"/>
      <c r="P354" s="599"/>
      <c r="Q354" s="599"/>
      <c r="R354" s="599"/>
      <c r="S354" s="1096">
        <f t="shared" si="20"/>
        <v>0</v>
      </c>
      <c r="T354" s="599">
        <v>0</v>
      </c>
      <c r="U354" s="1096">
        <f t="shared" si="21"/>
        <v>0</v>
      </c>
      <c r="V354" s="599">
        <v>0</v>
      </c>
      <c r="W354" s="620"/>
      <c r="X354" s="621"/>
      <c r="Y354" s="1096">
        <f t="shared" si="22"/>
        <v>0</v>
      </c>
      <c r="Z354" s="882">
        <f t="shared" si="23"/>
        <v>0</v>
      </c>
    </row>
    <row r="355" spans="1:26" ht="27" hidden="1" customHeight="1">
      <c r="A355" s="583"/>
      <c r="B355" s="583">
        <v>902</v>
      </c>
      <c r="C355" s="581">
        <v>8</v>
      </c>
      <c r="D355" s="1137">
        <v>90002140</v>
      </c>
      <c r="E355" s="1138" t="s">
        <v>1819</v>
      </c>
      <c r="F355" s="599"/>
      <c r="G355" s="599"/>
      <c r="H355" s="599"/>
      <c r="I355" s="599"/>
      <c r="J355" s="599"/>
      <c r="K355" s="599"/>
      <c r="L355" s="599"/>
      <c r="M355" s="599"/>
      <c r="N355" s="599"/>
      <c r="O355" s="599"/>
      <c r="P355" s="599"/>
      <c r="Q355" s="599"/>
      <c r="R355" s="599"/>
      <c r="S355" s="1096">
        <f t="shared" si="20"/>
        <v>0</v>
      </c>
      <c r="T355" s="599">
        <v>0</v>
      </c>
      <c r="U355" s="1096">
        <f t="shared" si="21"/>
        <v>0</v>
      </c>
      <c r="V355" s="599">
        <v>0</v>
      </c>
      <c r="W355" s="620"/>
      <c r="X355" s="621"/>
      <c r="Y355" s="1096">
        <f t="shared" si="22"/>
        <v>0</v>
      </c>
      <c r="Z355" s="882">
        <f t="shared" si="23"/>
        <v>0</v>
      </c>
    </row>
    <row r="356" spans="1:26" ht="27" hidden="1" customHeight="1">
      <c r="A356" s="583"/>
      <c r="B356" s="583">
        <v>905</v>
      </c>
      <c r="C356" s="581">
        <v>8</v>
      </c>
      <c r="D356" s="1137" t="s">
        <v>107</v>
      </c>
      <c r="E356" s="1138" t="s">
        <v>918</v>
      </c>
      <c r="F356" s="599">
        <v>660318003290</v>
      </c>
      <c r="G356" s="599"/>
      <c r="H356" s="599"/>
      <c r="I356" s="599"/>
      <c r="J356" s="599"/>
      <c r="K356" s="599"/>
      <c r="L356" s="599"/>
      <c r="M356" s="599"/>
      <c r="N356" s="599">
        <f>19614364891-120000000</f>
        <v>19494364891</v>
      </c>
      <c r="O356" s="599"/>
      <c r="P356" s="599"/>
      <c r="Q356" s="599"/>
      <c r="R356" s="599"/>
      <c r="S356" s="1096">
        <f t="shared" si="20"/>
        <v>679812368181</v>
      </c>
      <c r="T356" s="599">
        <v>660318003290</v>
      </c>
      <c r="U356" s="1096">
        <f t="shared" si="21"/>
        <v>679812</v>
      </c>
      <c r="V356" s="599">
        <v>660318</v>
      </c>
      <c r="W356" s="620"/>
      <c r="X356" s="621"/>
      <c r="Y356" s="1096">
        <f t="shared" si="22"/>
        <v>679812368181</v>
      </c>
      <c r="Z356" s="882">
        <f t="shared" si="23"/>
        <v>679812</v>
      </c>
    </row>
    <row r="357" spans="1:26" ht="27" hidden="1" customHeight="1">
      <c r="A357" s="583"/>
      <c r="B357" s="583">
        <v>905</v>
      </c>
      <c r="C357" s="581">
        <v>8</v>
      </c>
      <c r="D357" s="1137" t="s">
        <v>1113</v>
      </c>
      <c r="E357" s="1138" t="s">
        <v>1114</v>
      </c>
      <c r="F357" s="599">
        <v>9426054544</v>
      </c>
      <c r="G357" s="599">
        <v>2167030000</v>
      </c>
      <c r="H357" s="599"/>
      <c r="I357" s="599"/>
      <c r="J357" s="599">
        <v>8021280347</v>
      </c>
      <c r="K357" s="599"/>
      <c r="L357" s="599"/>
      <c r="M357" s="599"/>
      <c r="N357" s="599">
        <v>-19614364891</v>
      </c>
      <c r="O357" s="599"/>
      <c r="P357" s="599"/>
      <c r="Q357" s="599"/>
      <c r="R357" s="599"/>
      <c r="S357" s="1096">
        <f t="shared" si="20"/>
        <v>0</v>
      </c>
      <c r="T357" s="599">
        <v>0</v>
      </c>
      <c r="U357" s="1096">
        <f t="shared" si="21"/>
        <v>0</v>
      </c>
      <c r="V357" s="599">
        <v>0</v>
      </c>
      <c r="W357" s="620"/>
      <c r="X357" s="621"/>
      <c r="Y357" s="1096">
        <f t="shared" si="22"/>
        <v>0</v>
      </c>
      <c r="Z357" s="882">
        <f t="shared" si="23"/>
        <v>0</v>
      </c>
    </row>
    <row r="358" spans="1:26" ht="27" hidden="1" customHeight="1">
      <c r="A358" s="583"/>
      <c r="B358" s="583">
        <v>905</v>
      </c>
      <c r="C358" s="581">
        <v>8</v>
      </c>
      <c r="D358" s="1137" t="s">
        <v>1116</v>
      </c>
      <c r="E358" s="1138" t="s">
        <v>1115</v>
      </c>
      <c r="F358" s="599">
        <v>-120000000</v>
      </c>
      <c r="G358" s="599"/>
      <c r="H358" s="599"/>
      <c r="I358" s="599"/>
      <c r="J358" s="599"/>
      <c r="K358" s="599"/>
      <c r="L358" s="599"/>
      <c r="M358" s="599"/>
      <c r="N358" s="599">
        <v>120000000</v>
      </c>
      <c r="O358" s="599"/>
      <c r="P358" s="599"/>
      <c r="Q358" s="599"/>
      <c r="R358" s="599"/>
      <c r="S358" s="1096">
        <f t="shared" si="20"/>
        <v>0</v>
      </c>
      <c r="T358" s="599">
        <v>0</v>
      </c>
      <c r="U358" s="1096">
        <f t="shared" si="21"/>
        <v>0</v>
      </c>
      <c r="V358" s="599">
        <v>0</v>
      </c>
      <c r="W358" s="620"/>
      <c r="X358" s="621"/>
      <c r="Y358" s="1096">
        <f t="shared" si="22"/>
        <v>0</v>
      </c>
      <c r="Z358" s="882">
        <f t="shared" si="23"/>
        <v>0</v>
      </c>
    </row>
    <row r="359" spans="1:26" ht="27" hidden="1" customHeight="1">
      <c r="A359" s="583"/>
      <c r="B359" s="583"/>
      <c r="C359" s="581">
        <v>8</v>
      </c>
      <c r="D359" s="1137" t="s">
        <v>1018</v>
      </c>
      <c r="E359" s="1138" t="s">
        <v>1019</v>
      </c>
      <c r="F359" s="599"/>
      <c r="G359" s="599"/>
      <c r="H359" s="599"/>
      <c r="I359" s="599"/>
      <c r="J359" s="599"/>
      <c r="K359" s="599"/>
      <c r="L359" s="599"/>
      <c r="M359" s="599"/>
      <c r="N359" s="599"/>
      <c r="O359" s="599"/>
      <c r="P359" s="599"/>
      <c r="Q359" s="599"/>
      <c r="R359" s="599"/>
      <c r="S359" s="1096">
        <f t="shared" si="20"/>
        <v>0</v>
      </c>
      <c r="T359" s="599">
        <v>0</v>
      </c>
      <c r="U359" s="1096">
        <f t="shared" si="21"/>
        <v>0</v>
      </c>
      <c r="V359" s="599">
        <v>0</v>
      </c>
      <c r="W359" s="620"/>
      <c r="X359" s="621"/>
      <c r="Y359" s="1096">
        <f t="shared" si="22"/>
        <v>0</v>
      </c>
      <c r="Z359" s="882">
        <f t="shared" si="23"/>
        <v>0</v>
      </c>
    </row>
    <row r="360" spans="1:26" ht="27" hidden="1" customHeight="1">
      <c r="A360" s="583"/>
      <c r="B360" s="1427">
        <v>902</v>
      </c>
      <c r="C360" s="581">
        <v>8</v>
      </c>
      <c r="D360" s="1137" t="s">
        <v>1198</v>
      </c>
      <c r="E360" s="1138" t="s">
        <v>1199</v>
      </c>
      <c r="F360" s="599">
        <v>-12159100802</v>
      </c>
      <c r="G360" s="599"/>
      <c r="H360" s="599"/>
      <c r="I360" s="599"/>
      <c r="J360" s="599">
        <v>12159100802</v>
      </c>
      <c r="K360" s="599"/>
      <c r="L360" s="599"/>
      <c r="M360" s="599"/>
      <c r="N360" s="599"/>
      <c r="O360" s="599"/>
      <c r="P360" s="599"/>
      <c r="Q360" s="599"/>
      <c r="R360" s="599"/>
      <c r="S360" s="1096">
        <f t="shared" si="20"/>
        <v>0</v>
      </c>
      <c r="T360" s="599">
        <v>0</v>
      </c>
      <c r="U360" s="1096">
        <f t="shared" si="21"/>
        <v>0</v>
      </c>
      <c r="V360" s="599">
        <v>0</v>
      </c>
      <c r="W360" s="620"/>
      <c r="X360" s="621"/>
      <c r="Y360" s="1096">
        <f t="shared" si="22"/>
        <v>0</v>
      </c>
      <c r="Z360" s="882">
        <f t="shared" si="23"/>
        <v>0</v>
      </c>
    </row>
    <row r="361" spans="1:26" ht="27" hidden="1" customHeight="1">
      <c r="A361" s="583"/>
      <c r="B361" s="583">
        <v>904</v>
      </c>
      <c r="C361" s="581">
        <v>8</v>
      </c>
      <c r="D361" s="1137" t="s">
        <v>149</v>
      </c>
      <c r="E361" s="1138" t="s">
        <v>916</v>
      </c>
      <c r="F361" s="599">
        <v>405900515911</v>
      </c>
      <c r="G361" s="599"/>
      <c r="H361" s="599"/>
      <c r="I361" s="599"/>
      <c r="J361" s="599"/>
      <c r="K361" s="599"/>
      <c r="L361" s="599"/>
      <c r="M361" s="599"/>
      <c r="N361" s="599">
        <f>54384718479-857136889</f>
        <v>53527581590</v>
      </c>
      <c r="O361" s="599"/>
      <c r="P361" s="599"/>
      <c r="Q361" s="599"/>
      <c r="R361" s="599"/>
      <c r="S361" s="1096">
        <f t="shared" si="20"/>
        <v>459428097501</v>
      </c>
      <c r="T361" s="599">
        <v>405900515911</v>
      </c>
      <c r="U361" s="1096">
        <f t="shared" si="21"/>
        <v>459428</v>
      </c>
      <c r="V361" s="599">
        <v>405901</v>
      </c>
      <c r="W361" s="620"/>
      <c r="X361" s="621"/>
      <c r="Y361" s="1096">
        <f t="shared" si="22"/>
        <v>459428097501</v>
      </c>
      <c r="Z361" s="882">
        <f t="shared" si="23"/>
        <v>459428</v>
      </c>
    </row>
    <row r="362" spans="1:26" ht="27" hidden="1" customHeight="1">
      <c r="A362" s="583"/>
      <c r="B362" s="583">
        <v>904</v>
      </c>
      <c r="C362" s="581">
        <v>8</v>
      </c>
      <c r="D362" s="1137" t="s">
        <v>1117</v>
      </c>
      <c r="E362" s="1138" t="s">
        <v>1120</v>
      </c>
      <c r="F362" s="599">
        <v>48032274822</v>
      </c>
      <c r="G362" s="599">
        <v>5333626241</v>
      </c>
      <c r="H362" s="599"/>
      <c r="I362" s="599">
        <v>790000000</v>
      </c>
      <c r="J362" s="599">
        <v>228817416</v>
      </c>
      <c r="K362" s="599"/>
      <c r="L362" s="599"/>
      <c r="M362" s="599"/>
      <c r="N362" s="599">
        <v>-54384718479</v>
      </c>
      <c r="O362" s="599"/>
      <c r="P362" s="599"/>
      <c r="Q362" s="599"/>
      <c r="R362" s="599"/>
      <c r="S362" s="1096">
        <f t="shared" si="20"/>
        <v>0</v>
      </c>
      <c r="T362" s="599">
        <v>0</v>
      </c>
      <c r="U362" s="1096">
        <f t="shared" si="21"/>
        <v>0</v>
      </c>
      <c r="V362" s="599">
        <v>0</v>
      </c>
      <c r="W362" s="620"/>
      <c r="X362" s="621"/>
      <c r="Y362" s="1096">
        <f t="shared" si="22"/>
        <v>0</v>
      </c>
      <c r="Z362" s="882">
        <f t="shared" si="23"/>
        <v>0</v>
      </c>
    </row>
    <row r="363" spans="1:26" ht="27" hidden="1" customHeight="1">
      <c r="A363" s="583"/>
      <c r="B363" s="583">
        <v>904</v>
      </c>
      <c r="C363" s="581">
        <v>8</v>
      </c>
      <c r="D363" s="1137" t="s">
        <v>1118</v>
      </c>
      <c r="E363" s="1138" t="s">
        <v>1121</v>
      </c>
      <c r="F363" s="599">
        <v>-847765187</v>
      </c>
      <c r="G363" s="599"/>
      <c r="H363" s="599"/>
      <c r="I363" s="599"/>
      <c r="J363" s="599"/>
      <c r="K363" s="599"/>
      <c r="L363" s="599">
        <v>-9371702</v>
      </c>
      <c r="M363" s="599"/>
      <c r="N363" s="599">
        <v>857136889</v>
      </c>
      <c r="O363" s="599"/>
      <c r="P363" s="599"/>
      <c r="Q363" s="599"/>
      <c r="R363" s="599"/>
      <c r="S363" s="1096">
        <f t="shared" si="20"/>
        <v>0</v>
      </c>
      <c r="T363" s="599">
        <v>0</v>
      </c>
      <c r="U363" s="1096">
        <f t="shared" si="21"/>
        <v>0</v>
      </c>
      <c r="V363" s="599">
        <v>0</v>
      </c>
      <c r="W363" s="620"/>
      <c r="X363" s="621"/>
      <c r="Y363" s="1096">
        <f t="shared" si="22"/>
        <v>0</v>
      </c>
      <c r="Z363" s="882">
        <f t="shared" si="23"/>
        <v>0</v>
      </c>
    </row>
    <row r="364" spans="1:26" ht="27" hidden="1" customHeight="1">
      <c r="A364" s="583"/>
      <c r="B364" s="583">
        <v>904</v>
      </c>
      <c r="C364" s="581">
        <v>8</v>
      </c>
      <c r="D364" s="1137" t="s">
        <v>1119</v>
      </c>
      <c r="E364" s="1138" t="s">
        <v>1122</v>
      </c>
      <c r="F364" s="599"/>
      <c r="G364" s="599"/>
      <c r="H364" s="599"/>
      <c r="I364" s="599"/>
      <c r="J364" s="599"/>
      <c r="K364" s="599"/>
      <c r="L364" s="599"/>
      <c r="M364" s="599"/>
      <c r="N364" s="599"/>
      <c r="O364" s="599"/>
      <c r="P364" s="599"/>
      <c r="Q364" s="599"/>
      <c r="R364" s="599"/>
      <c r="S364" s="1096">
        <f t="shared" si="20"/>
        <v>0</v>
      </c>
      <c r="T364" s="599">
        <v>0</v>
      </c>
      <c r="U364" s="1096">
        <f t="shared" si="21"/>
        <v>0</v>
      </c>
      <c r="V364" s="599">
        <v>0</v>
      </c>
      <c r="W364" s="620"/>
      <c r="X364" s="621"/>
      <c r="Y364" s="1096">
        <f t="shared" si="22"/>
        <v>0</v>
      </c>
      <c r="Z364" s="882">
        <f t="shared" si="23"/>
        <v>0</v>
      </c>
    </row>
    <row r="365" spans="1:26" ht="27" hidden="1" customHeight="1">
      <c r="A365" s="583"/>
      <c r="B365" s="1427">
        <v>903</v>
      </c>
      <c r="C365" s="581">
        <v>8</v>
      </c>
      <c r="D365" s="1137" t="s">
        <v>1020</v>
      </c>
      <c r="E365" s="1138" t="s">
        <v>1021</v>
      </c>
      <c r="F365" s="599">
        <v>12037058653</v>
      </c>
      <c r="G365" s="599">
        <f>13359552757-24002500917</f>
        <v>-10642948160</v>
      </c>
      <c r="H365" s="599">
        <f>779507-61800000</f>
        <v>-61020493</v>
      </c>
      <c r="I365" s="599">
        <v>-3371979940</v>
      </c>
      <c r="J365" s="599"/>
      <c r="K365" s="599">
        <f>2185979940-147090000</f>
        <v>2038889940</v>
      </c>
      <c r="L365" s="599"/>
      <c r="M365" s="599"/>
      <c r="N365" s="599"/>
      <c r="O365" s="599"/>
      <c r="P365" s="599"/>
      <c r="Q365" s="599"/>
      <c r="R365" s="599"/>
      <c r="S365" s="1096">
        <f t="shared" si="20"/>
        <v>0</v>
      </c>
      <c r="T365" s="599">
        <v>0</v>
      </c>
      <c r="U365" s="1096">
        <f t="shared" si="21"/>
        <v>0</v>
      </c>
      <c r="V365" s="599">
        <v>0</v>
      </c>
      <c r="W365" s="620"/>
      <c r="X365" s="621"/>
      <c r="Y365" s="1096">
        <f t="shared" si="22"/>
        <v>0</v>
      </c>
      <c r="Z365" s="882">
        <f t="shared" si="23"/>
        <v>0</v>
      </c>
    </row>
    <row r="366" spans="1:26" ht="27" hidden="1" customHeight="1">
      <c r="A366" s="583"/>
      <c r="B366" s="583">
        <v>902</v>
      </c>
      <c r="C366" s="581">
        <v>8</v>
      </c>
      <c r="D366" s="1137" t="s">
        <v>1010</v>
      </c>
      <c r="E366" s="1138" t="s">
        <v>1011</v>
      </c>
      <c r="F366" s="599">
        <v>-862729676554</v>
      </c>
      <c r="G366" s="599"/>
      <c r="H366" s="599"/>
      <c r="I366" s="599"/>
      <c r="J366" s="599"/>
      <c r="K366" s="599"/>
      <c r="L366" s="599">
        <v>-375901055950</v>
      </c>
      <c r="M366" s="599"/>
      <c r="N366" s="599">
        <v>1238630732504</v>
      </c>
      <c r="O366" s="599"/>
      <c r="P366" s="599"/>
      <c r="Q366" s="599"/>
      <c r="R366" s="599"/>
      <c r="S366" s="1096">
        <f t="shared" si="20"/>
        <v>0</v>
      </c>
      <c r="T366" s="599">
        <v>0</v>
      </c>
      <c r="U366" s="1096">
        <f t="shared" si="21"/>
        <v>0</v>
      </c>
      <c r="V366" s="599">
        <v>0</v>
      </c>
      <c r="W366" s="620"/>
      <c r="X366" s="621"/>
      <c r="Y366" s="1096">
        <f t="shared" si="22"/>
        <v>0</v>
      </c>
      <c r="Z366" s="882">
        <f t="shared" si="23"/>
        <v>0</v>
      </c>
    </row>
    <row r="367" spans="1:26" ht="27" hidden="1" customHeight="1">
      <c r="A367" s="583"/>
      <c r="B367" s="1427">
        <v>902</v>
      </c>
      <c r="C367" s="581">
        <v>8</v>
      </c>
      <c r="D367" s="1137" t="s">
        <v>1667</v>
      </c>
      <c r="E367" s="1138" t="s">
        <v>1252</v>
      </c>
      <c r="F367" s="599">
        <v>6280210107</v>
      </c>
      <c r="G367" s="599"/>
      <c r="H367" s="599"/>
      <c r="I367" s="599"/>
      <c r="J367" s="599"/>
      <c r="K367" s="599"/>
      <c r="L367" s="599">
        <v>7501665534</v>
      </c>
      <c r="M367" s="599"/>
      <c r="N367" s="599">
        <v>-13781875641</v>
      </c>
      <c r="O367" s="599"/>
      <c r="P367" s="599"/>
      <c r="Q367" s="599"/>
      <c r="R367" s="599"/>
      <c r="S367" s="1096">
        <f t="shared" si="20"/>
        <v>0</v>
      </c>
      <c r="T367" s="599">
        <v>0</v>
      </c>
      <c r="U367" s="1096">
        <f t="shared" si="21"/>
        <v>0</v>
      </c>
      <c r="V367" s="599">
        <v>0</v>
      </c>
      <c r="W367" s="620"/>
      <c r="X367" s="621"/>
      <c r="Y367" s="1096">
        <f t="shared" si="22"/>
        <v>0</v>
      </c>
      <c r="Z367" s="882">
        <f t="shared" si="23"/>
        <v>0</v>
      </c>
    </row>
    <row r="368" spans="1:26" ht="27" hidden="1" customHeight="1">
      <c r="A368" s="583"/>
      <c r="B368" s="583">
        <v>903</v>
      </c>
      <c r="C368" s="581">
        <v>8</v>
      </c>
      <c r="D368" s="1137" t="s">
        <v>1253</v>
      </c>
      <c r="E368" s="1138" t="s">
        <v>1252</v>
      </c>
      <c r="F368" s="599">
        <v>-3065148</v>
      </c>
      <c r="G368" s="599"/>
      <c r="H368" s="599"/>
      <c r="I368" s="599"/>
      <c r="J368" s="599"/>
      <c r="K368" s="599"/>
      <c r="L368" s="599"/>
      <c r="M368" s="599"/>
      <c r="N368" s="599">
        <v>3065148</v>
      </c>
      <c r="O368" s="599"/>
      <c r="P368" s="599"/>
      <c r="Q368" s="599"/>
      <c r="R368" s="599"/>
      <c r="S368" s="1096">
        <f t="shared" si="20"/>
        <v>0</v>
      </c>
      <c r="T368" s="599">
        <v>0</v>
      </c>
      <c r="U368" s="1096">
        <f t="shared" si="21"/>
        <v>0</v>
      </c>
      <c r="V368" s="599">
        <v>0</v>
      </c>
      <c r="W368" s="620"/>
      <c r="X368" s="621"/>
      <c r="Y368" s="1096">
        <f t="shared" si="22"/>
        <v>0</v>
      </c>
      <c r="Z368" s="882">
        <f t="shared" si="23"/>
        <v>0</v>
      </c>
    </row>
    <row r="369" spans="1:26" ht="27" hidden="1" customHeight="1">
      <c r="A369" s="583"/>
      <c r="B369" s="583">
        <v>902</v>
      </c>
      <c r="C369" s="581">
        <v>8</v>
      </c>
      <c r="D369" s="1137" t="s">
        <v>1123</v>
      </c>
      <c r="E369" s="1138" t="s">
        <v>1124</v>
      </c>
      <c r="F369" s="599">
        <v>-113107700730</v>
      </c>
      <c r="G369" s="599"/>
      <c r="H369" s="599"/>
      <c r="I369" s="599"/>
      <c r="J369" s="599"/>
      <c r="K369" s="599"/>
      <c r="L369" s="599"/>
      <c r="M369" s="599"/>
      <c r="N369" s="599">
        <v>113107700730</v>
      </c>
      <c r="O369" s="599"/>
      <c r="P369" s="599"/>
      <c r="Q369" s="599"/>
      <c r="R369" s="599"/>
      <c r="S369" s="1096">
        <f t="shared" si="20"/>
        <v>0</v>
      </c>
      <c r="T369" s="599">
        <v>0</v>
      </c>
      <c r="U369" s="1096">
        <f t="shared" si="21"/>
        <v>0</v>
      </c>
      <c r="V369" s="599">
        <v>0</v>
      </c>
      <c r="W369" s="620"/>
      <c r="X369" s="621"/>
      <c r="Y369" s="1096">
        <f t="shared" si="22"/>
        <v>0</v>
      </c>
      <c r="Z369" s="882">
        <f t="shared" si="23"/>
        <v>0</v>
      </c>
    </row>
    <row r="370" spans="1:26" ht="27" hidden="1" customHeight="1">
      <c r="A370" s="583"/>
      <c r="B370" s="583"/>
      <c r="C370" s="581">
        <v>8</v>
      </c>
      <c r="D370" s="1137" t="s">
        <v>1254</v>
      </c>
      <c r="E370" s="1138" t="s">
        <v>1255</v>
      </c>
      <c r="F370" s="599"/>
      <c r="G370" s="599"/>
      <c r="H370" s="599"/>
      <c r="I370" s="599"/>
      <c r="J370" s="599"/>
      <c r="K370" s="599"/>
      <c r="L370" s="599"/>
      <c r="M370" s="599"/>
      <c r="N370" s="599"/>
      <c r="O370" s="599"/>
      <c r="P370" s="599"/>
      <c r="Q370" s="599"/>
      <c r="R370" s="599"/>
      <c r="S370" s="1096">
        <f t="shared" si="20"/>
        <v>0</v>
      </c>
      <c r="T370" s="599">
        <v>0</v>
      </c>
      <c r="U370" s="1096">
        <f t="shared" si="21"/>
        <v>0</v>
      </c>
      <c r="V370" s="599">
        <v>0</v>
      </c>
      <c r="W370" s="620"/>
      <c r="X370" s="621"/>
      <c r="Y370" s="1096">
        <f t="shared" si="22"/>
        <v>0</v>
      </c>
      <c r="Z370" s="882">
        <f t="shared" si="23"/>
        <v>0</v>
      </c>
    </row>
    <row r="371" spans="1:26" ht="27" hidden="1" customHeight="1">
      <c r="A371" s="583"/>
      <c r="B371" s="583">
        <v>902</v>
      </c>
      <c r="C371" s="581">
        <v>8</v>
      </c>
      <c r="D371" s="1137" t="s">
        <v>1125</v>
      </c>
      <c r="E371" s="1138" t="s">
        <v>1126</v>
      </c>
      <c r="F371" s="599">
        <v>-49029800054</v>
      </c>
      <c r="G371" s="599"/>
      <c r="H371" s="599"/>
      <c r="I371" s="599"/>
      <c r="J371" s="599"/>
      <c r="K371" s="599"/>
      <c r="L371" s="599"/>
      <c r="M371" s="599"/>
      <c r="N371" s="599">
        <v>49029800054</v>
      </c>
      <c r="O371" s="599"/>
      <c r="P371" s="599"/>
      <c r="Q371" s="599"/>
      <c r="R371" s="599"/>
      <c r="S371" s="1096">
        <f t="shared" si="20"/>
        <v>0</v>
      </c>
      <c r="T371" s="599">
        <v>0</v>
      </c>
      <c r="U371" s="1096">
        <f t="shared" si="21"/>
        <v>0</v>
      </c>
      <c r="V371" s="599">
        <v>0</v>
      </c>
      <c r="W371" s="620"/>
      <c r="X371" s="621"/>
      <c r="Y371" s="1096">
        <f t="shared" si="22"/>
        <v>0</v>
      </c>
      <c r="Z371" s="882">
        <f t="shared" si="23"/>
        <v>0</v>
      </c>
    </row>
    <row r="372" spans="1:26" ht="27" hidden="1" customHeight="1">
      <c r="A372" s="583"/>
      <c r="B372" s="1427">
        <v>902</v>
      </c>
      <c r="C372" s="581">
        <v>8</v>
      </c>
      <c r="D372" s="1137" t="s">
        <v>1200</v>
      </c>
      <c r="E372" s="1138" t="s">
        <v>1201</v>
      </c>
      <c r="F372" s="599">
        <v>6008601039</v>
      </c>
      <c r="G372" s="599"/>
      <c r="H372" s="599"/>
      <c r="I372" s="599"/>
      <c r="J372" s="599"/>
      <c r="K372" s="599"/>
      <c r="L372" s="599"/>
      <c r="M372" s="599"/>
      <c r="N372" s="599">
        <v>-6008601039</v>
      </c>
      <c r="O372" s="599"/>
      <c r="P372" s="599"/>
      <c r="Q372" s="599"/>
      <c r="R372" s="599"/>
      <c r="S372" s="1096">
        <f t="shared" si="20"/>
        <v>0</v>
      </c>
      <c r="T372" s="599">
        <v>0</v>
      </c>
      <c r="U372" s="1096">
        <f t="shared" si="21"/>
        <v>0</v>
      </c>
      <c r="V372" s="599">
        <v>0</v>
      </c>
      <c r="W372" s="620"/>
      <c r="X372" s="621"/>
      <c r="Y372" s="1096">
        <f t="shared" si="22"/>
        <v>0</v>
      </c>
      <c r="Z372" s="882">
        <f t="shared" si="23"/>
        <v>0</v>
      </c>
    </row>
    <row r="373" spans="1:26" ht="27" hidden="1" customHeight="1">
      <c r="A373" s="583"/>
      <c r="B373" s="583">
        <v>902</v>
      </c>
      <c r="C373" s="581">
        <v>8</v>
      </c>
      <c r="D373" s="1137" t="s">
        <v>151</v>
      </c>
      <c r="E373" s="1138" t="s">
        <v>915</v>
      </c>
      <c r="F373" s="599">
        <v>-23221639655577</v>
      </c>
      <c r="G373" s="599"/>
      <c r="H373" s="599"/>
      <c r="I373" s="599"/>
      <c r="J373" s="599"/>
      <c r="K373" s="599"/>
      <c r="L373" s="599">
        <v>0</v>
      </c>
      <c r="M373" s="599"/>
      <c r="N373" s="599">
        <f>19790476680-1409373661584</f>
        <v>-1389583184904</v>
      </c>
      <c r="O373" s="599"/>
      <c r="P373" s="599"/>
      <c r="Q373" s="599"/>
      <c r="R373" s="599"/>
      <c r="S373" s="1096">
        <f t="shared" si="20"/>
        <v>-24611222840481</v>
      </c>
      <c r="T373" s="599">
        <v>-23234436174932</v>
      </c>
      <c r="U373" s="1096">
        <f t="shared" si="21"/>
        <v>-24611223</v>
      </c>
      <c r="V373" s="599">
        <v>-23234436</v>
      </c>
      <c r="W373" s="620"/>
      <c r="X373" s="621"/>
      <c r="Y373" s="1096">
        <f t="shared" si="22"/>
        <v>-24611222840481</v>
      </c>
      <c r="Z373" s="882">
        <f t="shared" si="23"/>
        <v>-24611223</v>
      </c>
    </row>
    <row r="374" spans="1:26" ht="27" hidden="1" customHeight="1">
      <c r="A374" s="583"/>
      <c r="B374" s="583"/>
      <c r="C374" s="581">
        <v>8</v>
      </c>
      <c r="D374" s="1137" t="s">
        <v>1256</v>
      </c>
      <c r="E374" s="1138" t="s">
        <v>1257</v>
      </c>
      <c r="F374" s="599"/>
      <c r="G374" s="599"/>
      <c r="H374" s="599"/>
      <c r="I374" s="599"/>
      <c r="J374" s="599"/>
      <c r="K374" s="599"/>
      <c r="L374" s="599"/>
      <c r="M374" s="599"/>
      <c r="N374" s="599"/>
      <c r="O374" s="599"/>
      <c r="P374" s="599"/>
      <c r="Q374" s="599"/>
      <c r="R374" s="599"/>
      <c r="S374" s="1096">
        <f t="shared" si="20"/>
        <v>0</v>
      </c>
      <c r="T374" s="599">
        <v>0</v>
      </c>
      <c r="U374" s="1096">
        <f t="shared" si="21"/>
        <v>0</v>
      </c>
      <c r="V374" s="599">
        <v>0</v>
      </c>
      <c r="W374" s="620"/>
      <c r="X374" s="621"/>
      <c r="Y374" s="1096">
        <f t="shared" si="22"/>
        <v>0</v>
      </c>
      <c r="Z374" s="882">
        <f t="shared" si="23"/>
        <v>0</v>
      </c>
    </row>
    <row r="375" spans="1:26" ht="27" hidden="1" customHeight="1">
      <c r="A375" s="583"/>
      <c r="B375" s="583">
        <v>902</v>
      </c>
      <c r="C375" s="581">
        <v>8</v>
      </c>
      <c r="D375" s="1137" t="s">
        <v>1127</v>
      </c>
      <c r="E375" s="1138" t="s">
        <v>1128</v>
      </c>
      <c r="F375" s="599">
        <v>-5521601334</v>
      </c>
      <c r="G375" s="599"/>
      <c r="H375" s="599"/>
      <c r="I375" s="599"/>
      <c r="J375" s="599"/>
      <c r="K375" s="599"/>
      <c r="L375" s="599"/>
      <c r="M375" s="599"/>
      <c r="N375" s="599">
        <v>5521601334</v>
      </c>
      <c r="O375" s="599"/>
      <c r="P375" s="599"/>
      <c r="Q375" s="599"/>
      <c r="R375" s="599"/>
      <c r="S375" s="1096">
        <f t="shared" si="20"/>
        <v>0</v>
      </c>
      <c r="T375" s="599">
        <v>0</v>
      </c>
      <c r="U375" s="1096">
        <f t="shared" si="21"/>
        <v>0</v>
      </c>
      <c r="V375" s="599">
        <v>0</v>
      </c>
      <c r="W375" s="620"/>
      <c r="X375" s="621"/>
      <c r="Y375" s="1096">
        <f t="shared" si="22"/>
        <v>0</v>
      </c>
      <c r="Z375" s="882">
        <f t="shared" si="23"/>
        <v>0</v>
      </c>
    </row>
    <row r="376" spans="1:26" ht="27" hidden="1" customHeight="1">
      <c r="A376" s="583"/>
      <c r="B376" s="583">
        <v>903</v>
      </c>
      <c r="C376" s="581">
        <v>8</v>
      </c>
      <c r="D376" s="1137" t="s">
        <v>509</v>
      </c>
      <c r="E376" s="1138" t="s">
        <v>922</v>
      </c>
      <c r="F376" s="599">
        <v>-882265344119</v>
      </c>
      <c r="G376" s="599"/>
      <c r="H376" s="599"/>
      <c r="I376" s="599"/>
      <c r="J376" s="599"/>
      <c r="K376" s="599"/>
      <c r="L376" s="599"/>
      <c r="M376" s="599"/>
      <c r="N376" s="599">
        <f>1992855190-126444404779</f>
        <v>-124451549589</v>
      </c>
      <c r="O376" s="599"/>
      <c r="P376" s="599"/>
      <c r="Q376" s="599"/>
      <c r="R376" s="599"/>
      <c r="S376" s="1096">
        <f t="shared" si="20"/>
        <v>-1006716893708</v>
      </c>
      <c r="T376" s="599">
        <v>-882265344119</v>
      </c>
      <c r="U376" s="1096">
        <f t="shared" si="21"/>
        <v>-1006717</v>
      </c>
      <c r="V376" s="599">
        <v>-882265</v>
      </c>
      <c r="W376" s="620"/>
      <c r="X376" s="621"/>
      <c r="Y376" s="1096">
        <f t="shared" si="22"/>
        <v>-1006716893708</v>
      </c>
      <c r="Z376" s="882">
        <f t="shared" si="23"/>
        <v>-1006717</v>
      </c>
    </row>
    <row r="377" spans="1:26" ht="27" hidden="1" customHeight="1">
      <c r="A377" s="583"/>
      <c r="B377" s="583">
        <v>903</v>
      </c>
      <c r="C377" s="581">
        <v>8</v>
      </c>
      <c r="D377" s="1137" t="s">
        <v>1129</v>
      </c>
      <c r="E377" s="1138" t="s">
        <v>1134</v>
      </c>
      <c r="F377" s="599">
        <v>-122604759077</v>
      </c>
      <c r="G377" s="599">
        <v>-535186577</v>
      </c>
      <c r="H377" s="599"/>
      <c r="I377" s="599">
        <v>-120823962</v>
      </c>
      <c r="J377" s="599"/>
      <c r="K377" s="599"/>
      <c r="L377" s="599">
        <v>-3183635163</v>
      </c>
      <c r="M377" s="599"/>
      <c r="N377" s="599">
        <v>126444404779</v>
      </c>
      <c r="O377" s="599"/>
      <c r="P377" s="599"/>
      <c r="Q377" s="599"/>
      <c r="R377" s="599"/>
      <c r="S377" s="1096">
        <f t="shared" si="20"/>
        <v>0</v>
      </c>
      <c r="T377" s="599">
        <v>0</v>
      </c>
      <c r="U377" s="1096">
        <f t="shared" si="21"/>
        <v>0</v>
      </c>
      <c r="V377" s="599">
        <v>0</v>
      </c>
      <c r="W377" s="620"/>
      <c r="X377" s="621"/>
      <c r="Y377" s="1096">
        <f t="shared" si="22"/>
        <v>0</v>
      </c>
      <c r="Z377" s="882">
        <f t="shared" si="23"/>
        <v>0</v>
      </c>
    </row>
    <row r="378" spans="1:26" ht="27" hidden="1" customHeight="1">
      <c r="A378" s="583"/>
      <c r="B378" s="583">
        <v>903</v>
      </c>
      <c r="C378" s="581">
        <v>8</v>
      </c>
      <c r="D378" s="1137" t="s">
        <v>1130</v>
      </c>
      <c r="E378" s="1138" t="s">
        <v>1132</v>
      </c>
      <c r="F378" s="599">
        <v>2921055089</v>
      </c>
      <c r="G378" s="599"/>
      <c r="H378" s="599"/>
      <c r="I378" s="599"/>
      <c r="J378" s="599"/>
      <c r="K378" s="599"/>
      <c r="L378" s="599">
        <v>-928199899</v>
      </c>
      <c r="M378" s="599"/>
      <c r="N378" s="599">
        <v>-1992855190</v>
      </c>
      <c r="O378" s="599"/>
      <c r="P378" s="599"/>
      <c r="Q378" s="599"/>
      <c r="R378" s="599"/>
      <c r="S378" s="1096">
        <f t="shared" si="20"/>
        <v>0</v>
      </c>
      <c r="T378" s="599">
        <v>0</v>
      </c>
      <c r="U378" s="1096">
        <f t="shared" si="21"/>
        <v>0</v>
      </c>
      <c r="V378" s="599">
        <v>0</v>
      </c>
      <c r="W378" s="620"/>
      <c r="X378" s="621"/>
      <c r="Y378" s="1096">
        <f t="shared" si="22"/>
        <v>0</v>
      </c>
      <c r="Z378" s="882">
        <f t="shared" si="23"/>
        <v>0</v>
      </c>
    </row>
    <row r="379" spans="1:26" ht="27" hidden="1" customHeight="1">
      <c r="A379" s="583"/>
      <c r="B379" s="583"/>
      <c r="C379" s="581">
        <v>8</v>
      </c>
      <c r="D379" s="1137" t="s">
        <v>1131</v>
      </c>
      <c r="E379" s="1138" t="s">
        <v>1133</v>
      </c>
      <c r="F379" s="599"/>
      <c r="G379" s="599"/>
      <c r="H379" s="599"/>
      <c r="I379" s="599"/>
      <c r="J379" s="599"/>
      <c r="K379" s="599"/>
      <c r="L379" s="599"/>
      <c r="M379" s="599"/>
      <c r="N379" s="599"/>
      <c r="O379" s="599"/>
      <c r="P379" s="599"/>
      <c r="Q379" s="599"/>
      <c r="R379" s="599"/>
      <c r="S379" s="1096">
        <f t="shared" si="20"/>
        <v>0</v>
      </c>
      <c r="T379" s="599">
        <v>0</v>
      </c>
      <c r="U379" s="1096">
        <f t="shared" si="21"/>
        <v>0</v>
      </c>
      <c r="V379" s="599">
        <v>0</v>
      </c>
      <c r="W379" s="620"/>
      <c r="X379" s="621"/>
      <c r="Y379" s="1096">
        <f t="shared" si="22"/>
        <v>0</v>
      </c>
      <c r="Z379" s="882">
        <f t="shared" si="23"/>
        <v>0</v>
      </c>
    </row>
    <row r="380" spans="1:26" ht="27" hidden="1" customHeight="1">
      <c r="A380" s="583"/>
      <c r="B380" s="583">
        <v>905</v>
      </c>
      <c r="C380" s="581">
        <v>8</v>
      </c>
      <c r="D380" s="1137" t="s">
        <v>287</v>
      </c>
      <c r="E380" s="1138" t="s">
        <v>919</v>
      </c>
      <c r="F380" s="599">
        <v>-558840066679</v>
      </c>
      <c r="G380" s="599"/>
      <c r="H380" s="599"/>
      <c r="I380" s="599"/>
      <c r="J380" s="599"/>
      <c r="K380" s="599"/>
      <c r="L380" s="599"/>
      <c r="M380" s="599"/>
      <c r="N380" s="599">
        <f>120000000-38715639868</f>
        <v>-38595639868</v>
      </c>
      <c r="O380" s="599"/>
      <c r="P380" s="599"/>
      <c r="Q380" s="599"/>
      <c r="R380" s="599"/>
      <c r="S380" s="1096">
        <f t="shared" si="20"/>
        <v>-597435706547</v>
      </c>
      <c r="T380" s="599">
        <v>-558840066679</v>
      </c>
      <c r="U380" s="1096">
        <f t="shared" si="21"/>
        <v>-597436</v>
      </c>
      <c r="V380" s="599">
        <v>-558840</v>
      </c>
      <c r="W380" s="620"/>
      <c r="X380" s="621"/>
      <c r="Y380" s="1096">
        <f t="shared" si="22"/>
        <v>-597435706547</v>
      </c>
      <c r="Z380" s="882">
        <f t="shared" si="23"/>
        <v>-597436</v>
      </c>
    </row>
    <row r="381" spans="1:26" ht="27" hidden="1" customHeight="1">
      <c r="A381" s="583"/>
      <c r="B381" s="583">
        <v>905</v>
      </c>
      <c r="C381" s="581">
        <v>8</v>
      </c>
      <c r="D381" s="1137" t="s">
        <v>1135</v>
      </c>
      <c r="E381" s="1138" t="s">
        <v>1137</v>
      </c>
      <c r="F381" s="599">
        <v>-39357891771</v>
      </c>
      <c r="G381" s="599">
        <v>-1928835554</v>
      </c>
      <c r="H381" s="599"/>
      <c r="I381" s="599"/>
      <c r="J381" s="599"/>
      <c r="K381" s="599"/>
      <c r="L381" s="599">
        <v>2571087457</v>
      </c>
      <c r="M381" s="599"/>
      <c r="N381" s="599">
        <v>38715639868</v>
      </c>
      <c r="O381" s="599"/>
      <c r="P381" s="599"/>
      <c r="Q381" s="599"/>
      <c r="R381" s="599"/>
      <c r="S381" s="1096">
        <f t="shared" si="20"/>
        <v>0</v>
      </c>
      <c r="T381" s="599">
        <v>0</v>
      </c>
      <c r="U381" s="1096">
        <f t="shared" si="21"/>
        <v>0</v>
      </c>
      <c r="V381" s="599">
        <v>0</v>
      </c>
      <c r="W381" s="620"/>
      <c r="X381" s="621"/>
      <c r="Y381" s="1096">
        <f t="shared" si="22"/>
        <v>0</v>
      </c>
      <c r="Z381" s="882">
        <f t="shared" si="23"/>
        <v>0</v>
      </c>
    </row>
    <row r="382" spans="1:26" ht="27" hidden="1" customHeight="1">
      <c r="A382" s="583"/>
      <c r="B382" s="583">
        <v>905</v>
      </c>
      <c r="C382" s="581">
        <v>8</v>
      </c>
      <c r="D382" s="1137" t="s">
        <v>1136</v>
      </c>
      <c r="E382" s="1138" t="s">
        <v>1138</v>
      </c>
      <c r="F382" s="599">
        <v>264000000</v>
      </c>
      <c r="G382" s="599"/>
      <c r="H382" s="599"/>
      <c r="I382" s="599"/>
      <c r="J382" s="599"/>
      <c r="K382" s="599"/>
      <c r="L382" s="599">
        <v>-144000000</v>
      </c>
      <c r="M382" s="599"/>
      <c r="N382" s="599">
        <v>-120000000</v>
      </c>
      <c r="O382" s="599"/>
      <c r="P382" s="599"/>
      <c r="Q382" s="599"/>
      <c r="R382" s="599"/>
      <c r="S382" s="1096">
        <f t="shared" si="20"/>
        <v>0</v>
      </c>
      <c r="T382" s="599">
        <v>0</v>
      </c>
      <c r="U382" s="1096">
        <f t="shared" si="21"/>
        <v>0</v>
      </c>
      <c r="V382" s="599">
        <v>0</v>
      </c>
      <c r="W382" s="620"/>
      <c r="X382" s="621"/>
      <c r="Y382" s="1096">
        <f t="shared" si="22"/>
        <v>0</v>
      </c>
      <c r="Z382" s="882">
        <f t="shared" si="23"/>
        <v>0</v>
      </c>
    </row>
    <row r="383" spans="1:26" ht="27" hidden="1" customHeight="1">
      <c r="A383" s="583"/>
      <c r="B383" s="583"/>
      <c r="C383" s="581">
        <v>8</v>
      </c>
      <c r="D383" s="1137" t="s">
        <v>1022</v>
      </c>
      <c r="E383" s="1138" t="s">
        <v>1023</v>
      </c>
      <c r="F383" s="599"/>
      <c r="G383" s="599"/>
      <c r="H383" s="599"/>
      <c r="I383" s="599"/>
      <c r="J383" s="599"/>
      <c r="K383" s="599"/>
      <c r="L383" s="599"/>
      <c r="M383" s="599"/>
      <c r="N383" s="599"/>
      <c r="O383" s="599"/>
      <c r="P383" s="599"/>
      <c r="Q383" s="599"/>
      <c r="R383" s="599"/>
      <c r="S383" s="1096">
        <f t="shared" si="20"/>
        <v>0</v>
      </c>
      <c r="T383" s="599">
        <v>0</v>
      </c>
      <c r="U383" s="1096">
        <f t="shared" si="21"/>
        <v>0</v>
      </c>
      <c r="V383" s="599">
        <v>0</v>
      </c>
      <c r="W383" s="620"/>
      <c r="X383" s="621"/>
      <c r="Y383" s="1096">
        <f t="shared" si="22"/>
        <v>0</v>
      </c>
      <c r="Z383" s="882">
        <f t="shared" si="23"/>
        <v>0</v>
      </c>
    </row>
    <row r="384" spans="1:26" ht="27" hidden="1" customHeight="1">
      <c r="A384" s="583"/>
      <c r="B384" s="583">
        <v>904</v>
      </c>
      <c r="C384" s="581">
        <v>8</v>
      </c>
      <c r="D384" s="1137" t="s">
        <v>289</v>
      </c>
      <c r="E384" s="1138" t="s">
        <v>917</v>
      </c>
      <c r="F384" s="599">
        <v>-284915620689</v>
      </c>
      <c r="G384" s="599"/>
      <c r="H384" s="599"/>
      <c r="I384" s="599"/>
      <c r="J384" s="599"/>
      <c r="K384" s="599"/>
      <c r="L384" s="599"/>
      <c r="M384" s="599"/>
      <c r="N384" s="599">
        <f>714652789-38319983542</f>
        <v>-37605330753</v>
      </c>
      <c r="O384" s="599"/>
      <c r="P384" s="599"/>
      <c r="Q384" s="599"/>
      <c r="R384" s="599"/>
      <c r="S384" s="1096">
        <f t="shared" si="20"/>
        <v>-322520951442</v>
      </c>
      <c r="T384" s="599">
        <v>-284915620689</v>
      </c>
      <c r="U384" s="1096">
        <f t="shared" si="21"/>
        <v>-322521</v>
      </c>
      <c r="V384" s="599">
        <v>-284916</v>
      </c>
      <c r="W384" s="620"/>
      <c r="X384" s="621"/>
      <c r="Y384" s="1096">
        <f t="shared" si="22"/>
        <v>-322520951442</v>
      </c>
      <c r="Z384" s="882">
        <f t="shared" si="23"/>
        <v>-322521</v>
      </c>
    </row>
    <row r="385" spans="1:26" ht="27" hidden="1" customHeight="1">
      <c r="A385" s="583"/>
      <c r="B385" s="583">
        <v>904</v>
      </c>
      <c r="C385" s="581">
        <v>8</v>
      </c>
      <c r="D385" s="1137" t="s">
        <v>1139</v>
      </c>
      <c r="E385" s="1138" t="s">
        <v>1142</v>
      </c>
      <c r="F385" s="599">
        <v>-38510302668</v>
      </c>
      <c r="G385" s="599">
        <v>-94666512</v>
      </c>
      <c r="H385" s="599"/>
      <c r="I385" s="599">
        <v>-39499998</v>
      </c>
      <c r="J385" s="599"/>
      <c r="K385" s="599"/>
      <c r="L385" s="599">
        <v>324485636</v>
      </c>
      <c r="M385" s="599"/>
      <c r="N385" s="599">
        <v>38319983542</v>
      </c>
      <c r="O385" s="599"/>
      <c r="P385" s="599"/>
      <c r="Q385" s="599"/>
      <c r="R385" s="599"/>
      <c r="S385" s="1096">
        <f t="shared" si="20"/>
        <v>0</v>
      </c>
      <c r="T385" s="599">
        <v>0</v>
      </c>
      <c r="U385" s="1096">
        <f t="shared" si="21"/>
        <v>0</v>
      </c>
      <c r="V385" s="599">
        <v>0</v>
      </c>
      <c r="W385" s="620"/>
      <c r="X385" s="621"/>
      <c r="Y385" s="1096">
        <f t="shared" si="22"/>
        <v>0</v>
      </c>
      <c r="Z385" s="882">
        <f t="shared" si="23"/>
        <v>0</v>
      </c>
    </row>
    <row r="386" spans="1:26" ht="27" hidden="1" customHeight="1">
      <c r="A386" s="583"/>
      <c r="B386" s="583">
        <v>904</v>
      </c>
      <c r="C386" s="581">
        <v>8</v>
      </c>
      <c r="D386" s="1137" t="s">
        <v>1140</v>
      </c>
      <c r="E386" s="1138" t="s">
        <v>1143</v>
      </c>
      <c r="F386" s="599">
        <v>762361439</v>
      </c>
      <c r="G386" s="599"/>
      <c r="H386" s="599"/>
      <c r="I386" s="599"/>
      <c r="J386" s="599"/>
      <c r="K386" s="599"/>
      <c r="L386" s="599">
        <v>-47708650</v>
      </c>
      <c r="M386" s="599"/>
      <c r="N386" s="599">
        <v>-714652789</v>
      </c>
      <c r="O386" s="599"/>
      <c r="P386" s="599"/>
      <c r="Q386" s="599"/>
      <c r="R386" s="599"/>
      <c r="S386" s="1096">
        <f t="shared" si="20"/>
        <v>0</v>
      </c>
      <c r="T386" s="599">
        <v>0</v>
      </c>
      <c r="U386" s="1096">
        <f t="shared" si="21"/>
        <v>0</v>
      </c>
      <c r="V386" s="599">
        <v>0</v>
      </c>
      <c r="W386" s="620"/>
      <c r="X386" s="621"/>
      <c r="Y386" s="1096">
        <f t="shared" si="22"/>
        <v>0</v>
      </c>
      <c r="Z386" s="882">
        <f t="shared" si="23"/>
        <v>0</v>
      </c>
    </row>
    <row r="387" spans="1:26" ht="27" hidden="1" customHeight="1">
      <c r="A387" s="583"/>
      <c r="B387" s="583">
        <v>904</v>
      </c>
      <c r="C387" s="581">
        <v>8</v>
      </c>
      <c r="D387" s="1137" t="s">
        <v>1141</v>
      </c>
      <c r="E387" s="1138" t="s">
        <v>1144</v>
      </c>
      <c r="F387" s="599"/>
      <c r="G387" s="599"/>
      <c r="H387" s="599"/>
      <c r="I387" s="599"/>
      <c r="J387" s="599"/>
      <c r="K387" s="599"/>
      <c r="L387" s="599"/>
      <c r="M387" s="599"/>
      <c r="N387" s="599"/>
      <c r="O387" s="599"/>
      <c r="P387" s="599"/>
      <c r="Q387" s="599"/>
      <c r="R387" s="599"/>
      <c r="S387" s="1096">
        <f t="shared" si="20"/>
        <v>0</v>
      </c>
      <c r="T387" s="599">
        <v>0</v>
      </c>
      <c r="U387" s="1096">
        <f t="shared" si="21"/>
        <v>0</v>
      </c>
      <c r="V387" s="599">
        <v>0</v>
      </c>
      <c r="W387" s="620"/>
      <c r="X387" s="621"/>
      <c r="Y387" s="1096">
        <f t="shared" si="22"/>
        <v>0</v>
      </c>
      <c r="Z387" s="882">
        <f t="shared" si="23"/>
        <v>0</v>
      </c>
    </row>
    <row r="388" spans="1:26" ht="27" hidden="1" customHeight="1">
      <c r="A388" s="583"/>
      <c r="B388" s="583">
        <v>902</v>
      </c>
      <c r="C388" s="581">
        <v>8</v>
      </c>
      <c r="D388" s="1137" t="s">
        <v>1145</v>
      </c>
      <c r="E388" s="1138" t="s">
        <v>1147</v>
      </c>
      <c r="F388" s="599">
        <v>-1921966970</v>
      </c>
      <c r="G388" s="599"/>
      <c r="H388" s="599"/>
      <c r="I388" s="599"/>
      <c r="J388" s="599"/>
      <c r="K388" s="599"/>
      <c r="L388" s="599"/>
      <c r="M388" s="599"/>
      <c r="N388" s="599">
        <v>1921966970</v>
      </c>
      <c r="O388" s="599"/>
      <c r="P388" s="599"/>
      <c r="Q388" s="599"/>
      <c r="R388" s="599"/>
      <c r="S388" s="1096">
        <f t="shared" ref="S388:S452" si="24">SUM(F388:R388)</f>
        <v>0</v>
      </c>
      <c r="T388" s="599">
        <v>0</v>
      </c>
      <c r="U388" s="1096">
        <f t="shared" ref="U388:U452" si="25">ROUND((S388/1000000),0)</f>
        <v>0</v>
      </c>
      <c r="V388" s="599">
        <v>0</v>
      </c>
      <c r="W388" s="620"/>
      <c r="X388" s="621"/>
      <c r="Y388" s="1096">
        <f t="shared" si="22"/>
        <v>0</v>
      </c>
      <c r="Z388" s="882">
        <f t="shared" si="23"/>
        <v>0</v>
      </c>
    </row>
    <row r="389" spans="1:26" ht="27" hidden="1" customHeight="1">
      <c r="A389" s="583"/>
      <c r="B389" s="583">
        <v>902</v>
      </c>
      <c r="C389" s="581">
        <v>8</v>
      </c>
      <c r="D389" s="1137" t="s">
        <v>1146</v>
      </c>
      <c r="E389" s="1138" t="s">
        <v>1148</v>
      </c>
      <c r="F389" s="599">
        <v>-1158794844</v>
      </c>
      <c r="G389" s="599"/>
      <c r="H389" s="599"/>
      <c r="I389" s="599"/>
      <c r="J389" s="599"/>
      <c r="K389" s="599"/>
      <c r="L389" s="599"/>
      <c r="M389" s="599"/>
      <c r="N389" s="599">
        <v>1158794844</v>
      </c>
      <c r="O389" s="599"/>
      <c r="P389" s="599"/>
      <c r="Q389" s="599"/>
      <c r="R389" s="599"/>
      <c r="S389" s="1096">
        <f t="shared" si="24"/>
        <v>0</v>
      </c>
      <c r="T389" s="599">
        <v>0</v>
      </c>
      <c r="U389" s="1096">
        <f t="shared" si="25"/>
        <v>0</v>
      </c>
      <c r="V389" s="599">
        <v>0</v>
      </c>
      <c r="W389" s="620"/>
      <c r="X389" s="621"/>
      <c r="Y389" s="1096">
        <f t="shared" si="22"/>
        <v>0</v>
      </c>
      <c r="Z389" s="882">
        <f t="shared" si="23"/>
        <v>0</v>
      </c>
    </row>
    <row r="390" spans="1:26" ht="27" hidden="1" customHeight="1">
      <c r="A390" s="583"/>
      <c r="B390" s="583">
        <v>906</v>
      </c>
      <c r="C390" s="581">
        <v>8</v>
      </c>
      <c r="D390" s="1137" t="s">
        <v>771</v>
      </c>
      <c r="E390" s="1138" t="s">
        <v>773</v>
      </c>
      <c r="F390" s="599">
        <v>6990721382264</v>
      </c>
      <c r="G390" s="599">
        <f>81126923006-190246343818</f>
        <v>-109119420812</v>
      </c>
      <c r="H390" s="599">
        <f>2551178937295-4249331175233</f>
        <v>-1698152237938</v>
      </c>
      <c r="I390" s="599">
        <f>3448849051653-3455731490200</f>
        <v>-6882438547</v>
      </c>
      <c r="J390" s="599">
        <f>1925532904-1925532904</f>
        <v>0</v>
      </c>
      <c r="K390" s="599"/>
      <c r="L390" s="599"/>
      <c r="M390" s="599"/>
      <c r="N390" s="599"/>
      <c r="O390" s="599">
        <v>307598402386</v>
      </c>
      <c r="P390" s="599"/>
      <c r="Q390" s="599">
        <v>1540627974428</v>
      </c>
      <c r="R390" s="599"/>
      <c r="S390" s="1096">
        <f t="shared" si="24"/>
        <v>7024793661781</v>
      </c>
      <c r="T390" s="599">
        <v>2794262275106</v>
      </c>
      <c r="U390" s="1096">
        <f t="shared" si="25"/>
        <v>7024794</v>
      </c>
      <c r="V390" s="599">
        <v>2794262</v>
      </c>
      <c r="W390" s="620"/>
      <c r="X390" s="621"/>
      <c r="Y390" s="1096">
        <f t="shared" si="22"/>
        <v>7024793661781</v>
      </c>
      <c r="Z390" s="882">
        <f t="shared" si="23"/>
        <v>7024794</v>
      </c>
    </row>
    <row r="391" spans="1:26" ht="27" hidden="1" customHeight="1">
      <c r="A391" s="583"/>
      <c r="B391" s="583">
        <v>903</v>
      </c>
      <c r="C391" s="581">
        <v>8</v>
      </c>
      <c r="D391" s="1137" t="s">
        <v>1014</v>
      </c>
      <c r="E391" s="1138" t="s">
        <v>1015</v>
      </c>
      <c r="F391" s="599">
        <v>14496271243</v>
      </c>
      <c r="G391" s="599">
        <v>-14496271243</v>
      </c>
      <c r="H391" s="599">
        <v>8439858371</v>
      </c>
      <c r="I391" s="599">
        <v>-8439858371</v>
      </c>
      <c r="J391" s="599"/>
      <c r="K391" s="599"/>
      <c r="L391" s="599"/>
      <c r="M391" s="599"/>
      <c r="N391" s="599"/>
      <c r="O391" s="599"/>
      <c r="P391" s="599"/>
      <c r="Q391" s="599"/>
      <c r="R391" s="599"/>
      <c r="S391" s="1096">
        <f t="shared" si="24"/>
        <v>0</v>
      </c>
      <c r="T391" s="599">
        <v>0</v>
      </c>
      <c r="U391" s="1096">
        <f t="shared" si="25"/>
        <v>0</v>
      </c>
      <c r="V391" s="599">
        <v>0</v>
      </c>
      <c r="W391" s="620"/>
      <c r="X391" s="621"/>
      <c r="Y391" s="1096">
        <f t="shared" ref="Y391:Y455" si="26">S391+X391-W391</f>
        <v>0</v>
      </c>
      <c r="Z391" s="882">
        <f t="shared" ref="Z391:Z455" si="27">ROUND((Y391/1000000),0)</f>
        <v>0</v>
      </c>
    </row>
    <row r="392" spans="1:26" ht="27" hidden="1" customHeight="1">
      <c r="A392" s="583"/>
      <c r="B392" s="583">
        <v>906</v>
      </c>
      <c r="C392" s="581">
        <v>8</v>
      </c>
      <c r="D392" s="1137" t="s">
        <v>772</v>
      </c>
      <c r="E392" s="1138" t="s">
        <v>774</v>
      </c>
      <c r="F392" s="599"/>
      <c r="G392" s="599"/>
      <c r="H392" s="599"/>
      <c r="I392" s="599"/>
      <c r="J392" s="599"/>
      <c r="K392" s="599"/>
      <c r="L392" s="599"/>
      <c r="M392" s="599"/>
      <c r="N392" s="599"/>
      <c r="O392" s="599"/>
      <c r="P392" s="599"/>
      <c r="Q392" s="599"/>
      <c r="R392" s="599"/>
      <c r="S392" s="1096">
        <f t="shared" si="24"/>
        <v>0</v>
      </c>
      <c r="T392" s="599">
        <v>0</v>
      </c>
      <c r="U392" s="1096">
        <f t="shared" si="25"/>
        <v>0</v>
      </c>
      <c r="V392" s="599">
        <v>0</v>
      </c>
      <c r="W392" s="620"/>
      <c r="X392" s="621"/>
      <c r="Y392" s="1096">
        <f t="shared" si="26"/>
        <v>0</v>
      </c>
      <c r="Z392" s="882">
        <f t="shared" si="27"/>
        <v>0</v>
      </c>
    </row>
    <row r="393" spans="1:26" ht="27" hidden="1" customHeight="1">
      <c r="A393" s="583"/>
      <c r="B393" s="583"/>
      <c r="C393" s="581">
        <v>10</v>
      </c>
      <c r="D393" s="1137" t="s">
        <v>291</v>
      </c>
      <c r="E393" s="1138" t="s">
        <v>495</v>
      </c>
      <c r="F393" s="599">
        <v>47500000</v>
      </c>
      <c r="G393" s="599"/>
      <c r="H393" s="599"/>
      <c r="I393" s="599"/>
      <c r="J393" s="599"/>
      <c r="K393" s="599"/>
      <c r="L393" s="599"/>
      <c r="M393" s="599"/>
      <c r="N393" s="599"/>
      <c r="O393" s="599"/>
      <c r="P393" s="599"/>
      <c r="Q393" s="599"/>
      <c r="R393" s="599"/>
      <c r="S393" s="1096">
        <f t="shared" si="24"/>
        <v>47500000</v>
      </c>
      <c r="T393" s="599">
        <v>47500000</v>
      </c>
      <c r="U393" s="1096">
        <f t="shared" si="25"/>
        <v>48</v>
      </c>
      <c r="V393" s="599">
        <v>48</v>
      </c>
      <c r="W393" s="620"/>
      <c r="X393" s="621"/>
      <c r="Y393" s="1096">
        <f t="shared" si="26"/>
        <v>47500000</v>
      </c>
      <c r="Z393" s="882">
        <f t="shared" si="27"/>
        <v>48</v>
      </c>
    </row>
    <row r="394" spans="1:26" ht="27" hidden="1" customHeight="1">
      <c r="A394" s="583"/>
      <c r="B394" s="583">
        <v>421</v>
      </c>
      <c r="C394" s="581">
        <v>11</v>
      </c>
      <c r="D394" s="1137" t="s">
        <v>610</v>
      </c>
      <c r="E394" s="1138" t="s">
        <v>611</v>
      </c>
      <c r="F394" s="738">
        <v>13392955743</v>
      </c>
      <c r="G394" s="599"/>
      <c r="H394" s="599"/>
      <c r="I394" s="599">
        <v>-1305719468</v>
      </c>
      <c r="J394" s="599"/>
      <c r="K394" s="599"/>
      <c r="L394" s="599"/>
      <c r="M394" s="599"/>
      <c r="N394" s="599">
        <v>-2947200000</v>
      </c>
      <c r="O394" s="599"/>
      <c r="P394" s="599"/>
      <c r="Q394" s="599"/>
      <c r="R394" s="599"/>
      <c r="S394" s="1096">
        <f t="shared" si="24"/>
        <v>9140036275</v>
      </c>
      <c r="T394" s="599">
        <v>13392955743</v>
      </c>
      <c r="U394" s="1096">
        <f t="shared" si="25"/>
        <v>9140</v>
      </c>
      <c r="V394" s="599">
        <v>13393</v>
      </c>
      <c r="W394" s="620"/>
      <c r="X394" s="621"/>
      <c r="Y394" s="1096">
        <f t="shared" si="26"/>
        <v>9140036275</v>
      </c>
      <c r="Z394" s="882">
        <f t="shared" si="27"/>
        <v>9140</v>
      </c>
    </row>
    <row r="395" spans="1:26" ht="27" hidden="1" customHeight="1">
      <c r="A395" s="583"/>
      <c r="B395" s="583">
        <v>410</v>
      </c>
      <c r="C395" s="581">
        <v>11</v>
      </c>
      <c r="D395" s="1137" t="s">
        <v>610</v>
      </c>
      <c r="E395" s="1138" t="s">
        <v>611</v>
      </c>
      <c r="F395" s="599"/>
      <c r="G395" s="599"/>
      <c r="H395" s="599"/>
      <c r="I395" s="599"/>
      <c r="J395" s="599"/>
      <c r="K395" s="599"/>
      <c r="L395" s="599"/>
      <c r="M395" s="599"/>
      <c r="N395" s="599"/>
      <c r="O395" s="599"/>
      <c r="P395" s="599"/>
      <c r="Q395" s="599"/>
      <c r="R395" s="599"/>
      <c r="S395" s="1096">
        <f t="shared" si="24"/>
        <v>0</v>
      </c>
      <c r="T395" s="599">
        <v>0</v>
      </c>
      <c r="U395" s="1096">
        <f t="shared" si="25"/>
        <v>0</v>
      </c>
      <c r="V395" s="599">
        <v>0</v>
      </c>
      <c r="W395" s="620"/>
      <c r="X395" s="621"/>
      <c r="Y395" s="1096">
        <f t="shared" si="26"/>
        <v>0</v>
      </c>
      <c r="Z395" s="882">
        <f t="shared" si="27"/>
        <v>0</v>
      </c>
    </row>
    <row r="396" spans="1:26" ht="27" hidden="1" customHeight="1">
      <c r="A396" s="583"/>
      <c r="B396" s="583">
        <v>1018</v>
      </c>
      <c r="C396" s="581">
        <v>17</v>
      </c>
      <c r="D396" s="1137" t="s">
        <v>894</v>
      </c>
      <c r="E396" s="1138" t="s">
        <v>895</v>
      </c>
      <c r="F396" s="599">
        <v>-50474935059</v>
      </c>
      <c r="G396" s="599">
        <v>189604000</v>
      </c>
      <c r="H396" s="599"/>
      <c r="I396" s="599"/>
      <c r="J396" s="599"/>
      <c r="K396" s="599"/>
      <c r="L396" s="599"/>
      <c r="M396" s="599"/>
      <c r="N396" s="599"/>
      <c r="O396" s="599"/>
      <c r="P396" s="599"/>
      <c r="Q396" s="599"/>
      <c r="R396" s="599"/>
      <c r="S396" s="1096">
        <f t="shared" si="24"/>
        <v>-50285331059</v>
      </c>
      <c r="T396" s="599">
        <v>-12936417428</v>
      </c>
      <c r="U396" s="1096">
        <f t="shared" si="25"/>
        <v>-50285</v>
      </c>
      <c r="V396" s="599">
        <v>-12936</v>
      </c>
      <c r="W396" s="620"/>
      <c r="X396" s="621"/>
      <c r="Y396" s="1096">
        <f t="shared" si="26"/>
        <v>-50285331059</v>
      </c>
      <c r="Z396" s="882">
        <f t="shared" si="27"/>
        <v>-50285</v>
      </c>
    </row>
    <row r="397" spans="1:26" ht="27" hidden="1" customHeight="1">
      <c r="A397" s="1558"/>
      <c r="B397" s="583">
        <v>501</v>
      </c>
      <c r="C397" s="1235">
        <v>13</v>
      </c>
      <c r="D397" s="1137" t="s">
        <v>145</v>
      </c>
      <c r="E397" s="1138" t="s">
        <v>761</v>
      </c>
      <c r="F397" s="599"/>
      <c r="G397" s="599"/>
      <c r="H397" s="599"/>
      <c r="I397" s="599"/>
      <c r="J397" s="599"/>
      <c r="K397" s="599"/>
      <c r="L397" s="599"/>
      <c r="M397" s="599"/>
      <c r="N397" s="599"/>
      <c r="O397" s="599"/>
      <c r="P397" s="599"/>
      <c r="Q397" s="599"/>
      <c r="R397" s="599"/>
      <c r="S397" s="1096">
        <f t="shared" si="24"/>
        <v>0</v>
      </c>
      <c r="T397" s="599">
        <v>214844387</v>
      </c>
      <c r="U397" s="1096">
        <f t="shared" si="25"/>
        <v>0</v>
      </c>
      <c r="V397" s="599">
        <v>215</v>
      </c>
      <c r="W397" s="620"/>
      <c r="X397" s="621"/>
      <c r="Y397" s="1096">
        <f t="shared" si="26"/>
        <v>0</v>
      </c>
      <c r="Z397" s="882">
        <f t="shared" si="27"/>
        <v>0</v>
      </c>
    </row>
    <row r="398" spans="1:26" ht="27" hidden="1" customHeight="1">
      <c r="A398" s="583"/>
      <c r="B398" s="583">
        <v>504</v>
      </c>
      <c r="C398" s="1235">
        <v>13</v>
      </c>
      <c r="D398" s="1137" t="s">
        <v>119</v>
      </c>
      <c r="E398" s="1138" t="s">
        <v>1149</v>
      </c>
      <c r="F398" s="599">
        <v>17461741500</v>
      </c>
      <c r="G398" s="599">
        <v>11046393000</v>
      </c>
      <c r="H398" s="599"/>
      <c r="I398" s="599"/>
      <c r="J398" s="599"/>
      <c r="K398" s="599"/>
      <c r="L398" s="599"/>
      <c r="M398" s="599"/>
      <c r="N398" s="599"/>
      <c r="O398" s="599"/>
      <c r="P398" s="599"/>
      <c r="Q398" s="599"/>
      <c r="R398" s="599"/>
      <c r="S398" s="1096">
        <f t="shared" si="24"/>
        <v>28508134500</v>
      </c>
      <c r="T398" s="599">
        <v>17461741500</v>
      </c>
      <c r="U398" s="1096">
        <f t="shared" si="25"/>
        <v>28508</v>
      </c>
      <c r="V398" s="599">
        <v>17462</v>
      </c>
      <c r="W398" s="620"/>
      <c r="X398" s="621"/>
      <c r="Y398" s="1096">
        <f t="shared" si="26"/>
        <v>28508134500</v>
      </c>
      <c r="Z398" s="882">
        <f t="shared" si="27"/>
        <v>28508</v>
      </c>
    </row>
    <row r="399" spans="1:26" ht="27" hidden="1" customHeight="1">
      <c r="A399" s="583"/>
      <c r="B399" s="583">
        <v>1022</v>
      </c>
      <c r="C399" s="581">
        <v>17</v>
      </c>
      <c r="D399" s="1137" t="s">
        <v>121</v>
      </c>
      <c r="E399" s="1138" t="s">
        <v>1150</v>
      </c>
      <c r="F399" s="599"/>
      <c r="G399" s="599"/>
      <c r="H399" s="599"/>
      <c r="I399" s="599"/>
      <c r="J399" s="599"/>
      <c r="K399" s="599"/>
      <c r="L399" s="599"/>
      <c r="M399" s="599"/>
      <c r="N399" s="599"/>
      <c r="O399" s="599"/>
      <c r="P399" s="599"/>
      <c r="Q399" s="599"/>
      <c r="R399" s="599"/>
      <c r="S399" s="1096">
        <f t="shared" si="24"/>
        <v>0</v>
      </c>
      <c r="T399" s="599">
        <v>0</v>
      </c>
      <c r="U399" s="1096">
        <f t="shared" si="25"/>
        <v>0</v>
      </c>
      <c r="V399" s="599">
        <v>0</v>
      </c>
      <c r="W399" s="620"/>
      <c r="X399" s="621"/>
      <c r="Y399" s="1096">
        <f t="shared" si="26"/>
        <v>0</v>
      </c>
      <c r="Z399" s="882">
        <f t="shared" si="27"/>
        <v>0</v>
      </c>
    </row>
    <row r="400" spans="1:26" ht="27" hidden="1" customHeight="1">
      <c r="A400" s="1558"/>
      <c r="B400" s="583">
        <v>501</v>
      </c>
      <c r="C400" s="1235">
        <v>13</v>
      </c>
      <c r="D400" s="1137" t="s">
        <v>123</v>
      </c>
      <c r="E400" s="1138" t="s">
        <v>124</v>
      </c>
      <c r="F400" s="599">
        <v>6819660640</v>
      </c>
      <c r="G400" s="599">
        <f>4629000-138902476</f>
        <v>-134273476</v>
      </c>
      <c r="H400" s="599">
        <v>20141393462</v>
      </c>
      <c r="I400" s="599"/>
      <c r="J400" s="599"/>
      <c r="K400" s="599"/>
      <c r="L400" s="599"/>
      <c r="M400" s="599"/>
      <c r="N400" s="599"/>
      <c r="O400" s="599"/>
      <c r="P400" s="599"/>
      <c r="Q400" s="599"/>
      <c r="R400" s="599"/>
      <c r="S400" s="1096">
        <f t="shared" si="24"/>
        <v>26826780626</v>
      </c>
      <c r="T400" s="599">
        <v>65238488832</v>
      </c>
      <c r="U400" s="1096">
        <f t="shared" si="25"/>
        <v>26827</v>
      </c>
      <c r="V400" s="599">
        <v>65238</v>
      </c>
      <c r="W400" s="620"/>
      <c r="X400" s="621"/>
      <c r="Y400" s="1096">
        <f t="shared" si="26"/>
        <v>26826780626</v>
      </c>
      <c r="Z400" s="882">
        <f t="shared" si="27"/>
        <v>26827</v>
      </c>
    </row>
    <row r="401" spans="1:26" ht="27" hidden="1" customHeight="1">
      <c r="A401" s="1558"/>
      <c r="B401" s="583">
        <v>501</v>
      </c>
      <c r="C401" s="1235">
        <v>13</v>
      </c>
      <c r="D401" s="1230">
        <v>90004883</v>
      </c>
      <c r="E401" s="1138" t="s">
        <v>1830</v>
      </c>
      <c r="F401" s="599"/>
      <c r="G401" s="599"/>
      <c r="H401" s="599"/>
      <c r="I401" s="599"/>
      <c r="J401" s="599"/>
      <c r="K401" s="599"/>
      <c r="L401" s="599"/>
      <c r="M401" s="599"/>
      <c r="N401" s="599"/>
      <c r="O401" s="599"/>
      <c r="P401" s="599"/>
      <c r="Q401" s="599"/>
      <c r="R401" s="599"/>
      <c r="S401" s="1096">
        <f t="shared" si="24"/>
        <v>0</v>
      </c>
      <c r="T401" s="599">
        <v>71277854272</v>
      </c>
      <c r="U401" s="1096">
        <f t="shared" si="25"/>
        <v>0</v>
      </c>
      <c r="V401" s="599">
        <v>71278</v>
      </c>
      <c r="W401" s="620"/>
      <c r="X401" s="621"/>
      <c r="Y401" s="1096">
        <f t="shared" si="26"/>
        <v>0</v>
      </c>
      <c r="Z401" s="882">
        <f t="shared" si="27"/>
        <v>0</v>
      </c>
    </row>
    <row r="402" spans="1:26" ht="27" hidden="1" customHeight="1">
      <c r="A402" s="583"/>
      <c r="B402" s="583"/>
      <c r="C402" s="581">
        <v>9</v>
      </c>
      <c r="D402" s="1137" t="s">
        <v>125</v>
      </c>
      <c r="E402" s="1138" t="s">
        <v>999</v>
      </c>
      <c r="F402" s="599">
        <v>73074661748</v>
      </c>
      <c r="G402" s="599">
        <v>87119000</v>
      </c>
      <c r="H402" s="599"/>
      <c r="I402" s="599"/>
      <c r="J402" s="599"/>
      <c r="K402" s="599"/>
      <c r="L402" s="599"/>
      <c r="M402" s="599"/>
      <c r="N402" s="599"/>
      <c r="O402" s="599"/>
      <c r="P402" s="599"/>
      <c r="Q402" s="599"/>
      <c r="R402" s="599"/>
      <c r="S402" s="1096">
        <f t="shared" si="24"/>
        <v>73161780748</v>
      </c>
      <c r="T402" s="599">
        <v>68990413496</v>
      </c>
      <c r="U402" s="1096">
        <f t="shared" si="25"/>
        <v>73162</v>
      </c>
      <c r="V402" s="599">
        <v>68990</v>
      </c>
      <c r="W402" s="620"/>
      <c r="X402" s="621"/>
      <c r="Y402" s="1096">
        <f t="shared" si="26"/>
        <v>73161780748</v>
      </c>
      <c r="Z402" s="882">
        <f t="shared" si="27"/>
        <v>73162</v>
      </c>
    </row>
    <row r="403" spans="1:26" ht="27" hidden="1" customHeight="1">
      <c r="A403" s="583"/>
      <c r="B403" s="583">
        <v>406</v>
      </c>
      <c r="C403" s="581">
        <v>11</v>
      </c>
      <c r="D403" s="1137" t="s">
        <v>63</v>
      </c>
      <c r="E403" s="1138" t="s">
        <v>559</v>
      </c>
      <c r="F403" s="599">
        <v>14788078338</v>
      </c>
      <c r="G403" s="599"/>
      <c r="H403" s="599"/>
      <c r="I403" s="599"/>
      <c r="J403" s="599"/>
      <c r="K403" s="599"/>
      <c r="L403" s="599"/>
      <c r="M403" s="599"/>
      <c r="N403" s="599"/>
      <c r="O403" s="599"/>
      <c r="P403" s="599"/>
      <c r="Q403" s="599"/>
      <c r="R403" s="599"/>
      <c r="S403" s="1096">
        <f t="shared" si="24"/>
        <v>14788078338</v>
      </c>
      <c r="T403" s="599">
        <v>7603492099</v>
      </c>
      <c r="U403" s="1096">
        <f t="shared" si="25"/>
        <v>14788</v>
      </c>
      <c r="V403" s="599">
        <v>7603</v>
      </c>
      <c r="W403" s="620"/>
      <c r="X403" s="621"/>
      <c r="Y403" s="1096">
        <f t="shared" si="26"/>
        <v>14788078338</v>
      </c>
      <c r="Z403" s="882">
        <f t="shared" si="27"/>
        <v>14788</v>
      </c>
    </row>
    <row r="404" spans="1:26" ht="27" hidden="1" customHeight="1">
      <c r="A404" s="583"/>
      <c r="B404" s="583">
        <v>606</v>
      </c>
      <c r="C404" s="581">
        <v>12</v>
      </c>
      <c r="D404" s="1137" t="s">
        <v>849</v>
      </c>
      <c r="E404" s="1138" t="s">
        <v>920</v>
      </c>
      <c r="F404" s="599">
        <v>16167217978</v>
      </c>
      <c r="G404" s="599"/>
      <c r="H404" s="599"/>
      <c r="I404" s="599"/>
      <c r="J404" s="599"/>
      <c r="K404" s="599"/>
      <c r="L404" s="599"/>
      <c r="M404" s="599"/>
      <c r="N404" s="599"/>
      <c r="O404" s="599"/>
      <c r="P404" s="599"/>
      <c r="Q404" s="599"/>
      <c r="R404" s="599"/>
      <c r="S404" s="1096">
        <f t="shared" si="24"/>
        <v>16167217978</v>
      </c>
      <c r="T404" s="599">
        <v>15894955372</v>
      </c>
      <c r="U404" s="1096">
        <f t="shared" si="25"/>
        <v>16167</v>
      </c>
      <c r="V404" s="599">
        <v>15895</v>
      </c>
      <c r="W404" s="620"/>
      <c r="X404" s="621"/>
      <c r="Y404" s="1096">
        <f t="shared" si="26"/>
        <v>16167217978</v>
      </c>
      <c r="Z404" s="882">
        <f t="shared" si="27"/>
        <v>16167</v>
      </c>
    </row>
    <row r="405" spans="1:26" ht="27" hidden="1" customHeight="1">
      <c r="A405" s="583"/>
      <c r="B405" s="583">
        <v>604</v>
      </c>
      <c r="C405" s="581">
        <v>12</v>
      </c>
      <c r="D405" s="1137" t="s">
        <v>69</v>
      </c>
      <c r="E405" s="1138" t="s">
        <v>70</v>
      </c>
      <c r="F405" s="599">
        <v>151785016</v>
      </c>
      <c r="G405" s="599"/>
      <c r="H405" s="599"/>
      <c r="I405" s="599"/>
      <c r="J405" s="599"/>
      <c r="K405" s="599"/>
      <c r="L405" s="599"/>
      <c r="M405" s="599"/>
      <c r="N405" s="599"/>
      <c r="O405" s="599"/>
      <c r="P405" s="599"/>
      <c r="Q405" s="599"/>
      <c r="R405" s="599"/>
      <c r="S405" s="1096">
        <f t="shared" si="24"/>
        <v>151785016</v>
      </c>
      <c r="T405" s="599">
        <v>174017126</v>
      </c>
      <c r="U405" s="1096">
        <f t="shared" si="25"/>
        <v>152</v>
      </c>
      <c r="V405" s="599">
        <v>174</v>
      </c>
      <c r="W405" s="620"/>
      <c r="X405" s="621"/>
      <c r="Y405" s="1096">
        <f t="shared" si="26"/>
        <v>151785016</v>
      </c>
      <c r="Z405" s="882">
        <f t="shared" si="27"/>
        <v>152</v>
      </c>
    </row>
    <row r="406" spans="1:26" ht="27" hidden="1" customHeight="1">
      <c r="A406" s="583"/>
      <c r="B406" s="583">
        <v>406</v>
      </c>
      <c r="C406" s="581">
        <v>11</v>
      </c>
      <c r="D406" s="1137" t="s">
        <v>1151</v>
      </c>
      <c r="E406" s="1138" t="s">
        <v>1152</v>
      </c>
      <c r="F406" s="599">
        <v>1348983865</v>
      </c>
      <c r="G406" s="599"/>
      <c r="H406" s="599"/>
      <c r="I406" s="599"/>
      <c r="J406" s="599"/>
      <c r="K406" s="599"/>
      <c r="L406" s="599"/>
      <c r="M406" s="599"/>
      <c r="N406" s="599"/>
      <c r="O406" s="599"/>
      <c r="P406" s="599"/>
      <c r="Q406" s="599"/>
      <c r="R406" s="599"/>
      <c r="S406" s="1096">
        <f t="shared" si="24"/>
        <v>1348983865</v>
      </c>
      <c r="T406" s="599">
        <v>1348983865</v>
      </c>
      <c r="U406" s="1096">
        <f t="shared" si="25"/>
        <v>1349</v>
      </c>
      <c r="V406" s="599">
        <v>1349</v>
      </c>
      <c r="W406" s="620"/>
      <c r="X406" s="621"/>
      <c r="Y406" s="1096">
        <f t="shared" si="26"/>
        <v>1348983865</v>
      </c>
      <c r="Z406" s="882">
        <f t="shared" si="27"/>
        <v>1349</v>
      </c>
    </row>
    <row r="407" spans="1:26" ht="27" hidden="1" customHeight="1">
      <c r="A407" s="1232"/>
      <c r="B407" s="583">
        <v>907</v>
      </c>
      <c r="C407" s="581">
        <v>8</v>
      </c>
      <c r="D407" s="1137" t="s">
        <v>71</v>
      </c>
      <c r="E407" s="1138" t="s">
        <v>72</v>
      </c>
      <c r="F407" s="599">
        <v>88649442672</v>
      </c>
      <c r="G407" s="599">
        <v>-565338400</v>
      </c>
      <c r="H407" s="599"/>
      <c r="I407" s="599"/>
      <c r="J407" s="599">
        <f>1-88084104273</f>
        <v>-88084104272</v>
      </c>
      <c r="K407" s="599"/>
      <c r="L407" s="599"/>
      <c r="M407" s="599"/>
      <c r="N407" s="599"/>
      <c r="O407" s="599"/>
      <c r="P407" s="599"/>
      <c r="Q407" s="599"/>
      <c r="R407" s="599"/>
      <c r="S407" s="1096">
        <f t="shared" si="24"/>
        <v>0</v>
      </c>
      <c r="T407" s="599">
        <v>0</v>
      </c>
      <c r="U407" s="1096">
        <f t="shared" si="25"/>
        <v>0</v>
      </c>
      <c r="V407" s="599">
        <v>0</v>
      </c>
      <c r="W407" s="620"/>
      <c r="X407" s="621"/>
      <c r="Y407" s="1096">
        <f t="shared" si="26"/>
        <v>0</v>
      </c>
      <c r="Z407" s="882">
        <f t="shared" si="27"/>
        <v>0</v>
      </c>
    </row>
    <row r="408" spans="1:26" ht="27" customHeight="1">
      <c r="A408" s="1232">
        <v>3214</v>
      </c>
      <c r="B408" s="583">
        <v>907</v>
      </c>
      <c r="C408" s="581">
        <v>8</v>
      </c>
      <c r="D408" s="1137" t="s">
        <v>71</v>
      </c>
      <c r="E408" s="1138" t="s">
        <v>1459</v>
      </c>
      <c r="G408" s="599"/>
      <c r="H408" s="599"/>
      <c r="I408" s="599"/>
      <c r="J408" s="599"/>
      <c r="K408" s="599"/>
      <c r="L408" s="599"/>
      <c r="M408" s="599"/>
      <c r="N408" s="599"/>
      <c r="O408" s="599">
        <v>105354604168</v>
      </c>
      <c r="P408" s="599"/>
      <c r="Q408" s="599"/>
      <c r="R408" s="599"/>
      <c r="S408" s="1096">
        <f t="shared" si="24"/>
        <v>105354604168</v>
      </c>
      <c r="T408" s="599">
        <v>102509423243</v>
      </c>
      <c r="U408" s="1096">
        <f t="shared" si="25"/>
        <v>105355</v>
      </c>
      <c r="V408" s="738">
        <v>102509</v>
      </c>
      <c r="W408" s="620"/>
      <c r="X408" s="621"/>
      <c r="Y408" s="1096">
        <f t="shared" si="26"/>
        <v>105354604168</v>
      </c>
      <c r="Z408" s="882">
        <f t="shared" si="27"/>
        <v>105355</v>
      </c>
    </row>
    <row r="409" spans="1:26" ht="27" hidden="1" customHeight="1">
      <c r="A409" s="1232">
        <v>6587</v>
      </c>
      <c r="B409" s="583">
        <v>907</v>
      </c>
      <c r="C409" s="581">
        <v>8</v>
      </c>
      <c r="D409" s="1137" t="s">
        <v>71</v>
      </c>
      <c r="E409" s="1138" t="s">
        <v>1719</v>
      </c>
      <c r="F409" s="599"/>
      <c r="G409" s="599"/>
      <c r="H409" s="599"/>
      <c r="I409" s="599"/>
      <c r="J409" s="599"/>
      <c r="K409" s="599"/>
      <c r="L409" s="599"/>
      <c r="M409" s="599"/>
      <c r="N409" s="599"/>
      <c r="O409" s="599"/>
      <c r="P409" s="599"/>
      <c r="Q409" s="599">
        <v>0</v>
      </c>
      <c r="R409" s="599"/>
      <c r="S409" s="1096">
        <f t="shared" si="24"/>
        <v>0</v>
      </c>
      <c r="T409" s="599">
        <v>0</v>
      </c>
      <c r="U409" s="1096">
        <f t="shared" si="25"/>
        <v>0</v>
      </c>
      <c r="V409" s="599">
        <v>0</v>
      </c>
      <c r="W409" s="620"/>
      <c r="X409" s="621"/>
      <c r="Y409" s="1096">
        <f t="shared" si="26"/>
        <v>0</v>
      </c>
      <c r="Z409" s="882">
        <f t="shared" si="27"/>
        <v>0</v>
      </c>
    </row>
    <row r="410" spans="1:26" ht="27" hidden="1" customHeight="1">
      <c r="A410" s="583"/>
      <c r="B410" s="583">
        <v>406</v>
      </c>
      <c r="C410" s="581">
        <v>11</v>
      </c>
      <c r="D410" s="1137" t="s">
        <v>73</v>
      </c>
      <c r="E410" s="1138" t="s">
        <v>74</v>
      </c>
      <c r="F410" s="599">
        <v>15635529600</v>
      </c>
      <c r="G410" s="599">
        <f>110000000-5045527620</f>
        <v>-4935527620</v>
      </c>
      <c r="H410" s="599">
        <v>-150000</v>
      </c>
      <c r="I410" s="599">
        <v>-399342750</v>
      </c>
      <c r="J410" s="599">
        <v>-491471000</v>
      </c>
      <c r="K410" s="599"/>
      <c r="L410" s="599"/>
      <c r="M410" s="599"/>
      <c r="N410" s="599"/>
      <c r="O410" s="599"/>
      <c r="P410" s="599"/>
      <c r="Q410" s="599"/>
      <c r="R410" s="599"/>
      <c r="S410" s="1096">
        <f t="shared" si="24"/>
        <v>9809038230</v>
      </c>
      <c r="T410" s="599">
        <v>10322019207</v>
      </c>
      <c r="U410" s="1096">
        <f t="shared" si="25"/>
        <v>9809</v>
      </c>
      <c r="V410" s="599">
        <v>10322</v>
      </c>
      <c r="W410" s="620"/>
      <c r="X410" s="621"/>
      <c r="Y410" s="1096">
        <f t="shared" si="26"/>
        <v>9809038230</v>
      </c>
      <c r="Z410" s="882">
        <f t="shared" si="27"/>
        <v>9809</v>
      </c>
    </row>
    <row r="411" spans="1:26" ht="27" hidden="1" customHeight="1">
      <c r="A411" s="583"/>
      <c r="B411" s="583">
        <v>605</v>
      </c>
      <c r="C411" s="581">
        <v>12</v>
      </c>
      <c r="D411" s="1137" t="s">
        <v>1153</v>
      </c>
      <c r="E411" s="1138" t="s">
        <v>1154</v>
      </c>
      <c r="F411" s="599">
        <v>902863341786</v>
      </c>
      <c r="G411" s="599">
        <f>360021631800-213301297731</f>
        <v>146720334069</v>
      </c>
      <c r="H411" s="599"/>
      <c r="I411" s="599"/>
      <c r="J411" s="599"/>
      <c r="K411" s="599"/>
      <c r="L411" s="599"/>
      <c r="M411" s="599"/>
      <c r="N411" s="599"/>
      <c r="O411" s="599"/>
      <c r="P411" s="599">
        <v>0</v>
      </c>
      <c r="Q411" s="599"/>
      <c r="R411" s="599"/>
      <c r="S411" s="1096">
        <f t="shared" si="24"/>
        <v>1049583675855</v>
      </c>
      <c r="T411" s="599">
        <v>805562337786</v>
      </c>
      <c r="U411" s="1096">
        <f t="shared" si="25"/>
        <v>1049584</v>
      </c>
      <c r="V411" s="599">
        <v>805562</v>
      </c>
      <c r="W411" s="620"/>
      <c r="X411" s="621"/>
      <c r="Y411" s="1096">
        <f t="shared" si="26"/>
        <v>1049583675855</v>
      </c>
      <c r="Z411" s="882">
        <f t="shared" si="27"/>
        <v>1049584</v>
      </c>
    </row>
    <row r="412" spans="1:26" ht="27" hidden="1" customHeight="1">
      <c r="A412" s="583"/>
      <c r="B412" s="583">
        <v>406</v>
      </c>
      <c r="C412" s="581">
        <v>11</v>
      </c>
      <c r="D412" s="1137" t="s">
        <v>75</v>
      </c>
      <c r="E412" s="1138" t="s">
        <v>406</v>
      </c>
      <c r="F412" s="599">
        <v>6757276684</v>
      </c>
      <c r="G412" s="599"/>
      <c r="H412" s="599"/>
      <c r="I412" s="599"/>
      <c r="J412" s="599"/>
      <c r="K412" s="599"/>
      <c r="L412" s="599"/>
      <c r="M412" s="599"/>
      <c r="N412" s="599"/>
      <c r="O412" s="599"/>
      <c r="P412" s="599"/>
      <c r="Q412" s="599"/>
      <c r="R412" s="599"/>
      <c r="S412" s="1096">
        <f t="shared" si="24"/>
        <v>6757276684</v>
      </c>
      <c r="T412" s="599">
        <v>6749066270</v>
      </c>
      <c r="U412" s="1096">
        <f t="shared" si="25"/>
        <v>6757</v>
      </c>
      <c r="V412" s="599">
        <v>6749</v>
      </c>
      <c r="W412" s="620"/>
      <c r="X412" s="621"/>
      <c r="Y412" s="1096">
        <f t="shared" si="26"/>
        <v>6757276684</v>
      </c>
      <c r="Z412" s="882">
        <f t="shared" si="27"/>
        <v>6757</v>
      </c>
    </row>
    <row r="413" spans="1:26" ht="27" hidden="1" customHeight="1">
      <c r="A413" s="583"/>
      <c r="B413" s="583">
        <v>406</v>
      </c>
      <c r="C413" s="581">
        <v>11</v>
      </c>
      <c r="D413" s="1137" t="s">
        <v>407</v>
      </c>
      <c r="E413" s="1138" t="s">
        <v>408</v>
      </c>
      <c r="F413" s="599">
        <v>199100360</v>
      </c>
      <c r="G413" s="599"/>
      <c r="H413" s="599"/>
      <c r="I413" s="599"/>
      <c r="J413" s="599"/>
      <c r="K413" s="599"/>
      <c r="L413" s="599"/>
      <c r="M413" s="599"/>
      <c r="N413" s="599"/>
      <c r="O413" s="599"/>
      <c r="P413" s="599"/>
      <c r="Q413" s="599"/>
      <c r="R413" s="599"/>
      <c r="S413" s="1096">
        <f t="shared" si="24"/>
        <v>199100360</v>
      </c>
      <c r="T413" s="599">
        <v>199100360</v>
      </c>
      <c r="U413" s="1096">
        <f t="shared" si="25"/>
        <v>199</v>
      </c>
      <c r="V413" s="599">
        <v>199</v>
      </c>
      <c r="W413" s="620"/>
      <c r="X413" s="621"/>
      <c r="Y413" s="1096">
        <f t="shared" si="26"/>
        <v>199100360</v>
      </c>
      <c r="Z413" s="882">
        <f t="shared" si="27"/>
        <v>199</v>
      </c>
    </row>
    <row r="414" spans="1:26" ht="27" hidden="1" customHeight="1">
      <c r="A414" s="583"/>
      <c r="B414" s="583">
        <v>411</v>
      </c>
      <c r="C414" s="581">
        <v>11</v>
      </c>
      <c r="D414" s="1137" t="s">
        <v>409</v>
      </c>
      <c r="E414" s="1138" t="s">
        <v>410</v>
      </c>
      <c r="F414" s="599">
        <v>11096432098</v>
      </c>
      <c r="G414" s="599">
        <f>17166400-30175000</f>
        <v>-13008600</v>
      </c>
      <c r="H414" s="599"/>
      <c r="I414" s="599"/>
      <c r="J414" s="599"/>
      <c r="K414" s="599"/>
      <c r="L414" s="599"/>
      <c r="M414" s="599"/>
      <c r="N414" s="599"/>
      <c r="O414" s="599"/>
      <c r="P414" s="599"/>
      <c r="Q414" s="599"/>
      <c r="R414" s="599"/>
      <c r="S414" s="1096">
        <f t="shared" si="24"/>
        <v>11083423498</v>
      </c>
      <c r="T414" s="599">
        <v>18238274075</v>
      </c>
      <c r="U414" s="1096">
        <f t="shared" si="25"/>
        <v>11083</v>
      </c>
      <c r="V414" s="599">
        <v>18238</v>
      </c>
      <c r="W414" s="620"/>
      <c r="X414" s="621"/>
      <c r="Y414" s="1096">
        <f t="shared" si="26"/>
        <v>11083423498</v>
      </c>
      <c r="Z414" s="882">
        <f t="shared" si="27"/>
        <v>11083</v>
      </c>
    </row>
    <row r="415" spans="1:26" ht="27" customHeight="1">
      <c r="A415" s="583">
        <v>3214</v>
      </c>
      <c r="B415" s="583">
        <v>408</v>
      </c>
      <c r="C415" s="581">
        <v>11</v>
      </c>
      <c r="D415" s="1137" t="s">
        <v>409</v>
      </c>
      <c r="E415" s="1138" t="s">
        <v>1669</v>
      </c>
      <c r="F415" s="599"/>
      <c r="G415" s="599"/>
      <c r="H415" s="599"/>
      <c r="I415" s="599"/>
      <c r="J415" s="599"/>
      <c r="K415" s="599"/>
      <c r="L415" s="599"/>
      <c r="M415" s="599"/>
      <c r="N415" s="599"/>
      <c r="O415" s="599">
        <f>1142775711228+160000000</f>
        <v>1142935711228</v>
      </c>
      <c r="P415" s="599"/>
      <c r="Q415" s="599"/>
      <c r="R415" s="599"/>
      <c r="S415" s="1096">
        <f t="shared" si="24"/>
        <v>1142935711228</v>
      </c>
      <c r="T415" s="599">
        <v>214165293180</v>
      </c>
      <c r="U415" s="1096">
        <f t="shared" si="25"/>
        <v>1142936</v>
      </c>
      <c r="V415" s="599">
        <v>214165</v>
      </c>
      <c r="W415" s="620"/>
      <c r="X415" s="621"/>
      <c r="Y415" s="1096">
        <f t="shared" si="26"/>
        <v>1142935711228</v>
      </c>
      <c r="Z415" s="882">
        <f t="shared" si="27"/>
        <v>1142936</v>
      </c>
    </row>
    <row r="416" spans="1:26" ht="27" hidden="1" customHeight="1">
      <c r="A416" s="1232"/>
      <c r="B416" s="583">
        <v>907</v>
      </c>
      <c r="C416" s="581">
        <v>8</v>
      </c>
      <c r="D416" s="1137" t="s">
        <v>411</v>
      </c>
      <c r="E416" s="1138" t="s">
        <v>769</v>
      </c>
      <c r="F416" s="599">
        <v>518622209439</v>
      </c>
      <c r="G416" s="599">
        <v>-5209050000</v>
      </c>
      <c r="H416" s="599"/>
      <c r="I416" s="599">
        <v>-501414249439</v>
      </c>
      <c r="J416" s="599">
        <v>-35778943422</v>
      </c>
      <c r="K416" s="599"/>
      <c r="L416" s="599"/>
      <c r="M416" s="599"/>
      <c r="N416" s="599">
        <v>35778943422</v>
      </c>
      <c r="O416" s="599"/>
      <c r="P416" s="599"/>
      <c r="Q416" s="599"/>
      <c r="R416" s="599"/>
      <c r="S416" s="1096">
        <f t="shared" si="24"/>
        <v>11998910000</v>
      </c>
      <c r="T416" s="599">
        <v>35106410000</v>
      </c>
      <c r="U416" s="1096">
        <f t="shared" si="25"/>
        <v>11999</v>
      </c>
      <c r="V416" s="599">
        <v>35106</v>
      </c>
      <c r="W416" s="620"/>
      <c r="X416" s="621"/>
      <c r="Y416" s="1096">
        <f t="shared" si="26"/>
        <v>11998910000</v>
      </c>
      <c r="Z416" s="882">
        <f t="shared" si="27"/>
        <v>11999</v>
      </c>
    </row>
    <row r="417" spans="1:26" ht="27" customHeight="1">
      <c r="A417" s="1232">
        <v>3214</v>
      </c>
      <c r="B417" s="583">
        <v>907</v>
      </c>
      <c r="C417" s="581">
        <v>8</v>
      </c>
      <c r="D417" s="1137" t="s">
        <v>411</v>
      </c>
      <c r="E417" s="1138" t="s">
        <v>1670</v>
      </c>
      <c r="G417" s="599"/>
      <c r="H417" s="599"/>
      <c r="I417" s="599"/>
      <c r="J417" s="599"/>
      <c r="K417" s="599"/>
      <c r="L417" s="599"/>
      <c r="M417" s="599"/>
      <c r="N417" s="599"/>
      <c r="O417" s="599">
        <f>3830076345107-25819487994</f>
        <v>3804256857113</v>
      </c>
      <c r="P417" s="599"/>
      <c r="Q417" s="599"/>
      <c r="R417" s="599"/>
      <c r="S417" s="1096">
        <f t="shared" si="24"/>
        <v>3804256857113</v>
      </c>
      <c r="T417" s="599">
        <v>2527828793101</v>
      </c>
      <c r="U417" s="1096">
        <f t="shared" si="25"/>
        <v>3804257</v>
      </c>
      <c r="V417" s="738">
        <v>2527829</v>
      </c>
      <c r="W417" s="620"/>
      <c r="X417" s="621"/>
      <c r="Y417" s="1096">
        <f t="shared" si="26"/>
        <v>3804256857113</v>
      </c>
      <c r="Z417" s="882">
        <f t="shared" si="27"/>
        <v>3804257</v>
      </c>
    </row>
    <row r="418" spans="1:26" ht="33.75" hidden="1" customHeight="1">
      <c r="A418" s="1232">
        <v>6587</v>
      </c>
      <c r="B418" s="583">
        <v>907</v>
      </c>
      <c r="C418" s="581">
        <v>8</v>
      </c>
      <c r="D418" s="1137" t="s">
        <v>411</v>
      </c>
      <c r="E418" s="1139" t="s">
        <v>1674</v>
      </c>
      <c r="F418" s="599"/>
      <c r="G418" s="599"/>
      <c r="H418" s="599"/>
      <c r="I418" s="599"/>
      <c r="J418" s="599"/>
      <c r="K418" s="599"/>
      <c r="L418" s="599"/>
      <c r="M418" s="599"/>
      <c r="N418" s="599"/>
      <c r="O418" s="599"/>
      <c r="P418" s="599"/>
      <c r="Q418" s="599">
        <v>247585082953</v>
      </c>
      <c r="R418" s="599"/>
      <c r="S418" s="1096">
        <f t="shared" si="24"/>
        <v>247585082953</v>
      </c>
      <c r="T418" s="599">
        <v>0</v>
      </c>
      <c r="U418" s="1096">
        <f t="shared" si="25"/>
        <v>247585</v>
      </c>
      <c r="V418" s="599">
        <v>0</v>
      </c>
      <c r="W418" s="620"/>
      <c r="X418" s="621"/>
      <c r="Y418" s="1096">
        <f t="shared" si="26"/>
        <v>247585082953</v>
      </c>
      <c r="Z418" s="882">
        <f t="shared" si="27"/>
        <v>247585</v>
      </c>
    </row>
    <row r="419" spans="1:26" ht="27" hidden="1" customHeight="1">
      <c r="A419" s="583"/>
      <c r="B419" s="583">
        <v>603</v>
      </c>
      <c r="C419" s="581">
        <v>12</v>
      </c>
      <c r="D419" s="1137" t="s">
        <v>353</v>
      </c>
      <c r="E419" s="1138" t="s">
        <v>354</v>
      </c>
      <c r="F419" s="599">
        <v>170412641013</v>
      </c>
      <c r="G419" s="599">
        <f>5209050000-2250000000</f>
        <v>2959050000</v>
      </c>
      <c r="H419" s="599"/>
      <c r="I419" s="599"/>
      <c r="J419" s="599"/>
      <c r="K419" s="599"/>
      <c r="L419" s="599"/>
      <c r="M419" s="599"/>
      <c r="N419" s="599"/>
      <c r="O419" s="599"/>
      <c r="P419" s="599"/>
      <c r="Q419" s="599"/>
      <c r="R419" s="599"/>
      <c r="S419" s="1096">
        <f t="shared" si="24"/>
        <v>173371691013</v>
      </c>
      <c r="T419" s="599">
        <v>105891996658</v>
      </c>
      <c r="U419" s="1096">
        <f t="shared" si="25"/>
        <v>173372</v>
      </c>
      <c r="V419" s="599">
        <v>105892</v>
      </c>
      <c r="W419" s="620"/>
      <c r="X419" s="621"/>
      <c r="Y419" s="1096">
        <f t="shared" si="26"/>
        <v>173371691013</v>
      </c>
      <c r="Z419" s="882">
        <f t="shared" si="27"/>
        <v>173372</v>
      </c>
    </row>
    <row r="420" spans="1:26" ht="27" hidden="1" customHeight="1">
      <c r="A420" s="583"/>
      <c r="B420" s="583">
        <v>406</v>
      </c>
      <c r="C420" s="581">
        <v>11</v>
      </c>
      <c r="D420" s="1137" t="s">
        <v>355</v>
      </c>
      <c r="E420" s="1138" t="s">
        <v>356</v>
      </c>
      <c r="F420" s="599">
        <v>78800606</v>
      </c>
      <c r="G420" s="599"/>
      <c r="H420" s="599"/>
      <c r="I420" s="599"/>
      <c r="J420" s="599"/>
      <c r="K420" s="599"/>
      <c r="L420" s="599"/>
      <c r="M420" s="599"/>
      <c r="N420" s="599"/>
      <c r="O420" s="599"/>
      <c r="P420" s="599"/>
      <c r="Q420" s="599"/>
      <c r="R420" s="599"/>
      <c r="S420" s="1096">
        <f t="shared" si="24"/>
        <v>78800606</v>
      </c>
      <c r="T420" s="599">
        <v>78800606</v>
      </c>
      <c r="U420" s="1096">
        <f t="shared" si="25"/>
        <v>79</v>
      </c>
      <c r="V420" s="599">
        <v>79</v>
      </c>
      <c r="W420" s="620"/>
      <c r="X420" s="621"/>
      <c r="Y420" s="1096">
        <f t="shared" si="26"/>
        <v>78800606</v>
      </c>
      <c r="Z420" s="882">
        <f t="shared" si="27"/>
        <v>79</v>
      </c>
    </row>
    <row r="421" spans="1:26" ht="27" customHeight="1">
      <c r="A421" s="583">
        <v>3214</v>
      </c>
      <c r="B421" s="583">
        <v>1015</v>
      </c>
      <c r="C421" s="581">
        <v>17</v>
      </c>
      <c r="D421" s="1137" t="s">
        <v>355</v>
      </c>
      <c r="E421" s="1138" t="s">
        <v>1462</v>
      </c>
      <c r="F421" s="599"/>
      <c r="G421" s="599"/>
      <c r="H421" s="599"/>
      <c r="I421" s="599"/>
      <c r="J421" s="599"/>
      <c r="K421" s="599"/>
      <c r="L421" s="599"/>
      <c r="M421" s="599"/>
      <c r="N421" s="599"/>
      <c r="O421" s="599"/>
      <c r="P421" s="599"/>
      <c r="Q421" s="599"/>
      <c r="R421" s="599"/>
      <c r="S421" s="1096">
        <f t="shared" si="24"/>
        <v>0</v>
      </c>
      <c r="T421" s="599">
        <v>0</v>
      </c>
      <c r="U421" s="1096">
        <f t="shared" si="25"/>
        <v>0</v>
      </c>
      <c r="V421" s="599">
        <v>0</v>
      </c>
      <c r="W421" s="620"/>
      <c r="X421" s="621"/>
      <c r="Y421" s="1096">
        <f t="shared" si="26"/>
        <v>0</v>
      </c>
      <c r="Z421" s="882">
        <f t="shared" si="27"/>
        <v>0</v>
      </c>
    </row>
    <row r="422" spans="1:26" ht="27" hidden="1" customHeight="1">
      <c r="A422" s="583"/>
      <c r="B422" s="583">
        <v>406</v>
      </c>
      <c r="C422" s="581">
        <v>11</v>
      </c>
      <c r="D422" s="1137" t="s">
        <v>1258</v>
      </c>
      <c r="E422" s="1138" t="s">
        <v>1259</v>
      </c>
      <c r="F422" s="599"/>
      <c r="G422" s="599"/>
      <c r="H422" s="599"/>
      <c r="I422" s="599"/>
      <c r="J422" s="599"/>
      <c r="K422" s="599"/>
      <c r="L422" s="599"/>
      <c r="M422" s="599"/>
      <c r="N422" s="599"/>
      <c r="O422" s="599"/>
      <c r="P422" s="599"/>
      <c r="Q422" s="599"/>
      <c r="R422" s="599"/>
      <c r="S422" s="1096">
        <f t="shared" si="24"/>
        <v>0</v>
      </c>
      <c r="T422" s="599">
        <v>0</v>
      </c>
      <c r="U422" s="1096">
        <f t="shared" si="25"/>
        <v>0</v>
      </c>
      <c r="V422" s="599">
        <v>0</v>
      </c>
      <c r="W422" s="620"/>
      <c r="X422" s="621"/>
      <c r="Y422" s="1096">
        <f t="shared" si="26"/>
        <v>0</v>
      </c>
      <c r="Z422" s="882">
        <f t="shared" si="27"/>
        <v>0</v>
      </c>
    </row>
    <row r="423" spans="1:26" ht="27" hidden="1" customHeight="1">
      <c r="A423" s="583"/>
      <c r="B423" s="583">
        <v>1015</v>
      </c>
      <c r="C423" s="581">
        <v>17</v>
      </c>
      <c r="D423" s="1137" t="s">
        <v>357</v>
      </c>
      <c r="E423" s="1138" t="s">
        <v>358</v>
      </c>
      <c r="F423" s="599">
        <v>-4160440239</v>
      </c>
      <c r="G423" s="599"/>
      <c r="H423" s="599">
        <f>65-11140000</f>
        <v>-11139935</v>
      </c>
      <c r="I423" s="599"/>
      <c r="J423" s="599"/>
      <c r="K423" s="599"/>
      <c r="L423" s="599"/>
      <c r="M423" s="599"/>
      <c r="N423" s="599"/>
      <c r="O423" s="599"/>
      <c r="P423" s="599"/>
      <c r="Q423" s="599"/>
      <c r="R423" s="599"/>
      <c r="S423" s="1096">
        <f t="shared" si="24"/>
        <v>-4171580174</v>
      </c>
      <c r="T423" s="599">
        <v>-594930480</v>
      </c>
      <c r="U423" s="1096">
        <f t="shared" si="25"/>
        <v>-4172</v>
      </c>
      <c r="V423" s="599">
        <v>-595</v>
      </c>
      <c r="W423" s="620"/>
      <c r="X423" s="621"/>
      <c r="Y423" s="1096">
        <f t="shared" si="26"/>
        <v>-4171580174</v>
      </c>
      <c r="Z423" s="882">
        <f t="shared" si="27"/>
        <v>-4172</v>
      </c>
    </row>
    <row r="424" spans="1:26" ht="27" hidden="1" customHeight="1">
      <c r="A424" s="583"/>
      <c r="B424" s="583">
        <v>1015</v>
      </c>
      <c r="C424" s="581">
        <v>17</v>
      </c>
      <c r="D424" s="1137" t="s">
        <v>359</v>
      </c>
      <c r="E424" s="1138" t="s">
        <v>896</v>
      </c>
      <c r="G424" s="599"/>
      <c r="H424" s="599"/>
      <c r="I424" s="599"/>
      <c r="J424" s="599"/>
      <c r="K424" s="599"/>
      <c r="L424" s="599"/>
      <c r="M424" s="599"/>
      <c r="N424" s="599"/>
      <c r="O424" s="599"/>
      <c r="P424" s="599"/>
      <c r="Q424" s="599"/>
      <c r="R424" s="599"/>
      <c r="S424" s="1096">
        <f t="shared" si="24"/>
        <v>0</v>
      </c>
      <c r="T424" s="599">
        <v>0</v>
      </c>
      <c r="U424" s="1096">
        <f t="shared" si="25"/>
        <v>0</v>
      </c>
      <c r="V424" s="599">
        <v>0</v>
      </c>
      <c r="W424" s="620"/>
      <c r="X424" s="621"/>
      <c r="Y424" s="1096">
        <f t="shared" si="26"/>
        <v>0</v>
      </c>
      <c r="Z424" s="882">
        <f t="shared" si="27"/>
        <v>0</v>
      </c>
    </row>
    <row r="425" spans="1:26" ht="27" hidden="1" customHeight="1">
      <c r="A425" s="583"/>
      <c r="B425" s="583">
        <v>1015</v>
      </c>
      <c r="C425" s="581">
        <v>17</v>
      </c>
      <c r="D425" s="1137" t="s">
        <v>598</v>
      </c>
      <c r="E425" s="1138" t="s">
        <v>850</v>
      </c>
      <c r="F425" s="599">
        <v>-97583</v>
      </c>
      <c r="G425" s="599"/>
      <c r="H425" s="599"/>
      <c r="I425" s="599"/>
      <c r="J425" s="599"/>
      <c r="K425" s="599"/>
      <c r="L425" s="599"/>
      <c r="M425" s="599"/>
      <c r="N425" s="599"/>
      <c r="O425" s="599"/>
      <c r="P425" s="599"/>
      <c r="Q425" s="599"/>
      <c r="R425" s="599"/>
      <c r="S425" s="1096">
        <f t="shared" si="24"/>
        <v>-97583</v>
      </c>
      <c r="T425" s="599">
        <v>-97583</v>
      </c>
      <c r="U425" s="1096">
        <f t="shared" si="25"/>
        <v>0</v>
      </c>
      <c r="V425" s="599">
        <v>0</v>
      </c>
      <c r="W425" s="620"/>
      <c r="X425" s="621"/>
      <c r="Y425" s="1096">
        <f t="shared" si="26"/>
        <v>-97583</v>
      </c>
      <c r="Z425" s="882">
        <f t="shared" si="27"/>
        <v>0</v>
      </c>
    </row>
    <row r="426" spans="1:26" ht="27" hidden="1" customHeight="1">
      <c r="A426" s="583"/>
      <c r="B426" s="583">
        <v>602</v>
      </c>
      <c r="C426" s="581">
        <v>12</v>
      </c>
      <c r="D426" s="1137" t="s">
        <v>600</v>
      </c>
      <c r="E426" s="1138" t="s">
        <v>601</v>
      </c>
      <c r="F426" s="599">
        <v>-42116464946</v>
      </c>
      <c r="G426" s="599">
        <v>4005000000</v>
      </c>
      <c r="H426" s="599"/>
      <c r="I426" s="599"/>
      <c r="J426" s="599"/>
      <c r="K426" s="599"/>
      <c r="L426" s="599"/>
      <c r="M426" s="599"/>
      <c r="N426" s="599">
        <f>628948360931-628948360931</f>
        <v>0</v>
      </c>
      <c r="O426" s="599"/>
      <c r="P426" s="599">
        <v>-171751075276</v>
      </c>
      <c r="Q426" s="599"/>
      <c r="R426" s="599"/>
      <c r="S426" s="1096">
        <f t="shared" si="24"/>
        <v>-209862540222</v>
      </c>
      <c r="T426" s="599">
        <v>-42116464946</v>
      </c>
      <c r="U426" s="1096">
        <f t="shared" si="25"/>
        <v>-209863</v>
      </c>
      <c r="V426" s="599">
        <v>-42116</v>
      </c>
      <c r="W426" s="620"/>
      <c r="X426" s="738"/>
      <c r="Y426" s="1096">
        <f t="shared" si="26"/>
        <v>-209862540222</v>
      </c>
      <c r="Z426" s="882">
        <f t="shared" si="27"/>
        <v>-209863</v>
      </c>
    </row>
    <row r="427" spans="1:26" ht="27" hidden="1" customHeight="1">
      <c r="A427" s="583"/>
      <c r="B427" s="583">
        <v>1015</v>
      </c>
      <c r="C427" s="581">
        <v>17</v>
      </c>
      <c r="D427" s="1137" t="s">
        <v>1264</v>
      </c>
      <c r="E427" s="1138" t="s">
        <v>1259</v>
      </c>
      <c r="F427" s="599"/>
      <c r="G427" s="599"/>
      <c r="H427" s="599"/>
      <c r="I427" s="599"/>
      <c r="J427" s="599"/>
      <c r="K427" s="599"/>
      <c r="L427" s="599"/>
      <c r="M427" s="599"/>
      <c r="N427" s="599"/>
      <c r="O427" s="599"/>
      <c r="P427" s="599"/>
      <c r="Q427" s="599"/>
      <c r="R427" s="599"/>
      <c r="S427" s="1096">
        <f t="shared" si="24"/>
        <v>0</v>
      </c>
      <c r="T427" s="599">
        <v>0</v>
      </c>
      <c r="U427" s="1096">
        <f t="shared" si="25"/>
        <v>0</v>
      </c>
      <c r="V427" s="599">
        <v>0</v>
      </c>
      <c r="W427" s="620"/>
      <c r="X427" s="621"/>
      <c r="Y427" s="1096">
        <f t="shared" si="26"/>
        <v>0</v>
      </c>
      <c r="Z427" s="882">
        <f t="shared" si="27"/>
        <v>0</v>
      </c>
    </row>
    <row r="428" spans="1:26" ht="27" hidden="1" customHeight="1">
      <c r="A428" s="583"/>
      <c r="B428" s="583">
        <v>406</v>
      </c>
      <c r="C428" s="581">
        <v>11</v>
      </c>
      <c r="D428" s="1137" t="s">
        <v>602</v>
      </c>
      <c r="E428" s="1138" t="s">
        <v>603</v>
      </c>
      <c r="F428" s="599">
        <v>505877512</v>
      </c>
      <c r="G428" s="599">
        <v>-1183740565</v>
      </c>
      <c r="H428" s="599"/>
      <c r="I428" s="599"/>
      <c r="J428" s="599"/>
      <c r="K428" s="599"/>
      <c r="L428" s="599"/>
      <c r="M428" s="599"/>
      <c r="N428" s="599">
        <v>1159124565</v>
      </c>
      <c r="O428" s="599">
        <v>-1373502058</v>
      </c>
      <c r="P428" s="599"/>
      <c r="Q428" s="599"/>
      <c r="R428" s="599"/>
      <c r="S428" s="1096">
        <f t="shared" si="24"/>
        <v>-892240546</v>
      </c>
      <c r="T428" s="599">
        <v>627846394</v>
      </c>
      <c r="U428" s="1096">
        <f t="shared" si="25"/>
        <v>-892</v>
      </c>
      <c r="V428" s="599">
        <v>628</v>
      </c>
      <c r="W428" s="620"/>
      <c r="X428" s="621"/>
      <c r="Y428" s="1096">
        <f t="shared" si="26"/>
        <v>-892240546</v>
      </c>
      <c r="Z428" s="882">
        <f t="shared" si="27"/>
        <v>-892</v>
      </c>
    </row>
    <row r="429" spans="1:26" ht="27" hidden="1" customHeight="1">
      <c r="A429" s="583"/>
      <c r="B429" s="583">
        <v>406</v>
      </c>
      <c r="C429" s="581">
        <v>11</v>
      </c>
      <c r="D429" s="1137" t="s">
        <v>668</v>
      </c>
      <c r="E429" s="1138" t="s">
        <v>669</v>
      </c>
      <c r="F429" s="599"/>
      <c r="G429" s="599"/>
      <c r="H429" s="599"/>
      <c r="I429" s="599"/>
      <c r="J429" s="599"/>
      <c r="K429" s="599"/>
      <c r="L429" s="599"/>
      <c r="M429" s="599"/>
      <c r="N429" s="599"/>
      <c r="O429" s="599"/>
      <c r="P429" s="599"/>
      <c r="Q429" s="599"/>
      <c r="R429" s="599"/>
      <c r="S429" s="1096">
        <f t="shared" si="24"/>
        <v>0</v>
      </c>
      <c r="T429" s="599">
        <v>0</v>
      </c>
      <c r="U429" s="1096">
        <f t="shared" si="25"/>
        <v>0</v>
      </c>
      <c r="V429" s="599">
        <v>0</v>
      </c>
      <c r="W429" s="620"/>
      <c r="X429" s="621"/>
      <c r="Y429" s="1096">
        <f t="shared" si="26"/>
        <v>0</v>
      </c>
      <c r="Z429" s="882">
        <f t="shared" si="27"/>
        <v>0</v>
      </c>
    </row>
    <row r="430" spans="1:26" ht="27" hidden="1" customHeight="1">
      <c r="A430" s="583"/>
      <c r="B430" s="583">
        <v>100201</v>
      </c>
      <c r="C430" s="581">
        <v>17</v>
      </c>
      <c r="D430" s="1137" t="s">
        <v>604</v>
      </c>
      <c r="E430" s="1138" t="s">
        <v>532</v>
      </c>
      <c r="F430" s="599"/>
      <c r="G430" s="599"/>
      <c r="H430" s="599"/>
      <c r="I430" s="599"/>
      <c r="J430" s="599"/>
      <c r="K430" s="599"/>
      <c r="L430" s="599"/>
      <c r="M430" s="599"/>
      <c r="N430" s="599"/>
      <c r="O430" s="599"/>
      <c r="P430" s="599"/>
      <c r="Q430" s="599"/>
      <c r="R430" s="599"/>
      <c r="S430" s="1096">
        <f t="shared" si="24"/>
        <v>0</v>
      </c>
      <c r="T430" s="599">
        <v>0</v>
      </c>
      <c r="U430" s="1096">
        <f t="shared" si="25"/>
        <v>0</v>
      </c>
      <c r="V430" s="599">
        <v>0</v>
      </c>
      <c r="W430" s="620"/>
      <c r="X430" s="621"/>
      <c r="Y430" s="1096">
        <f t="shared" si="26"/>
        <v>0</v>
      </c>
      <c r="Z430" s="882">
        <f t="shared" si="27"/>
        <v>0</v>
      </c>
    </row>
    <row r="431" spans="1:26" ht="27" hidden="1" customHeight="1">
      <c r="A431" s="583"/>
      <c r="B431" s="583">
        <v>1018</v>
      </c>
      <c r="C431" s="581">
        <v>17</v>
      </c>
      <c r="D431" s="1137" t="s">
        <v>605</v>
      </c>
      <c r="E431" s="1138" t="s">
        <v>227</v>
      </c>
      <c r="F431" s="599">
        <v>-601083906</v>
      </c>
      <c r="G431" s="599"/>
      <c r="H431" s="599"/>
      <c r="I431" s="599"/>
      <c r="J431" s="599"/>
      <c r="K431" s="599"/>
      <c r="L431" s="599"/>
      <c r="M431" s="599"/>
      <c r="N431" s="599"/>
      <c r="O431" s="599"/>
      <c r="P431" s="599"/>
      <c r="Q431" s="599"/>
      <c r="R431" s="599"/>
      <c r="S431" s="1096">
        <f t="shared" si="24"/>
        <v>-601083906</v>
      </c>
      <c r="T431" s="599">
        <v>-108994313</v>
      </c>
      <c r="U431" s="1096">
        <f t="shared" si="25"/>
        <v>-601</v>
      </c>
      <c r="V431" s="599">
        <v>-109</v>
      </c>
      <c r="W431" s="620"/>
      <c r="X431" s="621"/>
      <c r="Y431" s="1096">
        <f t="shared" si="26"/>
        <v>-601083906</v>
      </c>
      <c r="Z431" s="882">
        <f t="shared" si="27"/>
        <v>-601</v>
      </c>
    </row>
    <row r="432" spans="1:26" ht="27" hidden="1" customHeight="1">
      <c r="A432" s="583"/>
      <c r="B432" s="583">
        <v>1018</v>
      </c>
      <c r="C432" s="581">
        <v>17</v>
      </c>
      <c r="D432" s="1137" t="s">
        <v>1000</v>
      </c>
      <c r="E432" s="1138" t="s">
        <v>1001</v>
      </c>
      <c r="F432" s="599">
        <v>-24326180</v>
      </c>
      <c r="G432" s="599"/>
      <c r="H432" s="599"/>
      <c r="I432" s="599"/>
      <c r="J432" s="599"/>
      <c r="K432" s="599"/>
      <c r="L432" s="599"/>
      <c r="M432" s="599"/>
      <c r="N432" s="599"/>
      <c r="O432" s="599"/>
      <c r="P432" s="599"/>
      <c r="Q432" s="599"/>
      <c r="R432" s="599"/>
      <c r="S432" s="1096">
        <f t="shared" si="24"/>
        <v>-24326180</v>
      </c>
      <c r="T432" s="599">
        <v>-24326180</v>
      </c>
      <c r="U432" s="1096">
        <f t="shared" si="25"/>
        <v>-24</v>
      </c>
      <c r="V432" s="599">
        <v>-24</v>
      </c>
      <c r="W432" s="620"/>
      <c r="X432" s="621"/>
      <c r="Y432" s="1096">
        <f t="shared" si="26"/>
        <v>-24326180</v>
      </c>
      <c r="Z432" s="882">
        <f t="shared" si="27"/>
        <v>-24</v>
      </c>
    </row>
    <row r="433" spans="1:26" ht="27" hidden="1" customHeight="1">
      <c r="A433" s="583"/>
      <c r="B433" s="583">
        <v>1018</v>
      </c>
      <c r="C433" s="581">
        <v>17</v>
      </c>
      <c r="D433" s="1137" t="s">
        <v>515</v>
      </c>
      <c r="E433" s="1138" t="s">
        <v>516</v>
      </c>
      <c r="F433" s="599">
        <v>-44173000000</v>
      </c>
      <c r="G433" s="599"/>
      <c r="H433" s="599"/>
      <c r="I433" s="599"/>
      <c r="J433" s="599"/>
      <c r="K433" s="599"/>
      <c r="L433" s="599"/>
      <c r="M433" s="599"/>
      <c r="N433" s="599"/>
      <c r="O433" s="599"/>
      <c r="P433" s="599"/>
      <c r="Q433" s="599"/>
      <c r="R433" s="599"/>
      <c r="S433" s="1096">
        <f t="shared" si="24"/>
        <v>-44173000000</v>
      </c>
      <c r="T433" s="599">
        <v>-362000000</v>
      </c>
      <c r="U433" s="1096">
        <f t="shared" si="25"/>
        <v>-44173</v>
      </c>
      <c r="V433" s="599">
        <v>-362</v>
      </c>
      <c r="W433" s="620"/>
      <c r="X433" s="621"/>
      <c r="Y433" s="1096">
        <f t="shared" si="26"/>
        <v>-44173000000</v>
      </c>
      <c r="Z433" s="882">
        <f t="shared" si="27"/>
        <v>-44173</v>
      </c>
    </row>
    <row r="434" spans="1:26" ht="27" hidden="1" customHeight="1">
      <c r="A434" s="583"/>
      <c r="B434" s="583">
        <v>1018</v>
      </c>
      <c r="C434" s="581">
        <v>17</v>
      </c>
      <c r="D434" s="1137" t="s">
        <v>1347</v>
      </c>
      <c r="E434" s="1138" t="s">
        <v>1348</v>
      </c>
      <c r="F434" s="599"/>
      <c r="G434" s="599">
        <v>-2234000</v>
      </c>
      <c r="H434" s="599"/>
      <c r="I434" s="599"/>
      <c r="J434" s="599">
        <v>2234000</v>
      </c>
      <c r="K434" s="599"/>
      <c r="L434" s="599"/>
      <c r="M434" s="599"/>
      <c r="N434" s="599"/>
      <c r="O434" s="599"/>
      <c r="P434" s="599"/>
      <c r="Q434" s="599"/>
      <c r="R434" s="599"/>
      <c r="S434" s="1096">
        <f t="shared" si="24"/>
        <v>0</v>
      </c>
      <c r="T434" s="599">
        <v>0</v>
      </c>
      <c r="U434" s="1096">
        <f t="shared" si="25"/>
        <v>0</v>
      </c>
      <c r="V434" s="599">
        <v>0</v>
      </c>
      <c r="W434" s="620"/>
      <c r="X434" s="621"/>
      <c r="Y434" s="1096">
        <f t="shared" si="26"/>
        <v>0</v>
      </c>
      <c r="Z434" s="882">
        <f t="shared" si="27"/>
        <v>0</v>
      </c>
    </row>
    <row r="435" spans="1:26" ht="27" hidden="1" customHeight="1">
      <c r="A435" s="1232"/>
      <c r="B435" s="583">
        <v>1012</v>
      </c>
      <c r="C435" s="581">
        <v>17</v>
      </c>
      <c r="D435" s="1137" t="s">
        <v>18</v>
      </c>
      <c r="E435" s="1138" t="s">
        <v>228</v>
      </c>
      <c r="F435" s="599">
        <f>-6492174261414-F437-F438-F439</f>
        <v>-1127388311810</v>
      </c>
      <c r="G435" s="599">
        <f>301092719467-564981227075</f>
        <v>-263888507608</v>
      </c>
      <c r="H435" s="599">
        <f>35700487330-82346895305</f>
        <v>-46646407975</v>
      </c>
      <c r="I435" s="599">
        <f>-3744422348971-I437-I438-I439-I440</f>
        <v>0</v>
      </c>
      <c r="J435" s="599">
        <v>-2234000</v>
      </c>
      <c r="K435" s="599"/>
      <c r="L435" s="599"/>
      <c r="M435" s="599"/>
      <c r="N435" s="599"/>
      <c r="O435" s="599">
        <f>-35178000000</f>
        <v>-35178000000</v>
      </c>
      <c r="P435" s="599">
        <f>-2164449084-14000000000-11448625045-25870560626-31574628962</f>
        <v>-85058263717</v>
      </c>
      <c r="Q435" s="599"/>
      <c r="R435" s="599"/>
      <c r="S435" s="1096">
        <f t="shared" si="24"/>
        <v>-1558161725110</v>
      </c>
      <c r="T435" s="599">
        <v>-1751673437062</v>
      </c>
      <c r="U435" s="1096">
        <f t="shared" si="25"/>
        <v>-1558162</v>
      </c>
      <c r="V435" s="599">
        <v>-1751673</v>
      </c>
      <c r="W435" s="620"/>
      <c r="X435" s="621"/>
      <c r="Y435" s="1096">
        <f t="shared" si="26"/>
        <v>-1558161725110</v>
      </c>
      <c r="Z435" s="882">
        <f t="shared" si="27"/>
        <v>-1558162</v>
      </c>
    </row>
    <row r="436" spans="1:26" ht="27" hidden="1" customHeight="1">
      <c r="A436" s="1232">
        <v>6587</v>
      </c>
      <c r="B436" s="583">
        <v>100201</v>
      </c>
      <c r="C436" s="581">
        <v>17</v>
      </c>
      <c r="D436" s="1137">
        <v>90006401</v>
      </c>
      <c r="E436" s="1138" t="s">
        <v>1982</v>
      </c>
      <c r="F436" s="599"/>
      <c r="G436" s="599"/>
      <c r="H436" s="599"/>
      <c r="I436" s="599"/>
      <c r="J436" s="599"/>
      <c r="K436" s="599"/>
      <c r="L436" s="599"/>
      <c r="M436" s="599"/>
      <c r="N436" s="599"/>
      <c r="O436" s="599">
        <v>-2477807488685</v>
      </c>
      <c r="P436" s="599"/>
      <c r="Q436" s="599"/>
      <c r="R436" s="599"/>
      <c r="S436" s="1096">
        <f t="shared" si="24"/>
        <v>-2477807488685</v>
      </c>
      <c r="T436" s="599"/>
      <c r="U436" s="1096">
        <f t="shared" si="25"/>
        <v>-2477807</v>
      </c>
      <c r="V436" s="599">
        <v>0</v>
      </c>
      <c r="W436" s="620"/>
      <c r="X436" s="621"/>
      <c r="Y436" s="1096">
        <f t="shared" si="26"/>
        <v>-2477807488685</v>
      </c>
      <c r="Z436" s="882">
        <f t="shared" si="27"/>
        <v>-2477807</v>
      </c>
    </row>
    <row r="437" spans="1:26" ht="27" hidden="1" customHeight="1">
      <c r="A437" s="1233">
        <v>6587</v>
      </c>
      <c r="B437" s="583">
        <v>100201</v>
      </c>
      <c r="C437" s="581">
        <v>17</v>
      </c>
      <c r="D437" s="1137" t="s">
        <v>1692</v>
      </c>
      <c r="E437" s="1138" t="s">
        <v>228</v>
      </c>
      <c r="F437" s="599">
        <v>-2056189513042</v>
      </c>
      <c r="G437" s="599"/>
      <c r="H437" s="599"/>
      <c r="I437" s="599">
        <v>-195626616516</v>
      </c>
      <c r="J437" s="599"/>
      <c r="K437" s="599"/>
      <c r="L437" s="599"/>
      <c r="M437" s="599"/>
      <c r="N437" s="599"/>
      <c r="O437" s="599"/>
      <c r="P437" s="599"/>
      <c r="Q437" s="599"/>
      <c r="R437" s="599"/>
      <c r="S437" s="1096">
        <f t="shared" si="24"/>
        <v>-2251816129558</v>
      </c>
      <c r="T437" s="599">
        <v>-2056189513042</v>
      </c>
      <c r="U437" s="1096">
        <f t="shared" si="25"/>
        <v>-2251816</v>
      </c>
      <c r="V437" s="599">
        <v>-2056190</v>
      </c>
      <c r="W437" s="620"/>
      <c r="X437" s="621"/>
      <c r="Y437" s="1096">
        <f t="shared" si="26"/>
        <v>-2251816129558</v>
      </c>
      <c r="Z437" s="882">
        <f t="shared" si="27"/>
        <v>-2251816</v>
      </c>
    </row>
    <row r="438" spans="1:26" ht="27" hidden="1" customHeight="1">
      <c r="A438" s="1233">
        <v>6587</v>
      </c>
      <c r="B438" s="583">
        <v>100201</v>
      </c>
      <c r="C438" s="581">
        <v>17</v>
      </c>
      <c r="D438" s="1137" t="s">
        <v>1693</v>
      </c>
      <c r="E438" s="1138" t="s">
        <v>228</v>
      </c>
      <c r="F438" s="599">
        <v>-3162441390543</v>
      </c>
      <c r="G438" s="599"/>
      <c r="H438" s="599"/>
      <c r="I438" s="599">
        <v>-672801274822</v>
      </c>
      <c r="J438" s="599">
        <v>-1925532904</v>
      </c>
      <c r="K438" s="599"/>
      <c r="L438" s="599"/>
      <c r="M438" s="599"/>
      <c r="N438" s="599"/>
      <c r="O438" s="599"/>
      <c r="P438" s="599"/>
      <c r="Q438" s="599"/>
      <c r="R438" s="599"/>
      <c r="S438" s="1096">
        <f t="shared" si="24"/>
        <v>-3837168198269</v>
      </c>
      <c r="T438" s="599">
        <v>-3162441390543</v>
      </c>
      <c r="U438" s="1096">
        <f t="shared" si="25"/>
        <v>-3837168</v>
      </c>
      <c r="V438" s="599">
        <v>-3162441</v>
      </c>
      <c r="W438" s="620"/>
      <c r="X438" s="621"/>
      <c r="Y438" s="1096">
        <f t="shared" si="26"/>
        <v>-3837168198269</v>
      </c>
      <c r="Z438" s="882">
        <f t="shared" si="27"/>
        <v>-3837168</v>
      </c>
    </row>
    <row r="439" spans="1:26" ht="27" hidden="1" customHeight="1">
      <c r="A439" s="1233">
        <v>6587</v>
      </c>
      <c r="B439" s="583">
        <v>100201</v>
      </c>
      <c r="C439" s="581">
        <v>17</v>
      </c>
      <c r="D439" s="1137" t="s">
        <v>1770</v>
      </c>
      <c r="E439" s="1138" t="s">
        <v>228</v>
      </c>
      <c r="F439" s="599">
        <v>-146155046019</v>
      </c>
      <c r="G439" s="599"/>
      <c r="H439" s="599"/>
      <c r="I439" s="599">
        <v>-398186968948</v>
      </c>
      <c r="J439" s="599"/>
      <c r="K439" s="599"/>
      <c r="L439" s="599"/>
      <c r="M439" s="599"/>
      <c r="N439" s="599"/>
      <c r="O439" s="599"/>
      <c r="P439" s="599"/>
      <c r="Q439" s="599"/>
      <c r="R439" s="599"/>
      <c r="S439" s="1096">
        <f t="shared" si="24"/>
        <v>-544342014967</v>
      </c>
      <c r="T439" s="599">
        <v>-146155046019</v>
      </c>
      <c r="U439" s="1096">
        <f t="shared" si="25"/>
        <v>-544342</v>
      </c>
      <c r="V439" s="599">
        <v>-146155</v>
      </c>
      <c r="W439" s="620"/>
      <c r="X439" s="621"/>
      <c r="Y439" s="1096">
        <f t="shared" si="26"/>
        <v>-544342014967</v>
      </c>
      <c r="Z439" s="882">
        <f t="shared" si="27"/>
        <v>-544342</v>
      </c>
    </row>
    <row r="440" spans="1:26" ht="27" customHeight="1">
      <c r="A440" s="1233">
        <v>3214</v>
      </c>
      <c r="B440" s="583">
        <v>100201</v>
      </c>
      <c r="C440" s="581">
        <v>17</v>
      </c>
      <c r="D440" s="1137" t="s">
        <v>18</v>
      </c>
      <c r="E440" s="1138" t="s">
        <v>228</v>
      </c>
      <c r="G440" s="599"/>
      <c r="H440" s="599"/>
      <c r="I440" s="599">
        <v>-2477807488685</v>
      </c>
      <c r="J440" s="599"/>
      <c r="K440" s="599"/>
      <c r="L440" s="599"/>
      <c r="M440" s="599"/>
      <c r="N440" s="599"/>
      <c r="O440" s="599">
        <f>34828518289-4919991386484+2477807488685</f>
        <v>-2407355379510</v>
      </c>
      <c r="P440" s="599"/>
      <c r="Q440" s="599"/>
      <c r="R440" s="599"/>
      <c r="S440" s="1096">
        <f t="shared" si="24"/>
        <v>-4885162868195</v>
      </c>
      <c r="T440" s="599">
        <v>-2177928066490</v>
      </c>
      <c r="U440" s="1096">
        <f t="shared" si="25"/>
        <v>-4885163</v>
      </c>
      <c r="V440" s="599">
        <v>-2177928</v>
      </c>
      <c r="W440" s="620"/>
      <c r="X440" s="621"/>
      <c r="Y440" s="1096">
        <f t="shared" si="26"/>
        <v>-4885162868195</v>
      </c>
      <c r="Z440" s="882">
        <f t="shared" si="27"/>
        <v>-4885163</v>
      </c>
    </row>
    <row r="441" spans="1:26" ht="27" hidden="1" customHeight="1">
      <c r="A441" s="583"/>
      <c r="B441" s="583">
        <v>405</v>
      </c>
      <c r="C441" s="581">
        <v>11</v>
      </c>
      <c r="D441" s="1137" t="s">
        <v>201</v>
      </c>
      <c r="E441" s="1138" t="s">
        <v>1426</v>
      </c>
      <c r="F441" s="599">
        <v>224542002021</v>
      </c>
      <c r="G441" s="599"/>
      <c r="H441" s="599"/>
      <c r="I441" s="599"/>
      <c r="J441" s="599"/>
      <c r="K441" s="599"/>
      <c r="L441" s="599"/>
      <c r="M441" s="599"/>
      <c r="N441" s="599"/>
      <c r="O441" s="599"/>
      <c r="P441" s="599"/>
      <c r="Q441" s="599"/>
      <c r="R441" s="599"/>
      <c r="S441" s="1096">
        <f t="shared" si="24"/>
        <v>224542002021</v>
      </c>
      <c r="T441" s="599">
        <v>216542002021</v>
      </c>
      <c r="U441" s="1096">
        <f t="shared" si="25"/>
        <v>224542</v>
      </c>
      <c r="V441" s="599">
        <v>216542</v>
      </c>
      <c r="W441" s="620"/>
      <c r="X441" s="738"/>
      <c r="Y441" s="1096">
        <f t="shared" si="26"/>
        <v>224542002021</v>
      </c>
      <c r="Z441" s="882">
        <f t="shared" si="27"/>
        <v>224542</v>
      </c>
    </row>
    <row r="442" spans="1:26" ht="27" hidden="1" customHeight="1">
      <c r="A442" s="583"/>
      <c r="B442" s="583">
        <v>1401</v>
      </c>
      <c r="C442" s="581">
        <v>18</v>
      </c>
      <c r="D442" s="1137" t="s">
        <v>1166</v>
      </c>
      <c r="E442" s="1138" t="s">
        <v>1165</v>
      </c>
      <c r="F442" s="599"/>
      <c r="G442" s="599"/>
      <c r="H442" s="599"/>
      <c r="I442" s="599"/>
      <c r="J442" s="599"/>
      <c r="K442" s="599"/>
      <c r="L442" s="599"/>
      <c r="M442" s="599"/>
      <c r="N442" s="599"/>
      <c r="O442" s="599"/>
      <c r="P442" s="599"/>
      <c r="Q442" s="599"/>
      <c r="R442" s="599"/>
      <c r="S442" s="1096">
        <f t="shared" si="24"/>
        <v>0</v>
      </c>
      <c r="T442" s="599">
        <v>0</v>
      </c>
      <c r="U442" s="1096">
        <f t="shared" si="25"/>
        <v>0</v>
      </c>
      <c r="V442" s="599">
        <v>0</v>
      </c>
      <c r="W442" s="620"/>
      <c r="X442" s="621"/>
      <c r="Y442" s="1096">
        <f t="shared" si="26"/>
        <v>0</v>
      </c>
      <c r="Z442" s="882">
        <f t="shared" si="27"/>
        <v>0</v>
      </c>
    </row>
    <row r="443" spans="1:26" ht="27" hidden="1" customHeight="1">
      <c r="A443" s="583"/>
      <c r="B443" s="583">
        <v>406</v>
      </c>
      <c r="C443" s="581">
        <v>11</v>
      </c>
      <c r="D443" s="1137" t="s">
        <v>19</v>
      </c>
      <c r="E443" s="1138" t="s">
        <v>680</v>
      </c>
      <c r="F443" s="599"/>
      <c r="G443" s="599"/>
      <c r="H443" s="599"/>
      <c r="I443" s="599"/>
      <c r="J443" s="599"/>
      <c r="K443" s="599"/>
      <c r="L443" s="599"/>
      <c r="M443" s="599"/>
      <c r="N443" s="599"/>
      <c r="O443" s="599"/>
      <c r="P443" s="599"/>
      <c r="Q443" s="599"/>
      <c r="R443" s="599"/>
      <c r="S443" s="1096">
        <f t="shared" si="24"/>
        <v>0</v>
      </c>
      <c r="T443" s="599">
        <v>0</v>
      </c>
      <c r="U443" s="1096">
        <f t="shared" si="25"/>
        <v>0</v>
      </c>
      <c r="V443" s="599">
        <v>0</v>
      </c>
      <c r="W443" s="620"/>
      <c r="X443" s="621"/>
      <c r="Y443" s="1096">
        <f t="shared" si="26"/>
        <v>0</v>
      </c>
      <c r="Z443" s="882">
        <f t="shared" si="27"/>
        <v>0</v>
      </c>
    </row>
    <row r="444" spans="1:26" ht="27" hidden="1" customHeight="1">
      <c r="A444" s="583"/>
      <c r="B444" s="583"/>
      <c r="C444" s="581">
        <v>6</v>
      </c>
      <c r="D444" s="1137" t="s">
        <v>897</v>
      </c>
      <c r="E444" s="1138" t="s">
        <v>779</v>
      </c>
      <c r="F444" s="599"/>
      <c r="G444" s="599"/>
      <c r="H444" s="599"/>
      <c r="I444" s="599"/>
      <c r="J444" s="599"/>
      <c r="K444" s="599"/>
      <c r="L444" s="599"/>
      <c r="M444" s="599"/>
      <c r="N444" s="599"/>
      <c r="O444" s="599"/>
      <c r="P444" s="599"/>
      <c r="Q444" s="599"/>
      <c r="R444" s="599"/>
      <c r="S444" s="1096">
        <f t="shared" si="24"/>
        <v>0</v>
      </c>
      <c r="T444" s="599">
        <v>0</v>
      </c>
      <c r="U444" s="1096">
        <f t="shared" si="25"/>
        <v>0</v>
      </c>
      <c r="V444" s="599">
        <v>0</v>
      </c>
      <c r="W444" s="620"/>
      <c r="X444" s="621"/>
      <c r="Y444" s="1096">
        <f t="shared" si="26"/>
        <v>0</v>
      </c>
      <c r="Z444" s="882">
        <f t="shared" si="27"/>
        <v>0</v>
      </c>
    </row>
    <row r="445" spans="1:26" ht="27" hidden="1" customHeight="1">
      <c r="A445" s="583"/>
      <c r="B445" s="583">
        <v>1020</v>
      </c>
      <c r="C445" s="581">
        <v>17</v>
      </c>
      <c r="D445" s="1137" t="s">
        <v>1403</v>
      </c>
      <c r="E445" s="1138" t="s">
        <v>821</v>
      </c>
      <c r="F445" s="599">
        <v>-202633801330</v>
      </c>
      <c r="J445" s="599">
        <v>-29409755106</v>
      </c>
      <c r="K445" s="599"/>
      <c r="L445" s="599"/>
      <c r="M445" s="599"/>
      <c r="N445" s="599"/>
      <c r="O445" s="599"/>
      <c r="P445" s="599"/>
      <c r="Q445" s="599"/>
      <c r="R445" s="599"/>
      <c r="S445" s="1096">
        <f t="shared" si="24"/>
        <v>-232043556436</v>
      </c>
      <c r="T445" s="599">
        <v>-202633801330</v>
      </c>
      <c r="U445" s="1096">
        <f t="shared" si="25"/>
        <v>-232044</v>
      </c>
      <c r="V445" s="599">
        <v>-202634</v>
      </c>
      <c r="W445" s="620"/>
      <c r="X445" s="621"/>
      <c r="Y445" s="1096">
        <f t="shared" si="26"/>
        <v>-232043556436</v>
      </c>
      <c r="Z445" s="882">
        <f t="shared" si="27"/>
        <v>-232044</v>
      </c>
    </row>
    <row r="446" spans="1:26" ht="27" hidden="1" customHeight="1">
      <c r="A446" s="583"/>
      <c r="B446" s="583">
        <v>1004</v>
      </c>
      <c r="C446" s="581">
        <v>17</v>
      </c>
      <c r="D446" s="1137" t="s">
        <v>1432</v>
      </c>
      <c r="E446" s="1138" t="s">
        <v>822</v>
      </c>
      <c r="F446" s="599">
        <f>-1282165426906+202633801330</f>
        <v>-1079531625576</v>
      </c>
      <c r="G446" s="599">
        <f>120221110073-80000000000</f>
        <v>40221110073</v>
      </c>
      <c r="H446" s="599"/>
      <c r="I446" s="599"/>
      <c r="J446" s="599">
        <v>173894800821</v>
      </c>
      <c r="K446" s="599"/>
      <c r="L446" s="599"/>
      <c r="M446" s="599"/>
      <c r="N446" s="599"/>
      <c r="O446" s="599"/>
      <c r="P446" s="599"/>
      <c r="Q446" s="599"/>
      <c r="R446" s="599"/>
      <c r="S446" s="1096">
        <f>SUM(F446:R446)</f>
        <v>-865415714682</v>
      </c>
      <c r="T446" s="599">
        <v>-807290712450</v>
      </c>
      <c r="U446" s="1096">
        <f t="shared" si="25"/>
        <v>-865416</v>
      </c>
      <c r="V446" s="599">
        <v>-807291</v>
      </c>
      <c r="W446" s="620"/>
      <c r="X446" s="621"/>
      <c r="Y446" s="1096">
        <f t="shared" si="26"/>
        <v>-865415714682</v>
      </c>
      <c r="Z446" s="882">
        <f t="shared" si="27"/>
        <v>-865416</v>
      </c>
    </row>
    <row r="447" spans="1:26" ht="27" hidden="1" customHeight="1">
      <c r="A447" s="583"/>
      <c r="B447" s="583">
        <v>1018</v>
      </c>
      <c r="C447" s="581">
        <v>17</v>
      </c>
      <c r="D447" s="1137" t="s">
        <v>764</v>
      </c>
      <c r="E447" s="1138" t="s">
        <v>824</v>
      </c>
      <c r="F447" s="599"/>
      <c r="G447" s="599"/>
      <c r="H447" s="599"/>
      <c r="I447" s="599"/>
      <c r="J447" s="599"/>
      <c r="K447" s="599"/>
      <c r="L447" s="599"/>
      <c r="M447" s="599"/>
      <c r="N447" s="599"/>
      <c r="O447" s="599"/>
      <c r="P447" s="599"/>
      <c r="Q447" s="599"/>
      <c r="R447" s="599"/>
      <c r="S447" s="1096">
        <f t="shared" si="24"/>
        <v>0</v>
      </c>
      <c r="T447" s="599">
        <v>0</v>
      </c>
      <c r="U447" s="1096">
        <f t="shared" si="25"/>
        <v>0</v>
      </c>
      <c r="V447" s="599">
        <v>0</v>
      </c>
      <c r="W447" s="620"/>
      <c r="X447" s="621"/>
      <c r="Y447" s="1096">
        <f t="shared" si="26"/>
        <v>0</v>
      </c>
      <c r="Z447" s="882">
        <f t="shared" si="27"/>
        <v>0</v>
      </c>
    </row>
    <row r="448" spans="1:26" ht="27" hidden="1" customHeight="1">
      <c r="A448" s="583"/>
      <c r="B448" s="583">
        <v>10040</v>
      </c>
      <c r="C448" s="581">
        <v>11</v>
      </c>
      <c r="D448" s="1137" t="s">
        <v>764</v>
      </c>
      <c r="E448" s="1138" t="s">
        <v>823</v>
      </c>
      <c r="F448" s="599"/>
      <c r="G448" s="599"/>
      <c r="H448" s="599"/>
      <c r="I448" s="599"/>
      <c r="J448" s="599"/>
      <c r="K448" s="599"/>
      <c r="L448" s="599"/>
      <c r="M448" s="599"/>
      <c r="N448" s="599"/>
      <c r="O448" s="599"/>
      <c r="P448" s="599"/>
      <c r="Q448" s="599"/>
      <c r="R448" s="599"/>
      <c r="S448" s="1096">
        <f t="shared" si="24"/>
        <v>0</v>
      </c>
      <c r="T448" s="599">
        <v>0</v>
      </c>
      <c r="U448" s="1096">
        <f t="shared" si="25"/>
        <v>0</v>
      </c>
      <c r="V448" s="599">
        <v>0</v>
      </c>
      <c r="W448" s="620"/>
      <c r="X448" s="621"/>
      <c r="Y448" s="1096">
        <f t="shared" si="26"/>
        <v>0</v>
      </c>
      <c r="Z448" s="882">
        <f t="shared" si="27"/>
        <v>0</v>
      </c>
    </row>
    <row r="449" spans="1:26" ht="27" hidden="1" customHeight="1">
      <c r="A449" s="583"/>
      <c r="B449" s="583">
        <v>1002</v>
      </c>
      <c r="C449" s="581">
        <v>17</v>
      </c>
      <c r="D449" s="1137" t="s">
        <v>21</v>
      </c>
      <c r="E449" s="1138" t="s">
        <v>22</v>
      </c>
      <c r="F449" s="599">
        <v>-550702754394</v>
      </c>
      <c r="G449" s="599">
        <f>552771377817-162528797756</f>
        <v>390242580061</v>
      </c>
      <c r="H449" s="599">
        <f>36532898200-608139621</f>
        <v>35924758579</v>
      </c>
      <c r="I449" s="599">
        <v>-3730316474</v>
      </c>
      <c r="J449" s="599">
        <v>-7300000000</v>
      </c>
      <c r="K449" s="599"/>
      <c r="L449" s="599"/>
      <c r="M449" s="599"/>
      <c r="N449" s="599"/>
      <c r="O449" s="599"/>
      <c r="P449" s="599">
        <v>2164449084</v>
      </c>
      <c r="Q449" s="599"/>
      <c r="R449" s="599"/>
      <c r="S449" s="1096">
        <f t="shared" si="24"/>
        <v>-133401283144</v>
      </c>
      <c r="T449" s="599">
        <v>-241362172519</v>
      </c>
      <c r="U449" s="1096">
        <f t="shared" si="25"/>
        <v>-133401</v>
      </c>
      <c r="V449" s="599">
        <v>-241362</v>
      </c>
      <c r="W449" s="620"/>
      <c r="X449" s="621"/>
      <c r="Y449" s="1096">
        <f t="shared" si="26"/>
        <v>-133401283144</v>
      </c>
      <c r="Z449" s="882">
        <f t="shared" si="27"/>
        <v>-133401</v>
      </c>
    </row>
    <row r="450" spans="1:26" ht="27" hidden="1" customHeight="1">
      <c r="A450" s="583"/>
      <c r="B450" s="583">
        <v>1013</v>
      </c>
      <c r="C450" s="581">
        <v>11</v>
      </c>
      <c r="D450" s="1137" t="s">
        <v>681</v>
      </c>
      <c r="E450" s="1138" t="s">
        <v>682</v>
      </c>
      <c r="F450" s="599">
        <v>854129474341</v>
      </c>
      <c r="G450" s="599">
        <f>15286149746-3888662</f>
        <v>15282261084</v>
      </c>
      <c r="H450" s="599">
        <f>5665565351-290760036</f>
        <v>5374805315</v>
      </c>
      <c r="I450" s="599">
        <v>446277007</v>
      </c>
      <c r="J450" s="599">
        <v>2956088964</v>
      </c>
      <c r="K450" s="599">
        <v>614173212</v>
      </c>
      <c r="L450" s="599">
        <v>27401977</v>
      </c>
      <c r="M450" s="599"/>
      <c r="N450" s="599">
        <f>2259685409-30193588</f>
        <v>2229491821</v>
      </c>
      <c r="O450" s="599"/>
      <c r="P450" s="599"/>
      <c r="Q450" s="599"/>
      <c r="R450" s="599"/>
      <c r="S450" s="1096">
        <f t="shared" si="24"/>
        <v>881059973721</v>
      </c>
      <c r="T450" s="599">
        <v>540842351004</v>
      </c>
      <c r="U450" s="1096">
        <f t="shared" si="25"/>
        <v>881060</v>
      </c>
      <c r="V450" s="599">
        <v>540842</v>
      </c>
      <c r="W450" s="620"/>
      <c r="X450" s="621"/>
      <c r="Y450" s="1096">
        <f t="shared" si="26"/>
        <v>881059973721</v>
      </c>
      <c r="Z450" s="882">
        <f t="shared" si="27"/>
        <v>881060</v>
      </c>
    </row>
    <row r="451" spans="1:26" ht="27" hidden="1" customHeight="1">
      <c r="A451" s="583"/>
      <c r="B451" s="583">
        <v>1013</v>
      </c>
      <c r="C451" s="581">
        <v>11</v>
      </c>
      <c r="D451" s="1137" t="s">
        <v>683</v>
      </c>
      <c r="E451" s="1138" t="s">
        <v>684</v>
      </c>
      <c r="F451" s="599">
        <v>427083482130</v>
      </c>
      <c r="G451" s="599">
        <f>7649285008-1940908</f>
        <v>7647344100</v>
      </c>
      <c r="H451" s="599">
        <f>2822367952-145380020</f>
        <v>2676987932</v>
      </c>
      <c r="I451" s="599">
        <v>223139003</v>
      </c>
      <c r="J451" s="599">
        <v>1478043483</v>
      </c>
      <c r="K451" s="599">
        <v>307086607</v>
      </c>
      <c r="L451" s="599">
        <v>13700990</v>
      </c>
      <c r="M451" s="599"/>
      <c r="N451" s="599">
        <f>1131513395-15096794</f>
        <v>1116416601</v>
      </c>
      <c r="O451" s="599"/>
      <c r="P451" s="599"/>
      <c r="Q451" s="599"/>
      <c r="R451" s="599"/>
      <c r="S451" s="1096">
        <f t="shared" si="24"/>
        <v>440546200846</v>
      </c>
      <c r="T451" s="599">
        <v>270392968479</v>
      </c>
      <c r="U451" s="1096">
        <f t="shared" si="25"/>
        <v>440546</v>
      </c>
      <c r="V451" s="599">
        <v>270393</v>
      </c>
      <c r="W451" s="620"/>
      <c r="X451" s="621"/>
      <c r="Y451" s="1096">
        <f t="shared" si="26"/>
        <v>440546200846</v>
      </c>
      <c r="Z451" s="882">
        <f t="shared" si="27"/>
        <v>440546</v>
      </c>
    </row>
    <row r="452" spans="1:26" ht="27" hidden="1" customHeight="1">
      <c r="A452" s="583"/>
      <c r="B452" s="583">
        <v>1013</v>
      </c>
      <c r="C452" s="581">
        <v>11</v>
      </c>
      <c r="D452" s="1137" t="s">
        <v>685</v>
      </c>
      <c r="E452" s="1138" t="s">
        <v>688</v>
      </c>
      <c r="F452" s="599">
        <v>-94619845408</v>
      </c>
      <c r="G452" s="599">
        <v>-1397863465</v>
      </c>
      <c r="H452" s="599">
        <f>5233884273-4115724268</f>
        <v>1118160005</v>
      </c>
      <c r="I452" s="599"/>
      <c r="J452" s="599">
        <f>70444111-18403319</f>
        <v>52040792</v>
      </c>
      <c r="K452" s="599"/>
      <c r="L452" s="599">
        <v>-12817980</v>
      </c>
      <c r="M452" s="599"/>
      <c r="N452" s="599"/>
      <c r="O452" s="599">
        <f>-12350993-14346397</f>
        <v>-26697390</v>
      </c>
      <c r="P452" s="599"/>
      <c r="Q452" s="599"/>
      <c r="R452" s="599"/>
      <c r="S452" s="1096">
        <f t="shared" si="24"/>
        <v>-94887023446</v>
      </c>
      <c r="T452" s="599">
        <v>-67836234913</v>
      </c>
      <c r="U452" s="1096">
        <f t="shared" si="25"/>
        <v>-94887</v>
      </c>
      <c r="V452" s="599">
        <v>-67836</v>
      </c>
      <c r="W452" s="620"/>
      <c r="X452" s="621"/>
      <c r="Y452" s="1096">
        <f t="shared" si="26"/>
        <v>-94887023446</v>
      </c>
      <c r="Z452" s="882">
        <f t="shared" si="27"/>
        <v>-94887</v>
      </c>
    </row>
    <row r="453" spans="1:26" ht="27" hidden="1" customHeight="1">
      <c r="A453" s="583"/>
      <c r="B453" s="583">
        <v>1013</v>
      </c>
      <c r="C453" s="581">
        <v>11</v>
      </c>
      <c r="D453" s="1137" t="s">
        <v>686</v>
      </c>
      <c r="E453" s="1138" t="s">
        <v>689</v>
      </c>
      <c r="F453" s="599">
        <v>-47342277019</v>
      </c>
      <c r="G453" s="599">
        <v>-698931234</v>
      </c>
      <c r="H453" s="599">
        <f>2616942136-2057862084</f>
        <v>559080052</v>
      </c>
      <c r="I453" s="599"/>
      <c r="J453" s="599">
        <f>35222055-9201659</f>
        <v>26020396</v>
      </c>
      <c r="K453" s="599"/>
      <c r="L453" s="599">
        <v>-6408990</v>
      </c>
      <c r="M453" s="599"/>
      <c r="N453" s="599"/>
      <c r="O453" s="599">
        <f>-6175497-7173198</f>
        <v>-13348695</v>
      </c>
      <c r="P453" s="599"/>
      <c r="Q453" s="599"/>
      <c r="R453" s="599"/>
      <c r="S453" s="1096">
        <f t="shared" ref="S453:S516" si="28">SUM(F453:R453)</f>
        <v>-47475865490</v>
      </c>
      <c r="T453" s="599">
        <v>-33950022593</v>
      </c>
      <c r="U453" s="1096">
        <f t="shared" ref="U453:U516" si="29">ROUND((S453/1000000),0)</f>
        <v>-47476</v>
      </c>
      <c r="V453" s="599">
        <v>-33950</v>
      </c>
      <c r="W453" s="620"/>
      <c r="X453" s="621"/>
      <c r="Y453" s="1096">
        <f t="shared" si="26"/>
        <v>-47475865490</v>
      </c>
      <c r="Z453" s="882">
        <f t="shared" si="27"/>
        <v>-47476</v>
      </c>
    </row>
    <row r="454" spans="1:26" ht="27" hidden="1" customHeight="1">
      <c r="A454" s="583"/>
      <c r="B454" s="583">
        <v>1013</v>
      </c>
      <c r="C454" s="581">
        <v>11</v>
      </c>
      <c r="D454" s="1137" t="s">
        <v>687</v>
      </c>
      <c r="E454" s="1138" t="s">
        <v>691</v>
      </c>
      <c r="F454" s="599">
        <v>312277619820</v>
      </c>
      <c r="G454" s="599">
        <v>8673451051</v>
      </c>
      <c r="H454" s="599">
        <v>27240000</v>
      </c>
      <c r="I454" s="599">
        <v>8296479</v>
      </c>
      <c r="J454" s="599"/>
      <c r="K454" s="599"/>
      <c r="L454" s="599"/>
      <c r="M454" s="599"/>
      <c r="N454" s="599"/>
      <c r="O454" s="599"/>
      <c r="P454" s="599"/>
      <c r="Q454" s="599"/>
      <c r="R454" s="599"/>
      <c r="S454" s="1096">
        <f t="shared" si="28"/>
        <v>320986607350</v>
      </c>
      <c r="T454" s="599">
        <v>300931517796</v>
      </c>
      <c r="U454" s="1096">
        <f t="shared" si="29"/>
        <v>320987</v>
      </c>
      <c r="V454" s="599">
        <v>300932</v>
      </c>
      <c r="W454" s="620"/>
      <c r="X454" s="621"/>
      <c r="Y454" s="1096">
        <f t="shared" si="26"/>
        <v>320986607350</v>
      </c>
      <c r="Z454" s="882">
        <f t="shared" si="27"/>
        <v>320987</v>
      </c>
    </row>
    <row r="455" spans="1:26" ht="27" hidden="1" customHeight="1">
      <c r="A455" s="583"/>
      <c r="B455" s="583">
        <v>1013</v>
      </c>
      <c r="C455" s="581">
        <v>11</v>
      </c>
      <c r="D455" s="1137" t="s">
        <v>690</v>
      </c>
      <c r="E455" s="1138" t="s">
        <v>692</v>
      </c>
      <c r="F455" s="599">
        <v>165762092178</v>
      </c>
      <c r="G455" s="599">
        <v>4336725526</v>
      </c>
      <c r="H455" s="599">
        <v>13620000</v>
      </c>
      <c r="I455" s="599">
        <v>4148239</v>
      </c>
      <c r="J455" s="599"/>
      <c r="K455" s="599"/>
      <c r="L455" s="599"/>
      <c r="M455" s="599"/>
      <c r="N455" s="599"/>
      <c r="O455" s="599"/>
      <c r="P455" s="599"/>
      <c r="Q455" s="599"/>
      <c r="R455" s="599"/>
      <c r="S455" s="1096">
        <f t="shared" si="28"/>
        <v>170116585943</v>
      </c>
      <c r="T455" s="599">
        <v>159535404288</v>
      </c>
      <c r="U455" s="1096">
        <f t="shared" si="29"/>
        <v>170117</v>
      </c>
      <c r="V455" s="599">
        <v>159535</v>
      </c>
      <c r="W455" s="620"/>
      <c r="X455" s="621"/>
      <c r="Y455" s="1096">
        <f t="shared" si="26"/>
        <v>170116585943</v>
      </c>
      <c r="Z455" s="882">
        <f t="shared" si="27"/>
        <v>170117</v>
      </c>
    </row>
    <row r="456" spans="1:26" ht="27" hidden="1" customHeight="1">
      <c r="A456" s="583"/>
      <c r="B456" s="583">
        <v>100201</v>
      </c>
      <c r="C456" s="581">
        <v>17</v>
      </c>
      <c r="D456" s="1137" t="s">
        <v>23</v>
      </c>
      <c r="E456" s="1138" t="s">
        <v>537</v>
      </c>
      <c r="F456" s="599"/>
      <c r="G456" s="599"/>
      <c r="H456" s="599"/>
      <c r="I456" s="599"/>
      <c r="J456" s="599"/>
      <c r="K456" s="599"/>
      <c r="L456" s="599"/>
      <c r="M456" s="599"/>
      <c r="N456" s="599"/>
      <c r="O456" s="599"/>
      <c r="P456" s="599"/>
      <c r="Q456" s="599"/>
      <c r="R456" s="599"/>
      <c r="S456" s="1096">
        <f t="shared" si="28"/>
        <v>0</v>
      </c>
      <c r="T456" s="599">
        <v>0</v>
      </c>
      <c r="U456" s="1096">
        <f t="shared" si="29"/>
        <v>0</v>
      </c>
      <c r="V456" s="599">
        <v>0</v>
      </c>
      <c r="W456" s="620"/>
      <c r="X456" s="621"/>
      <c r="Y456" s="1096">
        <f t="shared" ref="Y456:Y519" si="30">S456+X456-W456</f>
        <v>0</v>
      </c>
      <c r="Z456" s="882">
        <f t="shared" ref="Z456:Z519" si="31">ROUND((Y456/1000000),0)</f>
        <v>0</v>
      </c>
    </row>
    <row r="457" spans="1:26" ht="27" customHeight="1">
      <c r="A457" s="583">
        <v>3214</v>
      </c>
      <c r="B457" s="583">
        <v>100201</v>
      </c>
      <c r="C457" s="581">
        <v>17</v>
      </c>
      <c r="D457" s="1137" t="s">
        <v>23</v>
      </c>
      <c r="E457" s="1138" t="s">
        <v>537</v>
      </c>
      <c r="F457" s="599"/>
      <c r="G457" s="599"/>
      <c r="H457" s="599"/>
      <c r="I457" s="599"/>
      <c r="J457" s="599"/>
      <c r="K457" s="599"/>
      <c r="L457" s="599"/>
      <c r="M457" s="599"/>
      <c r="N457" s="599"/>
      <c r="O457" s="599"/>
      <c r="P457" s="599"/>
      <c r="Q457" s="599"/>
      <c r="R457" s="599"/>
      <c r="S457" s="1096">
        <f t="shared" si="28"/>
        <v>0</v>
      </c>
      <c r="T457" s="599">
        <v>0</v>
      </c>
      <c r="U457" s="1096">
        <f t="shared" si="29"/>
        <v>0</v>
      </c>
      <c r="V457" s="599">
        <v>0</v>
      </c>
      <c r="W457" s="620"/>
      <c r="X457" s="621"/>
      <c r="Y457" s="1096">
        <f t="shared" si="30"/>
        <v>0</v>
      </c>
      <c r="Z457" s="882">
        <f t="shared" si="31"/>
        <v>0</v>
      </c>
    </row>
    <row r="458" spans="1:26" ht="27" hidden="1" customHeight="1">
      <c r="A458" s="583"/>
      <c r="B458" s="583">
        <v>100201</v>
      </c>
      <c r="C458" s="581">
        <v>17</v>
      </c>
      <c r="D458" s="1137" t="s">
        <v>1160</v>
      </c>
      <c r="E458" s="1138" t="s">
        <v>1161</v>
      </c>
      <c r="F458" s="599"/>
      <c r="G458" s="599"/>
      <c r="H458" s="599"/>
      <c r="I458" s="599"/>
      <c r="J458" s="599"/>
      <c r="K458" s="599"/>
      <c r="L458" s="599"/>
      <c r="M458" s="599"/>
      <c r="N458" s="599"/>
      <c r="O458" s="599"/>
      <c r="P458" s="599"/>
      <c r="Q458" s="599"/>
      <c r="R458" s="599"/>
      <c r="S458" s="1096">
        <f t="shared" si="28"/>
        <v>0</v>
      </c>
      <c r="T458" s="599">
        <v>-387173856481</v>
      </c>
      <c r="U458" s="1096">
        <f t="shared" si="29"/>
        <v>0</v>
      </c>
      <c r="V458" s="599">
        <v>-387174</v>
      </c>
      <c r="W458" s="620"/>
      <c r="X458" s="621"/>
      <c r="Y458" s="1096">
        <f t="shared" si="30"/>
        <v>0</v>
      </c>
      <c r="Z458" s="882">
        <f t="shared" si="31"/>
        <v>0</v>
      </c>
    </row>
    <row r="459" spans="1:26" ht="27" hidden="1" customHeight="1">
      <c r="A459" s="583"/>
      <c r="B459" s="583">
        <v>10040</v>
      </c>
      <c r="C459" s="581">
        <v>11</v>
      </c>
      <c r="D459" s="1137" t="s">
        <v>1196</v>
      </c>
      <c r="E459" s="1138" t="s">
        <v>1197</v>
      </c>
      <c r="F459" s="599"/>
      <c r="G459" s="599"/>
      <c r="H459" s="599"/>
      <c r="I459" s="599"/>
      <c r="J459" s="599"/>
      <c r="K459" s="599"/>
      <c r="L459" s="599"/>
      <c r="M459" s="599"/>
      <c r="N459" s="599"/>
      <c r="O459" s="599"/>
      <c r="P459" s="599"/>
      <c r="Q459" s="599"/>
      <c r="R459" s="599"/>
      <c r="S459" s="1096">
        <f t="shared" si="28"/>
        <v>0</v>
      </c>
      <c r="T459" s="599">
        <v>0</v>
      </c>
      <c r="U459" s="1096">
        <f t="shared" si="29"/>
        <v>0</v>
      </c>
      <c r="V459" s="599">
        <v>0</v>
      </c>
      <c r="W459" s="620"/>
      <c r="X459" s="621"/>
      <c r="Y459" s="1096">
        <f t="shared" si="30"/>
        <v>0</v>
      </c>
      <c r="Z459" s="882">
        <f t="shared" si="31"/>
        <v>0</v>
      </c>
    </row>
    <row r="460" spans="1:26" ht="27" hidden="1" customHeight="1">
      <c r="A460" s="583"/>
      <c r="B460" s="583">
        <v>100201</v>
      </c>
      <c r="C460" s="581">
        <v>17</v>
      </c>
      <c r="D460" s="1137" t="s">
        <v>1499</v>
      </c>
      <c r="E460" s="1138" t="s">
        <v>1523</v>
      </c>
      <c r="F460" s="599">
        <v>-6938424062660</v>
      </c>
      <c r="G460" s="599">
        <v>168357135226</v>
      </c>
      <c r="H460" s="599"/>
      <c r="I460" s="599">
        <v>5221368831788</v>
      </c>
      <c r="J460" s="599">
        <f>1550623628551-1925532905</f>
        <v>1548698095646</v>
      </c>
      <c r="K460" s="599"/>
      <c r="L460" s="599"/>
      <c r="M460" s="599"/>
      <c r="N460" s="599"/>
      <c r="O460" s="599"/>
      <c r="P460" s="599"/>
      <c r="Q460" s="1737">
        <f>-37941942619-1540627974428+1826155000000-247585082953</f>
        <v>0</v>
      </c>
      <c r="R460" s="599"/>
      <c r="S460" s="1096">
        <f t="shared" si="28"/>
        <v>0</v>
      </c>
      <c r="T460" s="599">
        <v>-137115002822</v>
      </c>
      <c r="U460" s="1096">
        <f t="shared" si="29"/>
        <v>0</v>
      </c>
      <c r="V460" s="599">
        <v>-137115</v>
      </c>
      <c r="W460" s="620"/>
      <c r="X460" s="621"/>
      <c r="Y460" s="1096">
        <f t="shared" si="30"/>
        <v>0</v>
      </c>
      <c r="Z460" s="882">
        <f t="shared" si="31"/>
        <v>0</v>
      </c>
    </row>
    <row r="461" spans="1:26" ht="27" customHeight="1">
      <c r="A461" s="583">
        <v>3214</v>
      </c>
      <c r="B461" s="583">
        <v>100201</v>
      </c>
      <c r="C461" s="581">
        <v>17</v>
      </c>
      <c r="D461" s="1137" t="s">
        <v>1499</v>
      </c>
      <c r="E461" s="1138" t="s">
        <v>1523</v>
      </c>
      <c r="F461" s="599"/>
      <c r="G461" s="599"/>
      <c r="H461" s="599"/>
      <c r="I461" s="599"/>
      <c r="J461" s="599"/>
      <c r="K461" s="599"/>
      <c r="L461" s="599"/>
      <c r="M461" s="599"/>
      <c r="N461" s="599"/>
      <c r="O461" s="599"/>
      <c r="P461" s="599"/>
      <c r="Q461" s="1737"/>
      <c r="R461" s="599"/>
      <c r="S461" s="1096">
        <f t="shared" si="28"/>
        <v>0</v>
      </c>
      <c r="T461" s="599">
        <v>0</v>
      </c>
      <c r="U461" s="1096">
        <f t="shared" si="29"/>
        <v>0</v>
      </c>
      <c r="V461" s="599">
        <v>0</v>
      </c>
      <c r="W461" s="620"/>
      <c r="X461" s="621"/>
      <c r="Y461" s="1096">
        <f t="shared" si="30"/>
        <v>0</v>
      </c>
      <c r="Z461" s="882">
        <f t="shared" si="31"/>
        <v>0</v>
      </c>
    </row>
    <row r="462" spans="1:26" ht="27" customHeight="1">
      <c r="A462" s="583">
        <v>3214</v>
      </c>
      <c r="B462" s="583">
        <v>100201</v>
      </c>
      <c r="C462" s="581">
        <v>17</v>
      </c>
      <c r="D462" s="1137" t="s">
        <v>538</v>
      </c>
      <c r="E462" s="1138" t="s">
        <v>1463</v>
      </c>
      <c r="F462" s="599"/>
      <c r="G462" s="599"/>
      <c r="H462" s="599"/>
      <c r="I462" s="599"/>
      <c r="J462" s="599"/>
      <c r="K462" s="599"/>
      <c r="L462" s="599"/>
      <c r="M462" s="599"/>
      <c r="N462" s="599"/>
      <c r="O462" s="599"/>
      <c r="P462" s="599"/>
      <c r="Q462" s="599"/>
      <c r="R462" s="599"/>
      <c r="S462" s="1096">
        <f t="shared" si="28"/>
        <v>0</v>
      </c>
      <c r="T462" s="599">
        <v>0</v>
      </c>
      <c r="U462" s="1096">
        <f t="shared" si="29"/>
        <v>0</v>
      </c>
      <c r="V462" s="599">
        <v>0</v>
      </c>
      <c r="W462" s="620"/>
      <c r="X462" s="621"/>
      <c r="Y462" s="1096">
        <f t="shared" si="30"/>
        <v>0</v>
      </c>
      <c r="Z462" s="882">
        <f t="shared" si="31"/>
        <v>0</v>
      </c>
    </row>
    <row r="463" spans="1:26" ht="27" hidden="1" customHeight="1">
      <c r="A463" s="583"/>
      <c r="B463" s="583">
        <v>1011</v>
      </c>
      <c r="C463" s="581">
        <v>17</v>
      </c>
      <c r="D463" s="1137" t="s">
        <v>540</v>
      </c>
      <c r="E463" s="1138" t="s">
        <v>229</v>
      </c>
      <c r="F463" s="599">
        <v>-605424978</v>
      </c>
      <c r="G463" s="599"/>
      <c r="H463" s="599"/>
      <c r="I463" s="599"/>
      <c r="J463" s="599">
        <v>169852200</v>
      </c>
      <c r="K463" s="599"/>
      <c r="L463" s="599"/>
      <c r="M463" s="599"/>
      <c r="N463" s="599"/>
      <c r="O463" s="599"/>
      <c r="P463" s="599"/>
      <c r="Q463" s="599"/>
      <c r="R463" s="599"/>
      <c r="S463" s="1096">
        <f t="shared" si="28"/>
        <v>-435572778</v>
      </c>
      <c r="T463" s="599">
        <v>-812565195</v>
      </c>
      <c r="U463" s="1096">
        <f t="shared" si="29"/>
        <v>-436</v>
      </c>
      <c r="V463" s="599">
        <v>-813</v>
      </c>
      <c r="W463" s="620"/>
      <c r="X463" s="621"/>
      <c r="Y463" s="1096">
        <f t="shared" si="30"/>
        <v>-435572778</v>
      </c>
      <c r="Z463" s="882">
        <f t="shared" si="31"/>
        <v>-436</v>
      </c>
    </row>
    <row r="464" spans="1:26" ht="27" hidden="1" customHeight="1">
      <c r="A464" s="583"/>
      <c r="B464" s="583">
        <v>1011</v>
      </c>
      <c r="C464" s="581">
        <v>17</v>
      </c>
      <c r="D464" s="1137" t="s">
        <v>1742</v>
      </c>
      <c r="E464" s="1138" t="s">
        <v>1743</v>
      </c>
      <c r="F464" s="599">
        <v>-5363</v>
      </c>
      <c r="G464" s="599"/>
      <c r="H464" s="599"/>
      <c r="I464" s="599"/>
      <c r="J464" s="599"/>
      <c r="K464" s="599"/>
      <c r="L464" s="599"/>
      <c r="M464" s="599"/>
      <c r="N464" s="599"/>
      <c r="O464" s="599"/>
      <c r="P464" s="599"/>
      <c r="Q464" s="599"/>
      <c r="R464" s="599"/>
      <c r="S464" s="1096">
        <f t="shared" si="28"/>
        <v>-5363</v>
      </c>
      <c r="T464" s="599">
        <v>-5362</v>
      </c>
      <c r="U464" s="1096">
        <f t="shared" si="29"/>
        <v>0</v>
      </c>
      <c r="V464" s="599">
        <v>0</v>
      </c>
      <c r="W464" s="620"/>
      <c r="X464" s="621"/>
      <c r="Y464" s="1096">
        <f t="shared" si="30"/>
        <v>-5363</v>
      </c>
      <c r="Z464" s="882">
        <f t="shared" si="31"/>
        <v>0</v>
      </c>
    </row>
    <row r="465" spans="1:26" ht="27" hidden="1" customHeight="1">
      <c r="A465" s="583"/>
      <c r="B465" s="583">
        <v>1014</v>
      </c>
      <c r="C465" s="581">
        <v>17</v>
      </c>
      <c r="D465" s="1137" t="s">
        <v>541</v>
      </c>
      <c r="E465" s="1138" t="s">
        <v>693</v>
      </c>
      <c r="F465" s="599">
        <v>-34859835525</v>
      </c>
      <c r="G465" s="599">
        <f>332522527-3449255327</f>
        <v>-3116732800</v>
      </c>
      <c r="H465" s="599">
        <v>-350435000</v>
      </c>
      <c r="I465" s="599"/>
      <c r="J465" s="599"/>
      <c r="K465" s="599"/>
      <c r="L465" s="599"/>
      <c r="M465" s="599"/>
      <c r="N465" s="599"/>
      <c r="O465" s="599"/>
      <c r="P465" s="599"/>
      <c r="Q465" s="599"/>
      <c r="R465" s="599"/>
      <c r="S465" s="1096">
        <f t="shared" si="28"/>
        <v>-38327003325</v>
      </c>
      <c r="T465" s="599">
        <v>-31436929542</v>
      </c>
      <c r="U465" s="1096">
        <f t="shared" si="29"/>
        <v>-38327</v>
      </c>
      <c r="V465" s="599">
        <v>-31437</v>
      </c>
      <c r="W465" s="620"/>
      <c r="X465" s="621"/>
      <c r="Y465" s="1096">
        <f t="shared" si="30"/>
        <v>-38327003325</v>
      </c>
      <c r="Z465" s="882">
        <f t="shared" si="31"/>
        <v>-38327</v>
      </c>
    </row>
    <row r="466" spans="1:26" ht="27" customHeight="1">
      <c r="A466" s="583">
        <v>3214</v>
      </c>
      <c r="B466" s="583">
        <v>408</v>
      </c>
      <c r="C466" s="581">
        <v>11</v>
      </c>
      <c r="D466" s="1137" t="s">
        <v>541</v>
      </c>
      <c r="E466" s="1138" t="s">
        <v>1668</v>
      </c>
      <c r="F466" s="599"/>
      <c r="G466" s="599"/>
      <c r="H466" s="599"/>
      <c r="I466" s="599"/>
      <c r="J466" s="599"/>
      <c r="K466" s="599"/>
      <c r="L466" s="599"/>
      <c r="M466" s="599"/>
      <c r="N466" s="599"/>
      <c r="O466" s="599">
        <f>16601945267-13587702145</f>
        <v>3014243122</v>
      </c>
      <c r="P466" s="599"/>
      <c r="Q466" s="599"/>
      <c r="R466" s="599"/>
      <c r="S466" s="1096">
        <f t="shared" si="28"/>
        <v>3014243122</v>
      </c>
      <c r="T466" s="599">
        <v>104486389255</v>
      </c>
      <c r="U466" s="1096">
        <f t="shared" si="29"/>
        <v>3014</v>
      </c>
      <c r="V466" s="601">
        <v>104486</v>
      </c>
      <c r="W466" s="620"/>
      <c r="X466" s="621"/>
      <c r="Y466" s="1096">
        <f t="shared" si="30"/>
        <v>3014243122</v>
      </c>
      <c r="Z466" s="882">
        <f t="shared" si="31"/>
        <v>3014</v>
      </c>
    </row>
    <row r="467" spans="1:26" ht="27" hidden="1" customHeight="1">
      <c r="A467" s="583"/>
      <c r="B467" s="583">
        <v>1007</v>
      </c>
      <c r="C467" s="581">
        <v>17</v>
      </c>
      <c r="D467" s="1137" t="s">
        <v>543</v>
      </c>
      <c r="E467" s="1138" t="s">
        <v>544</v>
      </c>
      <c r="F467" s="599">
        <v>-226123625271</v>
      </c>
      <c r="G467" s="599">
        <f>72411841-405047016</f>
        <v>-332635175</v>
      </c>
      <c r="H467" s="599"/>
      <c r="I467" s="599"/>
      <c r="J467" s="599"/>
      <c r="L467" s="599"/>
      <c r="M467" s="599"/>
      <c r="N467" s="599"/>
      <c r="O467" s="599"/>
      <c r="P467" s="599"/>
      <c r="Q467" s="599"/>
      <c r="R467" s="599"/>
      <c r="S467" s="1096">
        <f t="shared" si="28"/>
        <v>-226456260446</v>
      </c>
      <c r="T467" s="599">
        <v>-159846098449</v>
      </c>
      <c r="U467" s="1096">
        <f t="shared" si="29"/>
        <v>-226456</v>
      </c>
      <c r="V467" s="599">
        <v>-159846</v>
      </c>
      <c r="W467" s="620"/>
      <c r="X467" s="621"/>
      <c r="Y467" s="1096">
        <f t="shared" si="30"/>
        <v>-226456260446</v>
      </c>
      <c r="Z467" s="882">
        <f t="shared" si="31"/>
        <v>-226456</v>
      </c>
    </row>
    <row r="468" spans="1:26" ht="27" customHeight="1">
      <c r="A468" s="583">
        <v>3214</v>
      </c>
      <c r="B468" s="583">
        <v>1007</v>
      </c>
      <c r="C468" s="581">
        <v>17</v>
      </c>
      <c r="D468" s="1137" t="s">
        <v>543</v>
      </c>
      <c r="E468" s="1138" t="s">
        <v>1464</v>
      </c>
      <c r="F468" s="599"/>
      <c r="G468" s="599"/>
      <c r="H468" s="599"/>
      <c r="I468" s="599"/>
      <c r="J468" s="599"/>
      <c r="K468" s="599"/>
      <c r="L468" s="599"/>
      <c r="M468" s="599"/>
      <c r="N468" s="599"/>
      <c r="O468" s="599">
        <v>-411768735439</v>
      </c>
      <c r="P468" s="599"/>
      <c r="Q468" s="599"/>
      <c r="R468" s="599"/>
      <c r="S468" s="1096">
        <f t="shared" si="28"/>
        <v>-411768735439</v>
      </c>
      <c r="T468" s="599">
        <v>-681782501272</v>
      </c>
      <c r="U468" s="1096">
        <f t="shared" si="29"/>
        <v>-411769</v>
      </c>
      <c r="V468" s="601">
        <v>-681783</v>
      </c>
      <c r="W468" s="620"/>
      <c r="X468" s="621"/>
      <c r="Y468" s="1096">
        <f t="shared" si="30"/>
        <v>-411768735439</v>
      </c>
      <c r="Z468" s="882">
        <f t="shared" si="31"/>
        <v>-411769</v>
      </c>
    </row>
    <row r="469" spans="1:26" ht="27" hidden="1" customHeight="1">
      <c r="A469" s="583"/>
      <c r="B469" s="583">
        <v>1007</v>
      </c>
      <c r="C469" s="581">
        <v>17</v>
      </c>
      <c r="D469" s="1137" t="s">
        <v>545</v>
      </c>
      <c r="E469" s="1138" t="s">
        <v>510</v>
      </c>
      <c r="F469" s="599"/>
      <c r="G469" s="599"/>
      <c r="H469" s="599"/>
      <c r="I469" s="599"/>
      <c r="J469" s="599"/>
      <c r="K469" s="599"/>
      <c r="L469" s="599"/>
      <c r="M469" s="599"/>
      <c r="N469" s="599"/>
      <c r="O469" s="599"/>
      <c r="P469" s="599"/>
      <c r="Q469" s="599"/>
      <c r="R469" s="599"/>
      <c r="S469" s="1096">
        <f t="shared" si="28"/>
        <v>0</v>
      </c>
      <c r="T469" s="599">
        <v>0</v>
      </c>
      <c r="U469" s="1096">
        <f t="shared" si="29"/>
        <v>0</v>
      </c>
      <c r="V469" s="599">
        <v>0</v>
      </c>
      <c r="W469" s="620"/>
      <c r="X469" s="621"/>
      <c r="Y469" s="1096">
        <f t="shared" si="30"/>
        <v>0</v>
      </c>
      <c r="Z469" s="882">
        <f t="shared" si="31"/>
        <v>0</v>
      </c>
    </row>
    <row r="470" spans="1:26" ht="27" hidden="1" customHeight="1">
      <c r="A470" s="583"/>
      <c r="B470" s="583">
        <v>1008</v>
      </c>
      <c r="C470" s="581">
        <v>17</v>
      </c>
      <c r="D470" s="1137" t="s">
        <v>511</v>
      </c>
      <c r="E470" s="1138" t="s">
        <v>512</v>
      </c>
      <c r="F470" s="599"/>
      <c r="G470" s="599"/>
      <c r="H470" s="599"/>
      <c r="I470" s="599"/>
      <c r="J470" s="599"/>
      <c r="K470" s="599"/>
      <c r="L470" s="599"/>
      <c r="M470" s="599"/>
      <c r="N470" s="599"/>
      <c r="O470" s="599"/>
      <c r="P470" s="599"/>
      <c r="Q470" s="599"/>
      <c r="R470" s="599"/>
      <c r="S470" s="1096">
        <f t="shared" si="28"/>
        <v>0</v>
      </c>
      <c r="T470" s="599">
        <v>0</v>
      </c>
      <c r="U470" s="1096">
        <f t="shared" si="29"/>
        <v>0</v>
      </c>
      <c r="V470" s="599">
        <v>0</v>
      </c>
      <c r="W470" s="620"/>
      <c r="X470" s="621"/>
      <c r="Y470" s="1096">
        <f t="shared" si="30"/>
        <v>0</v>
      </c>
      <c r="Z470" s="882">
        <f t="shared" si="31"/>
        <v>0</v>
      </c>
    </row>
    <row r="471" spans="1:26" ht="27" hidden="1" customHeight="1">
      <c r="A471" s="583"/>
      <c r="B471" s="583">
        <v>1008</v>
      </c>
      <c r="C471" s="581">
        <v>17</v>
      </c>
      <c r="D471" s="1137">
        <v>90006721</v>
      </c>
      <c r="E471" s="1138" t="s">
        <v>1826</v>
      </c>
      <c r="F471" s="599">
        <v>-75126800</v>
      </c>
      <c r="G471" s="599"/>
      <c r="H471" s="599"/>
      <c r="I471" s="599">
        <v>75126800</v>
      </c>
      <c r="J471" s="599"/>
      <c r="K471" s="599"/>
      <c r="L471" s="599"/>
      <c r="M471" s="599"/>
      <c r="N471" s="599"/>
      <c r="O471" s="599"/>
      <c r="P471" s="599"/>
      <c r="Q471" s="599"/>
      <c r="R471" s="599"/>
      <c r="S471" s="1096">
        <f t="shared" si="28"/>
        <v>0</v>
      </c>
      <c r="T471" s="599">
        <v>-304417188</v>
      </c>
      <c r="U471" s="1096">
        <f t="shared" si="29"/>
        <v>0</v>
      </c>
      <c r="V471" s="599">
        <v>-304</v>
      </c>
      <c r="W471" s="620"/>
      <c r="X471" s="621"/>
      <c r="Y471" s="1096">
        <f t="shared" si="30"/>
        <v>0</v>
      </c>
      <c r="Z471" s="882">
        <f t="shared" si="31"/>
        <v>0</v>
      </c>
    </row>
    <row r="472" spans="1:26" ht="27" hidden="1" customHeight="1">
      <c r="A472" s="583"/>
      <c r="B472" s="583">
        <v>1008</v>
      </c>
      <c r="C472" s="581">
        <v>17</v>
      </c>
      <c r="D472" s="1137" t="s">
        <v>513</v>
      </c>
      <c r="E472" s="1138" t="s">
        <v>279</v>
      </c>
      <c r="F472" s="599">
        <v>-136740534599</v>
      </c>
      <c r="G472" s="599">
        <f>36205920-457115652</f>
        <v>-420909732</v>
      </c>
      <c r="H472" s="599"/>
      <c r="I472" s="599">
        <v>-75126800</v>
      </c>
      <c r="J472" s="599"/>
      <c r="K472" s="599"/>
      <c r="L472" s="599"/>
      <c r="M472" s="599"/>
      <c r="N472" s="599"/>
      <c r="O472" s="599"/>
      <c r="P472" s="599"/>
      <c r="Q472" s="599"/>
      <c r="R472" s="599"/>
      <c r="S472" s="1096">
        <f t="shared" si="28"/>
        <v>-137236571131</v>
      </c>
      <c r="T472" s="599">
        <v>-97202866342</v>
      </c>
      <c r="U472" s="1096">
        <f t="shared" si="29"/>
        <v>-137237</v>
      </c>
      <c r="V472" s="599">
        <v>-97203</v>
      </c>
      <c r="W472" s="620"/>
      <c r="X472" s="621"/>
      <c r="Y472" s="1096">
        <f t="shared" si="30"/>
        <v>-137236571131</v>
      </c>
      <c r="Z472" s="882">
        <f t="shared" si="31"/>
        <v>-137237</v>
      </c>
    </row>
    <row r="473" spans="1:26" ht="27" customHeight="1">
      <c r="A473" s="583">
        <v>3214</v>
      </c>
      <c r="B473" s="583">
        <v>1008</v>
      </c>
      <c r="C473" s="581">
        <v>17</v>
      </c>
      <c r="D473" s="1137" t="s">
        <v>513</v>
      </c>
      <c r="E473" s="1138" t="s">
        <v>1465</v>
      </c>
      <c r="F473" s="599"/>
      <c r="G473" s="599"/>
      <c r="H473" s="599"/>
      <c r="I473" s="599"/>
      <c r="J473" s="599"/>
      <c r="K473" s="599"/>
      <c r="L473" s="599"/>
      <c r="M473" s="599"/>
      <c r="N473" s="599"/>
      <c r="O473" s="599"/>
      <c r="P473" s="599"/>
      <c r="Q473" s="599"/>
      <c r="R473" s="599"/>
      <c r="S473" s="1096">
        <f t="shared" si="28"/>
        <v>0</v>
      </c>
      <c r="T473" s="599">
        <v>-260550667542</v>
      </c>
      <c r="U473" s="1096">
        <f t="shared" si="29"/>
        <v>0</v>
      </c>
      <c r="V473" s="601">
        <v>-260551</v>
      </c>
      <c r="W473" s="620"/>
      <c r="X473" s="621"/>
      <c r="Y473" s="1096">
        <f t="shared" si="30"/>
        <v>0</v>
      </c>
      <c r="Z473" s="882">
        <f t="shared" si="31"/>
        <v>0</v>
      </c>
    </row>
    <row r="474" spans="1:26" ht="27" customHeight="1">
      <c r="A474" s="583">
        <v>3214</v>
      </c>
      <c r="B474" s="583">
        <v>1007</v>
      </c>
      <c r="C474" s="581">
        <v>17</v>
      </c>
      <c r="D474" s="1137" t="s">
        <v>1764</v>
      </c>
      <c r="E474" s="1138" t="s">
        <v>1765</v>
      </c>
      <c r="F474" s="599"/>
      <c r="G474" s="599"/>
      <c r="H474" s="599"/>
      <c r="I474" s="599"/>
      <c r="J474" s="599"/>
      <c r="K474" s="599"/>
      <c r="L474" s="599"/>
      <c r="M474" s="599"/>
      <c r="N474" s="599"/>
      <c r="O474" s="599"/>
      <c r="P474" s="599"/>
      <c r="Q474" s="599"/>
      <c r="R474" s="599"/>
      <c r="S474" s="1096">
        <f t="shared" si="28"/>
        <v>0</v>
      </c>
      <c r="T474" s="599">
        <v>-15612102288</v>
      </c>
      <c r="U474" s="1096">
        <f t="shared" si="29"/>
        <v>0</v>
      </c>
      <c r="V474" s="601">
        <v>-15612</v>
      </c>
      <c r="W474" s="620"/>
      <c r="X474" s="621"/>
      <c r="Y474" s="1096">
        <f t="shared" si="30"/>
        <v>0</v>
      </c>
      <c r="Z474" s="882">
        <f t="shared" si="31"/>
        <v>0</v>
      </c>
    </row>
    <row r="475" spans="1:26" ht="27" hidden="1" customHeight="1">
      <c r="A475" s="583"/>
      <c r="B475" s="583">
        <v>1007</v>
      </c>
      <c r="C475" s="581">
        <v>17</v>
      </c>
      <c r="D475" s="1137" t="s">
        <v>499</v>
      </c>
      <c r="E475" s="1138" t="s">
        <v>694</v>
      </c>
      <c r="F475" s="599">
        <v>-14815806621</v>
      </c>
      <c r="G475" s="599">
        <v>-255626398</v>
      </c>
      <c r="H475" s="599"/>
      <c r="I475" s="599"/>
      <c r="J475" s="599"/>
      <c r="K475" s="599"/>
      <c r="L475" s="599"/>
      <c r="M475" s="599"/>
      <c r="N475" s="599"/>
      <c r="O475" s="599"/>
      <c r="P475" s="599"/>
      <c r="Q475" s="599"/>
      <c r="R475" s="599"/>
      <c r="S475" s="1096">
        <f t="shared" si="28"/>
        <v>-15071433019</v>
      </c>
      <c r="T475" s="599">
        <v>-10644321955</v>
      </c>
      <c r="U475" s="1096">
        <f t="shared" si="29"/>
        <v>-15071</v>
      </c>
      <c r="V475" s="599">
        <v>-10644</v>
      </c>
      <c r="W475" s="620"/>
      <c r="X475" s="621"/>
      <c r="Y475" s="1096">
        <f t="shared" si="30"/>
        <v>-15071433019</v>
      </c>
      <c r="Z475" s="882">
        <f t="shared" si="31"/>
        <v>-15071</v>
      </c>
    </row>
    <row r="476" spans="1:26" ht="27" customHeight="1">
      <c r="A476" s="583">
        <v>3214</v>
      </c>
      <c r="B476" s="583">
        <v>1007</v>
      </c>
      <c r="C476" s="581">
        <v>17</v>
      </c>
      <c r="D476" s="1137" t="s">
        <v>499</v>
      </c>
      <c r="E476" s="1138" t="s">
        <v>1466</v>
      </c>
      <c r="F476" s="599"/>
      <c r="G476" s="599"/>
      <c r="H476" s="599"/>
      <c r="I476" s="599"/>
      <c r="J476" s="599"/>
      <c r="K476" s="599"/>
      <c r="L476" s="599"/>
      <c r="M476" s="599"/>
      <c r="N476" s="599"/>
      <c r="O476" s="599"/>
      <c r="P476" s="599"/>
      <c r="Q476" s="599"/>
      <c r="R476" s="599"/>
      <c r="S476" s="1096">
        <f t="shared" si="28"/>
        <v>0</v>
      </c>
      <c r="T476" s="599">
        <v>-23246432138</v>
      </c>
      <c r="U476" s="1096">
        <f t="shared" si="29"/>
        <v>0</v>
      </c>
      <c r="V476" s="601">
        <v>-23246</v>
      </c>
      <c r="W476" s="620"/>
      <c r="X476" s="621"/>
      <c r="Y476" s="1096">
        <f t="shared" si="30"/>
        <v>0</v>
      </c>
      <c r="Z476" s="882">
        <f t="shared" si="31"/>
        <v>0</v>
      </c>
    </row>
    <row r="477" spans="1:26" ht="27" hidden="1" customHeight="1">
      <c r="A477" s="583"/>
      <c r="B477" s="583">
        <v>1018</v>
      </c>
      <c r="C477" s="581">
        <v>17</v>
      </c>
      <c r="D477" s="1137" t="s">
        <v>501</v>
      </c>
      <c r="E477" s="1138" t="s">
        <v>695</v>
      </c>
      <c r="F477" s="599">
        <v>-10000000</v>
      </c>
      <c r="G477" s="599"/>
      <c r="H477" s="599"/>
      <c r="I477" s="599"/>
      <c r="J477" s="599"/>
      <c r="K477" s="599"/>
      <c r="L477" s="599"/>
      <c r="M477" s="599"/>
      <c r="N477" s="599"/>
      <c r="O477" s="599"/>
      <c r="P477" s="599"/>
      <c r="Q477" s="599"/>
      <c r="R477" s="599"/>
      <c r="S477" s="1096">
        <f t="shared" si="28"/>
        <v>-10000000</v>
      </c>
      <c r="T477" s="599">
        <v>-10000000</v>
      </c>
      <c r="U477" s="1096">
        <f t="shared" si="29"/>
        <v>-10</v>
      </c>
      <c r="V477" s="599">
        <v>-10</v>
      </c>
      <c r="W477" s="620"/>
      <c r="X477" s="621"/>
      <c r="Y477" s="1096">
        <f t="shared" si="30"/>
        <v>-10000000</v>
      </c>
      <c r="Z477" s="882">
        <f t="shared" si="31"/>
        <v>-10</v>
      </c>
    </row>
    <row r="478" spans="1:26" ht="27" hidden="1" customHeight="1">
      <c r="A478" s="583"/>
      <c r="B478" s="583">
        <v>1016</v>
      </c>
      <c r="C478" s="581">
        <v>17</v>
      </c>
      <c r="D478" s="1137" t="s">
        <v>503</v>
      </c>
      <c r="E478" s="1138" t="s">
        <v>504</v>
      </c>
      <c r="F478" s="599">
        <v>-66014235935</v>
      </c>
      <c r="G478" s="599">
        <v>4041261746</v>
      </c>
      <c r="H478" s="599">
        <v>-5715000000</v>
      </c>
      <c r="I478" s="599"/>
      <c r="J478" s="599">
        <f>40110337790-113258000</f>
        <v>39997079790</v>
      </c>
      <c r="K478" s="599"/>
      <c r="L478" s="599"/>
      <c r="M478" s="599"/>
      <c r="N478" s="599">
        <v>-35778943422</v>
      </c>
      <c r="O478" s="599"/>
      <c r="P478" s="599"/>
      <c r="Q478" s="599"/>
      <c r="R478" s="599"/>
      <c r="S478" s="1096">
        <f t="shared" si="28"/>
        <v>-63469837821</v>
      </c>
      <c r="T478" s="599">
        <v>-121864986770</v>
      </c>
      <c r="U478" s="1096">
        <f t="shared" si="29"/>
        <v>-63470</v>
      </c>
      <c r="V478" s="599">
        <v>-121865</v>
      </c>
      <c r="W478" s="620"/>
      <c r="X478" s="621"/>
      <c r="Y478" s="1096">
        <f t="shared" si="30"/>
        <v>-63469837821</v>
      </c>
      <c r="Z478" s="882">
        <f t="shared" si="31"/>
        <v>-63470</v>
      </c>
    </row>
    <row r="479" spans="1:26" ht="27" hidden="1" customHeight="1">
      <c r="A479" s="583"/>
      <c r="B479" s="583">
        <v>1017</v>
      </c>
      <c r="C479" s="581">
        <v>17</v>
      </c>
      <c r="D479" s="1137" t="s">
        <v>697</v>
      </c>
      <c r="E479" s="1138" t="s">
        <v>696</v>
      </c>
      <c r="F479" s="599">
        <v>-72026721745</v>
      </c>
      <c r="G479" s="599">
        <f>844455017-139527489369</f>
        <v>-138683034352</v>
      </c>
      <c r="H479" s="599">
        <f>449900-10166471445</f>
        <v>-10166021545</v>
      </c>
      <c r="I479" s="599"/>
      <c r="J479" s="599"/>
      <c r="K479" s="599"/>
      <c r="L479" s="599"/>
      <c r="M479" s="599"/>
      <c r="N479" s="599">
        <f>549611239-3095410835</f>
        <v>-2545799596</v>
      </c>
      <c r="O479" s="599"/>
      <c r="P479" s="599"/>
      <c r="Q479" s="599"/>
      <c r="R479" s="599"/>
      <c r="S479" s="1096">
        <f t="shared" si="28"/>
        <v>-223421577238</v>
      </c>
      <c r="T479" s="599">
        <v>-132457959350</v>
      </c>
      <c r="U479" s="1096">
        <f t="shared" si="29"/>
        <v>-223422</v>
      </c>
      <c r="V479" s="599">
        <v>-132458</v>
      </c>
      <c r="W479" s="620"/>
      <c r="X479" s="621"/>
      <c r="Y479" s="1096">
        <f t="shared" si="30"/>
        <v>-223421577238</v>
      </c>
      <c r="Z479" s="882">
        <f t="shared" si="31"/>
        <v>-223422</v>
      </c>
    </row>
    <row r="480" spans="1:26" ht="27" hidden="1" customHeight="1">
      <c r="A480" s="583"/>
      <c r="B480" s="583">
        <v>1007</v>
      </c>
      <c r="C480" s="581">
        <v>17</v>
      </c>
      <c r="D480" s="1137" t="s">
        <v>505</v>
      </c>
      <c r="E480" s="1138" t="s">
        <v>506</v>
      </c>
      <c r="F480" s="599">
        <v>-148542606055</v>
      </c>
      <c r="G480" s="599">
        <f>219066278-8719326666</f>
        <v>-8500260388</v>
      </c>
      <c r="H480" s="599">
        <f>1-1754010133</f>
        <v>-1754010132</v>
      </c>
      <c r="I480" s="599"/>
      <c r="J480" s="599"/>
      <c r="K480" s="599"/>
      <c r="L480" s="599"/>
      <c r="M480" s="599"/>
      <c r="N480" s="599"/>
      <c r="O480" s="599"/>
      <c r="P480" s="599"/>
      <c r="Q480" s="599"/>
      <c r="R480" s="599"/>
      <c r="S480" s="1096">
        <f t="shared" si="28"/>
        <v>-158796876575</v>
      </c>
      <c r="T480" s="599">
        <v>-123817489021</v>
      </c>
      <c r="U480" s="1096">
        <f t="shared" si="29"/>
        <v>-158797</v>
      </c>
      <c r="V480" s="599">
        <v>-123817</v>
      </c>
      <c r="W480" s="620"/>
      <c r="X480" s="621"/>
      <c r="Y480" s="1096">
        <f t="shared" si="30"/>
        <v>-158796876575</v>
      </c>
      <c r="Z480" s="882">
        <f t="shared" si="31"/>
        <v>-158797</v>
      </c>
    </row>
    <row r="481" spans="1:26" ht="27" customHeight="1">
      <c r="A481" s="583">
        <v>3214</v>
      </c>
      <c r="B481" s="583">
        <v>1007</v>
      </c>
      <c r="C481" s="581">
        <v>17</v>
      </c>
      <c r="D481" s="1137" t="s">
        <v>507</v>
      </c>
      <c r="E481" s="1138" t="s">
        <v>185</v>
      </c>
      <c r="F481" s="599"/>
      <c r="G481" s="599"/>
      <c r="H481" s="599"/>
      <c r="I481" s="599"/>
      <c r="J481" s="599"/>
      <c r="K481" s="599"/>
      <c r="L481" s="599"/>
      <c r="M481" s="599"/>
      <c r="N481" s="599"/>
      <c r="O481" s="599"/>
      <c r="P481" s="599"/>
      <c r="Q481" s="599"/>
      <c r="R481" s="599"/>
      <c r="S481" s="1096">
        <f t="shared" si="28"/>
        <v>0</v>
      </c>
      <c r="T481" s="599">
        <v>0</v>
      </c>
      <c r="U481" s="1096">
        <f t="shared" si="29"/>
        <v>0</v>
      </c>
      <c r="V481" s="599">
        <v>0</v>
      </c>
      <c r="W481" s="620"/>
      <c r="X481" s="621"/>
      <c r="Y481" s="1096">
        <f t="shared" si="30"/>
        <v>0</v>
      </c>
      <c r="Z481" s="882">
        <f t="shared" si="31"/>
        <v>0</v>
      </c>
    </row>
    <row r="482" spans="1:26" ht="27" hidden="1" customHeight="1">
      <c r="A482" s="583"/>
      <c r="B482" s="583">
        <v>1010</v>
      </c>
      <c r="C482" s="581">
        <v>17</v>
      </c>
      <c r="D482" s="1137" t="s">
        <v>186</v>
      </c>
      <c r="E482" s="1138" t="s">
        <v>187</v>
      </c>
      <c r="F482" s="599">
        <v>0</v>
      </c>
      <c r="G482" s="599"/>
      <c r="H482" s="599"/>
      <c r="I482" s="599"/>
      <c r="J482" s="599"/>
      <c r="K482" s="599"/>
      <c r="L482" s="599"/>
      <c r="M482" s="599"/>
      <c r="N482" s="599"/>
      <c r="O482" s="599"/>
      <c r="P482" s="599"/>
      <c r="Q482" s="599"/>
      <c r="R482" s="599"/>
      <c r="S482" s="1096">
        <f t="shared" si="28"/>
        <v>0</v>
      </c>
      <c r="T482" s="599">
        <v>0</v>
      </c>
      <c r="U482" s="1096">
        <f t="shared" si="29"/>
        <v>0</v>
      </c>
      <c r="V482" s="599">
        <v>0</v>
      </c>
      <c r="W482" s="620"/>
      <c r="X482" s="621"/>
      <c r="Y482" s="1096">
        <f t="shared" si="30"/>
        <v>0</v>
      </c>
      <c r="Z482" s="882">
        <f t="shared" si="31"/>
        <v>0</v>
      </c>
    </row>
    <row r="483" spans="1:26" ht="27" hidden="1" customHeight="1">
      <c r="A483" s="583"/>
      <c r="B483" s="583">
        <v>1010</v>
      </c>
      <c r="C483" s="581">
        <v>17</v>
      </c>
      <c r="D483" s="1137" t="s">
        <v>188</v>
      </c>
      <c r="E483" s="1138" t="s">
        <v>749</v>
      </c>
      <c r="F483" s="599">
        <v>-160958648912</v>
      </c>
      <c r="G483" s="599">
        <f>375612375-5065498481</f>
        <v>-4689886106</v>
      </c>
      <c r="H483" s="599">
        <f>2772280-1289605395</f>
        <v>-1286833115</v>
      </c>
      <c r="I483" s="599"/>
      <c r="J483" s="599"/>
      <c r="K483" s="599"/>
      <c r="L483" s="599"/>
      <c r="M483" s="599"/>
      <c r="N483" s="599"/>
      <c r="O483" s="599"/>
      <c r="P483" s="599"/>
      <c r="Q483" s="599"/>
      <c r="R483" s="599"/>
      <c r="S483" s="1096">
        <f t="shared" si="28"/>
        <v>-166935368133</v>
      </c>
      <c r="T483" s="599">
        <v>-109677046678</v>
      </c>
      <c r="U483" s="1096">
        <f t="shared" si="29"/>
        <v>-166935</v>
      </c>
      <c r="V483" s="599">
        <v>-109677</v>
      </c>
      <c r="W483" s="620"/>
      <c r="X483" s="621"/>
      <c r="Y483" s="1096">
        <f t="shared" si="30"/>
        <v>-166935368133</v>
      </c>
      <c r="Z483" s="882">
        <f t="shared" si="31"/>
        <v>-166935</v>
      </c>
    </row>
    <row r="484" spans="1:26" ht="27" hidden="1" customHeight="1">
      <c r="A484" s="583"/>
      <c r="B484" s="583">
        <v>1007</v>
      </c>
      <c r="C484" s="581">
        <v>17</v>
      </c>
      <c r="D484" s="1137" t="s">
        <v>190</v>
      </c>
      <c r="E484" s="1138" t="s">
        <v>191</v>
      </c>
      <c r="F484" s="599">
        <v>-7500890839</v>
      </c>
      <c r="G484" s="599">
        <f>113671500-175454400</f>
        <v>-61782900</v>
      </c>
      <c r="H484" s="599"/>
      <c r="I484" s="599"/>
      <c r="J484" s="599"/>
      <c r="K484" s="599"/>
      <c r="L484" s="599"/>
      <c r="M484" s="599"/>
      <c r="N484" s="599"/>
      <c r="O484" s="599"/>
      <c r="P484" s="599"/>
      <c r="Q484" s="599"/>
      <c r="R484" s="599"/>
      <c r="S484" s="1096">
        <f t="shared" si="28"/>
        <v>-7562673739</v>
      </c>
      <c r="T484" s="599">
        <v>-5712722664</v>
      </c>
      <c r="U484" s="1096">
        <f t="shared" si="29"/>
        <v>-7563</v>
      </c>
      <c r="V484" s="599">
        <v>-5713</v>
      </c>
      <c r="W484" s="620"/>
      <c r="X484" s="621"/>
      <c r="Y484" s="1096">
        <f t="shared" si="30"/>
        <v>-7562673739</v>
      </c>
      <c r="Z484" s="882">
        <f t="shared" si="31"/>
        <v>-7563</v>
      </c>
    </row>
    <row r="485" spans="1:26" ht="27" customHeight="1">
      <c r="A485" s="583">
        <v>3214</v>
      </c>
      <c r="B485" s="583">
        <v>1007</v>
      </c>
      <c r="C485" s="581">
        <v>17</v>
      </c>
      <c r="D485" s="1137">
        <v>90006852</v>
      </c>
      <c r="E485" s="1138" t="s">
        <v>191</v>
      </c>
      <c r="F485" s="599"/>
      <c r="G485" s="599"/>
      <c r="H485" s="599"/>
      <c r="I485" s="599"/>
      <c r="J485" s="599"/>
      <c r="K485" s="599"/>
      <c r="L485" s="599"/>
      <c r="M485" s="599"/>
      <c r="N485" s="599"/>
      <c r="O485" s="599"/>
      <c r="P485" s="599"/>
      <c r="Q485" s="599"/>
      <c r="R485" s="599"/>
      <c r="S485" s="1096">
        <f t="shared" si="28"/>
        <v>0</v>
      </c>
      <c r="T485" s="599">
        <v>0</v>
      </c>
      <c r="U485" s="1096">
        <f t="shared" si="29"/>
        <v>0</v>
      </c>
      <c r="V485" s="599">
        <v>0</v>
      </c>
      <c r="W485" s="620"/>
      <c r="X485" s="621"/>
      <c r="Y485" s="1096">
        <f t="shared" si="30"/>
        <v>0</v>
      </c>
      <c r="Z485" s="882">
        <f t="shared" si="31"/>
        <v>0</v>
      </c>
    </row>
    <row r="486" spans="1:26" ht="27" hidden="1" customHeight="1">
      <c r="A486" s="583"/>
      <c r="B486" s="583">
        <v>1017</v>
      </c>
      <c r="C486" s="581">
        <v>17</v>
      </c>
      <c r="D486" s="1137" t="s">
        <v>192</v>
      </c>
      <c r="E486" s="1138" t="s">
        <v>25</v>
      </c>
      <c r="F486" s="599">
        <v>-534792000</v>
      </c>
      <c r="G486" s="599">
        <v>255626398</v>
      </c>
      <c r="H486" s="599"/>
      <c r="I486" s="599"/>
      <c r="J486" s="599"/>
      <c r="K486" s="599"/>
      <c r="L486" s="599"/>
      <c r="M486" s="599"/>
      <c r="N486" s="599"/>
      <c r="O486" s="599"/>
      <c r="P486" s="599"/>
      <c r="Q486" s="599"/>
      <c r="R486" s="599"/>
      <c r="S486" s="1096">
        <f t="shared" si="28"/>
        <v>-279165602</v>
      </c>
      <c r="T486" s="599">
        <v>-1794100000</v>
      </c>
      <c r="U486" s="1096">
        <f t="shared" si="29"/>
        <v>-279</v>
      </c>
      <c r="V486" s="599">
        <v>-1794</v>
      </c>
      <c r="W486" s="620"/>
      <c r="X486" s="621"/>
      <c r="Y486" s="1096">
        <f t="shared" si="30"/>
        <v>-279165602</v>
      </c>
      <c r="Z486" s="882">
        <f t="shared" si="31"/>
        <v>-279</v>
      </c>
    </row>
    <row r="487" spans="1:26" ht="27" hidden="1" customHeight="1">
      <c r="A487" s="583"/>
      <c r="B487" s="583">
        <v>302</v>
      </c>
      <c r="C487" s="581">
        <v>14</v>
      </c>
      <c r="D487" s="1137" t="s">
        <v>26</v>
      </c>
      <c r="E487" s="1138" t="s">
        <v>27</v>
      </c>
      <c r="F487" s="599">
        <v>1220000000</v>
      </c>
      <c r="G487" s="599"/>
      <c r="H487" s="599"/>
      <c r="I487" s="599"/>
      <c r="J487" s="599"/>
      <c r="K487" s="599"/>
      <c r="L487" s="599"/>
      <c r="M487" s="599"/>
      <c r="N487" s="599"/>
      <c r="O487" s="599"/>
      <c r="P487" s="599"/>
      <c r="Q487" s="599"/>
      <c r="R487" s="599"/>
      <c r="S487" s="1096">
        <f t="shared" si="28"/>
        <v>1220000000</v>
      </c>
      <c r="T487" s="599">
        <v>1220000000</v>
      </c>
      <c r="U487" s="1096">
        <f t="shared" si="29"/>
        <v>1220</v>
      </c>
      <c r="V487" s="599">
        <v>1220</v>
      </c>
      <c r="W487" s="620"/>
      <c r="X487" s="621"/>
      <c r="Y487" s="1096">
        <f t="shared" si="30"/>
        <v>1220000000</v>
      </c>
      <c r="Z487" s="882">
        <f t="shared" si="31"/>
        <v>1220</v>
      </c>
    </row>
    <row r="488" spans="1:26" ht="27" hidden="1" customHeight="1">
      <c r="A488" s="583"/>
      <c r="B488" s="583">
        <v>302</v>
      </c>
      <c r="C488" s="581">
        <v>14</v>
      </c>
      <c r="D488" s="1137" t="s">
        <v>851</v>
      </c>
      <c r="E488" s="1138" t="s">
        <v>852</v>
      </c>
      <c r="F488" s="599"/>
      <c r="G488" s="599"/>
      <c r="H488" s="599"/>
      <c r="I488" s="599"/>
      <c r="J488" s="599"/>
      <c r="K488" s="599"/>
      <c r="L488" s="599"/>
      <c r="M488" s="599"/>
      <c r="N488" s="599"/>
      <c r="O488" s="599"/>
      <c r="P488" s="599"/>
      <c r="Q488" s="599"/>
      <c r="R488" s="599"/>
      <c r="S488" s="1096">
        <f t="shared" si="28"/>
        <v>0</v>
      </c>
      <c r="T488" s="599">
        <v>0</v>
      </c>
      <c r="U488" s="1096">
        <f t="shared" si="29"/>
        <v>0</v>
      </c>
      <c r="V488" s="599">
        <v>0</v>
      </c>
      <c r="W488" s="620"/>
      <c r="X488" s="621"/>
      <c r="Y488" s="1096">
        <f t="shared" si="30"/>
        <v>0</v>
      </c>
      <c r="Z488" s="882">
        <f t="shared" si="31"/>
        <v>0</v>
      </c>
    </row>
    <row r="489" spans="1:26" ht="27" hidden="1" customHeight="1">
      <c r="A489" s="583"/>
      <c r="B489" s="583">
        <v>303</v>
      </c>
      <c r="C489" s="581">
        <v>14</v>
      </c>
      <c r="D489" s="1137" t="s">
        <v>28</v>
      </c>
      <c r="E489" s="1138" t="s">
        <v>29</v>
      </c>
      <c r="F489" s="599">
        <v>173200000</v>
      </c>
      <c r="G489" s="599"/>
      <c r="H489" s="599"/>
      <c r="I489" s="599"/>
      <c r="J489" s="599"/>
      <c r="K489" s="599"/>
      <c r="L489" s="599"/>
      <c r="M489" s="599"/>
      <c r="N489" s="599"/>
      <c r="O489" s="599"/>
      <c r="P489" s="599"/>
      <c r="Q489" s="599"/>
      <c r="R489" s="599"/>
      <c r="S489" s="1096">
        <f t="shared" si="28"/>
        <v>173200000</v>
      </c>
      <c r="T489" s="599">
        <v>423353507</v>
      </c>
      <c r="U489" s="1096">
        <f t="shared" si="29"/>
        <v>173</v>
      </c>
      <c r="V489" s="599">
        <v>423</v>
      </c>
      <c r="W489" s="620"/>
      <c r="X489" s="621"/>
      <c r="Y489" s="1096">
        <f t="shared" si="30"/>
        <v>173200000</v>
      </c>
      <c r="Z489" s="882">
        <f t="shared" si="31"/>
        <v>173</v>
      </c>
    </row>
    <row r="490" spans="1:26" ht="29.25" hidden="1" customHeight="1">
      <c r="A490" s="583"/>
      <c r="B490" s="583">
        <v>1018</v>
      </c>
      <c r="C490" s="581">
        <v>17</v>
      </c>
      <c r="D490" s="1137" t="s">
        <v>30</v>
      </c>
      <c r="E490" s="1138" t="s">
        <v>31</v>
      </c>
      <c r="F490" s="599"/>
      <c r="G490" s="599"/>
      <c r="H490" s="599"/>
      <c r="I490" s="599"/>
      <c r="J490" s="599"/>
      <c r="K490" s="599"/>
      <c r="L490" s="599"/>
      <c r="M490" s="599"/>
      <c r="N490" s="599"/>
      <c r="O490" s="599"/>
      <c r="P490" s="599"/>
      <c r="Q490" s="599"/>
      <c r="R490" s="599"/>
      <c r="S490" s="1096">
        <f t="shared" si="28"/>
        <v>0</v>
      </c>
      <c r="T490" s="599">
        <v>-45000</v>
      </c>
      <c r="U490" s="1096">
        <f t="shared" si="29"/>
        <v>0</v>
      </c>
      <c r="V490" s="599">
        <v>0</v>
      </c>
      <c r="W490" s="620"/>
      <c r="X490" s="621"/>
      <c r="Y490" s="1096">
        <f t="shared" si="30"/>
        <v>0</v>
      </c>
      <c r="Z490" s="882">
        <f t="shared" si="31"/>
        <v>0</v>
      </c>
    </row>
    <row r="491" spans="1:26" ht="27" hidden="1" customHeight="1">
      <c r="A491" s="583"/>
      <c r="B491" s="583">
        <v>303</v>
      </c>
      <c r="C491" s="581">
        <v>14</v>
      </c>
      <c r="D491" s="1137" t="s">
        <v>1155</v>
      </c>
      <c r="E491" s="1138" t="s">
        <v>1156</v>
      </c>
      <c r="F491" s="599">
        <v>180191757229</v>
      </c>
      <c r="G491" s="599">
        <f>50201215-126965137309</f>
        <v>-126914936094</v>
      </c>
      <c r="H491" s="599">
        <v>-53276821135</v>
      </c>
      <c r="I491" s="599"/>
      <c r="J491" s="599"/>
      <c r="K491" s="599"/>
      <c r="L491" s="599"/>
      <c r="M491" s="599"/>
      <c r="N491" s="599"/>
      <c r="O491" s="599"/>
      <c r="P491" s="599"/>
      <c r="Q491" s="599"/>
      <c r="R491" s="599"/>
      <c r="S491" s="1096">
        <f t="shared" si="28"/>
        <v>0</v>
      </c>
      <c r="T491" s="599">
        <v>0</v>
      </c>
      <c r="U491" s="1096">
        <f t="shared" si="29"/>
        <v>0</v>
      </c>
      <c r="V491" s="599">
        <v>0</v>
      </c>
      <c r="W491" s="620"/>
      <c r="X491" s="621"/>
      <c r="Y491" s="1096">
        <f t="shared" si="30"/>
        <v>0</v>
      </c>
      <c r="Z491" s="882">
        <f t="shared" si="31"/>
        <v>0</v>
      </c>
    </row>
    <row r="492" spans="1:26" ht="27" hidden="1" customHeight="1">
      <c r="A492" s="583"/>
      <c r="B492" s="583">
        <v>303</v>
      </c>
      <c r="C492" s="581">
        <v>14</v>
      </c>
      <c r="D492" s="1137" t="s">
        <v>1157</v>
      </c>
      <c r="E492" s="1138" t="s">
        <v>1156</v>
      </c>
      <c r="F492" s="599">
        <v>-180191757229</v>
      </c>
      <c r="G492" s="599">
        <f>127085956709-171020615</f>
        <v>126914936094</v>
      </c>
      <c r="H492" s="599">
        <v>53276821135</v>
      </c>
      <c r="I492" s="599"/>
      <c r="J492" s="599"/>
      <c r="K492" s="599"/>
      <c r="L492" s="599"/>
      <c r="M492" s="599"/>
      <c r="N492" s="599"/>
      <c r="O492" s="599"/>
      <c r="P492" s="599"/>
      <c r="Q492" s="599"/>
      <c r="R492" s="599"/>
      <c r="S492" s="1096">
        <f t="shared" si="28"/>
        <v>0</v>
      </c>
      <c r="T492" s="599">
        <v>0</v>
      </c>
      <c r="U492" s="1096">
        <f t="shared" si="29"/>
        <v>0</v>
      </c>
      <c r="V492" s="599">
        <v>0</v>
      </c>
      <c r="W492" s="620"/>
      <c r="X492" s="621"/>
      <c r="Y492" s="1096">
        <f t="shared" si="30"/>
        <v>0</v>
      </c>
      <c r="Z492" s="882">
        <f t="shared" si="31"/>
        <v>0</v>
      </c>
    </row>
    <row r="493" spans="1:26" ht="27" customHeight="1">
      <c r="A493" s="583">
        <v>3214</v>
      </c>
      <c r="B493" s="583">
        <v>302</v>
      </c>
      <c r="C493" s="581">
        <v>14</v>
      </c>
      <c r="D493" s="1137" t="s">
        <v>776</v>
      </c>
      <c r="E493" s="1138" t="s">
        <v>1453</v>
      </c>
      <c r="F493" s="599"/>
      <c r="G493" s="599"/>
      <c r="H493" s="599"/>
      <c r="I493" s="599"/>
      <c r="J493" s="599"/>
      <c r="K493" s="599"/>
      <c r="L493" s="599"/>
      <c r="M493" s="599"/>
      <c r="N493" s="599"/>
      <c r="O493" s="599"/>
      <c r="P493" s="599"/>
      <c r="Q493" s="599"/>
      <c r="R493" s="599"/>
      <c r="S493" s="1096">
        <f t="shared" si="28"/>
        <v>0</v>
      </c>
      <c r="T493" s="599">
        <v>0</v>
      </c>
      <c r="U493" s="1096">
        <f t="shared" si="29"/>
        <v>0</v>
      </c>
      <c r="V493" s="599">
        <v>0</v>
      </c>
      <c r="W493" s="620"/>
      <c r="X493" s="621"/>
      <c r="Y493" s="1096">
        <f t="shared" si="30"/>
        <v>0</v>
      </c>
      <c r="Z493" s="882">
        <f t="shared" si="31"/>
        <v>0</v>
      </c>
    </row>
    <row r="494" spans="1:26" ht="26.25" hidden="1" customHeight="1">
      <c r="A494" s="583">
        <v>12</v>
      </c>
      <c r="B494" s="583">
        <v>907</v>
      </c>
      <c r="C494" s="581">
        <v>8</v>
      </c>
      <c r="D494" s="1137" t="s">
        <v>32</v>
      </c>
      <c r="E494" s="1138" t="s">
        <v>770</v>
      </c>
      <c r="F494" s="599">
        <v>7552883600</v>
      </c>
      <c r="G494" s="599"/>
      <c r="H494" s="599"/>
      <c r="I494" s="599"/>
      <c r="J494" s="599"/>
      <c r="K494" s="599"/>
      <c r="L494" s="599"/>
      <c r="M494" s="599"/>
      <c r="N494" s="599"/>
      <c r="O494" s="599"/>
      <c r="P494" s="599"/>
      <c r="Q494" s="599"/>
      <c r="R494" s="599"/>
      <c r="S494" s="1096">
        <f t="shared" si="28"/>
        <v>7552883600</v>
      </c>
      <c r="T494" s="599">
        <v>7552883600</v>
      </c>
      <c r="U494" s="1096">
        <f t="shared" si="29"/>
        <v>7553</v>
      </c>
      <c r="V494" s="599">
        <v>7553</v>
      </c>
      <c r="W494" s="620"/>
      <c r="X494" s="621"/>
      <c r="Y494" s="1096">
        <f t="shared" si="30"/>
        <v>7552883600</v>
      </c>
      <c r="Z494" s="882">
        <f t="shared" si="31"/>
        <v>7553</v>
      </c>
    </row>
    <row r="495" spans="1:26" ht="27" customHeight="1">
      <c r="A495" s="583">
        <v>3214</v>
      </c>
      <c r="B495" s="583">
        <v>909</v>
      </c>
      <c r="C495" s="581">
        <v>8</v>
      </c>
      <c r="D495" s="1137" t="s">
        <v>32</v>
      </c>
      <c r="E495" s="1138" t="s">
        <v>1467</v>
      </c>
      <c r="F495" s="599"/>
      <c r="G495" s="599"/>
      <c r="H495" s="599"/>
      <c r="I495" s="599"/>
      <c r="J495" s="599"/>
      <c r="K495" s="599"/>
      <c r="L495" s="599"/>
      <c r="M495" s="599"/>
      <c r="N495" s="599"/>
      <c r="O495" s="599"/>
      <c r="P495" s="599"/>
      <c r="Q495" s="599"/>
      <c r="R495" s="599"/>
      <c r="S495" s="1096">
        <f t="shared" si="28"/>
        <v>0</v>
      </c>
      <c r="T495" s="599">
        <v>0</v>
      </c>
      <c r="U495" s="1096">
        <f t="shared" si="29"/>
        <v>0</v>
      </c>
      <c r="V495" s="599">
        <v>0</v>
      </c>
      <c r="W495" s="620"/>
      <c r="X495" s="621"/>
      <c r="Y495" s="1096">
        <f t="shared" si="30"/>
        <v>0</v>
      </c>
      <c r="Z495" s="882">
        <f t="shared" si="31"/>
        <v>0</v>
      </c>
    </row>
    <row r="496" spans="1:26" ht="27" hidden="1" customHeight="1">
      <c r="A496" s="583"/>
      <c r="B496" s="583">
        <v>601</v>
      </c>
      <c r="C496" s="581">
        <v>12</v>
      </c>
      <c r="D496" s="1137" t="s">
        <v>34</v>
      </c>
      <c r="E496" s="1138" t="s">
        <v>35</v>
      </c>
      <c r="F496" s="599"/>
      <c r="G496" s="599"/>
      <c r="H496" s="599"/>
      <c r="I496" s="599"/>
      <c r="J496" s="599"/>
      <c r="K496" s="599"/>
      <c r="L496" s="599"/>
      <c r="M496" s="599"/>
      <c r="N496" s="599"/>
      <c r="O496" s="599"/>
      <c r="P496" s="599"/>
      <c r="Q496" s="599"/>
      <c r="R496" s="599"/>
      <c r="S496" s="1096">
        <f t="shared" si="28"/>
        <v>0</v>
      </c>
      <c r="T496" s="599">
        <v>0</v>
      </c>
      <c r="U496" s="1096">
        <f t="shared" si="29"/>
        <v>0</v>
      </c>
      <c r="V496" s="599">
        <v>0</v>
      </c>
      <c r="W496" s="620"/>
      <c r="X496" s="621"/>
      <c r="Y496" s="1096">
        <f t="shared" si="30"/>
        <v>0</v>
      </c>
      <c r="Z496" s="882">
        <f t="shared" si="31"/>
        <v>0</v>
      </c>
    </row>
    <row r="497" spans="1:26" ht="27" hidden="1" customHeight="1">
      <c r="A497" s="583"/>
      <c r="B497" s="583">
        <v>301</v>
      </c>
      <c r="C497" s="581">
        <v>14</v>
      </c>
      <c r="D497" s="1137" t="s">
        <v>36</v>
      </c>
      <c r="E497" s="1138" t="s">
        <v>37</v>
      </c>
      <c r="F497" s="599">
        <v>1122979131</v>
      </c>
      <c r="G497" s="599"/>
      <c r="H497" s="599"/>
      <c r="I497" s="599"/>
      <c r="J497" s="599"/>
      <c r="K497" s="599"/>
      <c r="L497" s="599"/>
      <c r="M497" s="599"/>
      <c r="N497" s="599"/>
      <c r="O497" s="599"/>
      <c r="P497" s="599"/>
      <c r="Q497" s="599"/>
      <c r="R497" s="599"/>
      <c r="S497" s="1096">
        <f t="shared" si="28"/>
        <v>1122979131</v>
      </c>
      <c r="T497" s="599">
        <v>3188529209</v>
      </c>
      <c r="U497" s="1096">
        <f t="shared" si="29"/>
        <v>1123</v>
      </c>
      <c r="V497" s="599">
        <v>3189</v>
      </c>
      <c r="W497" s="620"/>
      <c r="X497" s="621"/>
      <c r="Y497" s="1096">
        <f t="shared" si="30"/>
        <v>1122979131</v>
      </c>
      <c r="Z497" s="882">
        <f t="shared" si="31"/>
        <v>1123</v>
      </c>
    </row>
    <row r="498" spans="1:26" ht="27" hidden="1" customHeight="1">
      <c r="A498" s="583"/>
      <c r="B498" s="583">
        <v>301</v>
      </c>
      <c r="C498" s="581">
        <v>14</v>
      </c>
      <c r="D498" s="1137" t="s">
        <v>1744</v>
      </c>
      <c r="E498" s="1138" t="s">
        <v>1745</v>
      </c>
      <c r="F498" s="599">
        <v>1012653129426</v>
      </c>
      <c r="G498" s="599"/>
      <c r="H498" s="599"/>
      <c r="I498" s="599"/>
      <c r="J498" s="599"/>
      <c r="K498" s="599"/>
      <c r="L498" s="599"/>
      <c r="M498" s="599"/>
      <c r="N498" s="599">
        <v>78273372</v>
      </c>
      <c r="O498" s="599"/>
      <c r="P498" s="599"/>
      <c r="Q498" s="599"/>
      <c r="R498" s="599"/>
      <c r="S498" s="1096">
        <f t="shared" si="28"/>
        <v>1012731402798</v>
      </c>
      <c r="T498" s="599">
        <v>682271073715</v>
      </c>
      <c r="U498" s="1096">
        <f t="shared" si="29"/>
        <v>1012731</v>
      </c>
      <c r="V498" s="599">
        <v>682271</v>
      </c>
      <c r="W498" s="620"/>
      <c r="X498" s="621"/>
      <c r="Y498" s="1096">
        <f t="shared" si="30"/>
        <v>1012731402798</v>
      </c>
      <c r="Z498" s="882">
        <f t="shared" si="31"/>
        <v>1012731</v>
      </c>
    </row>
    <row r="499" spans="1:26" ht="27" hidden="1" customHeight="1">
      <c r="A499" s="583"/>
      <c r="B499" s="583">
        <v>301</v>
      </c>
      <c r="C499" s="581">
        <v>14</v>
      </c>
      <c r="D499" s="1137">
        <v>90007112</v>
      </c>
      <c r="E499" s="1138" t="s">
        <v>1820</v>
      </c>
      <c r="F499" s="599">
        <v>664055576</v>
      </c>
      <c r="G499" s="599"/>
      <c r="H499" s="599"/>
      <c r="I499" s="599"/>
      <c r="J499" s="599"/>
      <c r="K499" s="599"/>
      <c r="L499" s="599"/>
      <c r="M499" s="599"/>
      <c r="N499" s="599"/>
      <c r="O499" s="599"/>
      <c r="P499" s="599"/>
      <c r="Q499" s="599"/>
      <c r="R499" s="599"/>
      <c r="S499" s="1096">
        <f t="shared" si="28"/>
        <v>664055576</v>
      </c>
      <c r="T499" s="599">
        <v>0</v>
      </c>
      <c r="U499" s="1096">
        <f t="shared" si="29"/>
        <v>664</v>
      </c>
      <c r="V499" s="599">
        <v>0</v>
      </c>
      <c r="W499" s="620"/>
      <c r="X499" s="621"/>
      <c r="Y499" s="1096">
        <f t="shared" si="30"/>
        <v>664055576</v>
      </c>
      <c r="Z499" s="882">
        <f t="shared" si="31"/>
        <v>664</v>
      </c>
    </row>
    <row r="500" spans="1:26" ht="27" hidden="1" customHeight="1">
      <c r="A500" s="583"/>
      <c r="B500" s="583">
        <v>301</v>
      </c>
      <c r="C500" s="581">
        <v>14</v>
      </c>
      <c r="D500" s="1137" t="s">
        <v>1746</v>
      </c>
      <c r="E500" s="1138" t="s">
        <v>1747</v>
      </c>
      <c r="F500" s="599"/>
      <c r="G500" s="599"/>
      <c r="H500" s="599"/>
      <c r="I500" s="599"/>
      <c r="J500" s="599"/>
      <c r="K500" s="599"/>
      <c r="L500" s="599"/>
      <c r="M500" s="599"/>
      <c r="N500" s="599"/>
      <c r="O500" s="599"/>
      <c r="P500" s="599"/>
      <c r="Q500" s="599"/>
      <c r="R500" s="599"/>
      <c r="S500" s="1096">
        <f t="shared" si="28"/>
        <v>0</v>
      </c>
      <c r="T500" s="599">
        <v>0</v>
      </c>
      <c r="U500" s="1096">
        <f t="shared" si="29"/>
        <v>0</v>
      </c>
      <c r="V500" s="599">
        <v>0</v>
      </c>
      <c r="W500" s="620"/>
      <c r="X500" s="621"/>
      <c r="Y500" s="1096">
        <f t="shared" si="30"/>
        <v>0</v>
      </c>
      <c r="Z500" s="882">
        <f t="shared" si="31"/>
        <v>0</v>
      </c>
    </row>
    <row r="501" spans="1:26" ht="27" hidden="1" customHeight="1">
      <c r="A501" s="583"/>
      <c r="B501" s="583">
        <v>301</v>
      </c>
      <c r="C501" s="581">
        <v>14</v>
      </c>
      <c r="D501" s="1137" t="s">
        <v>1637</v>
      </c>
      <c r="E501" s="1138" t="s">
        <v>37</v>
      </c>
      <c r="F501" s="599">
        <v>78273372</v>
      </c>
      <c r="G501" s="599"/>
      <c r="H501" s="599"/>
      <c r="I501" s="599"/>
      <c r="J501" s="599"/>
      <c r="K501" s="599"/>
      <c r="L501" s="599"/>
      <c r="M501" s="599"/>
      <c r="N501" s="599">
        <v>-78273372</v>
      </c>
      <c r="O501" s="599"/>
      <c r="P501" s="599"/>
      <c r="Q501" s="599"/>
      <c r="R501" s="599"/>
      <c r="S501" s="1096">
        <f t="shared" si="28"/>
        <v>0</v>
      </c>
      <c r="T501" s="599">
        <v>0</v>
      </c>
      <c r="U501" s="1096">
        <f t="shared" si="29"/>
        <v>0</v>
      </c>
      <c r="V501" s="599">
        <v>0</v>
      </c>
      <c r="W501" s="620"/>
      <c r="X501" s="621"/>
      <c r="Y501" s="1096">
        <f t="shared" si="30"/>
        <v>0</v>
      </c>
      <c r="Z501" s="882">
        <f t="shared" si="31"/>
        <v>0</v>
      </c>
    </row>
    <row r="502" spans="1:26" ht="27" hidden="1" customHeight="1">
      <c r="A502" s="583"/>
      <c r="B502" s="583">
        <v>301</v>
      </c>
      <c r="C502" s="581">
        <v>14</v>
      </c>
      <c r="D502" s="1137" t="s">
        <v>38</v>
      </c>
      <c r="E502" s="1138" t="s">
        <v>624</v>
      </c>
      <c r="F502" s="599"/>
      <c r="G502" s="599"/>
      <c r="H502" s="599"/>
      <c r="I502" s="599"/>
      <c r="J502" s="599"/>
      <c r="K502" s="599"/>
      <c r="L502" s="599"/>
      <c r="M502" s="599"/>
      <c r="N502" s="599"/>
      <c r="O502" s="599"/>
      <c r="P502" s="599"/>
      <c r="Q502" s="599"/>
      <c r="R502" s="599"/>
      <c r="S502" s="1096">
        <f t="shared" si="28"/>
        <v>0</v>
      </c>
      <c r="T502" s="599">
        <v>0</v>
      </c>
      <c r="U502" s="1096">
        <f t="shared" si="29"/>
        <v>0</v>
      </c>
      <c r="V502" s="599">
        <v>0</v>
      </c>
      <c r="W502" s="620"/>
      <c r="X502" s="621"/>
      <c r="Y502" s="1096">
        <f t="shared" si="30"/>
        <v>0</v>
      </c>
      <c r="Z502" s="882">
        <f t="shared" si="31"/>
        <v>0</v>
      </c>
    </row>
    <row r="503" spans="1:26" ht="27" hidden="1" customHeight="1">
      <c r="A503" s="583"/>
      <c r="B503" s="583"/>
      <c r="C503" s="581">
        <v>6</v>
      </c>
      <c r="D503" s="1137" t="s">
        <v>734</v>
      </c>
      <c r="E503" s="1138" t="s">
        <v>736</v>
      </c>
      <c r="F503" s="599">
        <v>20683387635738</v>
      </c>
      <c r="G503" s="599">
        <f>963246595810-991629728402</f>
        <v>-28383132592</v>
      </c>
      <c r="H503" s="599">
        <f>157211429916-122064561415</f>
        <v>35146868501</v>
      </c>
      <c r="I503" s="599">
        <f>34155597537-22328389469</f>
        <v>11827208068</v>
      </c>
      <c r="J503" s="599">
        <f>80250924163-986151016521</f>
        <v>-905900092358</v>
      </c>
      <c r="K503" s="599">
        <f>14752696007-1195579450</f>
        <v>13557116557</v>
      </c>
      <c r="L503" s="599">
        <f>387845858349-25932151458</f>
        <v>361913706891</v>
      </c>
      <c r="M503" s="599"/>
      <c r="N503" s="599">
        <f>90181850641-628961751376</f>
        <v>-538779900735</v>
      </c>
      <c r="O503" s="599">
        <f>959895545287-321102029586</f>
        <v>638793515701</v>
      </c>
      <c r="P503" s="599">
        <f>320000000000+14000000000+11448625045+25870560626+31574628962</f>
        <v>402893814633</v>
      </c>
      <c r="Q503" s="599"/>
      <c r="R503" s="599"/>
      <c r="S503" s="1096">
        <f t="shared" si="28"/>
        <v>20674456740404</v>
      </c>
      <c r="T503" s="599">
        <v>15620786816046</v>
      </c>
      <c r="U503" s="1096">
        <f t="shared" si="29"/>
        <v>20674457</v>
      </c>
      <c r="V503" s="599">
        <v>15620787</v>
      </c>
      <c r="W503" s="620"/>
      <c r="X503" s="620"/>
      <c r="Y503" s="1096">
        <f t="shared" si="30"/>
        <v>20674456740404</v>
      </c>
      <c r="Z503" s="882">
        <f t="shared" si="31"/>
        <v>20674457</v>
      </c>
    </row>
    <row r="504" spans="1:26" ht="27" hidden="1" customHeight="1">
      <c r="A504" s="583"/>
      <c r="B504" s="583"/>
      <c r="C504" s="581">
        <v>6</v>
      </c>
      <c r="D504" s="1137" t="s">
        <v>1748</v>
      </c>
      <c r="E504" s="1138" t="s">
        <v>1749</v>
      </c>
      <c r="F504" s="599"/>
      <c r="G504" s="599"/>
      <c r="H504" s="738"/>
      <c r="I504" s="599"/>
      <c r="J504" s="599"/>
      <c r="K504" s="599"/>
      <c r="L504" s="599"/>
      <c r="M504" s="599"/>
      <c r="N504" s="599"/>
      <c r="O504" s="599"/>
      <c r="P504" s="599"/>
      <c r="Q504" s="599"/>
      <c r="R504" s="599"/>
      <c r="S504" s="1096">
        <f t="shared" si="28"/>
        <v>0</v>
      </c>
      <c r="T504" s="599">
        <v>450000000</v>
      </c>
      <c r="U504" s="1096">
        <f t="shared" si="29"/>
        <v>0</v>
      </c>
      <c r="V504" s="599">
        <v>450</v>
      </c>
      <c r="W504" s="620"/>
      <c r="X504" s="620"/>
      <c r="Y504" s="1096">
        <f t="shared" si="30"/>
        <v>0</v>
      </c>
      <c r="Z504" s="882">
        <f t="shared" si="31"/>
        <v>0</v>
      </c>
    </row>
    <row r="505" spans="1:26" ht="27" hidden="1" customHeight="1">
      <c r="A505" s="583"/>
      <c r="B505" s="583">
        <v>205</v>
      </c>
      <c r="C505" s="581">
        <v>19</v>
      </c>
      <c r="D505" s="1137" t="s">
        <v>735</v>
      </c>
      <c r="E505" s="1138" t="s">
        <v>904</v>
      </c>
      <c r="F505" s="599">
        <v>13707576280</v>
      </c>
      <c r="G505" s="599"/>
      <c r="H505" s="599">
        <v>-10038312046</v>
      </c>
      <c r="I505" s="599"/>
      <c r="J505" s="599">
        <v>-3669264234</v>
      </c>
      <c r="K505" s="599"/>
      <c r="L505" s="599"/>
      <c r="M505" s="599"/>
      <c r="N505" s="599">
        <v>628948360931</v>
      </c>
      <c r="O505" s="599"/>
      <c r="P505" s="599">
        <v>171751075276</v>
      </c>
      <c r="Q505" s="599"/>
      <c r="R505" s="599"/>
      <c r="S505" s="1096">
        <f t="shared" si="28"/>
        <v>800699436207</v>
      </c>
      <c r="T505" s="599">
        <v>3159302870</v>
      </c>
      <c r="U505" s="1096">
        <f t="shared" si="29"/>
        <v>800699</v>
      </c>
      <c r="V505" s="599">
        <v>3159</v>
      </c>
      <c r="W505" s="620"/>
      <c r="X505" s="620"/>
      <c r="Y505" s="1096">
        <f t="shared" si="30"/>
        <v>800699436207</v>
      </c>
      <c r="Z505" s="882">
        <f t="shared" si="31"/>
        <v>800699</v>
      </c>
    </row>
    <row r="506" spans="1:26" ht="27" hidden="1" customHeight="1">
      <c r="A506" s="583"/>
      <c r="B506" s="583">
        <v>202</v>
      </c>
      <c r="C506" s="581">
        <v>7</v>
      </c>
      <c r="D506" s="1137" t="s">
        <v>906</v>
      </c>
      <c r="E506" s="1138" t="s">
        <v>905</v>
      </c>
      <c r="F506" s="599">
        <v>-289480785317</v>
      </c>
      <c r="G506" s="599">
        <f>30000000-41794582787</f>
        <v>-41764582787</v>
      </c>
      <c r="H506" s="599">
        <f>63138918584-6063551646</f>
        <v>57075366938</v>
      </c>
      <c r="I506" s="599"/>
      <c r="J506" s="599"/>
      <c r="K506" s="599"/>
      <c r="L506" s="599">
        <f>5309803477-86876784</f>
        <v>5222926693</v>
      </c>
      <c r="M506" s="599"/>
      <c r="N506" s="599"/>
      <c r="O506" s="599">
        <v>-205849893</v>
      </c>
      <c r="P506" s="599"/>
      <c r="Q506" s="599"/>
      <c r="R506" s="599"/>
      <c r="S506" s="1096">
        <f t="shared" si="28"/>
        <v>-269152924366</v>
      </c>
      <c r="T506" s="599">
        <v>-162592981344</v>
      </c>
      <c r="U506" s="1096">
        <f t="shared" si="29"/>
        <v>-269153</v>
      </c>
      <c r="V506" s="599">
        <v>-162593</v>
      </c>
      <c r="W506" s="620"/>
      <c r="X506" s="620"/>
      <c r="Y506" s="1096">
        <f t="shared" si="30"/>
        <v>-269152924366</v>
      </c>
      <c r="Z506" s="882">
        <f t="shared" si="31"/>
        <v>-269153</v>
      </c>
    </row>
    <row r="507" spans="1:26" ht="27" hidden="1" customHeight="1">
      <c r="A507" s="583">
        <v>7</v>
      </c>
      <c r="B507" s="583">
        <v>10040</v>
      </c>
      <c r="C507" s="581">
        <v>11</v>
      </c>
      <c r="D507" s="1137" t="s">
        <v>608</v>
      </c>
      <c r="E507" s="1138" t="s">
        <v>609</v>
      </c>
      <c r="F507" s="599">
        <v>-16878164835071</v>
      </c>
      <c r="G507" s="599">
        <f>7088220000-280344247142</f>
        <v>-273256027142</v>
      </c>
      <c r="H507" s="599">
        <v>-70156630744</v>
      </c>
      <c r="I507" s="599">
        <v>1305719468</v>
      </c>
      <c r="J507" s="599">
        <v>-109524475593</v>
      </c>
      <c r="K507" s="599"/>
      <c r="L507" s="599">
        <f>20670777259831-7992589419</f>
        <v>20662784670412</v>
      </c>
      <c r="M507" s="599"/>
      <c r="N507" s="599">
        <v>-122094347000</v>
      </c>
      <c r="O507" s="599">
        <f>8604262622-316202665008</f>
        <v>-307598402386</v>
      </c>
      <c r="P507" s="599">
        <v>-227303138</v>
      </c>
      <c r="Q507" s="599">
        <f>-1826155000000</f>
        <v>-1826155000000</v>
      </c>
      <c r="R507" s="599"/>
      <c r="S507" s="1096">
        <f t="shared" si="28"/>
        <v>1076913368806</v>
      </c>
      <c r="T507" s="599">
        <v>-231903568850</v>
      </c>
      <c r="U507" s="1096">
        <f t="shared" si="29"/>
        <v>1076913</v>
      </c>
      <c r="V507" s="599">
        <v>-231904</v>
      </c>
      <c r="W507" s="620"/>
      <c r="X507" s="620"/>
      <c r="Y507" s="1096">
        <f t="shared" si="30"/>
        <v>1076913368806</v>
      </c>
      <c r="Z507" s="882">
        <f t="shared" si="31"/>
        <v>1076913</v>
      </c>
    </row>
    <row r="508" spans="1:26" ht="27" hidden="1" customHeight="1">
      <c r="A508" s="583"/>
      <c r="B508" s="583">
        <v>201</v>
      </c>
      <c r="C508" s="581">
        <v>7</v>
      </c>
      <c r="D508" s="1137" t="s">
        <v>738</v>
      </c>
      <c r="E508" s="1138" t="s">
        <v>737</v>
      </c>
      <c r="F508" s="599">
        <v>-105714146177</v>
      </c>
      <c r="G508" s="599"/>
      <c r="H508" s="599"/>
      <c r="I508" s="599"/>
      <c r="J508" s="599"/>
      <c r="K508" s="599"/>
      <c r="L508" s="599"/>
      <c r="M508" s="599"/>
      <c r="N508" s="599"/>
      <c r="O508" s="599"/>
      <c r="P508" s="599"/>
      <c r="Q508" s="599"/>
      <c r="R508" s="599"/>
      <c r="S508" s="1096">
        <f t="shared" si="28"/>
        <v>-105714146177</v>
      </c>
      <c r="T508" s="599">
        <v>-165697455365</v>
      </c>
      <c r="U508" s="1096">
        <f t="shared" si="29"/>
        <v>-105714</v>
      </c>
      <c r="V508" s="599">
        <v>-165697</v>
      </c>
      <c r="W508" s="620"/>
      <c r="X508" s="620"/>
      <c r="Y508" s="1096">
        <f t="shared" si="30"/>
        <v>-105714146177</v>
      </c>
      <c r="Z508" s="882">
        <f t="shared" si="31"/>
        <v>-105714</v>
      </c>
    </row>
    <row r="509" spans="1:26" ht="27" hidden="1" customHeight="1">
      <c r="A509" s="583"/>
      <c r="B509" s="583"/>
      <c r="C509" s="581">
        <v>5</v>
      </c>
      <c r="D509" s="1137" t="s">
        <v>907</v>
      </c>
      <c r="E509" s="1138" t="s">
        <v>908</v>
      </c>
      <c r="F509" s="599">
        <v>-6197001135896</v>
      </c>
      <c r="G509" s="599">
        <v>-561648795657</v>
      </c>
      <c r="H509" s="599"/>
      <c r="I509" s="599"/>
      <c r="J509" s="599">
        <v>-2230011398877</v>
      </c>
      <c r="K509" s="599"/>
      <c r="L509" s="599"/>
      <c r="M509" s="599"/>
      <c r="N509" s="599"/>
      <c r="O509" s="599"/>
      <c r="P509" s="599"/>
      <c r="Q509" s="599"/>
      <c r="R509" s="599"/>
      <c r="S509" s="1096">
        <f t="shared" si="28"/>
        <v>-8988661330430</v>
      </c>
      <c r="T509" s="599">
        <v>-6248083166484</v>
      </c>
      <c r="U509" s="1096">
        <f t="shared" si="29"/>
        <v>-8988661</v>
      </c>
      <c r="V509" s="599">
        <v>-6248083</v>
      </c>
      <c r="W509" s="620"/>
      <c r="X509" s="620"/>
      <c r="Y509" s="1096">
        <f t="shared" si="30"/>
        <v>-8988661330430</v>
      </c>
      <c r="Z509" s="882">
        <f t="shared" si="31"/>
        <v>-8988661</v>
      </c>
    </row>
    <row r="510" spans="1:26" ht="27" hidden="1" customHeight="1">
      <c r="A510" s="583"/>
      <c r="B510" s="583"/>
      <c r="C510" s="581">
        <v>5</v>
      </c>
      <c r="D510" s="1137" t="s">
        <v>909</v>
      </c>
      <c r="E510" s="1138" t="s">
        <v>910</v>
      </c>
      <c r="F510" s="599">
        <v>-7413864575876</v>
      </c>
      <c r="G510" s="599">
        <v>-486292853673</v>
      </c>
      <c r="H510" s="599">
        <f>13989404544-263875554859</f>
        <v>-249886150315</v>
      </c>
      <c r="I510" s="599"/>
      <c r="J510" s="599">
        <f>5426331328-2655642425245</f>
        <v>-2650216093917</v>
      </c>
      <c r="K510" s="599"/>
      <c r="L510" s="599"/>
      <c r="M510" s="599"/>
      <c r="N510" s="599"/>
      <c r="O510" s="599"/>
      <c r="P510" s="599"/>
      <c r="Q510" s="599"/>
      <c r="R510" s="599"/>
      <c r="S510" s="1096">
        <f t="shared" si="28"/>
        <v>-10800259673781</v>
      </c>
      <c r="T510" s="599">
        <v>-7810142158055</v>
      </c>
      <c r="U510" s="1096">
        <f t="shared" si="29"/>
        <v>-10800260</v>
      </c>
      <c r="V510" s="599">
        <v>-7810142</v>
      </c>
      <c r="W510" s="620"/>
      <c r="X510" s="620"/>
      <c r="Y510" s="1096">
        <f t="shared" si="30"/>
        <v>-10800259673781</v>
      </c>
      <c r="Z510" s="882">
        <f t="shared" si="31"/>
        <v>-10800260</v>
      </c>
    </row>
    <row r="511" spans="1:26" ht="27" hidden="1" customHeight="1">
      <c r="A511" s="583"/>
      <c r="B511" s="583">
        <v>203</v>
      </c>
      <c r="C511" s="581">
        <v>7</v>
      </c>
      <c r="D511" s="1137" t="s">
        <v>739</v>
      </c>
      <c r="E511" s="1138" t="s">
        <v>911</v>
      </c>
      <c r="F511" s="599">
        <v>-169886914</v>
      </c>
      <c r="G511" s="599"/>
      <c r="H511" s="599"/>
      <c r="I511" s="599"/>
      <c r="J511" s="599"/>
      <c r="K511" s="599"/>
      <c r="L511" s="599"/>
      <c r="M511" s="599"/>
      <c r="N511" s="599"/>
      <c r="O511" s="599"/>
      <c r="P511" s="599"/>
      <c r="Q511" s="599"/>
      <c r="R511" s="599"/>
      <c r="S511" s="1096">
        <f t="shared" si="28"/>
        <v>-169886914</v>
      </c>
      <c r="T511" s="599">
        <v>-5000000</v>
      </c>
      <c r="U511" s="1096">
        <f t="shared" si="29"/>
        <v>-170</v>
      </c>
      <c r="V511" s="599">
        <v>-5</v>
      </c>
      <c r="W511" s="620"/>
      <c r="X511" s="620"/>
      <c r="Y511" s="1096">
        <f t="shared" si="30"/>
        <v>-169886914</v>
      </c>
      <c r="Z511" s="882">
        <f t="shared" si="31"/>
        <v>-170</v>
      </c>
    </row>
    <row r="512" spans="1:26" ht="27" hidden="1" customHeight="1">
      <c r="A512" s="583"/>
      <c r="B512" s="1161">
        <v>406</v>
      </c>
      <c r="C512" s="581">
        <v>11</v>
      </c>
      <c r="D512" s="1137" t="s">
        <v>586</v>
      </c>
      <c r="E512" s="1138" t="s">
        <v>587</v>
      </c>
      <c r="F512" s="599">
        <v>3009089161</v>
      </c>
      <c r="G512" s="599">
        <v>-165620000</v>
      </c>
      <c r="H512" s="599"/>
      <c r="I512" s="599"/>
      <c r="J512" s="599">
        <v>21650000000</v>
      </c>
      <c r="K512" s="599">
        <v>-2780563681</v>
      </c>
      <c r="L512" s="599">
        <v>260626208</v>
      </c>
      <c r="M512" s="599"/>
      <c r="N512" s="599"/>
      <c r="O512" s="599">
        <f>445466534-260626208+1429187324</f>
        <v>1614027650</v>
      </c>
      <c r="P512" s="599"/>
      <c r="Q512" s="599"/>
      <c r="R512" s="599"/>
      <c r="S512" s="1096">
        <f t="shared" si="28"/>
        <v>23587559338</v>
      </c>
      <c r="T512" s="599">
        <v>28661706646</v>
      </c>
      <c r="U512" s="1096">
        <f t="shared" si="29"/>
        <v>23588</v>
      </c>
      <c r="V512" s="599">
        <v>28662</v>
      </c>
      <c r="W512" s="620"/>
      <c r="X512" s="620"/>
      <c r="Y512" s="1096">
        <f t="shared" si="30"/>
        <v>23587559338</v>
      </c>
      <c r="Z512" s="882">
        <f t="shared" si="31"/>
        <v>23588</v>
      </c>
    </row>
    <row r="513" spans="1:26" ht="27" hidden="1" customHeight="1">
      <c r="A513" s="583"/>
      <c r="B513" s="583">
        <v>1011</v>
      </c>
      <c r="C513" s="581">
        <v>17</v>
      </c>
      <c r="D513" s="1137" t="s">
        <v>588</v>
      </c>
      <c r="E513" s="1138" t="s">
        <v>468</v>
      </c>
      <c r="F513" s="599">
        <v>-10710649866</v>
      </c>
      <c r="G513" s="599"/>
      <c r="H513" s="599"/>
      <c r="I513" s="599"/>
      <c r="J513" s="599"/>
      <c r="K513" s="599"/>
      <c r="L513" s="599">
        <v>-1666280531</v>
      </c>
      <c r="M513" s="599"/>
      <c r="N513" s="599"/>
      <c r="O513" s="599"/>
      <c r="P513" s="599"/>
      <c r="Q513" s="599"/>
      <c r="R513" s="599"/>
      <c r="S513" s="1096">
        <f t="shared" si="28"/>
        <v>-12376930397</v>
      </c>
      <c r="T513" s="599">
        <v>-10044251519</v>
      </c>
      <c r="U513" s="1096">
        <f t="shared" si="29"/>
        <v>-12377</v>
      </c>
      <c r="V513" s="599">
        <v>-10044</v>
      </c>
      <c r="W513" s="620"/>
      <c r="X513" s="620"/>
      <c r="Y513" s="1096">
        <f t="shared" si="30"/>
        <v>-12376930397</v>
      </c>
      <c r="Z513" s="882">
        <f t="shared" si="31"/>
        <v>-12377</v>
      </c>
    </row>
    <row r="514" spans="1:26" ht="27" hidden="1" customHeight="1">
      <c r="A514" s="583"/>
      <c r="B514" s="583">
        <v>204</v>
      </c>
      <c r="C514" s="581">
        <v>5</v>
      </c>
      <c r="D514" s="1137" t="s">
        <v>748</v>
      </c>
      <c r="E514" s="1138" t="s">
        <v>747</v>
      </c>
      <c r="F514" s="599">
        <v>-51410325343</v>
      </c>
      <c r="G514" s="599">
        <v>-49248000</v>
      </c>
      <c r="H514" s="599">
        <v>-155580000</v>
      </c>
      <c r="I514" s="599"/>
      <c r="J514" s="599"/>
      <c r="K514" s="599"/>
      <c r="L514" s="599"/>
      <c r="M514" s="599"/>
      <c r="N514" s="599"/>
      <c r="O514" s="599"/>
      <c r="P514" s="599"/>
      <c r="Q514" s="599"/>
      <c r="R514" s="599"/>
      <c r="S514" s="1096">
        <f t="shared" si="28"/>
        <v>-51615153343</v>
      </c>
      <c r="T514" s="599">
        <v>-51416832248</v>
      </c>
      <c r="U514" s="1096">
        <f t="shared" si="29"/>
        <v>-51615</v>
      </c>
      <c r="V514" s="599">
        <v>-51417</v>
      </c>
      <c r="W514" s="620"/>
      <c r="X514" s="620"/>
      <c r="Y514" s="1096">
        <f t="shared" si="30"/>
        <v>-51615153343</v>
      </c>
      <c r="Z514" s="882">
        <f t="shared" si="31"/>
        <v>-51615</v>
      </c>
    </row>
    <row r="515" spans="1:26" ht="27" hidden="1" customHeight="1">
      <c r="A515" s="583"/>
      <c r="B515" s="583"/>
      <c r="C515" s="581">
        <v>19</v>
      </c>
      <c r="D515" s="1137" t="s">
        <v>853</v>
      </c>
      <c r="E515" s="1138" t="s">
        <v>1041</v>
      </c>
      <c r="F515" s="599"/>
      <c r="G515" s="599"/>
      <c r="H515" s="599"/>
      <c r="I515" s="599"/>
      <c r="J515" s="599"/>
      <c r="K515" s="599"/>
      <c r="L515" s="599"/>
      <c r="M515" s="599"/>
      <c r="N515" s="599"/>
      <c r="O515" s="599"/>
      <c r="P515" s="599"/>
      <c r="Q515" s="599"/>
      <c r="R515" s="599"/>
      <c r="S515" s="1096">
        <f t="shared" si="28"/>
        <v>0</v>
      </c>
      <c r="T515" s="599">
        <v>0</v>
      </c>
      <c r="U515" s="1096">
        <f t="shared" si="29"/>
        <v>0</v>
      </c>
      <c r="V515" s="599">
        <v>0</v>
      </c>
      <c r="W515" s="620"/>
      <c r="X515" s="620"/>
      <c r="Y515" s="1096">
        <f t="shared" si="30"/>
        <v>0</v>
      </c>
      <c r="Z515" s="882">
        <f t="shared" si="31"/>
        <v>0</v>
      </c>
    </row>
    <row r="516" spans="1:26" ht="27" hidden="1" customHeight="1">
      <c r="A516" s="583"/>
      <c r="B516" s="583"/>
      <c r="C516" s="581">
        <v>19</v>
      </c>
      <c r="D516" s="1137" t="s">
        <v>613</v>
      </c>
      <c r="E516" s="1138" t="s">
        <v>614</v>
      </c>
      <c r="F516" s="599">
        <v>2528745380410</v>
      </c>
      <c r="G516" s="599"/>
      <c r="H516" s="599"/>
      <c r="I516" s="599"/>
      <c r="J516" s="599"/>
      <c r="K516" s="599"/>
      <c r="L516" s="599"/>
      <c r="M516" s="599"/>
      <c r="N516" s="599"/>
      <c r="O516" s="599"/>
      <c r="P516" s="599"/>
      <c r="Q516" s="599"/>
      <c r="R516" s="599"/>
      <c r="S516" s="1096">
        <f t="shared" si="28"/>
        <v>2528745380410</v>
      </c>
      <c r="T516" s="599">
        <v>1342286854990</v>
      </c>
      <c r="U516" s="1096">
        <f t="shared" si="29"/>
        <v>2528745</v>
      </c>
      <c r="V516" s="599">
        <v>1342287</v>
      </c>
      <c r="W516" s="620"/>
      <c r="X516" s="620"/>
      <c r="Y516" s="1096">
        <f t="shared" si="30"/>
        <v>2528745380410</v>
      </c>
      <c r="Z516" s="882">
        <f t="shared" si="31"/>
        <v>2528745</v>
      </c>
    </row>
    <row r="517" spans="1:26" ht="27" hidden="1" customHeight="1">
      <c r="A517" s="583"/>
      <c r="B517" s="583">
        <v>406</v>
      </c>
      <c r="C517" s="581">
        <v>11</v>
      </c>
      <c r="D517" s="1137" t="s">
        <v>1260</v>
      </c>
      <c r="E517" s="1138" t="s">
        <v>1030</v>
      </c>
      <c r="F517" s="599">
        <v>4432385243</v>
      </c>
      <c r="G517" s="599">
        <f>3673400838-6845719135</f>
        <v>-3172318297</v>
      </c>
      <c r="H517" s="599">
        <f>2150027417-3367942363</f>
        <v>-1217914946</v>
      </c>
      <c r="I517" s="599">
        <f>19656000-19656000</f>
        <v>0</v>
      </c>
      <c r="J517" s="599"/>
      <c r="K517" s="599"/>
      <c r="L517" s="599"/>
      <c r="M517" s="599"/>
      <c r="N517" s="599"/>
      <c r="O517" s="599"/>
      <c r="P517" s="599"/>
      <c r="Q517" s="599"/>
      <c r="R517" s="599"/>
      <c r="S517" s="1096">
        <f t="shared" ref="S517:S558" si="32">SUM(F517:R517)</f>
        <v>42152000</v>
      </c>
      <c r="T517" s="599">
        <v>0</v>
      </c>
      <c r="U517" s="1096">
        <f t="shared" ref="U517:U558" si="33">ROUND((S517/1000000),0)</f>
        <v>42</v>
      </c>
      <c r="V517" s="599">
        <v>0</v>
      </c>
      <c r="W517" s="620"/>
      <c r="X517" s="621"/>
      <c r="Y517" s="1096">
        <f t="shared" si="30"/>
        <v>42152000</v>
      </c>
      <c r="Z517" s="882">
        <f t="shared" si="31"/>
        <v>42</v>
      </c>
    </row>
    <row r="518" spans="1:26" ht="27" hidden="1" customHeight="1">
      <c r="A518" s="583"/>
      <c r="B518" s="583">
        <v>1018</v>
      </c>
      <c r="C518" s="581">
        <v>17</v>
      </c>
      <c r="D518" s="1137" t="s">
        <v>1158</v>
      </c>
      <c r="E518" s="1138" t="s">
        <v>957</v>
      </c>
      <c r="F518" s="738">
        <v>6585104757</v>
      </c>
      <c r="G518" s="599">
        <f>72340437837-54845463315</f>
        <v>17494974522</v>
      </c>
      <c r="H518" s="599">
        <f>49754421480-73658760759</f>
        <v>-23904339279</v>
      </c>
      <c r="I518" s="599"/>
      <c r="J518" s="599"/>
      <c r="K518" s="599"/>
      <c r="L518" s="599"/>
      <c r="M518" s="599"/>
      <c r="N518" s="599"/>
      <c r="O518" s="599"/>
      <c r="P518" s="599"/>
      <c r="Q518" s="599"/>
      <c r="R518" s="599"/>
      <c r="S518" s="1096">
        <f t="shared" si="32"/>
        <v>175740000</v>
      </c>
      <c r="T518" s="599">
        <v>0</v>
      </c>
      <c r="U518" s="1096">
        <f t="shared" si="33"/>
        <v>176</v>
      </c>
      <c r="V518" s="599">
        <v>0</v>
      </c>
      <c r="W518" s="620"/>
      <c r="X518" s="621"/>
      <c r="Y518" s="1096">
        <f t="shared" si="30"/>
        <v>175740000</v>
      </c>
      <c r="Z518" s="882">
        <f t="shared" si="31"/>
        <v>176</v>
      </c>
    </row>
    <row r="519" spans="1:26" ht="27" hidden="1" customHeight="1">
      <c r="A519" s="583"/>
      <c r="B519" s="583">
        <v>406</v>
      </c>
      <c r="C519" s="581">
        <v>11</v>
      </c>
      <c r="D519" s="1137" t="s">
        <v>1004</v>
      </c>
      <c r="E519" s="1138" t="s">
        <v>1261</v>
      </c>
      <c r="F519" s="599">
        <v>51986758</v>
      </c>
      <c r="G519" s="599">
        <f>298020406-352397991</f>
        <v>-54377585</v>
      </c>
      <c r="H519" s="599"/>
      <c r="I519" s="599">
        <f>352397991-352397991</f>
        <v>0</v>
      </c>
      <c r="J519" s="599"/>
      <c r="K519" s="599"/>
      <c r="L519" s="599"/>
      <c r="M519" s="599"/>
      <c r="N519" s="599"/>
      <c r="O519" s="599"/>
      <c r="P519" s="599"/>
      <c r="Q519" s="599"/>
      <c r="R519" s="599"/>
      <c r="S519" s="1096">
        <f t="shared" si="32"/>
        <v>-2390827</v>
      </c>
      <c r="T519" s="599">
        <v>6320000</v>
      </c>
      <c r="U519" s="1096">
        <f t="shared" si="33"/>
        <v>-2</v>
      </c>
      <c r="V519" s="599">
        <v>6</v>
      </c>
      <c r="W519" s="620"/>
      <c r="X519" s="621"/>
      <c r="Y519" s="1096">
        <f t="shared" si="30"/>
        <v>-2390827</v>
      </c>
      <c r="Z519" s="882">
        <f t="shared" si="31"/>
        <v>-2</v>
      </c>
    </row>
    <row r="520" spans="1:26" ht="27" hidden="1" customHeight="1">
      <c r="A520" s="583"/>
      <c r="B520" s="583">
        <v>406</v>
      </c>
      <c r="C520" s="581">
        <v>11</v>
      </c>
      <c r="D520" s="1137" t="s">
        <v>1639</v>
      </c>
      <c r="E520" s="1138" t="s">
        <v>1638</v>
      </c>
      <c r="F520" s="738">
        <v>79134505</v>
      </c>
      <c r="G520" s="599">
        <f>237403515-237403515</f>
        <v>0</v>
      </c>
      <c r="H520" s="599">
        <f>79134505-158269010</f>
        <v>-79134505</v>
      </c>
      <c r="I520" s="599"/>
      <c r="J520" s="599"/>
      <c r="K520" s="599"/>
      <c r="L520" s="599"/>
      <c r="M520" s="599"/>
      <c r="N520" s="599"/>
      <c r="O520" s="599"/>
      <c r="P520" s="599"/>
      <c r="Q520" s="599"/>
      <c r="R520" s="599"/>
      <c r="S520" s="1096">
        <f t="shared" si="32"/>
        <v>0</v>
      </c>
      <c r="T520" s="599">
        <v>0</v>
      </c>
      <c r="U520" s="1096">
        <f t="shared" si="33"/>
        <v>0</v>
      </c>
      <c r="V520" s="599">
        <v>0</v>
      </c>
      <c r="W520" s="620"/>
      <c r="X520" s="621"/>
      <c r="Y520" s="1096">
        <f t="shared" ref="Y520:Y558" si="34">S520+X520-W520</f>
        <v>0</v>
      </c>
      <c r="Z520" s="882">
        <f t="shared" ref="Z520:Z558" si="35">ROUND((Y520/1000000),0)</f>
        <v>0</v>
      </c>
    </row>
    <row r="521" spans="1:26" ht="27" hidden="1" customHeight="1">
      <c r="A521" s="583"/>
      <c r="B521" s="583">
        <v>406</v>
      </c>
      <c r="C521" s="581">
        <v>11</v>
      </c>
      <c r="D521" s="1137" t="s">
        <v>1262</v>
      </c>
      <c r="E521" s="1138" t="s">
        <v>1263</v>
      </c>
      <c r="F521" s="599">
        <v>132962240</v>
      </c>
      <c r="G521" s="599">
        <f>398097600-398097600</f>
        <v>0</v>
      </c>
      <c r="H521" s="599"/>
      <c r="I521" s="599"/>
      <c r="J521" s="599">
        <f>265398400-398097600</f>
        <v>-132699200</v>
      </c>
      <c r="K521" s="599"/>
      <c r="L521" s="599"/>
      <c r="M521" s="599"/>
      <c r="N521" s="599"/>
      <c r="O521" s="599"/>
      <c r="P521" s="599"/>
      <c r="Q521" s="599"/>
      <c r="R521" s="599"/>
      <c r="S521" s="1096">
        <f t="shared" si="32"/>
        <v>263040</v>
      </c>
      <c r="T521" s="599">
        <v>263040</v>
      </c>
      <c r="U521" s="1096">
        <f t="shared" si="33"/>
        <v>0</v>
      </c>
      <c r="V521" s="599">
        <v>0</v>
      </c>
      <c r="W521" s="620"/>
      <c r="X521" s="621"/>
      <c r="Y521" s="1096">
        <f t="shared" si="34"/>
        <v>263040</v>
      </c>
      <c r="Z521" s="882">
        <f t="shared" si="35"/>
        <v>0</v>
      </c>
    </row>
    <row r="522" spans="1:26" ht="27" hidden="1" customHeight="1">
      <c r="A522" s="583"/>
      <c r="B522" s="583">
        <v>10040</v>
      </c>
      <c r="C522" s="581">
        <v>11</v>
      </c>
      <c r="D522" s="1137" t="s">
        <v>615</v>
      </c>
      <c r="E522" s="1138" t="s">
        <v>616</v>
      </c>
      <c r="F522" s="599">
        <v>-473188</v>
      </c>
      <c r="G522" s="599"/>
      <c r="H522" s="599"/>
      <c r="I522" s="599"/>
      <c r="J522" s="599"/>
      <c r="K522" s="599"/>
      <c r="L522" s="599"/>
      <c r="M522" s="599"/>
      <c r="N522" s="599"/>
      <c r="O522" s="599"/>
      <c r="P522" s="599"/>
      <c r="Q522" s="599"/>
      <c r="R522" s="599"/>
      <c r="S522" s="1096">
        <f t="shared" si="32"/>
        <v>-473188</v>
      </c>
      <c r="T522" s="599">
        <v>-473188</v>
      </c>
      <c r="U522" s="1096">
        <f t="shared" si="33"/>
        <v>0</v>
      </c>
      <c r="V522" s="599">
        <v>0</v>
      </c>
      <c r="W522" s="620"/>
      <c r="X522" s="621"/>
      <c r="Y522" s="1096">
        <f t="shared" si="34"/>
        <v>-473188</v>
      </c>
      <c r="Z522" s="882">
        <f t="shared" si="35"/>
        <v>0</v>
      </c>
    </row>
    <row r="523" spans="1:26" ht="27" hidden="1" customHeight="1">
      <c r="A523" s="583"/>
      <c r="B523" s="583"/>
      <c r="C523" s="581">
        <v>20</v>
      </c>
      <c r="D523" s="1137" t="s">
        <v>617</v>
      </c>
      <c r="E523" s="1138" t="s">
        <v>618</v>
      </c>
      <c r="F523" s="599">
        <v>2619929964721</v>
      </c>
      <c r="G523" s="599">
        <f>2401918661-1570000000</f>
        <v>831918661</v>
      </c>
      <c r="H523" s="599"/>
      <c r="I523" s="599"/>
      <c r="J523" s="599"/>
      <c r="K523" s="599"/>
      <c r="L523" s="599"/>
      <c r="M523" s="599"/>
      <c r="N523" s="599"/>
      <c r="O523" s="599">
        <v>5919263464820</v>
      </c>
      <c r="P523" s="599"/>
      <c r="Q523" s="599"/>
      <c r="R523" s="599"/>
      <c r="S523" s="1096">
        <f t="shared" si="32"/>
        <v>8540025348202</v>
      </c>
      <c r="T523" s="599">
        <v>4674491017231</v>
      </c>
      <c r="U523" s="1096">
        <f t="shared" si="33"/>
        <v>8540025</v>
      </c>
      <c r="V523" s="599">
        <v>4674491</v>
      </c>
      <c r="W523" s="620"/>
      <c r="X523" s="621"/>
      <c r="Y523" s="1096">
        <f t="shared" si="34"/>
        <v>8540025348202</v>
      </c>
      <c r="Z523" s="882">
        <f t="shared" si="35"/>
        <v>8540025</v>
      </c>
    </row>
    <row r="524" spans="1:26" ht="27" hidden="1" customHeight="1">
      <c r="A524" s="583"/>
      <c r="B524" s="583"/>
      <c r="C524" s="581">
        <v>20</v>
      </c>
      <c r="D524" s="1137" t="s">
        <v>1204</v>
      </c>
      <c r="E524" s="1138" t="s">
        <v>1205</v>
      </c>
      <c r="F524" s="599"/>
      <c r="G524" s="599"/>
      <c r="H524" s="599"/>
      <c r="I524" s="599"/>
      <c r="J524" s="599"/>
      <c r="K524" s="599"/>
      <c r="L524" s="599"/>
      <c r="M524" s="599"/>
      <c r="N524" s="599"/>
      <c r="O524" s="599">
        <f>2737216286908-16807784816</f>
        <v>2720408502092</v>
      </c>
      <c r="P524" s="599"/>
      <c r="Q524" s="599"/>
      <c r="R524" s="599"/>
      <c r="S524" s="1096">
        <f t="shared" si="32"/>
        <v>2720408502092</v>
      </c>
      <c r="T524" s="599">
        <v>924831632104</v>
      </c>
      <c r="U524" s="1096">
        <f t="shared" si="33"/>
        <v>2720409</v>
      </c>
      <c r="V524" s="599">
        <v>924832</v>
      </c>
      <c r="W524" s="620"/>
      <c r="X524" s="621"/>
      <c r="Y524" s="1096">
        <f t="shared" si="34"/>
        <v>2720408502092</v>
      </c>
      <c r="Z524" s="882">
        <f t="shared" si="35"/>
        <v>2720409</v>
      </c>
    </row>
    <row r="525" spans="1:26" ht="27" hidden="1" customHeight="1">
      <c r="A525" s="583"/>
      <c r="B525" s="583"/>
      <c r="C525" s="581">
        <v>20</v>
      </c>
      <c r="D525" s="1137" t="s">
        <v>619</v>
      </c>
      <c r="E525" s="1138" t="s">
        <v>620</v>
      </c>
      <c r="F525" s="599">
        <v>-2619929964721</v>
      </c>
      <c r="G525" s="599">
        <f>1570000000-2401918661</f>
        <v>-831918661</v>
      </c>
      <c r="H525" s="599"/>
      <c r="I525" s="599"/>
      <c r="J525" s="599"/>
      <c r="K525" s="599"/>
      <c r="L525" s="599"/>
      <c r="M525" s="599"/>
      <c r="N525" s="599"/>
      <c r="O525" s="599">
        <v>-5919263464820</v>
      </c>
      <c r="P525" s="599"/>
      <c r="Q525" s="599"/>
      <c r="R525" s="599"/>
      <c r="S525" s="1096">
        <f t="shared" si="32"/>
        <v>-8540025348202</v>
      </c>
      <c r="T525" s="599">
        <v>-4674491017231</v>
      </c>
      <c r="U525" s="1096">
        <f t="shared" si="33"/>
        <v>-8540025</v>
      </c>
      <c r="V525" s="599">
        <v>-4674491</v>
      </c>
      <c r="W525" s="620"/>
      <c r="X525" s="621"/>
      <c r="Y525" s="1096">
        <f t="shared" si="34"/>
        <v>-8540025348202</v>
      </c>
      <c r="Z525" s="882">
        <f t="shared" si="35"/>
        <v>-8540025</v>
      </c>
    </row>
    <row r="526" spans="1:26" ht="27" hidden="1" customHeight="1">
      <c r="A526" s="583"/>
      <c r="B526" s="583"/>
      <c r="C526" s="581">
        <v>20</v>
      </c>
      <c r="D526" s="1137" t="s">
        <v>1206</v>
      </c>
      <c r="E526" s="1138" t="s">
        <v>1207</v>
      </c>
      <c r="F526" s="599"/>
      <c r="G526" s="599"/>
      <c r="H526" s="599"/>
      <c r="I526" s="599"/>
      <c r="J526" s="599"/>
      <c r="K526" s="599"/>
      <c r="L526" s="599"/>
      <c r="M526" s="599"/>
      <c r="N526" s="599"/>
      <c r="O526" s="599">
        <f>16807784816-2737216286908</f>
        <v>-2720408502092</v>
      </c>
      <c r="P526" s="599"/>
      <c r="Q526" s="599"/>
      <c r="R526" s="599"/>
      <c r="S526" s="1096">
        <f t="shared" si="32"/>
        <v>-2720408502092</v>
      </c>
      <c r="T526" s="599">
        <v>-924831632104</v>
      </c>
      <c r="U526" s="1096">
        <f t="shared" si="33"/>
        <v>-2720409</v>
      </c>
      <c r="V526" s="599">
        <v>-924832</v>
      </c>
      <c r="W526" s="620"/>
      <c r="X526" s="621"/>
      <c r="Y526" s="1096">
        <f t="shared" si="34"/>
        <v>-2720408502092</v>
      </c>
      <c r="Z526" s="882">
        <f t="shared" si="35"/>
        <v>-2720409</v>
      </c>
    </row>
    <row r="527" spans="1:26" ht="27" customHeight="1">
      <c r="A527" s="583">
        <v>3214</v>
      </c>
      <c r="B527" s="583"/>
      <c r="C527" s="581">
        <v>20</v>
      </c>
      <c r="D527" s="1137" t="s">
        <v>617</v>
      </c>
      <c r="E527" s="1138" t="s">
        <v>1660</v>
      </c>
      <c r="F527" s="599"/>
      <c r="G527" s="599"/>
      <c r="H527" s="599"/>
      <c r="I527" s="599"/>
      <c r="J527" s="599"/>
      <c r="K527" s="599"/>
      <c r="L527" s="599"/>
      <c r="M527" s="599"/>
      <c r="N527" s="599"/>
      <c r="O527" s="599"/>
      <c r="P527" s="599"/>
      <c r="Q527" s="599"/>
      <c r="R527" s="599"/>
      <c r="S527" s="1096">
        <f t="shared" si="32"/>
        <v>0</v>
      </c>
      <c r="T527" s="599">
        <v>0</v>
      </c>
      <c r="U527" s="1096">
        <f t="shared" si="33"/>
        <v>0</v>
      </c>
      <c r="V527" s="599">
        <v>0</v>
      </c>
      <c r="W527" s="620"/>
      <c r="X527" s="621"/>
      <c r="Y527" s="1096">
        <f t="shared" si="34"/>
        <v>0</v>
      </c>
      <c r="Z527" s="882">
        <f t="shared" si="35"/>
        <v>0</v>
      </c>
    </row>
    <row r="528" spans="1:26" ht="27" customHeight="1">
      <c r="A528" s="583">
        <v>3214</v>
      </c>
      <c r="B528" s="583"/>
      <c r="C528" s="581">
        <v>20</v>
      </c>
      <c r="D528" s="1137" t="s">
        <v>1204</v>
      </c>
      <c r="E528" s="1138" t="s">
        <v>1661</v>
      </c>
      <c r="F528" s="599"/>
      <c r="G528" s="599"/>
      <c r="H528" s="599"/>
      <c r="I528" s="599"/>
      <c r="J528" s="599"/>
      <c r="K528" s="599"/>
      <c r="L528" s="599"/>
      <c r="M528" s="599"/>
      <c r="N528" s="599"/>
      <c r="O528" s="599"/>
      <c r="P528" s="599"/>
      <c r="Q528" s="599"/>
      <c r="R528" s="599"/>
      <c r="S528" s="1096">
        <f t="shared" si="32"/>
        <v>0</v>
      </c>
      <c r="T528" s="599">
        <v>814075478461</v>
      </c>
      <c r="U528" s="1096">
        <f t="shared" si="33"/>
        <v>0</v>
      </c>
      <c r="V528" s="599">
        <v>814075</v>
      </c>
      <c r="W528" s="620"/>
      <c r="X528" s="621"/>
      <c r="Y528" s="1096">
        <f t="shared" si="34"/>
        <v>0</v>
      </c>
      <c r="Z528" s="882">
        <f t="shared" si="35"/>
        <v>0</v>
      </c>
    </row>
    <row r="529" spans="1:26" ht="27" customHeight="1">
      <c r="A529" s="583">
        <v>3214</v>
      </c>
      <c r="B529" s="583"/>
      <c r="C529" s="581">
        <v>20</v>
      </c>
      <c r="D529" s="1137" t="s">
        <v>619</v>
      </c>
      <c r="E529" s="1138" t="s">
        <v>1662</v>
      </c>
      <c r="F529" s="599"/>
      <c r="G529" s="599"/>
      <c r="H529" s="599"/>
      <c r="I529" s="599"/>
      <c r="J529" s="599"/>
      <c r="K529" s="599"/>
      <c r="L529" s="599"/>
      <c r="M529" s="599"/>
      <c r="N529" s="599"/>
      <c r="O529" s="599"/>
      <c r="P529" s="599"/>
      <c r="Q529" s="599"/>
      <c r="R529" s="599"/>
      <c r="S529" s="1096">
        <f t="shared" si="32"/>
        <v>0</v>
      </c>
      <c r="T529" s="599">
        <v>0</v>
      </c>
      <c r="U529" s="1096">
        <f t="shared" si="33"/>
        <v>0</v>
      </c>
      <c r="V529" s="599">
        <v>0</v>
      </c>
      <c r="W529" s="620"/>
      <c r="X529" s="621"/>
      <c r="Y529" s="1096">
        <f t="shared" si="34"/>
        <v>0</v>
      </c>
      <c r="Z529" s="882">
        <f t="shared" si="35"/>
        <v>0</v>
      </c>
    </row>
    <row r="530" spans="1:26" ht="27" customHeight="1">
      <c r="A530" s="583">
        <v>3214</v>
      </c>
      <c r="B530" s="583"/>
      <c r="C530" s="581">
        <v>20</v>
      </c>
      <c r="D530" s="1137" t="s">
        <v>1206</v>
      </c>
      <c r="E530" s="1138" t="s">
        <v>1663</v>
      </c>
      <c r="F530" s="599"/>
      <c r="G530" s="599"/>
      <c r="H530" s="599"/>
      <c r="I530" s="599"/>
      <c r="J530" s="599"/>
      <c r="K530" s="599"/>
      <c r="L530" s="599"/>
      <c r="M530" s="599"/>
      <c r="N530" s="599"/>
      <c r="O530" s="599"/>
      <c r="P530" s="599"/>
      <c r="Q530" s="599"/>
      <c r="R530" s="599"/>
      <c r="S530" s="1096">
        <f t="shared" si="32"/>
        <v>0</v>
      </c>
      <c r="T530" s="599">
        <v>-814075478461</v>
      </c>
      <c r="U530" s="1096">
        <f t="shared" si="33"/>
        <v>0</v>
      </c>
      <c r="V530" s="599">
        <v>-814075</v>
      </c>
      <c r="W530" s="620"/>
      <c r="X530" s="621"/>
      <c r="Y530" s="1096">
        <f t="shared" si="34"/>
        <v>0</v>
      </c>
      <c r="Z530" s="882">
        <f t="shared" si="35"/>
        <v>0</v>
      </c>
    </row>
    <row r="531" spans="1:26" ht="27" hidden="1" customHeight="1">
      <c r="A531" s="583"/>
      <c r="B531" s="583">
        <v>501</v>
      </c>
      <c r="C531" s="1235">
        <v>13</v>
      </c>
      <c r="D531" s="1137" t="s">
        <v>1269</v>
      </c>
      <c r="E531" s="1138" t="s">
        <v>1270</v>
      </c>
      <c r="F531" s="599"/>
      <c r="G531" s="599"/>
      <c r="H531" s="599"/>
      <c r="I531" s="599"/>
      <c r="J531" s="599"/>
      <c r="K531" s="599"/>
      <c r="L531" s="599"/>
      <c r="M531" s="599"/>
      <c r="N531" s="599"/>
      <c r="O531" s="599"/>
      <c r="P531" s="599"/>
      <c r="Q531" s="599"/>
      <c r="R531" s="599"/>
      <c r="S531" s="1096">
        <f t="shared" si="32"/>
        <v>0</v>
      </c>
      <c r="T531" s="599">
        <v>993269557</v>
      </c>
      <c r="U531" s="1096">
        <f t="shared" si="33"/>
        <v>0</v>
      </c>
      <c r="V531" s="599">
        <v>993</v>
      </c>
      <c r="W531" s="620"/>
      <c r="X531" s="621"/>
      <c r="Y531" s="1096">
        <f t="shared" si="34"/>
        <v>0</v>
      </c>
      <c r="Z531" s="882">
        <f t="shared" si="35"/>
        <v>0</v>
      </c>
    </row>
    <row r="532" spans="1:26" ht="27" hidden="1" customHeight="1">
      <c r="A532" s="583"/>
      <c r="B532" s="583">
        <v>1018</v>
      </c>
      <c r="C532" s="581">
        <v>17</v>
      </c>
      <c r="D532" s="1137" t="s">
        <v>97</v>
      </c>
      <c r="E532" s="1138" t="s">
        <v>95</v>
      </c>
      <c r="F532" s="599"/>
      <c r="G532" s="599"/>
      <c r="H532" s="599"/>
      <c r="I532" s="599"/>
      <c r="J532" s="599"/>
      <c r="K532" s="599"/>
      <c r="L532" s="599"/>
      <c r="M532" s="599"/>
      <c r="N532" s="599"/>
      <c r="O532" s="599"/>
      <c r="P532" s="599"/>
      <c r="Q532" s="599"/>
      <c r="R532" s="599"/>
      <c r="S532" s="1096">
        <f t="shared" si="32"/>
        <v>0</v>
      </c>
      <c r="T532" s="599">
        <v>0</v>
      </c>
      <c r="U532" s="1096">
        <f t="shared" si="33"/>
        <v>0</v>
      </c>
      <c r="V532" s="599">
        <v>0</v>
      </c>
      <c r="W532" s="620"/>
      <c r="X532" s="621"/>
      <c r="Y532" s="1096">
        <f t="shared" si="34"/>
        <v>0</v>
      </c>
      <c r="Z532" s="882">
        <f t="shared" si="35"/>
        <v>0</v>
      </c>
    </row>
    <row r="533" spans="1:26" ht="27" hidden="1" customHeight="1">
      <c r="A533" s="583"/>
      <c r="B533" s="583">
        <v>1018</v>
      </c>
      <c r="C533" s="581">
        <v>17</v>
      </c>
      <c r="D533" s="1137" t="s">
        <v>471</v>
      </c>
      <c r="E533" s="1138" t="s">
        <v>98</v>
      </c>
      <c r="F533" s="599"/>
      <c r="G533" s="599"/>
      <c r="H533" s="599"/>
      <c r="I533" s="599"/>
      <c r="J533" s="599"/>
      <c r="K533" s="599"/>
      <c r="L533" s="599"/>
      <c r="M533" s="599"/>
      <c r="N533" s="599"/>
      <c r="O533" s="599"/>
      <c r="P533" s="599"/>
      <c r="Q533" s="599"/>
      <c r="R533" s="599"/>
      <c r="S533" s="1096">
        <f t="shared" si="32"/>
        <v>0</v>
      </c>
      <c r="T533" s="599">
        <v>0</v>
      </c>
      <c r="U533" s="1096">
        <f t="shared" si="33"/>
        <v>0</v>
      </c>
      <c r="V533" s="599">
        <v>0</v>
      </c>
      <c r="W533" s="620"/>
      <c r="X533" s="621"/>
      <c r="Y533" s="1096">
        <f t="shared" si="34"/>
        <v>0</v>
      </c>
      <c r="Z533" s="882">
        <f t="shared" si="35"/>
        <v>0</v>
      </c>
    </row>
    <row r="534" spans="1:26" ht="27" hidden="1" customHeight="1">
      <c r="A534" s="583"/>
      <c r="B534" s="583">
        <v>1018</v>
      </c>
      <c r="C534" s="581">
        <v>17</v>
      </c>
      <c r="D534" s="1137" t="s">
        <v>100</v>
      </c>
      <c r="E534" s="1138" t="s">
        <v>1653</v>
      </c>
      <c r="F534" s="599"/>
      <c r="G534" s="599"/>
      <c r="H534" s="599"/>
      <c r="I534" s="599"/>
      <c r="J534" s="599"/>
      <c r="K534" s="599"/>
      <c r="L534" s="599"/>
      <c r="M534" s="599"/>
      <c r="N534" s="599"/>
      <c r="O534" s="599"/>
      <c r="P534" s="599"/>
      <c r="Q534" s="599"/>
      <c r="R534" s="599"/>
      <c r="S534" s="1096">
        <f t="shared" si="32"/>
        <v>0</v>
      </c>
      <c r="T534" s="599">
        <v>0</v>
      </c>
      <c r="U534" s="1096">
        <f t="shared" si="33"/>
        <v>0</v>
      </c>
      <c r="V534" s="599">
        <v>0</v>
      </c>
      <c r="W534" s="620"/>
      <c r="X534" s="621"/>
      <c r="Y534" s="1096">
        <f t="shared" si="34"/>
        <v>0</v>
      </c>
      <c r="Z534" s="882">
        <f t="shared" si="35"/>
        <v>0</v>
      </c>
    </row>
    <row r="535" spans="1:26" ht="27" hidden="1" customHeight="1">
      <c r="A535" s="583"/>
      <c r="B535" s="583">
        <v>1018</v>
      </c>
      <c r="C535" s="581">
        <v>17</v>
      </c>
      <c r="D535" s="1137" t="s">
        <v>1369</v>
      </c>
      <c r="E535" s="1138" t="s">
        <v>1654</v>
      </c>
      <c r="F535" s="599"/>
      <c r="G535" s="599"/>
      <c r="H535" s="599"/>
      <c r="I535" s="599"/>
      <c r="J535" s="599"/>
      <c r="K535" s="599"/>
      <c r="L535" s="599"/>
      <c r="M535" s="599"/>
      <c r="N535" s="599"/>
      <c r="O535" s="599"/>
      <c r="P535" s="599"/>
      <c r="Q535" s="599"/>
      <c r="R535" s="599"/>
      <c r="S535" s="1096">
        <f t="shared" si="32"/>
        <v>0</v>
      </c>
      <c r="T535" s="599">
        <v>0</v>
      </c>
      <c r="U535" s="1096">
        <f t="shared" si="33"/>
        <v>0</v>
      </c>
      <c r="V535" s="599">
        <v>0</v>
      </c>
      <c r="W535" s="620"/>
      <c r="X535" s="621"/>
      <c r="Y535" s="1096">
        <f t="shared" si="34"/>
        <v>0</v>
      </c>
      <c r="Z535" s="882">
        <f t="shared" si="35"/>
        <v>0</v>
      </c>
    </row>
    <row r="536" spans="1:26" ht="27" hidden="1" customHeight="1">
      <c r="A536" s="1558"/>
      <c r="B536" s="583">
        <v>501</v>
      </c>
      <c r="C536" s="1235">
        <v>13</v>
      </c>
      <c r="D536" s="1137" t="s">
        <v>1636</v>
      </c>
      <c r="E536" s="1138" t="s">
        <v>1654</v>
      </c>
      <c r="F536" s="599"/>
      <c r="G536" s="599"/>
      <c r="H536" s="599"/>
      <c r="I536" s="599"/>
      <c r="J536" s="599"/>
      <c r="K536" s="599"/>
      <c r="L536" s="599"/>
      <c r="M536" s="599"/>
      <c r="N536" s="599"/>
      <c r="O536" s="599"/>
      <c r="P536" s="599"/>
      <c r="Q536" s="599"/>
      <c r="R536" s="599"/>
      <c r="S536" s="1096">
        <f t="shared" si="32"/>
        <v>0</v>
      </c>
      <c r="T536" s="599">
        <v>0</v>
      </c>
      <c r="U536" s="1096">
        <f t="shared" si="33"/>
        <v>0</v>
      </c>
      <c r="V536" s="599">
        <v>0</v>
      </c>
      <c r="W536" s="620"/>
      <c r="X536" s="621"/>
      <c r="Y536" s="1096">
        <f t="shared" si="34"/>
        <v>0</v>
      </c>
      <c r="Z536" s="882">
        <f t="shared" si="35"/>
        <v>0</v>
      </c>
    </row>
    <row r="537" spans="1:26" ht="27" hidden="1" customHeight="1">
      <c r="A537" s="583"/>
      <c r="B537" s="583">
        <v>501</v>
      </c>
      <c r="C537" s="1235">
        <v>13</v>
      </c>
      <c r="D537" s="1137" t="s">
        <v>1613</v>
      </c>
      <c r="E537" s="1138" t="s">
        <v>1615</v>
      </c>
      <c r="F537" s="599"/>
      <c r="G537" s="599"/>
      <c r="H537" s="599"/>
      <c r="I537" s="599"/>
      <c r="J537" s="599"/>
      <c r="K537" s="599"/>
      <c r="L537" s="599"/>
      <c r="M537" s="599"/>
      <c r="N537" s="599"/>
      <c r="O537" s="599"/>
      <c r="P537" s="599"/>
      <c r="Q537" s="599"/>
      <c r="R537" s="599"/>
      <c r="S537" s="1096">
        <f t="shared" si="32"/>
        <v>0</v>
      </c>
      <c r="T537" s="599">
        <v>0</v>
      </c>
      <c r="U537" s="1096">
        <f t="shared" si="33"/>
        <v>0</v>
      </c>
      <c r="V537" s="599">
        <v>0</v>
      </c>
      <c r="W537" s="620"/>
      <c r="X537" s="621"/>
      <c r="Y537" s="1096">
        <f t="shared" si="34"/>
        <v>0</v>
      </c>
      <c r="Z537" s="882">
        <f t="shared" si="35"/>
        <v>0</v>
      </c>
    </row>
    <row r="538" spans="1:26" ht="27" hidden="1" customHeight="1">
      <c r="A538" s="583"/>
      <c r="B538" s="583">
        <v>908</v>
      </c>
      <c r="C538" s="581">
        <v>8</v>
      </c>
      <c r="D538" s="1137" t="s">
        <v>1614</v>
      </c>
      <c r="E538" s="1138" t="s">
        <v>1616</v>
      </c>
      <c r="F538" s="599"/>
      <c r="G538" s="599"/>
      <c r="H538" s="599"/>
      <c r="I538" s="599"/>
      <c r="J538" s="599"/>
      <c r="K538" s="599"/>
      <c r="L538" s="599"/>
      <c r="M538" s="599"/>
      <c r="N538" s="599"/>
      <c r="O538" s="599"/>
      <c r="P538" s="599"/>
      <c r="Q538" s="599"/>
      <c r="R538" s="599"/>
      <c r="S538" s="1096">
        <f t="shared" si="32"/>
        <v>0</v>
      </c>
      <c r="T538" s="599">
        <v>0</v>
      </c>
      <c r="U538" s="1096">
        <f t="shared" si="33"/>
        <v>0</v>
      </c>
      <c r="V538" s="599">
        <v>0</v>
      </c>
      <c r="W538" s="620"/>
      <c r="X538" s="621"/>
      <c r="Y538" s="1096">
        <f t="shared" si="34"/>
        <v>0</v>
      </c>
      <c r="Z538" s="882">
        <f t="shared" si="35"/>
        <v>0</v>
      </c>
    </row>
    <row r="539" spans="1:26" ht="27" hidden="1" customHeight="1">
      <c r="A539" s="1558"/>
      <c r="B539" s="583">
        <v>501</v>
      </c>
      <c r="C539" s="1235">
        <v>13</v>
      </c>
      <c r="D539" s="1137" t="s">
        <v>593</v>
      </c>
      <c r="E539" s="1138" t="s">
        <v>1655</v>
      </c>
      <c r="F539" s="599"/>
      <c r="G539" s="599"/>
      <c r="H539" s="599"/>
      <c r="I539" s="599"/>
      <c r="J539" s="599"/>
      <c r="K539" s="599"/>
      <c r="L539" s="599"/>
      <c r="M539" s="599"/>
      <c r="N539" s="599"/>
      <c r="O539" s="599"/>
      <c r="P539" s="599"/>
      <c r="Q539" s="599"/>
      <c r="R539" s="599"/>
      <c r="S539" s="1096">
        <f t="shared" si="32"/>
        <v>0</v>
      </c>
      <c r="T539" s="599">
        <v>0</v>
      </c>
      <c r="U539" s="1096">
        <f t="shared" si="33"/>
        <v>0</v>
      </c>
      <c r="V539" s="599">
        <v>0</v>
      </c>
      <c r="W539" s="620"/>
      <c r="X539" s="621"/>
      <c r="Y539" s="1096">
        <f t="shared" si="34"/>
        <v>0</v>
      </c>
      <c r="Z539" s="882">
        <f t="shared" si="35"/>
        <v>0</v>
      </c>
    </row>
    <row r="540" spans="1:26" ht="27" hidden="1" customHeight="1">
      <c r="A540" s="1558"/>
      <c r="B540" s="583">
        <v>501</v>
      </c>
      <c r="C540" s="1235">
        <v>13</v>
      </c>
      <c r="D540" s="1137" t="s">
        <v>101</v>
      </c>
      <c r="E540" s="1138" t="s">
        <v>102</v>
      </c>
      <c r="F540" s="599"/>
      <c r="G540" s="599"/>
      <c r="H540" s="599"/>
      <c r="I540" s="599"/>
      <c r="J540" s="599"/>
      <c r="K540" s="599"/>
      <c r="L540" s="599"/>
      <c r="M540" s="599"/>
      <c r="N540" s="599"/>
      <c r="O540" s="599"/>
      <c r="P540" s="599"/>
      <c r="Q540" s="599"/>
      <c r="R540" s="599"/>
      <c r="S540" s="1096">
        <f t="shared" si="32"/>
        <v>0</v>
      </c>
      <c r="T540" s="599">
        <v>0</v>
      </c>
      <c r="U540" s="1096">
        <f t="shared" si="33"/>
        <v>0</v>
      </c>
      <c r="V540" s="599">
        <v>0</v>
      </c>
      <c r="W540" s="620"/>
      <c r="X540" s="621"/>
      <c r="Y540" s="1096">
        <f t="shared" si="34"/>
        <v>0</v>
      </c>
      <c r="Z540" s="882">
        <f t="shared" si="35"/>
        <v>0</v>
      </c>
    </row>
    <row r="541" spans="1:26" ht="27" hidden="1" customHeight="1">
      <c r="A541" s="1558"/>
      <c r="B541" s="583">
        <v>501</v>
      </c>
      <c r="C541" s="1235">
        <v>13</v>
      </c>
      <c r="D541" s="1137" t="s">
        <v>1640</v>
      </c>
      <c r="E541" s="1138" t="s">
        <v>1641</v>
      </c>
      <c r="F541" s="599"/>
      <c r="G541" s="599"/>
      <c r="H541" s="599"/>
      <c r="I541" s="599"/>
      <c r="J541" s="599"/>
      <c r="K541" s="599"/>
      <c r="L541" s="599"/>
      <c r="M541" s="599"/>
      <c r="N541" s="599"/>
      <c r="O541" s="599"/>
      <c r="P541" s="599"/>
      <c r="Q541" s="599"/>
      <c r="R541" s="599"/>
      <c r="S541" s="1096">
        <f t="shared" si="32"/>
        <v>0</v>
      </c>
      <c r="T541" s="599">
        <v>0</v>
      </c>
      <c r="U541" s="1096">
        <f t="shared" si="33"/>
        <v>0</v>
      </c>
      <c r="V541" s="599">
        <v>0</v>
      </c>
      <c r="W541" s="620"/>
      <c r="X541" s="621"/>
      <c r="Y541" s="1096">
        <f t="shared" si="34"/>
        <v>0</v>
      </c>
      <c r="Z541" s="882">
        <f t="shared" si="35"/>
        <v>0</v>
      </c>
    </row>
    <row r="542" spans="1:26" ht="27" hidden="1" customHeight="1">
      <c r="A542" s="1558"/>
      <c r="B542" s="583">
        <v>501</v>
      </c>
      <c r="C542" s="1235">
        <v>13</v>
      </c>
      <c r="D542" s="1137" t="s">
        <v>1371</v>
      </c>
      <c r="E542" s="1138" t="s">
        <v>1372</v>
      </c>
      <c r="F542" s="599"/>
      <c r="G542" s="599"/>
      <c r="H542" s="599"/>
      <c r="I542" s="599"/>
      <c r="J542" s="599"/>
      <c r="K542" s="599"/>
      <c r="L542" s="599"/>
      <c r="M542" s="599"/>
      <c r="N542" s="599"/>
      <c r="O542" s="599"/>
      <c r="P542" s="599"/>
      <c r="Q542" s="599"/>
      <c r="R542" s="599"/>
      <c r="S542" s="1096">
        <f t="shared" si="32"/>
        <v>0</v>
      </c>
      <c r="T542" s="599">
        <v>0</v>
      </c>
      <c r="U542" s="1096">
        <f t="shared" si="33"/>
        <v>0</v>
      </c>
      <c r="V542" s="599">
        <v>0</v>
      </c>
      <c r="W542" s="620"/>
      <c r="X542" s="621"/>
      <c r="Y542" s="1096">
        <f t="shared" si="34"/>
        <v>0</v>
      </c>
      <c r="Z542" s="882">
        <f t="shared" si="35"/>
        <v>0</v>
      </c>
    </row>
    <row r="543" spans="1:26" ht="27" hidden="1" customHeight="1">
      <c r="A543" s="1558"/>
      <c r="B543" s="583">
        <v>501</v>
      </c>
      <c r="C543" s="1235">
        <v>13</v>
      </c>
      <c r="D543" s="1137" t="s">
        <v>1617</v>
      </c>
      <c r="E543" s="1138" t="s">
        <v>1623</v>
      </c>
      <c r="F543" s="599"/>
      <c r="G543" s="599"/>
      <c r="H543" s="599"/>
      <c r="I543" s="599"/>
      <c r="J543" s="599"/>
      <c r="K543" s="599"/>
      <c r="L543" s="599"/>
      <c r="M543" s="599"/>
      <c r="N543" s="599"/>
      <c r="O543" s="599"/>
      <c r="P543" s="599"/>
      <c r="Q543" s="599"/>
      <c r="R543" s="599"/>
      <c r="S543" s="1096">
        <f t="shared" si="32"/>
        <v>0</v>
      </c>
      <c r="T543" s="599">
        <v>0</v>
      </c>
      <c r="U543" s="1096">
        <f t="shared" si="33"/>
        <v>0</v>
      </c>
      <c r="V543" s="599">
        <v>0</v>
      </c>
      <c r="W543" s="620"/>
      <c r="X543" s="621"/>
      <c r="Y543" s="1096">
        <f t="shared" si="34"/>
        <v>0</v>
      </c>
      <c r="Z543" s="882">
        <f t="shared" si="35"/>
        <v>0</v>
      </c>
    </row>
    <row r="544" spans="1:26" ht="27" hidden="1" customHeight="1">
      <c r="A544" s="1558"/>
      <c r="B544" s="583">
        <v>501</v>
      </c>
      <c r="C544" s="1235">
        <v>13</v>
      </c>
      <c r="D544" s="1137" t="s">
        <v>1618</v>
      </c>
      <c r="E544" s="1138" t="s">
        <v>1624</v>
      </c>
      <c r="F544" s="599"/>
      <c r="G544" s="599"/>
      <c r="H544" s="599"/>
      <c r="I544" s="599"/>
      <c r="J544" s="599"/>
      <c r="K544" s="599"/>
      <c r="L544" s="599"/>
      <c r="M544" s="599"/>
      <c r="N544" s="599"/>
      <c r="O544" s="599"/>
      <c r="P544" s="599"/>
      <c r="Q544" s="599"/>
      <c r="R544" s="599"/>
      <c r="S544" s="1096">
        <f t="shared" si="32"/>
        <v>0</v>
      </c>
      <c r="T544" s="599">
        <v>0</v>
      </c>
      <c r="U544" s="1096">
        <f t="shared" si="33"/>
        <v>0</v>
      </c>
      <c r="V544" s="599">
        <v>0</v>
      </c>
      <c r="W544" s="620"/>
      <c r="X544" s="621"/>
      <c r="Y544" s="1096">
        <f t="shared" si="34"/>
        <v>0</v>
      </c>
      <c r="Z544" s="882">
        <f t="shared" si="35"/>
        <v>0</v>
      </c>
    </row>
    <row r="545" spans="1:26" ht="27" hidden="1" customHeight="1">
      <c r="A545" s="1558"/>
      <c r="B545" s="583">
        <v>501</v>
      </c>
      <c r="C545" s="1235">
        <v>13</v>
      </c>
      <c r="D545" s="1137" t="s">
        <v>1619</v>
      </c>
      <c r="E545" s="1138" t="s">
        <v>1625</v>
      </c>
      <c r="F545" s="599"/>
      <c r="G545" s="599"/>
      <c r="H545" s="599"/>
      <c r="I545" s="599"/>
      <c r="J545" s="599"/>
      <c r="K545" s="599"/>
      <c r="L545" s="599"/>
      <c r="M545" s="599"/>
      <c r="N545" s="599"/>
      <c r="O545" s="599"/>
      <c r="P545" s="599"/>
      <c r="Q545" s="599"/>
      <c r="R545" s="599"/>
      <c r="S545" s="1096">
        <f t="shared" si="32"/>
        <v>0</v>
      </c>
      <c r="T545" s="599">
        <v>0</v>
      </c>
      <c r="U545" s="1096">
        <f t="shared" si="33"/>
        <v>0</v>
      </c>
      <c r="V545" s="599">
        <v>0</v>
      </c>
      <c r="W545" s="620"/>
      <c r="X545" s="621"/>
      <c r="Y545" s="1096">
        <f t="shared" si="34"/>
        <v>0</v>
      </c>
      <c r="Z545" s="882">
        <f t="shared" si="35"/>
        <v>0</v>
      </c>
    </row>
    <row r="546" spans="1:26" ht="27" hidden="1" customHeight="1">
      <c r="A546" s="1558"/>
      <c r="B546" s="583">
        <v>501</v>
      </c>
      <c r="C546" s="1235">
        <v>13</v>
      </c>
      <c r="D546" s="1137" t="s">
        <v>1620</v>
      </c>
      <c r="E546" s="1138" t="s">
        <v>1626</v>
      </c>
      <c r="F546" s="599"/>
      <c r="G546" s="599"/>
      <c r="H546" s="599"/>
      <c r="I546" s="599"/>
      <c r="J546" s="599"/>
      <c r="K546" s="599"/>
      <c r="L546" s="599"/>
      <c r="M546" s="599"/>
      <c r="N546" s="599"/>
      <c r="O546" s="599"/>
      <c r="P546" s="599"/>
      <c r="Q546" s="599"/>
      <c r="R546" s="599"/>
      <c r="S546" s="1096">
        <f t="shared" si="32"/>
        <v>0</v>
      </c>
      <c r="T546" s="599">
        <v>0</v>
      </c>
      <c r="U546" s="1096">
        <f t="shared" si="33"/>
        <v>0</v>
      </c>
      <c r="V546" s="599">
        <v>0</v>
      </c>
      <c r="W546" s="620"/>
      <c r="X546" s="621"/>
      <c r="Y546" s="1096">
        <f t="shared" si="34"/>
        <v>0</v>
      </c>
      <c r="Z546" s="882">
        <f t="shared" si="35"/>
        <v>0</v>
      </c>
    </row>
    <row r="547" spans="1:26" ht="27" hidden="1" customHeight="1">
      <c r="A547" s="1558"/>
      <c r="B547" s="583">
        <v>501</v>
      </c>
      <c r="C547" s="1235">
        <v>13</v>
      </c>
      <c r="D547" s="1137" t="s">
        <v>1621</v>
      </c>
      <c r="E547" s="1138" t="s">
        <v>1627</v>
      </c>
      <c r="F547" s="599"/>
      <c r="G547" s="599"/>
      <c r="H547" s="599"/>
      <c r="I547" s="599"/>
      <c r="J547" s="599"/>
      <c r="K547" s="599"/>
      <c r="L547" s="599"/>
      <c r="M547" s="599"/>
      <c r="N547" s="599"/>
      <c r="O547" s="599"/>
      <c r="P547" s="599"/>
      <c r="Q547" s="599"/>
      <c r="R547" s="599"/>
      <c r="S547" s="1096">
        <f t="shared" si="32"/>
        <v>0</v>
      </c>
      <c r="T547" s="599">
        <v>0</v>
      </c>
      <c r="U547" s="1096">
        <f t="shared" si="33"/>
        <v>0</v>
      </c>
      <c r="V547" s="599">
        <v>0</v>
      </c>
      <c r="W547" s="620"/>
      <c r="X547" s="621"/>
      <c r="Y547" s="1096">
        <f t="shared" si="34"/>
        <v>0</v>
      </c>
      <c r="Z547" s="882">
        <f t="shared" si="35"/>
        <v>0</v>
      </c>
    </row>
    <row r="548" spans="1:26" ht="27" hidden="1" customHeight="1">
      <c r="A548" s="583"/>
      <c r="B548" s="583">
        <v>1018</v>
      </c>
      <c r="C548" s="581">
        <v>17</v>
      </c>
      <c r="D548" s="1137" t="s">
        <v>913</v>
      </c>
      <c r="E548" s="1138" t="s">
        <v>1006</v>
      </c>
      <c r="F548" s="599"/>
      <c r="G548" s="599"/>
      <c r="H548" s="599"/>
      <c r="I548" s="599"/>
      <c r="J548" s="599"/>
      <c r="K548" s="599"/>
      <c r="L548" s="599"/>
      <c r="M548" s="599"/>
      <c r="N548" s="599"/>
      <c r="O548" s="599"/>
      <c r="P548" s="599"/>
      <c r="Q548" s="599"/>
      <c r="R548" s="599"/>
      <c r="S548" s="1096">
        <f t="shared" si="32"/>
        <v>0</v>
      </c>
      <c r="T548" s="599">
        <v>0</v>
      </c>
      <c r="U548" s="1096">
        <f t="shared" si="33"/>
        <v>0</v>
      </c>
      <c r="V548" s="599">
        <v>0</v>
      </c>
      <c r="W548" s="620"/>
      <c r="X548" s="621"/>
      <c r="Y548" s="1096">
        <f t="shared" si="34"/>
        <v>0</v>
      </c>
      <c r="Z548" s="882">
        <f t="shared" si="35"/>
        <v>0</v>
      </c>
    </row>
    <row r="549" spans="1:26" ht="27" hidden="1" customHeight="1">
      <c r="A549" s="1558"/>
      <c r="B549" s="583">
        <v>501</v>
      </c>
      <c r="C549" s="1235">
        <v>13</v>
      </c>
      <c r="D549" s="1137" t="s">
        <v>1622</v>
      </c>
      <c r="E549" s="1138" t="s">
        <v>1628</v>
      </c>
      <c r="F549" s="599"/>
      <c r="G549" s="599"/>
      <c r="H549" s="599"/>
      <c r="I549" s="599"/>
      <c r="J549" s="599"/>
      <c r="K549" s="599"/>
      <c r="L549" s="599"/>
      <c r="M549" s="599"/>
      <c r="N549" s="599"/>
      <c r="O549" s="599"/>
      <c r="P549" s="599"/>
      <c r="Q549" s="599"/>
      <c r="R549" s="599"/>
      <c r="S549" s="1096">
        <f t="shared" si="32"/>
        <v>0</v>
      </c>
      <c r="T549" s="599">
        <v>0</v>
      </c>
      <c r="U549" s="1096">
        <f t="shared" si="33"/>
        <v>0</v>
      </c>
      <c r="V549" s="599">
        <v>0</v>
      </c>
      <c r="W549" s="620"/>
      <c r="X549" s="621"/>
      <c r="Y549" s="1096">
        <f t="shared" si="34"/>
        <v>0</v>
      </c>
      <c r="Z549" s="882">
        <f t="shared" si="35"/>
        <v>0</v>
      </c>
    </row>
    <row r="550" spans="1:26" ht="27" hidden="1" customHeight="1">
      <c r="A550" s="1558"/>
      <c r="B550" s="583">
        <v>501</v>
      </c>
      <c r="C550" s="1235">
        <v>13</v>
      </c>
      <c r="D550" s="1137" t="s">
        <v>1026</v>
      </c>
      <c r="E550" s="1138" t="s">
        <v>1030</v>
      </c>
      <c r="F550" s="599"/>
      <c r="G550" s="599"/>
      <c r="H550" s="599"/>
      <c r="I550" s="599"/>
      <c r="J550" s="599"/>
      <c r="K550" s="599"/>
      <c r="L550" s="599"/>
      <c r="M550" s="599"/>
      <c r="N550" s="599"/>
      <c r="O550" s="599"/>
      <c r="P550" s="599"/>
      <c r="Q550" s="599"/>
      <c r="R550" s="599"/>
      <c r="S550" s="1096">
        <f t="shared" si="32"/>
        <v>0</v>
      </c>
      <c r="T550" s="599">
        <v>0</v>
      </c>
      <c r="U550" s="1096">
        <f t="shared" si="33"/>
        <v>0</v>
      </c>
      <c r="V550" s="599">
        <v>0</v>
      </c>
      <c r="W550" s="620"/>
      <c r="X550" s="621"/>
      <c r="Y550" s="1096">
        <f t="shared" si="34"/>
        <v>0</v>
      </c>
      <c r="Z550" s="882">
        <f t="shared" si="35"/>
        <v>0</v>
      </c>
    </row>
    <row r="551" spans="1:26" ht="27" hidden="1" customHeight="1">
      <c r="A551" s="583"/>
      <c r="B551" s="583">
        <v>1018</v>
      </c>
      <c r="C551" s="581">
        <v>17</v>
      </c>
      <c r="D551" s="1137" t="s">
        <v>742</v>
      </c>
      <c r="E551" s="1138" t="s">
        <v>743</v>
      </c>
      <c r="F551" s="599"/>
      <c r="G551" s="599"/>
      <c r="H551" s="599"/>
      <c r="I551" s="599"/>
      <c r="J551" s="599"/>
      <c r="K551" s="599"/>
      <c r="L551" s="599"/>
      <c r="M551" s="599"/>
      <c r="N551" s="599"/>
      <c r="O551" s="599"/>
      <c r="P551" s="599"/>
      <c r="Q551" s="599"/>
      <c r="R551" s="599"/>
      <c r="S551" s="1096">
        <f t="shared" si="32"/>
        <v>0</v>
      </c>
      <c r="T551" s="599">
        <v>0</v>
      </c>
      <c r="U551" s="1096">
        <f t="shared" si="33"/>
        <v>0</v>
      </c>
      <c r="V551" s="599">
        <v>0</v>
      </c>
      <c r="W551" s="620"/>
      <c r="X551" s="621"/>
      <c r="Y551" s="1096">
        <f t="shared" si="34"/>
        <v>0</v>
      </c>
      <c r="Z551" s="882">
        <f t="shared" si="35"/>
        <v>0</v>
      </c>
    </row>
    <row r="552" spans="1:26" ht="27" hidden="1" customHeight="1">
      <c r="A552" s="583"/>
      <c r="B552" s="583">
        <v>606</v>
      </c>
      <c r="C552" s="581">
        <v>12</v>
      </c>
      <c r="D552" s="1137" t="s">
        <v>621</v>
      </c>
      <c r="E552" s="1138" t="s">
        <v>1643</v>
      </c>
      <c r="F552" s="599"/>
      <c r="G552" s="599"/>
      <c r="H552" s="599"/>
      <c r="I552" s="599"/>
      <c r="J552" s="599"/>
      <c r="K552" s="599"/>
      <c r="L552" s="599"/>
      <c r="M552" s="599"/>
      <c r="N552" s="599"/>
      <c r="O552" s="599"/>
      <c r="P552" s="599"/>
      <c r="Q552" s="599"/>
      <c r="R552" s="599"/>
      <c r="S552" s="1096">
        <f t="shared" si="32"/>
        <v>0</v>
      </c>
      <c r="T552" s="599">
        <v>476040101764</v>
      </c>
      <c r="U552" s="1096">
        <f t="shared" si="33"/>
        <v>0</v>
      </c>
      <c r="V552" s="599">
        <v>476040</v>
      </c>
      <c r="W552" s="620"/>
      <c r="X552" s="621"/>
      <c r="Y552" s="1096">
        <f t="shared" si="34"/>
        <v>0</v>
      </c>
      <c r="Z552" s="882">
        <f t="shared" si="35"/>
        <v>0</v>
      </c>
    </row>
    <row r="553" spans="1:26" ht="27" hidden="1" customHeight="1">
      <c r="A553" s="583"/>
      <c r="B553" s="583">
        <v>606</v>
      </c>
      <c r="C553" s="581">
        <v>12</v>
      </c>
      <c r="D553" s="1137" t="s">
        <v>623</v>
      </c>
      <c r="E553" s="1138" t="s">
        <v>1644</v>
      </c>
      <c r="F553" s="599"/>
      <c r="G553" s="599"/>
      <c r="H553" s="599"/>
      <c r="I553" s="599"/>
      <c r="J553" s="599"/>
      <c r="K553" s="599"/>
      <c r="L553" s="599"/>
      <c r="M553" s="599"/>
      <c r="N553" s="599"/>
      <c r="O553" s="599"/>
      <c r="P553" s="599"/>
      <c r="Q553" s="599"/>
      <c r="R553" s="599"/>
      <c r="S553" s="1096">
        <f t="shared" si="32"/>
        <v>0</v>
      </c>
      <c r="T553" s="599">
        <v>-476040101764</v>
      </c>
      <c r="U553" s="1096">
        <f t="shared" si="33"/>
        <v>0</v>
      </c>
      <c r="V553" s="599">
        <v>-476040</v>
      </c>
      <c r="W553" s="620"/>
      <c r="X553" s="621"/>
      <c r="Y553" s="1096">
        <f t="shared" si="34"/>
        <v>0</v>
      </c>
      <c r="Z553" s="882">
        <f t="shared" si="35"/>
        <v>0</v>
      </c>
    </row>
    <row r="554" spans="1:26" ht="27" customHeight="1">
      <c r="A554" s="583">
        <v>3214</v>
      </c>
      <c r="B554" s="583">
        <v>606</v>
      </c>
      <c r="C554" s="581">
        <v>12</v>
      </c>
      <c r="D554" s="1137" t="s">
        <v>621</v>
      </c>
      <c r="E554" s="1138" t="s">
        <v>1664</v>
      </c>
      <c r="F554" s="599"/>
      <c r="G554" s="599"/>
      <c r="H554" s="599"/>
      <c r="I554" s="599"/>
      <c r="J554" s="599"/>
      <c r="K554" s="599"/>
      <c r="L554" s="599"/>
      <c r="M554" s="599"/>
      <c r="N554" s="599"/>
      <c r="O554" s="599">
        <v>2710470793895</v>
      </c>
      <c r="P554" s="599"/>
      <c r="Q554" s="599"/>
      <c r="R554" s="599"/>
      <c r="S554" s="1096">
        <f t="shared" si="32"/>
        <v>2710470793895</v>
      </c>
      <c r="T554" s="599">
        <v>2078275697440</v>
      </c>
      <c r="U554" s="1096">
        <f t="shared" si="33"/>
        <v>2710471</v>
      </c>
      <c r="V554" s="599">
        <v>2078276</v>
      </c>
      <c r="W554" s="620"/>
      <c r="X554" s="621"/>
      <c r="Y554" s="1096">
        <f t="shared" si="34"/>
        <v>2710470793895</v>
      </c>
      <c r="Z554" s="882">
        <f t="shared" si="35"/>
        <v>2710471</v>
      </c>
    </row>
    <row r="555" spans="1:26" ht="27" customHeight="1">
      <c r="A555" s="583">
        <v>3214</v>
      </c>
      <c r="B555" s="583">
        <v>606</v>
      </c>
      <c r="C555" s="581">
        <v>12</v>
      </c>
      <c r="D555" s="1137" t="s">
        <v>623</v>
      </c>
      <c r="E555" s="1138" t="s">
        <v>1665</v>
      </c>
      <c r="F555" s="599"/>
      <c r="G555" s="599"/>
      <c r="H555" s="599"/>
      <c r="I555" s="599"/>
      <c r="J555" s="599"/>
      <c r="K555" s="599"/>
      <c r="L555" s="599"/>
      <c r="M555" s="599"/>
      <c r="N555" s="599"/>
      <c r="O555" s="599">
        <v>-2710470793895</v>
      </c>
      <c r="P555" s="599"/>
      <c r="Q555" s="599"/>
      <c r="R555" s="599"/>
      <c r="S555" s="1096">
        <f t="shared" si="32"/>
        <v>-2710470793895</v>
      </c>
      <c r="T555" s="599">
        <v>-2078275697440</v>
      </c>
      <c r="U555" s="1096">
        <f t="shared" si="33"/>
        <v>-2710471</v>
      </c>
      <c r="V555" s="599">
        <v>-2078276</v>
      </c>
      <c r="W555" s="620"/>
      <c r="X555" s="621"/>
      <c r="Y555" s="1096">
        <f t="shared" si="34"/>
        <v>-2710470793895</v>
      </c>
      <c r="Z555" s="882">
        <f t="shared" si="35"/>
        <v>-2710471</v>
      </c>
    </row>
    <row r="556" spans="1:26" ht="27" hidden="1" customHeight="1">
      <c r="A556" s="583"/>
      <c r="B556" s="583"/>
      <c r="C556" s="581"/>
      <c r="D556" s="1137" t="s">
        <v>1629</v>
      </c>
      <c r="E556" s="1138" t="s">
        <v>1632</v>
      </c>
      <c r="F556" s="599"/>
      <c r="G556" s="599"/>
      <c r="H556" s="599"/>
      <c r="I556" s="599"/>
      <c r="J556" s="599"/>
      <c r="K556" s="599"/>
      <c r="L556" s="599"/>
      <c r="M556" s="599"/>
      <c r="N556" s="599"/>
      <c r="O556" s="599"/>
      <c r="P556" s="599"/>
      <c r="Q556" s="599"/>
      <c r="R556" s="599"/>
      <c r="S556" s="1096">
        <f t="shared" si="32"/>
        <v>0</v>
      </c>
      <c r="T556" s="599">
        <v>0</v>
      </c>
      <c r="U556" s="1096">
        <f t="shared" si="33"/>
        <v>0</v>
      </c>
      <c r="V556" s="599">
        <v>0</v>
      </c>
      <c r="W556" s="620"/>
      <c r="X556" s="621"/>
      <c r="Y556" s="1096">
        <f t="shared" si="34"/>
        <v>0</v>
      </c>
      <c r="Z556" s="882">
        <f t="shared" si="35"/>
        <v>0</v>
      </c>
    </row>
    <row r="557" spans="1:26" ht="27" hidden="1" customHeight="1">
      <c r="A557" s="1558"/>
      <c r="B557" s="583">
        <v>501</v>
      </c>
      <c r="C557" s="1235">
        <v>13</v>
      </c>
      <c r="D557" s="1137" t="s">
        <v>1630</v>
      </c>
      <c r="E557" s="1138" t="s">
        <v>1633</v>
      </c>
      <c r="F557" s="599"/>
      <c r="G557" s="599"/>
      <c r="H557" s="599"/>
      <c r="I557" s="599"/>
      <c r="J557" s="599"/>
      <c r="K557" s="599"/>
      <c r="L557" s="599"/>
      <c r="M557" s="599"/>
      <c r="N557" s="599"/>
      <c r="O557" s="599"/>
      <c r="P557" s="599"/>
      <c r="Q557" s="599"/>
      <c r="R557" s="599"/>
      <c r="S557" s="1096">
        <f t="shared" si="32"/>
        <v>0</v>
      </c>
      <c r="T557" s="599">
        <v>0</v>
      </c>
      <c r="U557" s="1096">
        <f t="shared" si="33"/>
        <v>0</v>
      </c>
      <c r="V557" s="599">
        <v>0</v>
      </c>
      <c r="W557" s="620"/>
      <c r="X557" s="621"/>
      <c r="Y557" s="1096">
        <f t="shared" si="34"/>
        <v>0</v>
      </c>
      <c r="Z557" s="882">
        <f t="shared" si="35"/>
        <v>0</v>
      </c>
    </row>
    <row r="558" spans="1:26" ht="27" hidden="1" customHeight="1">
      <c r="A558" s="1558"/>
      <c r="B558" s="583">
        <v>501</v>
      </c>
      <c r="C558" s="1235">
        <v>13</v>
      </c>
      <c r="D558" s="1137" t="s">
        <v>1631</v>
      </c>
      <c r="E558" s="1138" t="s">
        <v>1634</v>
      </c>
      <c r="F558" s="599"/>
      <c r="G558" s="599"/>
      <c r="H558" s="599"/>
      <c r="I558" s="599"/>
      <c r="J558" s="599"/>
      <c r="K558" s="599"/>
      <c r="L558" s="599"/>
      <c r="M558" s="599"/>
      <c r="N558" s="599"/>
      <c r="O558" s="599"/>
      <c r="P558" s="599"/>
      <c r="Q558" s="599"/>
      <c r="R558" s="599"/>
      <c r="S558" s="1096">
        <f t="shared" si="32"/>
        <v>0</v>
      </c>
      <c r="T558" s="599">
        <v>0</v>
      </c>
      <c r="U558" s="1096">
        <f t="shared" si="33"/>
        <v>0</v>
      </c>
      <c r="V558" s="1162">
        <v>0</v>
      </c>
      <c r="W558" s="620"/>
      <c r="X558" s="621"/>
      <c r="Y558" s="1096">
        <f t="shared" si="34"/>
        <v>0</v>
      </c>
      <c r="Z558" s="882">
        <f t="shared" si="35"/>
        <v>0</v>
      </c>
    </row>
    <row r="559" spans="1:26" ht="22.5" hidden="1" customHeight="1">
      <c r="A559" s="583"/>
      <c r="B559" s="583"/>
      <c r="C559" s="581"/>
      <c r="D559" s="1137"/>
      <c r="E559" s="1138"/>
      <c r="F559" s="596"/>
      <c r="G559" s="596">
        <f t="shared" ref="G559:P559" si="36">SUM(G3:G558)</f>
        <v>0</v>
      </c>
      <c r="H559" s="596">
        <f t="shared" si="36"/>
        <v>0</v>
      </c>
      <c r="I559" s="596">
        <f t="shared" si="36"/>
        <v>0</v>
      </c>
      <c r="J559" s="596">
        <f t="shared" si="36"/>
        <v>0</v>
      </c>
      <c r="K559" s="596">
        <f t="shared" si="36"/>
        <v>0</v>
      </c>
      <c r="L559" s="596">
        <f t="shared" si="36"/>
        <v>0</v>
      </c>
      <c r="M559" s="596">
        <f t="shared" si="36"/>
        <v>0</v>
      </c>
      <c r="N559" s="596">
        <f t="shared" si="36"/>
        <v>0</v>
      </c>
      <c r="O559" s="596">
        <f t="shared" si="36"/>
        <v>0</v>
      </c>
      <c r="P559" s="596">
        <f t="shared" si="36"/>
        <v>0</v>
      </c>
      <c r="Q559" s="596">
        <f>SUM(Q3:Q558)</f>
        <v>0</v>
      </c>
      <c r="R559" s="596"/>
      <c r="S559" s="1097">
        <f>SUBTOTAL(9,S3:S558)</f>
        <v>0</v>
      </c>
      <c r="T559" s="596">
        <v>0</v>
      </c>
      <c r="U559" s="1098">
        <f>SUBTOTAL(9,U3:U558)</f>
        <v>0</v>
      </c>
      <c r="V559" s="596">
        <v>0</v>
      </c>
      <c r="W559" s="602"/>
      <c r="X559" s="602"/>
      <c r="Y559" s="1098">
        <f>SUBTOTAL(9,Y3:Y558)</f>
        <v>0</v>
      </c>
      <c r="Z559" s="602">
        <f>SUBTOTAL(9,Z3:Z558)</f>
        <v>0</v>
      </c>
    </row>
    <row r="560" spans="1:26" ht="22.5">
      <c r="C560" s="597"/>
      <c r="D560" s="1144"/>
      <c r="F560" s="911">
        <f t="shared" ref="F560:P560" si="37">SUBTOTAL(9,F3:F558)</f>
        <v>0</v>
      </c>
      <c r="G560" s="911">
        <f t="shared" si="37"/>
        <v>0</v>
      </c>
      <c r="H560" s="911">
        <f t="shared" si="37"/>
        <v>0</v>
      </c>
      <c r="I560" s="911">
        <f t="shared" si="37"/>
        <v>-2477807488685</v>
      </c>
      <c r="J560" s="911">
        <f t="shared" si="37"/>
        <v>0</v>
      </c>
      <c r="K560" s="911">
        <f t="shared" si="37"/>
        <v>0</v>
      </c>
      <c r="L560" s="911">
        <f t="shared" si="37"/>
        <v>0</v>
      </c>
      <c r="M560" s="911">
        <f t="shared" si="37"/>
        <v>0</v>
      </c>
      <c r="N560" s="911">
        <f t="shared" si="37"/>
        <v>0</v>
      </c>
      <c r="O560" s="911">
        <f t="shared" si="37"/>
        <v>2477807488685</v>
      </c>
      <c r="P560" s="911">
        <f t="shared" si="37"/>
        <v>0</v>
      </c>
      <c r="Q560" s="1738"/>
      <c r="R560" s="911"/>
      <c r="S560" s="1115">
        <f>SUBTOTAL(9,S3:S558)</f>
        <v>0</v>
      </c>
      <c r="T560" s="1115">
        <f>SUBTOTAL(9,T3:T558)</f>
        <v>0</v>
      </c>
      <c r="U560" s="1098">
        <f>SUBTOTAL(9,U3:U558)</f>
        <v>0</v>
      </c>
      <c r="V560" s="1098">
        <f>SUBTOTAL(9,V3:V558)</f>
        <v>-1</v>
      </c>
      <c r="Y560" s="1099"/>
      <c r="Z560" s="598"/>
    </row>
    <row r="561" spans="3:26" ht="22.5">
      <c r="C561" s="597"/>
      <c r="D561" s="1144"/>
      <c r="E561" s="599"/>
      <c r="F561" s="599"/>
      <c r="O561" s="910"/>
      <c r="S561" s="1116"/>
      <c r="T561" s="598"/>
      <c r="U561" s="1099"/>
      <c r="V561" s="598"/>
      <c r="Y561" s="1099"/>
      <c r="Z561" s="598"/>
    </row>
    <row r="562" spans="3:26" ht="22.5">
      <c r="C562" s="597"/>
      <c r="D562" s="1144"/>
      <c r="E562" s="1163"/>
      <c r="F562" s="599"/>
      <c r="S562" s="1116"/>
      <c r="T562" s="598"/>
      <c r="U562" s="1099"/>
      <c r="V562" s="598"/>
      <c r="W562" s="910"/>
      <c r="Y562" s="1099"/>
      <c r="Z562" s="598"/>
    </row>
    <row r="563" spans="3:26" ht="19.5" customHeight="1">
      <c r="C563" s="597"/>
      <c r="D563" s="1144"/>
      <c r="E563" s="1141"/>
      <c r="F563" s="598"/>
      <c r="G563" s="598"/>
      <c r="H563" s="598"/>
      <c r="I563" s="598"/>
      <c r="J563" s="598"/>
      <c r="K563" s="598"/>
      <c r="L563" s="598"/>
      <c r="M563" s="598"/>
      <c r="N563" s="598"/>
      <c r="O563" s="598"/>
      <c r="P563" s="598"/>
      <c r="R563" s="598"/>
      <c r="S563" s="1118"/>
      <c r="T563" s="613"/>
      <c r="U563" s="1101"/>
      <c r="V563" s="613"/>
      <c r="W563" s="598"/>
      <c r="X563" s="598"/>
      <c r="Y563" s="1101"/>
      <c r="Z563" s="613"/>
    </row>
    <row r="564" spans="3:26" ht="19.5" customHeight="1">
      <c r="C564" s="597"/>
      <c r="D564" s="1144"/>
      <c r="E564" s="1141"/>
      <c r="F564" s="598"/>
      <c r="G564" s="598"/>
      <c r="H564" s="598"/>
      <c r="I564" s="598"/>
      <c r="J564" s="598"/>
      <c r="K564" s="598"/>
      <c r="L564" s="598"/>
      <c r="M564" s="598"/>
      <c r="N564" s="598"/>
      <c r="O564" s="598"/>
      <c r="P564" s="598"/>
      <c r="R564" s="598"/>
      <c r="S564" s="1118"/>
      <c r="T564" s="613"/>
      <c r="U564" s="1101"/>
      <c r="V564" s="613"/>
      <c r="W564" s="598"/>
      <c r="X564" s="598"/>
      <c r="Y564" s="1101"/>
      <c r="Z564" s="613"/>
    </row>
    <row r="565" spans="3:26" ht="19.5" customHeight="1">
      <c r="C565" s="597"/>
      <c r="D565" s="1144"/>
      <c r="E565" s="1141"/>
      <c r="F565" s="598"/>
      <c r="G565" s="598"/>
      <c r="H565" s="598"/>
      <c r="I565" s="598"/>
      <c r="J565" s="598"/>
      <c r="K565" s="598"/>
      <c r="L565" s="598"/>
      <c r="M565" s="598"/>
      <c r="N565" s="598"/>
      <c r="O565" s="598"/>
      <c r="P565" s="598"/>
      <c r="R565" s="598"/>
      <c r="S565" s="1416"/>
      <c r="T565" s="612"/>
      <c r="U565" s="1100"/>
      <c r="V565" s="612"/>
      <c r="W565" s="598"/>
      <c r="X565" s="598"/>
      <c r="Y565" s="1100"/>
      <c r="Z565" s="612"/>
    </row>
    <row r="566" spans="3:26" ht="19.5" customHeight="1">
      <c r="C566" s="597"/>
      <c r="D566" s="1144"/>
      <c r="S566" s="1118"/>
      <c r="T566" s="613"/>
      <c r="U566" s="1101"/>
      <c r="V566" s="613"/>
      <c r="Y566" s="1101"/>
      <c r="Z566" s="613"/>
    </row>
    <row r="567" spans="3:26" ht="19.5" customHeight="1">
      <c r="C567" s="597"/>
      <c r="D567" s="1144"/>
      <c r="S567" s="1118"/>
      <c r="T567" s="613"/>
      <c r="U567" s="1101"/>
      <c r="V567" s="613"/>
      <c r="Y567" s="1101"/>
      <c r="Z567" s="613"/>
    </row>
    <row r="568" spans="3:26" ht="19.5" customHeight="1">
      <c r="C568" s="597"/>
      <c r="D568" s="1144"/>
      <c r="S568" s="1118"/>
      <c r="T568" s="613"/>
      <c r="U568" s="1101"/>
      <c r="V568" s="613"/>
      <c r="Y568" s="1101"/>
      <c r="Z568" s="613"/>
    </row>
    <row r="569" spans="3:26" ht="19.5" customHeight="1">
      <c r="C569" s="597"/>
      <c r="D569" s="1144"/>
      <c r="J569" s="597" t="s">
        <v>677</v>
      </c>
      <c r="S569" s="1118"/>
      <c r="T569" s="613"/>
      <c r="U569" s="1101"/>
      <c r="V569" s="613"/>
      <c r="Y569" s="1101"/>
      <c r="Z569" s="613"/>
    </row>
    <row r="570" spans="3:26" ht="19.5" customHeight="1">
      <c r="C570" s="597"/>
      <c r="D570" s="1144"/>
      <c r="S570" s="1118"/>
      <c r="T570" s="613"/>
      <c r="U570" s="1101"/>
      <c r="V570" s="613"/>
      <c r="Y570" s="1101"/>
      <c r="Z570" s="613"/>
    </row>
    <row r="571" spans="3:26" ht="19.5" customHeight="1">
      <c r="C571" s="597"/>
      <c r="D571" s="1144"/>
      <c r="S571" s="1118"/>
      <c r="T571" s="613"/>
      <c r="U571" s="1101"/>
      <c r="V571" s="613"/>
      <c r="Y571" s="1101"/>
      <c r="Z571" s="613"/>
    </row>
    <row r="572" spans="3:26" ht="19.5" customHeight="1">
      <c r="C572" s="597"/>
      <c r="D572" s="1144"/>
      <c r="S572" s="1118"/>
      <c r="T572" s="613"/>
      <c r="U572" s="1101"/>
      <c r="V572" s="613"/>
      <c r="Y572" s="1101"/>
      <c r="Z572" s="613"/>
    </row>
    <row r="573" spans="3:26" ht="19.5" customHeight="1">
      <c r="C573" s="597"/>
      <c r="D573" s="1144"/>
      <c r="S573" s="1118"/>
      <c r="T573" s="613"/>
      <c r="U573" s="1101"/>
      <c r="V573" s="613"/>
      <c r="Y573" s="1101"/>
      <c r="Z573" s="613"/>
    </row>
    <row r="574" spans="3:26" ht="19.5" customHeight="1">
      <c r="C574" s="597"/>
      <c r="D574" s="1144"/>
      <c r="S574" s="1118"/>
      <c r="T574" s="613"/>
      <c r="U574" s="1101"/>
      <c r="V574" s="613"/>
      <c r="Y574" s="1101"/>
      <c r="Z574" s="613"/>
    </row>
    <row r="575" spans="3:26" ht="19.5" customHeight="1">
      <c r="C575" s="597"/>
      <c r="D575" s="1144"/>
      <c r="S575" s="1116"/>
      <c r="T575" s="598"/>
      <c r="U575" s="1099"/>
      <c r="V575" s="598"/>
      <c r="Y575" s="1099"/>
      <c r="Z575" s="598"/>
    </row>
  </sheetData>
  <autoFilter ref="A1:Z559">
    <filterColumn colId="0">
      <filters>
        <filter val="3214"/>
      </filters>
    </filterColumn>
  </autoFilter>
  <mergeCells count="23">
    <mergeCell ref="Z1:Z2"/>
    <mergeCell ref="M1:M2"/>
    <mergeCell ref="N1:N2"/>
    <mergeCell ref="O1:O2"/>
    <mergeCell ref="P1:P2"/>
    <mergeCell ref="S1:S2"/>
    <mergeCell ref="T1:T2"/>
    <mergeCell ref="U1:U2"/>
    <mergeCell ref="V1:V2"/>
    <mergeCell ref="W1:W2"/>
    <mergeCell ref="X1:X2"/>
    <mergeCell ref="Y1:Y2"/>
    <mergeCell ref="L1:L2"/>
    <mergeCell ref="A1:A2"/>
    <mergeCell ref="B1:B2"/>
    <mergeCell ref="C1:C2"/>
    <mergeCell ref="E1:E2"/>
    <mergeCell ref="F1:F2"/>
    <mergeCell ref="G1:G2"/>
    <mergeCell ref="H1:H2"/>
    <mergeCell ref="I1:I2"/>
    <mergeCell ref="J1:J2"/>
    <mergeCell ref="K1:K2"/>
  </mergeCells>
  <printOptions horizontalCentered="1" verticalCentered="1"/>
  <pageMargins left="0" right="0" top="0" bottom="0" header="0" footer="0"/>
  <pageSetup paperSize="9" scale="55" orientation="portrait" r:id="rId1"/>
  <ignoredErrors>
    <ignoredError sqref="D51:D52 D46:D50 D89 D81 D103 D155 D164 D299 D325" numberStoredAsText="1"/>
  </ignoredError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1"/>
  <sheetViews>
    <sheetView rightToLeft="1" topLeftCell="A10" workbookViewId="0">
      <selection activeCell="E19" sqref="E19:G19"/>
    </sheetView>
  </sheetViews>
  <sheetFormatPr defaultColWidth="16.375" defaultRowHeight="24" customHeight="1"/>
  <cols>
    <col min="1" max="16384" width="16.375" style="1988"/>
  </cols>
  <sheetData>
    <row r="3" spans="2:3" ht="24" customHeight="1">
      <c r="B3" s="1988">
        <v>-1333673</v>
      </c>
    </row>
    <row r="4" spans="2:3" ht="24" customHeight="1">
      <c r="B4" s="1988">
        <v>1791295</v>
      </c>
    </row>
    <row r="5" spans="2:3" ht="24" customHeight="1">
      <c r="B5" s="1988">
        <v>1741190</v>
      </c>
    </row>
    <row r="6" spans="2:3" ht="24" customHeight="1">
      <c r="B6" s="2000">
        <f>SUM(B3:B5)</f>
        <v>2198812</v>
      </c>
    </row>
    <row r="7" spans="2:3" ht="24" customHeight="1">
      <c r="B7" s="1988">
        <v>1182527</v>
      </c>
    </row>
    <row r="8" spans="2:3" ht="24" customHeight="1">
      <c r="B8" s="1988">
        <v>-884120</v>
      </c>
    </row>
    <row r="9" spans="2:3" ht="24" customHeight="1">
      <c r="B9" s="1988">
        <v>-1134329</v>
      </c>
    </row>
    <row r="10" spans="2:3" ht="24" customHeight="1">
      <c r="B10" s="1988">
        <v>1693206</v>
      </c>
    </row>
    <row r="11" spans="2:3" ht="24" customHeight="1">
      <c r="B11" s="1988">
        <v>-543075</v>
      </c>
    </row>
    <row r="12" spans="2:3" ht="24" customHeight="1">
      <c r="B12" s="1988">
        <v>9238</v>
      </c>
    </row>
    <row r="13" spans="2:3" ht="24" customHeight="1">
      <c r="B13" s="1988">
        <f>SUM(B6:B12)</f>
        <v>2522259</v>
      </c>
    </row>
    <row r="14" spans="2:3" ht="24" customHeight="1">
      <c r="B14" s="1988">
        <v>-395000</v>
      </c>
    </row>
    <row r="15" spans="2:3" ht="24" customHeight="1">
      <c r="B15" s="1988">
        <f>B14+B13</f>
        <v>2127259</v>
      </c>
    </row>
    <row r="16" spans="2:3" ht="24" customHeight="1">
      <c r="C16" s="1988">
        <v>-2452191</v>
      </c>
    </row>
    <row r="17" spans="3:3" ht="24" customHeight="1">
      <c r="C17" s="1988">
        <v>12</v>
      </c>
    </row>
    <row r="18" spans="3:3" ht="24" customHeight="1">
      <c r="C18" s="1988">
        <v>-484</v>
      </c>
    </row>
    <row r="19" spans="3:3" ht="24" customHeight="1">
      <c r="C19" s="1988">
        <f>SUM(C16:C18)</f>
        <v>-2452663</v>
      </c>
    </row>
    <row r="20" spans="3:3" ht="24" customHeight="1">
      <c r="C20" s="1988">
        <v>-63333</v>
      </c>
    </row>
    <row r="21" spans="3:3" ht="24" customHeight="1">
      <c r="C21" s="1988">
        <f>+C20+C19+B15</f>
        <v>-388737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rightToLeft="1" view="pageBreakPreview" zoomScale="70" zoomScaleNormal="70" zoomScaleSheetLayoutView="70" workbookViewId="0">
      <pane xSplit="1" ySplit="6" topLeftCell="B7" activePane="bottomRight" state="frozen"/>
      <selection activeCell="E19" sqref="E19:G19"/>
      <selection pane="topRight" activeCell="E19" sqref="E19:G19"/>
      <selection pane="bottomLeft" activeCell="E19" sqref="E19:G19"/>
      <selection pane="bottomRight" activeCell="E19" sqref="E19:G19"/>
    </sheetView>
  </sheetViews>
  <sheetFormatPr defaultRowHeight="24" customHeight="1"/>
  <cols>
    <col min="1" max="1" width="46.625" style="2003" bestFit="1" customWidth="1"/>
    <col min="2" max="7" width="16.25" style="2006" customWidth="1"/>
    <col min="8" max="8" width="0.875" style="2007" customWidth="1"/>
    <col min="9" max="21" width="16.25" style="2006" customWidth="1"/>
    <col min="22" max="16384" width="9" style="2003"/>
  </cols>
  <sheetData>
    <row r="1" spans="1:21" ht="24" customHeight="1">
      <c r="B1" s="3437" t="s">
        <v>2055</v>
      </c>
      <c r="C1" s="3437"/>
      <c r="D1" s="3437"/>
      <c r="E1" s="3437"/>
      <c r="F1" s="3437"/>
      <c r="G1" s="2004"/>
      <c r="H1" s="2005"/>
      <c r="I1" s="3437" t="s">
        <v>2056</v>
      </c>
      <c r="J1" s="3437"/>
    </row>
    <row r="2" spans="1:21" ht="24" customHeight="1">
      <c r="B2" s="3437" t="s">
        <v>2057</v>
      </c>
      <c r="C2" s="3437"/>
      <c r="D2" s="3437"/>
      <c r="E2" s="3437"/>
      <c r="F2" s="3437"/>
      <c r="G2" s="2004"/>
      <c r="H2" s="2005"/>
      <c r="I2" s="3437" t="s">
        <v>2058</v>
      </c>
      <c r="J2" s="3437"/>
    </row>
    <row r="3" spans="1:21" ht="24" customHeight="1">
      <c r="B3" s="3437" t="s">
        <v>2041</v>
      </c>
      <c r="C3" s="3437"/>
      <c r="D3" s="3437"/>
      <c r="E3" s="3437"/>
      <c r="F3" s="3437"/>
      <c r="G3" s="2004"/>
      <c r="H3" s="2005"/>
      <c r="I3" s="3437"/>
      <c r="J3" s="3437"/>
    </row>
    <row r="4" spans="1:21" ht="12" customHeight="1"/>
    <row r="5" spans="1:21" ht="28.5">
      <c r="A5" s="3444" t="s">
        <v>2059</v>
      </c>
      <c r="B5" s="3434">
        <v>1399</v>
      </c>
      <c r="C5" s="3434">
        <v>1398</v>
      </c>
      <c r="D5" s="3434" t="s">
        <v>2060</v>
      </c>
      <c r="E5" s="3435" t="s">
        <v>1936</v>
      </c>
      <c r="F5" s="3435"/>
      <c r="G5" s="3435" t="s">
        <v>2061</v>
      </c>
      <c r="H5" s="2008"/>
      <c r="I5" s="3435" t="s">
        <v>2062</v>
      </c>
      <c r="J5" s="3435"/>
      <c r="K5" s="3435"/>
    </row>
    <row r="6" spans="1:21" ht="28.5">
      <c r="A6" s="3444"/>
      <c r="B6" s="3434"/>
      <c r="C6" s="3434"/>
      <c r="D6" s="3434"/>
      <c r="E6" s="2009" t="s">
        <v>2063</v>
      </c>
      <c r="F6" s="2009" t="s">
        <v>2064</v>
      </c>
      <c r="G6" s="3435"/>
      <c r="H6" s="2008"/>
      <c r="I6" s="2009" t="s">
        <v>2065</v>
      </c>
      <c r="J6" s="2009" t="s">
        <v>2066</v>
      </c>
      <c r="K6" s="2009" t="s">
        <v>2067</v>
      </c>
      <c r="L6" s="2010"/>
      <c r="M6" s="2010"/>
      <c r="N6" s="2010"/>
      <c r="O6" s="2010"/>
      <c r="P6" s="2010"/>
      <c r="Q6" s="2010"/>
      <c r="R6" s="2010"/>
      <c r="S6" s="2010"/>
      <c r="T6" s="2010"/>
      <c r="U6" s="2010"/>
    </row>
    <row r="7" spans="1:21" s="2011" customFormat="1" ht="24" customHeight="1">
      <c r="A7" s="2002" t="s">
        <v>1871</v>
      </c>
      <c r="B7" s="1989">
        <v>239911</v>
      </c>
      <c r="C7" s="1989">
        <v>371289</v>
      </c>
      <c r="D7" s="1990">
        <f>C7-B7</f>
        <v>131378</v>
      </c>
      <c r="E7" s="1989"/>
      <c r="F7" s="1989">
        <v>1265707</v>
      </c>
      <c r="G7" s="1990">
        <f>D7+E7-F7</f>
        <v>-1134329</v>
      </c>
      <c r="H7" s="1991"/>
      <c r="I7" s="1990">
        <f>G7</f>
        <v>-1134329</v>
      </c>
      <c r="J7" s="1990"/>
      <c r="K7" s="1990"/>
      <c r="L7" s="1991"/>
      <c r="M7" s="1991"/>
      <c r="N7" s="1991"/>
      <c r="O7" s="1991"/>
      <c r="P7" s="1991"/>
      <c r="Q7" s="1991"/>
      <c r="R7" s="1991"/>
      <c r="S7" s="1991"/>
      <c r="T7" s="1991"/>
      <c r="U7" s="1991"/>
    </row>
    <row r="8" spans="1:21" s="2011" customFormat="1" ht="24" customHeight="1">
      <c r="A8" s="2001" t="s">
        <v>1872</v>
      </c>
      <c r="B8" s="1989">
        <v>3651770</v>
      </c>
      <c r="C8" s="1989">
        <v>2481004</v>
      </c>
      <c r="D8" s="1990">
        <f>C8-B8</f>
        <v>-1170766</v>
      </c>
      <c r="E8" s="1989"/>
      <c r="F8" s="1989"/>
      <c r="G8" s="1990">
        <f t="shared" ref="G8:G29" si="0">D8+E8-F8</f>
        <v>-1170766</v>
      </c>
      <c r="H8" s="1991"/>
      <c r="I8" s="1990">
        <f>G8</f>
        <v>-1170766</v>
      </c>
      <c r="J8" s="1990"/>
      <c r="K8" s="1990"/>
      <c r="L8" s="1991"/>
      <c r="M8" s="1991"/>
      <c r="N8" s="1991"/>
      <c r="O8" s="1991"/>
      <c r="P8" s="1991"/>
      <c r="Q8" s="1991"/>
      <c r="R8" s="1991"/>
      <c r="S8" s="1991"/>
      <c r="T8" s="1991"/>
      <c r="U8" s="1991"/>
    </row>
    <row r="9" spans="1:21" s="2011" customFormat="1" ht="24" customHeight="1">
      <c r="A9" s="2001" t="s">
        <v>2068</v>
      </c>
      <c r="B9" s="1989">
        <v>4184758</v>
      </c>
      <c r="C9" s="1989">
        <v>5901674</v>
      </c>
      <c r="D9" s="1990">
        <f>C9-B9</f>
        <v>1716916</v>
      </c>
      <c r="E9" s="1989">
        <v>63333</v>
      </c>
      <c r="F9" s="1989"/>
      <c r="G9" s="1990">
        <f t="shared" si="0"/>
        <v>1780249</v>
      </c>
      <c r="H9" s="1991"/>
      <c r="I9" s="3431">
        <f>+G9+G10</f>
        <v>1793689</v>
      </c>
      <c r="J9" s="1990"/>
      <c r="K9" s="1990"/>
      <c r="L9" s="1991"/>
      <c r="M9" s="1991"/>
      <c r="N9" s="1991"/>
      <c r="O9" s="1991"/>
      <c r="P9" s="1991"/>
      <c r="Q9" s="1991"/>
      <c r="R9" s="1991"/>
      <c r="S9" s="1991"/>
      <c r="T9" s="1991"/>
      <c r="U9" s="1991"/>
    </row>
    <row r="10" spans="1:21" s="2011" customFormat="1" ht="24" customHeight="1">
      <c r="A10" s="2001" t="s">
        <v>1870</v>
      </c>
      <c r="B10" s="1989">
        <v>31639</v>
      </c>
      <c r="C10" s="1989">
        <v>45079</v>
      </c>
      <c r="D10" s="1990">
        <f>C10-B10</f>
        <v>13440</v>
      </c>
      <c r="E10" s="1989"/>
      <c r="F10" s="1989"/>
      <c r="G10" s="1990">
        <f>D10+E10-F10</f>
        <v>13440</v>
      </c>
      <c r="H10" s="1991"/>
      <c r="I10" s="3432"/>
      <c r="J10" s="1990"/>
      <c r="K10" s="1990"/>
      <c r="L10" s="1991"/>
      <c r="M10" s="1991"/>
      <c r="N10" s="1991"/>
      <c r="O10" s="1991"/>
      <c r="P10" s="1991"/>
      <c r="Q10" s="1991"/>
      <c r="R10" s="1991"/>
      <c r="S10" s="1991"/>
      <c r="T10" s="1991"/>
      <c r="U10" s="1991"/>
    </row>
    <row r="11" spans="1:21" s="2011" customFormat="1" ht="24" customHeight="1">
      <c r="A11" s="2001" t="s">
        <v>1868</v>
      </c>
      <c r="B11" s="1989">
        <v>48</v>
      </c>
      <c r="C11" s="1989">
        <v>48</v>
      </c>
      <c r="D11" s="1990">
        <f t="shared" ref="D11:D12" si="1">C11-B11</f>
        <v>0</v>
      </c>
      <c r="E11" s="1989"/>
      <c r="F11" s="1989"/>
      <c r="G11" s="1990">
        <f t="shared" si="0"/>
        <v>0</v>
      </c>
      <c r="H11" s="1991"/>
      <c r="I11" s="1990">
        <f>G11</f>
        <v>0</v>
      </c>
      <c r="J11" s="1990"/>
      <c r="K11" s="1990"/>
      <c r="L11" s="1991"/>
      <c r="M11" s="1991"/>
      <c r="N11" s="1991"/>
      <c r="O11" s="1991"/>
      <c r="P11" s="1991"/>
      <c r="Q11" s="1991"/>
      <c r="R11" s="1991"/>
      <c r="S11" s="1991"/>
      <c r="T11" s="1991"/>
      <c r="U11" s="1991"/>
    </row>
    <row r="12" spans="1:21" s="2011" customFormat="1" ht="24" customHeight="1">
      <c r="A12" s="3438" t="s">
        <v>1867</v>
      </c>
      <c r="B12" s="3440">
        <v>22667989</v>
      </c>
      <c r="C12" s="3440">
        <v>23714800</v>
      </c>
      <c r="D12" s="3431">
        <f t="shared" si="1"/>
        <v>1046811</v>
      </c>
      <c r="E12" s="1989"/>
      <c r="F12" s="1989">
        <v>1741190</v>
      </c>
      <c r="G12" s="3431">
        <f>+D12+E12+E13-F12-F13</f>
        <v>-2452191</v>
      </c>
      <c r="H12" s="1991"/>
      <c r="I12" s="1992"/>
      <c r="J12" s="3442">
        <f>G12</f>
        <v>-2452191</v>
      </c>
      <c r="K12" s="1992"/>
      <c r="L12" s="1993"/>
      <c r="M12" s="1993"/>
      <c r="N12" s="1993"/>
      <c r="O12" s="1993"/>
      <c r="P12" s="1993"/>
      <c r="Q12" s="1993"/>
      <c r="R12" s="1993"/>
      <c r="S12" s="1993"/>
      <c r="T12" s="1993"/>
      <c r="U12" s="1993"/>
    </row>
    <row r="13" spans="1:21" s="2011" customFormat="1" ht="24" customHeight="1">
      <c r="A13" s="3439"/>
      <c r="B13" s="3441"/>
      <c r="C13" s="3441"/>
      <c r="D13" s="3432"/>
      <c r="E13" s="1989"/>
      <c r="F13" s="1989">
        <f>2452191-694379</f>
        <v>1757812</v>
      </c>
      <c r="G13" s="3432"/>
      <c r="H13" s="1991"/>
      <c r="I13" s="1992"/>
      <c r="J13" s="3443"/>
      <c r="K13" s="1992"/>
      <c r="L13" s="1993"/>
      <c r="M13" s="1993"/>
      <c r="N13" s="1993"/>
      <c r="O13" s="1993"/>
      <c r="P13" s="1993"/>
      <c r="Q13" s="1993"/>
      <c r="R13" s="1993"/>
      <c r="S13" s="1993"/>
      <c r="T13" s="1993"/>
      <c r="U13" s="1993"/>
    </row>
    <row r="14" spans="1:21" s="2011" customFormat="1" ht="24" customHeight="1">
      <c r="A14" s="3436" t="s">
        <v>1869</v>
      </c>
      <c r="B14" s="3429">
        <v>82192</v>
      </c>
      <c r="C14" s="3429">
        <v>81720</v>
      </c>
      <c r="D14" s="3430">
        <f>C14-B14</f>
        <v>-472</v>
      </c>
      <c r="E14" s="1989"/>
      <c r="F14" s="1989"/>
      <c r="G14" s="1990">
        <v>-484</v>
      </c>
      <c r="H14" s="1991"/>
      <c r="I14" s="1990"/>
      <c r="J14" s="1990">
        <f>G14</f>
        <v>-484</v>
      </c>
      <c r="K14" s="1990"/>
      <c r="L14" s="1991"/>
      <c r="M14" s="1991"/>
      <c r="N14" s="1991"/>
      <c r="O14" s="1991"/>
      <c r="P14" s="1991"/>
      <c r="Q14" s="1991"/>
      <c r="R14" s="1991"/>
      <c r="S14" s="1991"/>
      <c r="T14" s="1991"/>
      <c r="U14" s="1991"/>
    </row>
    <row r="15" spans="1:21" s="2011" customFormat="1" ht="24" customHeight="1">
      <c r="A15" s="3436"/>
      <c r="B15" s="3429"/>
      <c r="C15" s="3429"/>
      <c r="D15" s="3430"/>
      <c r="E15" s="1989"/>
      <c r="F15" s="1989"/>
      <c r="G15" s="1990">
        <v>12</v>
      </c>
      <c r="H15" s="1991"/>
      <c r="I15" s="1990"/>
      <c r="J15" s="1990">
        <f>G15</f>
        <v>12</v>
      </c>
      <c r="K15" s="1990"/>
      <c r="L15" s="1991"/>
      <c r="M15" s="1991"/>
      <c r="N15" s="1991"/>
      <c r="O15" s="1991"/>
      <c r="P15" s="1991"/>
      <c r="Q15" s="1991"/>
      <c r="R15" s="1991"/>
      <c r="S15" s="1991"/>
      <c r="T15" s="1991"/>
      <c r="U15" s="1991"/>
    </row>
    <row r="16" spans="1:21" s="2011" customFormat="1" ht="24" customHeight="1">
      <c r="A16" s="2001" t="s">
        <v>1880</v>
      </c>
      <c r="B16" s="1989">
        <v>7033450</v>
      </c>
      <c r="C16" s="1989">
        <v>5242155</v>
      </c>
      <c r="D16" s="1990">
        <f>B16-C16</f>
        <v>1791295</v>
      </c>
      <c r="E16" s="1989"/>
      <c r="F16" s="1989"/>
      <c r="G16" s="1990">
        <f t="shared" si="0"/>
        <v>1791295</v>
      </c>
      <c r="H16" s="1991"/>
      <c r="I16" s="1990">
        <f>G16</f>
        <v>1791295</v>
      </c>
      <c r="J16" s="1990"/>
      <c r="K16" s="1990"/>
      <c r="L16" s="1991"/>
      <c r="M16" s="1991"/>
      <c r="N16" s="1991"/>
      <c r="O16" s="1991"/>
      <c r="P16" s="1991"/>
      <c r="Q16" s="1991"/>
      <c r="R16" s="1991"/>
      <c r="S16" s="1991"/>
      <c r="T16" s="1991"/>
      <c r="U16" s="1991"/>
    </row>
    <row r="17" spans="1:21" s="2011" customFormat="1" ht="24" customHeight="1">
      <c r="A17" s="2001" t="s">
        <v>1881</v>
      </c>
      <c r="B17" s="1989">
        <v>11769771</v>
      </c>
      <c r="C17" s="1989">
        <v>14861712</v>
      </c>
      <c r="D17" s="1990">
        <f t="shared" ref="D17:D24" si="2">B17-C17</f>
        <v>-3091941</v>
      </c>
      <c r="E17" s="1989"/>
      <c r="F17" s="1989"/>
      <c r="G17" s="1990">
        <f t="shared" si="0"/>
        <v>-3091941</v>
      </c>
      <c r="H17" s="1991"/>
      <c r="I17" s="3431">
        <f>+G17+G18</f>
        <v>1368690</v>
      </c>
      <c r="J17" s="1990"/>
      <c r="K17" s="1990"/>
      <c r="L17" s="1991"/>
      <c r="M17" s="1991"/>
      <c r="N17" s="1991"/>
      <c r="O17" s="1991"/>
      <c r="P17" s="1991"/>
      <c r="Q17" s="1991"/>
      <c r="R17" s="1991"/>
      <c r="S17" s="1991"/>
      <c r="T17" s="1991"/>
      <c r="U17" s="1991"/>
    </row>
    <row r="18" spans="1:21" s="2011" customFormat="1" ht="24" customHeight="1">
      <c r="A18" s="2001" t="s">
        <v>2069</v>
      </c>
      <c r="B18" s="1989">
        <f>8162349-B19-B20</f>
        <v>6656769</v>
      </c>
      <c r="C18" s="1989">
        <f>5993367-C20-C19</f>
        <v>3953950</v>
      </c>
      <c r="D18" s="1990">
        <f t="shared" si="2"/>
        <v>2702819</v>
      </c>
      <c r="E18" s="1989">
        <v>1757812</v>
      </c>
      <c r="F18" s="1989"/>
      <c r="G18" s="1990">
        <f>D18+E18-F18</f>
        <v>4460631</v>
      </c>
      <c r="H18" s="1991"/>
      <c r="I18" s="3432"/>
      <c r="J18" s="1990"/>
      <c r="K18" s="1990"/>
      <c r="L18" s="1991"/>
      <c r="M18" s="1991"/>
      <c r="N18" s="1991"/>
      <c r="O18" s="1991"/>
      <c r="P18" s="1991"/>
      <c r="Q18" s="1991"/>
      <c r="R18" s="1991"/>
      <c r="S18" s="1991"/>
      <c r="T18" s="1991"/>
      <c r="U18" s="1991"/>
    </row>
    <row r="19" spans="1:21" s="2011" customFormat="1" ht="24" customHeight="1">
      <c r="A19" s="2001" t="s">
        <v>641</v>
      </c>
      <c r="B19" s="1989">
        <f>+B32+C32+D32</f>
        <v>1432872</v>
      </c>
      <c r="C19" s="1989">
        <f>+B33+C33+D33</f>
        <v>1975947</v>
      </c>
      <c r="D19" s="1990">
        <f>+B19-C19</f>
        <v>-543075</v>
      </c>
      <c r="E19" s="1989"/>
      <c r="F19" s="1989"/>
      <c r="G19" s="1990">
        <f t="shared" si="0"/>
        <v>-543075</v>
      </c>
      <c r="H19" s="1991"/>
      <c r="I19" s="1990">
        <f>+G19</f>
        <v>-543075</v>
      </c>
      <c r="J19" s="1990"/>
      <c r="K19" s="1990"/>
      <c r="L19" s="1991"/>
      <c r="M19" s="1991"/>
      <c r="N19" s="1991"/>
      <c r="O19" s="1991"/>
      <c r="P19" s="1991"/>
      <c r="Q19" s="1991"/>
      <c r="R19" s="1991"/>
      <c r="S19" s="1991"/>
      <c r="T19" s="1991"/>
      <c r="U19" s="1991"/>
    </row>
    <row r="20" spans="1:21" s="2011" customFormat="1" ht="24" customHeight="1">
      <c r="A20" s="2001" t="s">
        <v>2070</v>
      </c>
      <c r="B20" s="1989">
        <v>72708</v>
      </c>
      <c r="C20" s="1989">
        <v>63470</v>
      </c>
      <c r="D20" s="1990">
        <f>+B20-C20</f>
        <v>9238</v>
      </c>
      <c r="E20" s="1989"/>
      <c r="F20" s="1989"/>
      <c r="G20" s="1990">
        <f t="shared" si="0"/>
        <v>9238</v>
      </c>
      <c r="H20" s="1991"/>
      <c r="I20" s="1990">
        <f>+G20</f>
        <v>9238</v>
      </c>
      <c r="J20" s="1990"/>
      <c r="K20" s="1990"/>
      <c r="L20" s="1991"/>
      <c r="M20" s="1991"/>
      <c r="N20" s="1991"/>
      <c r="O20" s="1991"/>
      <c r="P20" s="1991"/>
      <c r="Q20" s="1991"/>
      <c r="R20" s="1991"/>
      <c r="S20" s="1991"/>
      <c r="T20" s="1991"/>
      <c r="U20" s="1991"/>
    </row>
    <row r="21" spans="1:21" s="2011" customFormat="1" ht="24" customHeight="1">
      <c r="A21" s="2001" t="s">
        <v>1964</v>
      </c>
      <c r="B21" s="1989">
        <v>0</v>
      </c>
      <c r="C21" s="1989">
        <v>1660707</v>
      </c>
      <c r="D21" s="1990">
        <f>B21-C21</f>
        <v>-1660707</v>
      </c>
      <c r="E21" s="1989">
        <f>1660707-395000</f>
        <v>1265707</v>
      </c>
      <c r="F21" s="1989"/>
      <c r="G21" s="1990">
        <f t="shared" si="0"/>
        <v>-395000</v>
      </c>
      <c r="H21" s="1991"/>
      <c r="I21" s="1990">
        <f>G21</f>
        <v>-395000</v>
      </c>
      <c r="J21" s="1990"/>
      <c r="K21" s="1990"/>
      <c r="L21" s="1991"/>
      <c r="M21" s="1991"/>
      <c r="N21" s="1991"/>
      <c r="O21" s="1991"/>
      <c r="P21" s="1991"/>
      <c r="Q21" s="1991"/>
      <c r="R21" s="1991"/>
      <c r="S21" s="1991"/>
      <c r="T21" s="1991"/>
      <c r="U21" s="1991"/>
    </row>
    <row r="22" spans="1:21" s="2011" customFormat="1" ht="24" customHeight="1">
      <c r="A22" s="2001" t="s">
        <v>1875</v>
      </c>
      <c r="B22" s="1989">
        <v>12000000</v>
      </c>
      <c r="C22" s="1989">
        <v>12000000</v>
      </c>
      <c r="D22" s="1990">
        <f t="shared" si="2"/>
        <v>0</v>
      </c>
      <c r="E22" s="1989"/>
      <c r="F22" s="1989"/>
      <c r="G22" s="1990">
        <f t="shared" si="0"/>
        <v>0</v>
      </c>
      <c r="H22" s="1991"/>
      <c r="I22" s="1990"/>
      <c r="J22" s="1990"/>
      <c r="K22" s="1990"/>
      <c r="L22" s="1991"/>
      <c r="M22" s="1991"/>
      <c r="N22" s="1991"/>
      <c r="O22" s="1991"/>
      <c r="P22" s="1991"/>
      <c r="Q22" s="1991"/>
      <c r="R22" s="1991"/>
      <c r="S22" s="1991"/>
      <c r="T22" s="1991"/>
      <c r="U22" s="1991"/>
    </row>
    <row r="23" spans="1:21" s="2011" customFormat="1" ht="24" customHeight="1">
      <c r="A23" s="2001" t="s">
        <v>1876</v>
      </c>
      <c r="B23" s="1994">
        <v>0.5</v>
      </c>
      <c r="C23" s="1994">
        <v>0.5</v>
      </c>
      <c r="D23" s="1992">
        <f t="shared" si="2"/>
        <v>0</v>
      </c>
      <c r="E23" s="1995"/>
      <c r="F23" s="1995"/>
      <c r="G23" s="1990">
        <f t="shared" si="0"/>
        <v>0</v>
      </c>
      <c r="H23" s="1993"/>
      <c r="I23" s="1992"/>
      <c r="J23" s="1996"/>
      <c r="K23" s="1996"/>
      <c r="L23" s="1997"/>
      <c r="M23" s="1997"/>
      <c r="N23" s="1997"/>
      <c r="O23" s="1997"/>
      <c r="P23" s="1997"/>
      <c r="Q23" s="1997"/>
      <c r="R23" s="1997"/>
      <c r="S23" s="1997"/>
      <c r="T23" s="1997"/>
      <c r="U23" s="1997"/>
    </row>
    <row r="24" spans="1:21" s="2011" customFormat="1" ht="24" customHeight="1">
      <c r="A24" s="2001" t="s">
        <v>1877</v>
      </c>
      <c r="B24" s="1989">
        <v>2736</v>
      </c>
      <c r="C24" s="1989">
        <v>2736</v>
      </c>
      <c r="D24" s="1992">
        <f t="shared" si="2"/>
        <v>0</v>
      </c>
      <c r="E24" s="1995"/>
      <c r="F24" s="1995"/>
      <c r="G24" s="1990">
        <f t="shared" si="0"/>
        <v>0</v>
      </c>
      <c r="H24" s="1993"/>
      <c r="I24" s="1992"/>
      <c r="J24" s="1990"/>
      <c r="K24" s="1990"/>
      <c r="L24" s="1991"/>
      <c r="M24" s="1991"/>
      <c r="N24" s="1991"/>
      <c r="O24" s="1991"/>
      <c r="P24" s="1991"/>
      <c r="Q24" s="1991"/>
      <c r="R24" s="1991"/>
      <c r="S24" s="1991"/>
      <c r="T24" s="1991"/>
      <c r="U24" s="1991"/>
    </row>
    <row r="25" spans="1:21" s="2011" customFormat="1" ht="24" customHeight="1">
      <c r="A25" s="2001" t="s">
        <v>2071</v>
      </c>
      <c r="B25" s="2012"/>
      <c r="C25" s="2012"/>
      <c r="D25" s="1992">
        <f>-1333423-250</f>
        <v>-1333673</v>
      </c>
      <c r="E25" s="1995"/>
      <c r="F25" s="1995"/>
      <c r="G25" s="1990">
        <f t="shared" si="0"/>
        <v>-1333673</v>
      </c>
      <c r="H25" s="1993"/>
      <c r="I25" s="1992">
        <f>G25</f>
        <v>-1333673</v>
      </c>
      <c r="J25" s="2013"/>
      <c r="K25" s="2013"/>
      <c r="L25" s="2014"/>
      <c r="M25" s="2014"/>
      <c r="N25" s="2014"/>
      <c r="O25" s="2014"/>
      <c r="P25" s="2014"/>
      <c r="Q25" s="2014"/>
      <c r="R25" s="2014"/>
      <c r="S25" s="2014"/>
      <c r="T25" s="2014"/>
      <c r="U25" s="2014"/>
    </row>
    <row r="26" spans="1:21" s="2011" customFormat="1" ht="24" customHeight="1">
      <c r="A26" s="2001" t="s">
        <v>2072</v>
      </c>
      <c r="B26" s="2012"/>
      <c r="C26" s="2012"/>
      <c r="D26" s="1992"/>
      <c r="E26" s="1995"/>
      <c r="F26" s="1995"/>
      <c r="G26" s="1990">
        <f t="shared" si="0"/>
        <v>0</v>
      </c>
      <c r="H26" s="1993"/>
      <c r="I26" s="1992"/>
      <c r="J26" s="2013"/>
      <c r="K26" s="2013"/>
      <c r="L26" s="2014"/>
      <c r="M26" s="2014"/>
      <c r="N26" s="2014"/>
      <c r="O26" s="2014"/>
      <c r="P26" s="2014"/>
      <c r="Q26" s="2014"/>
      <c r="R26" s="2014"/>
      <c r="S26" s="2014"/>
      <c r="T26" s="2014"/>
      <c r="U26" s="2014"/>
    </row>
    <row r="27" spans="1:21" s="2011" customFormat="1" ht="24" customHeight="1">
      <c r="A27" s="2001" t="s">
        <v>2073</v>
      </c>
      <c r="B27" s="2012"/>
      <c r="C27" s="2012"/>
      <c r="D27" s="1992"/>
      <c r="E27" s="1995"/>
      <c r="F27" s="1995"/>
      <c r="G27" s="1990">
        <f t="shared" si="0"/>
        <v>0</v>
      </c>
      <c r="H27" s="1993"/>
      <c r="I27" s="1992"/>
      <c r="J27" s="2013"/>
      <c r="K27" s="2013"/>
      <c r="L27" s="2014"/>
      <c r="M27" s="2014"/>
      <c r="N27" s="2014"/>
      <c r="O27" s="2014"/>
      <c r="P27" s="2014"/>
      <c r="Q27" s="2014"/>
      <c r="R27" s="2014"/>
      <c r="S27" s="2014"/>
      <c r="T27" s="2014"/>
      <c r="U27" s="2014"/>
    </row>
    <row r="28" spans="1:21" s="2011" customFormat="1" ht="24" customHeight="1">
      <c r="A28" s="2001" t="s">
        <v>2074</v>
      </c>
      <c r="B28" s="2012"/>
      <c r="C28" s="2012"/>
      <c r="D28" s="1992"/>
      <c r="E28" s="1995"/>
      <c r="F28" s="1995">
        <v>63333</v>
      </c>
      <c r="G28" s="1990">
        <f t="shared" si="0"/>
        <v>-63333</v>
      </c>
      <c r="H28" s="1993"/>
      <c r="I28" s="1992"/>
      <c r="J28" s="2013"/>
      <c r="K28" s="1992">
        <f>+G28</f>
        <v>-63333</v>
      </c>
      <c r="L28" s="2014"/>
      <c r="M28" s="2014"/>
      <c r="N28" s="2014"/>
      <c r="O28" s="2014"/>
      <c r="P28" s="2014"/>
      <c r="Q28" s="2014"/>
      <c r="R28" s="2014"/>
      <c r="S28" s="2014"/>
      <c r="T28" s="2014"/>
      <c r="U28" s="2014"/>
    </row>
    <row r="29" spans="1:21" s="2011" customFormat="1" ht="24" customHeight="1">
      <c r="A29" s="2001" t="s">
        <v>2075</v>
      </c>
      <c r="B29" s="2012"/>
      <c r="C29" s="2012"/>
      <c r="D29" s="1992"/>
      <c r="E29" s="1995">
        <v>1741190</v>
      </c>
      <c r="F29" s="1995"/>
      <c r="G29" s="1990">
        <f t="shared" si="0"/>
        <v>1741190</v>
      </c>
      <c r="H29" s="1993"/>
      <c r="I29" s="1992">
        <f>G29</f>
        <v>1741190</v>
      </c>
      <c r="J29" s="2013"/>
      <c r="K29" s="2013"/>
      <c r="L29" s="2014"/>
      <c r="M29" s="2014"/>
      <c r="N29" s="2014"/>
      <c r="O29" s="2014"/>
      <c r="P29" s="2014"/>
      <c r="Q29" s="2014"/>
      <c r="R29" s="2014"/>
      <c r="S29" s="2014"/>
      <c r="T29" s="2014"/>
      <c r="U29" s="2014"/>
    </row>
    <row r="30" spans="1:21" s="2018" customFormat="1" ht="24" customHeight="1" thickBot="1">
      <c r="A30" s="1998"/>
      <c r="B30" s="2015"/>
      <c r="C30" s="2015"/>
      <c r="D30" s="2016">
        <f>SUM(D7:D29)</f>
        <v>-388737</v>
      </c>
      <c r="E30" s="2016">
        <f>SUM(E7:E29)</f>
        <v>4828042</v>
      </c>
      <c r="F30" s="2016">
        <f>SUM(F7:F29)</f>
        <v>4828042</v>
      </c>
      <c r="G30" s="2016">
        <f>SUM(G7:G29)</f>
        <v>-388737</v>
      </c>
      <c r="H30" s="2017"/>
      <c r="I30" s="2016">
        <f>SUM(I7:I29)</f>
        <v>2127259</v>
      </c>
      <c r="J30" s="2016">
        <f t="shared" ref="J30:K30" si="3">SUM(J7:J29)</f>
        <v>-2452663</v>
      </c>
      <c r="K30" s="2016">
        <f t="shared" si="3"/>
        <v>-63333</v>
      </c>
      <c r="L30" s="2015"/>
      <c r="M30" s="2015"/>
      <c r="N30" s="2015"/>
      <c r="O30" s="2015"/>
      <c r="P30" s="2015"/>
      <c r="Q30" s="2015"/>
      <c r="R30" s="2015"/>
      <c r="S30" s="2015"/>
      <c r="T30" s="2015"/>
      <c r="U30" s="2015"/>
    </row>
    <row r="31" spans="1:21" s="2011" customFormat="1" ht="31.5" thickTop="1">
      <c r="A31" s="1999"/>
      <c r="B31" s="2014"/>
      <c r="C31" s="2014"/>
      <c r="D31" s="2014"/>
      <c r="E31" s="2014"/>
      <c r="F31" s="2014"/>
      <c r="G31" s="2014"/>
      <c r="H31" s="2019"/>
      <c r="I31" s="3433">
        <f>SUM(I30:K30)</f>
        <v>-388737</v>
      </c>
      <c r="J31" s="3433"/>
      <c r="K31" s="3433"/>
      <c r="L31" s="2014"/>
      <c r="M31" s="2014"/>
      <c r="N31" s="2014"/>
      <c r="O31" s="2014"/>
      <c r="P31" s="2014"/>
      <c r="Q31" s="2014"/>
      <c r="R31" s="2014"/>
      <c r="S31" s="2014"/>
      <c r="T31" s="2014"/>
      <c r="U31" s="2014"/>
    </row>
    <row r="32" spans="1:21" s="2011" customFormat="1" ht="24" customHeight="1">
      <c r="A32" s="1999"/>
      <c r="B32" s="2014">
        <v>256149</v>
      </c>
      <c r="C32" s="2014">
        <v>890897</v>
      </c>
      <c r="D32" s="2014">
        <v>285826</v>
      </c>
      <c r="E32" s="2014"/>
      <c r="F32" s="2014"/>
      <c r="G32" s="2014"/>
      <c r="H32" s="2019"/>
      <c r="I32" s="2014"/>
      <c r="J32" s="2014"/>
      <c r="K32" s="2014"/>
      <c r="L32" s="2014"/>
      <c r="M32" s="2014"/>
      <c r="N32" s="2014"/>
      <c r="O32" s="2014"/>
      <c r="P32" s="2014"/>
      <c r="Q32" s="2014"/>
      <c r="R32" s="2014"/>
      <c r="S32" s="2014"/>
      <c r="T32" s="2014"/>
      <c r="U32" s="2014"/>
    </row>
    <row r="33" spans="2:21" s="2011" customFormat="1" ht="24" customHeight="1">
      <c r="B33" s="2014">
        <v>185728</v>
      </c>
      <c r="C33" s="2014">
        <v>1558175</v>
      </c>
      <c r="D33" s="2014">
        <v>232044</v>
      </c>
      <c r="E33" s="2014"/>
      <c r="F33" s="2014"/>
      <c r="G33" s="2014"/>
      <c r="H33" s="2019"/>
      <c r="I33" s="2014"/>
      <c r="J33" s="2014"/>
      <c r="K33" s="2014"/>
      <c r="L33" s="2014"/>
      <c r="M33" s="2014"/>
      <c r="N33" s="2014"/>
      <c r="O33" s="2014"/>
      <c r="P33" s="2014"/>
      <c r="Q33" s="2014"/>
      <c r="R33" s="2014"/>
      <c r="S33" s="2014"/>
      <c r="T33" s="2014"/>
      <c r="U33" s="2014"/>
    </row>
    <row r="34" spans="2:21" s="2011" customFormat="1" ht="24" customHeight="1">
      <c r="B34" s="2014">
        <f>+B32-B33</f>
        <v>70421</v>
      </c>
      <c r="C34" s="2014">
        <f>+C32-C33</f>
        <v>-667278</v>
      </c>
      <c r="D34" s="2014">
        <f>+D32-D33</f>
        <v>53782</v>
      </c>
      <c r="E34" s="2014"/>
      <c r="F34" s="2014"/>
      <c r="G34" s="2014"/>
      <c r="H34" s="2019"/>
      <c r="I34" s="2014"/>
      <c r="J34" s="2014"/>
      <c r="K34" s="2014"/>
      <c r="L34" s="2014"/>
      <c r="M34" s="2014"/>
      <c r="N34" s="2014"/>
      <c r="O34" s="2014"/>
      <c r="P34" s="2014"/>
      <c r="Q34" s="2014"/>
      <c r="R34" s="2014"/>
      <c r="S34" s="2014"/>
      <c r="T34" s="2014"/>
      <c r="U34" s="2014"/>
    </row>
    <row r="35" spans="2:21" ht="24" customHeight="1">
      <c r="C35" s="2006">
        <f>C34+B34</f>
        <v>-596857</v>
      </c>
      <c r="D35" s="2006">
        <f>D34+C35</f>
        <v>-543075</v>
      </c>
    </row>
    <row r="36" spans="2:21" ht="24" customHeight="1">
      <c r="D36" s="2020"/>
      <c r="E36" s="2020"/>
      <c r="F36" s="2020"/>
      <c r="G36" s="2020"/>
    </row>
    <row r="40" spans="2:21" ht="24" customHeight="1">
      <c r="D40" s="2020"/>
      <c r="E40" s="2020"/>
    </row>
  </sheetData>
  <mergeCells count="26">
    <mergeCell ref="A14:A15"/>
    <mergeCell ref="B1:F1"/>
    <mergeCell ref="I1:J1"/>
    <mergeCell ref="B2:F2"/>
    <mergeCell ref="I2:J2"/>
    <mergeCell ref="B3:F3"/>
    <mergeCell ref="I3:J3"/>
    <mergeCell ref="I5:K5"/>
    <mergeCell ref="I9:I10"/>
    <mergeCell ref="A12:A13"/>
    <mergeCell ref="B12:B13"/>
    <mergeCell ref="C12:C13"/>
    <mergeCell ref="D12:D13"/>
    <mergeCell ref="G12:G13"/>
    <mergeCell ref="J12:J13"/>
    <mergeCell ref="A5:A6"/>
    <mergeCell ref="B5:B6"/>
    <mergeCell ref="C5:C6"/>
    <mergeCell ref="D5:D6"/>
    <mergeCell ref="E5:F5"/>
    <mergeCell ref="G5:G6"/>
    <mergeCell ref="B14:B15"/>
    <mergeCell ref="C14:C15"/>
    <mergeCell ref="D14:D15"/>
    <mergeCell ref="I17:I18"/>
    <mergeCell ref="I31:K31"/>
  </mergeCells>
  <pageMargins left="0.70866141732283472" right="0.70866141732283472" top="0.74803149606299213" bottom="0.74803149606299213" header="0.31496062992125984" footer="0.31496062992125984"/>
  <pageSetup paperSize="8" scale="9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1"/>
  <sheetViews>
    <sheetView rightToLeft="1" workbookViewId="0">
      <selection activeCell="E19" sqref="E19:G19"/>
    </sheetView>
  </sheetViews>
  <sheetFormatPr defaultColWidth="16.375" defaultRowHeight="24" customHeight="1"/>
  <cols>
    <col min="1" max="16384" width="16.375" style="2003"/>
  </cols>
  <sheetData>
    <row r="3" spans="2:6" ht="24" customHeight="1">
      <c r="B3" s="2003">
        <v>-1333673</v>
      </c>
      <c r="E3" s="2003">
        <v>-1333673</v>
      </c>
    </row>
    <row r="4" spans="2:6" ht="24" customHeight="1">
      <c r="B4" s="2003">
        <v>1791295</v>
      </c>
      <c r="E4" s="2003">
        <v>1791295</v>
      </c>
    </row>
    <row r="5" spans="2:6" ht="24" customHeight="1">
      <c r="B5" s="2003">
        <v>1741190</v>
      </c>
      <c r="E5" s="2003">
        <v>1741190</v>
      </c>
    </row>
    <row r="6" spans="2:6" ht="24" customHeight="1">
      <c r="B6" s="2021">
        <f>SUM(B3:B5)</f>
        <v>2198812</v>
      </c>
      <c r="E6" s="2003">
        <f>SUM(E3:E5)</f>
        <v>2198812</v>
      </c>
    </row>
    <row r="7" spans="2:6" ht="24" customHeight="1">
      <c r="B7" s="2003">
        <v>1182527</v>
      </c>
      <c r="F7" s="2003">
        <v>1793689</v>
      </c>
    </row>
    <row r="8" spans="2:6" ht="24" customHeight="1">
      <c r="B8" s="2003">
        <v>-884120</v>
      </c>
      <c r="F8" s="2003">
        <v>-1170766</v>
      </c>
    </row>
    <row r="9" spans="2:6" ht="24" customHeight="1">
      <c r="B9" s="2003">
        <v>-1134329</v>
      </c>
      <c r="F9" s="2003">
        <v>-1134329</v>
      </c>
    </row>
    <row r="10" spans="2:6" ht="24" customHeight="1">
      <c r="B10" s="2003">
        <v>1693206</v>
      </c>
      <c r="F10" s="2003">
        <v>1368690</v>
      </c>
    </row>
    <row r="11" spans="2:6" ht="24" customHeight="1">
      <c r="B11" s="2003">
        <v>-543075</v>
      </c>
      <c r="F11" s="2003">
        <v>-543075</v>
      </c>
    </row>
    <row r="12" spans="2:6" ht="24" customHeight="1">
      <c r="B12" s="2003">
        <v>9238</v>
      </c>
      <c r="F12" s="2003">
        <v>9238</v>
      </c>
    </row>
    <row r="13" spans="2:6" ht="24" customHeight="1">
      <c r="B13" s="2003">
        <f>SUM(B6:B12)</f>
        <v>2522259</v>
      </c>
      <c r="F13" s="2003">
        <f>SUM(F7:F12)</f>
        <v>323447</v>
      </c>
    </row>
    <row r="14" spans="2:6" ht="24" customHeight="1">
      <c r="B14" s="2003">
        <v>-395000</v>
      </c>
      <c r="F14" s="2003">
        <f>+F13+E6</f>
        <v>2522259</v>
      </c>
    </row>
    <row r="15" spans="2:6" ht="24" customHeight="1">
      <c r="B15" s="2003">
        <f>B14+B13</f>
        <v>2127259</v>
      </c>
    </row>
    <row r="16" spans="2:6" ht="24" customHeight="1">
      <c r="C16" s="2003">
        <v>-2452191</v>
      </c>
    </row>
    <row r="17" spans="3:3" ht="24" customHeight="1">
      <c r="C17" s="2003">
        <v>12</v>
      </c>
    </row>
    <row r="18" spans="3:3" ht="24" customHeight="1">
      <c r="C18" s="2003">
        <v>-484</v>
      </c>
    </row>
    <row r="19" spans="3:3" ht="24" customHeight="1">
      <c r="C19" s="2003">
        <f>SUM(C16:C18)</f>
        <v>-2452663</v>
      </c>
    </row>
    <row r="20" spans="3:3" ht="24" customHeight="1">
      <c r="C20" s="2003">
        <v>-63333</v>
      </c>
    </row>
    <row r="21" spans="3:3" ht="24" customHeight="1">
      <c r="C21" s="2003">
        <f>+C20+C19+B15</f>
        <v>-388737</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rightToLeft="1" view="pageBreakPreview" topLeftCell="A7" zoomScale="60" zoomScaleNormal="100" workbookViewId="0">
      <selection activeCell="J30" sqref="J30"/>
    </sheetView>
  </sheetViews>
  <sheetFormatPr defaultRowHeight="14.25"/>
  <cols>
    <col min="1" max="1" width="38.375" bestFit="1" customWidth="1"/>
    <col min="2" max="3" width="14.5" bestFit="1" customWidth="1"/>
    <col min="4" max="4" width="16.625" bestFit="1" customWidth="1"/>
    <col min="5" max="6" width="13.25" bestFit="1" customWidth="1"/>
    <col min="7" max="7" width="16.5" bestFit="1" customWidth="1"/>
    <col min="9" max="9" width="16.625" customWidth="1"/>
    <col min="10" max="10" width="17" bestFit="1" customWidth="1"/>
  </cols>
  <sheetData>
    <row r="1" spans="1:11" ht="28.5">
      <c r="A1" s="1988"/>
      <c r="B1" s="3446" t="s">
        <v>2055</v>
      </c>
      <c r="C1" s="3446"/>
      <c r="D1" s="3446"/>
      <c r="E1" s="3446"/>
      <c r="F1" s="3446"/>
      <c r="G1" s="2503"/>
      <c r="H1" s="2504"/>
      <c r="I1" s="3446"/>
      <c r="J1" s="3446"/>
      <c r="K1" s="2505"/>
    </row>
    <row r="2" spans="1:11" ht="28.5">
      <c r="A2" s="1988"/>
      <c r="B2" s="3446" t="s">
        <v>2057</v>
      </c>
      <c r="C2" s="3446"/>
      <c r="D2" s="3446"/>
      <c r="E2" s="3446"/>
      <c r="F2" s="3446"/>
      <c r="G2" s="2503"/>
      <c r="H2" s="2504"/>
      <c r="I2" s="3446"/>
      <c r="J2" s="3446"/>
      <c r="K2" s="2505"/>
    </row>
    <row r="3" spans="1:11" ht="28.5">
      <c r="A3" s="1988"/>
      <c r="B3" s="3446" t="s">
        <v>2355</v>
      </c>
      <c r="C3" s="3446"/>
      <c r="D3" s="3446"/>
      <c r="E3" s="3446"/>
      <c r="F3" s="3446"/>
      <c r="G3" s="2503"/>
      <c r="H3" s="2504"/>
      <c r="I3" s="3446"/>
      <c r="J3" s="3446"/>
      <c r="K3" s="2505"/>
    </row>
    <row r="4" spans="1:11" ht="21.75">
      <c r="A4" s="1988"/>
      <c r="B4" s="2505"/>
      <c r="C4" s="2505"/>
      <c r="D4" s="2505"/>
      <c r="E4" s="2505"/>
      <c r="F4" s="2505"/>
      <c r="G4" s="2505"/>
      <c r="H4" s="2506"/>
      <c r="I4" s="2505"/>
      <c r="J4" s="2505"/>
      <c r="K4" s="2505"/>
    </row>
    <row r="5" spans="1:11" ht="28.5">
      <c r="A5" s="3450" t="s">
        <v>2059</v>
      </c>
      <c r="B5" s="3451">
        <v>1401</v>
      </c>
      <c r="C5" s="3451">
        <v>1400</v>
      </c>
      <c r="D5" s="3451" t="s">
        <v>2060</v>
      </c>
      <c r="E5" s="3447" t="s">
        <v>1936</v>
      </c>
      <c r="F5" s="3447"/>
      <c r="G5" s="3447" t="s">
        <v>2061</v>
      </c>
      <c r="H5" s="2507"/>
      <c r="I5" s="3447" t="s">
        <v>2062</v>
      </c>
      <c r="J5" s="3447"/>
      <c r="K5" s="3447"/>
    </row>
    <row r="6" spans="1:11" ht="57">
      <c r="A6" s="3450"/>
      <c r="B6" s="3451"/>
      <c r="C6" s="3451"/>
      <c r="D6" s="3451"/>
      <c r="E6" s="2508" t="s">
        <v>2063</v>
      </c>
      <c r="F6" s="2508" t="s">
        <v>2064</v>
      </c>
      <c r="G6" s="3447"/>
      <c r="H6" s="2507"/>
      <c r="I6" s="2508" t="s">
        <v>2065</v>
      </c>
      <c r="J6" s="2508" t="s">
        <v>2066</v>
      </c>
      <c r="K6" s="2508" t="s">
        <v>2067</v>
      </c>
    </row>
    <row r="7" spans="1:11" ht="30.75">
      <c r="A7" s="2502" t="s">
        <v>1871</v>
      </c>
      <c r="B7" s="2509">
        <f>'وضعیت مالی'!G16</f>
        <v>457055</v>
      </c>
      <c r="C7" s="2509">
        <f>'وضعیت مالی'!I16</f>
        <v>317579</v>
      </c>
      <c r="D7" s="2510">
        <f>C7-B7</f>
        <v>-139476</v>
      </c>
      <c r="E7" s="2509"/>
      <c r="F7" s="2509"/>
      <c r="G7" s="2510">
        <f>D7+E7-F7</f>
        <v>-139476</v>
      </c>
      <c r="H7" s="1991"/>
      <c r="I7" s="2511">
        <f>G7</f>
        <v>-139476</v>
      </c>
      <c r="J7" s="2510"/>
      <c r="K7" s="2510"/>
    </row>
    <row r="8" spans="1:11" ht="30.75">
      <c r="A8" s="2512" t="s">
        <v>1872</v>
      </c>
      <c r="B8" s="2509">
        <f>'وضعیت مالی'!G17</f>
        <v>4484864</v>
      </c>
      <c r="C8" s="2509">
        <f>'وضعیت مالی'!I17</f>
        <v>4280630</v>
      </c>
      <c r="D8" s="2510">
        <f>C8-B8</f>
        <v>-204234</v>
      </c>
      <c r="E8" s="2509"/>
      <c r="F8" s="2509"/>
      <c r="G8" s="2510">
        <f t="shared" ref="G8:G29" si="0">D8+E8-F8</f>
        <v>-204234</v>
      </c>
      <c r="H8" s="1991"/>
      <c r="I8" s="2511">
        <f>G8</f>
        <v>-204234</v>
      </c>
      <c r="J8" s="2510"/>
      <c r="K8" s="2510"/>
    </row>
    <row r="9" spans="1:11" ht="30.75">
      <c r="A9" s="2512" t="s">
        <v>2068</v>
      </c>
      <c r="B9" s="2509">
        <f>'وضعیت مالی'!G18</f>
        <v>10129833</v>
      </c>
      <c r="C9" s="2509">
        <f>'وضعیت مالی'!I18</f>
        <v>6959331</v>
      </c>
      <c r="D9" s="2510">
        <f>C9-B9</f>
        <v>-3170502</v>
      </c>
      <c r="E9" s="2509">
        <v>0</v>
      </c>
      <c r="F9" s="2509"/>
      <c r="G9" s="2510">
        <f t="shared" si="0"/>
        <v>-3170502</v>
      </c>
      <c r="H9" s="1991"/>
      <c r="I9" s="3448">
        <f>+G9+G10</f>
        <v>-3166259</v>
      </c>
      <c r="J9" s="2510"/>
      <c r="K9" s="2510"/>
    </row>
    <row r="10" spans="1:11" ht="30.75">
      <c r="A10" s="2512" t="s">
        <v>1870</v>
      </c>
      <c r="B10" s="2509">
        <f>'وضعیت مالی'!G13</f>
        <v>22301</v>
      </c>
      <c r="C10" s="2509">
        <f>'وضعیت مالی'!I13</f>
        <v>26544</v>
      </c>
      <c r="D10" s="2510">
        <f>C10-B10</f>
        <v>4243</v>
      </c>
      <c r="E10" s="2509"/>
      <c r="F10" s="2509"/>
      <c r="G10" s="2510">
        <f>D10+E10-F10</f>
        <v>4243</v>
      </c>
      <c r="H10" s="1991"/>
      <c r="I10" s="3449"/>
      <c r="J10" s="2510"/>
      <c r="K10" s="2510"/>
    </row>
    <row r="11" spans="1:11" ht="30.75">
      <c r="A11" s="2512" t="s">
        <v>1868</v>
      </c>
      <c r="B11" s="2509">
        <f>'وضعیت مالی'!G12</f>
        <v>48</v>
      </c>
      <c r="C11" s="2509">
        <f>'وضعیت مالی'!I12</f>
        <v>48</v>
      </c>
      <c r="D11" s="2510">
        <f t="shared" ref="D11:D12" si="1">C11-B11</f>
        <v>0</v>
      </c>
      <c r="E11" s="2509"/>
      <c r="F11" s="2509"/>
      <c r="G11" s="2510">
        <f t="shared" si="0"/>
        <v>0</v>
      </c>
      <c r="H11" s="1991"/>
      <c r="I11" s="2510">
        <f>G11</f>
        <v>0</v>
      </c>
      <c r="J11" s="2510"/>
      <c r="K11" s="2510"/>
    </row>
    <row r="12" spans="1:11" ht="30.75">
      <c r="A12" s="3438" t="s">
        <v>1867</v>
      </c>
      <c r="B12" s="3440">
        <f>'وضعیت مالی'!G10</f>
        <v>92641359</v>
      </c>
      <c r="C12" s="3440">
        <f>'وضعیت مالی'!I10</f>
        <v>47913845</v>
      </c>
      <c r="D12" s="3431">
        <f t="shared" si="1"/>
        <v>-44727514</v>
      </c>
      <c r="E12" s="2509"/>
      <c r="F12" s="2513"/>
      <c r="G12" s="3431">
        <f>+D12+E12+E13-F12-F13</f>
        <v>-44727514</v>
      </c>
      <c r="H12" s="1991"/>
      <c r="I12" s="2514"/>
      <c r="J12" s="3442">
        <f>G12</f>
        <v>-44727514</v>
      </c>
      <c r="K12" s="2514"/>
    </row>
    <row r="13" spans="1:11" ht="30.75">
      <c r="A13" s="3439"/>
      <c r="B13" s="3441"/>
      <c r="C13" s="3441"/>
      <c r="D13" s="3432"/>
      <c r="E13" s="2509"/>
      <c r="F13" s="2509"/>
      <c r="G13" s="3432"/>
      <c r="H13" s="1991"/>
      <c r="I13" s="2514"/>
      <c r="J13" s="3443"/>
      <c r="K13" s="2514"/>
    </row>
    <row r="14" spans="1:11" ht="30.75">
      <c r="A14" s="3445" t="s">
        <v>1869</v>
      </c>
      <c r="B14" s="3452">
        <f>'وضعیت مالی'!G11</f>
        <v>83241</v>
      </c>
      <c r="C14" s="3452">
        <f>'وضعیت مالی'!I11</f>
        <v>83175</v>
      </c>
      <c r="D14" s="3453">
        <f>C14-B14</f>
        <v>-66</v>
      </c>
      <c r="E14" s="2509"/>
      <c r="F14" s="2509"/>
      <c r="G14" s="2510">
        <v>-484</v>
      </c>
      <c r="H14" s="1991"/>
      <c r="I14" s="2510"/>
      <c r="J14" s="2510">
        <f>G14</f>
        <v>-484</v>
      </c>
      <c r="K14" s="2510"/>
    </row>
    <row r="15" spans="1:11" ht="30.75">
      <c r="A15" s="3445"/>
      <c r="B15" s="3452"/>
      <c r="C15" s="3452"/>
      <c r="D15" s="3453"/>
      <c r="E15" s="2509"/>
      <c r="F15" s="2509"/>
      <c r="G15" s="2510">
        <v>12</v>
      </c>
      <c r="H15" s="1991"/>
      <c r="I15" s="2510"/>
      <c r="J15" s="2510">
        <f>G15</f>
        <v>12</v>
      </c>
      <c r="K15" s="2510"/>
    </row>
    <row r="16" spans="1:11" ht="30.75">
      <c r="A16" s="2512" t="s">
        <v>1880</v>
      </c>
      <c r="B16" s="2509">
        <f>'وضعیت مالی'!G32</f>
        <v>9884176</v>
      </c>
      <c r="C16" s="2509">
        <f>'وضعیت مالی'!I32</f>
        <v>9163508</v>
      </c>
      <c r="D16" s="2510">
        <f>B16-C16</f>
        <v>720668</v>
      </c>
      <c r="E16" s="2509"/>
      <c r="F16" s="2509"/>
      <c r="G16" s="2510">
        <f t="shared" si="0"/>
        <v>720668</v>
      </c>
      <c r="H16" s="1991"/>
      <c r="I16" s="2511">
        <f>G16</f>
        <v>720668</v>
      </c>
      <c r="J16" s="2510"/>
      <c r="K16" s="2510"/>
    </row>
    <row r="17" spans="1:11" ht="30.75">
      <c r="A17" s="2512" t="s">
        <v>1881</v>
      </c>
      <c r="B17" s="2509">
        <f>'وضعیت مالی'!G31</f>
        <v>71634887</v>
      </c>
      <c r="C17" s="2509">
        <f>'وضعیت مالی'!I31</f>
        <v>24870598</v>
      </c>
      <c r="D17" s="2510">
        <f t="shared" ref="D17:D24" si="2">B17-C17</f>
        <v>46764289</v>
      </c>
      <c r="E17" s="2509"/>
      <c r="F17" s="2509"/>
      <c r="G17" s="2510">
        <f t="shared" si="0"/>
        <v>46764289</v>
      </c>
      <c r="H17" s="1991"/>
      <c r="I17" s="3431">
        <f>+G17+G18</f>
        <v>51083932</v>
      </c>
      <c r="J17" s="2510"/>
      <c r="K17" s="2510"/>
    </row>
    <row r="18" spans="1:11" ht="30.75">
      <c r="A18" s="2512" t="s">
        <v>2069</v>
      </c>
      <c r="B18" s="2509">
        <f>'وضعیت مالی'!G35</f>
        <v>26101069</v>
      </c>
      <c r="C18" s="2509">
        <f>'وضعیت مالی'!I35</f>
        <v>21781426</v>
      </c>
      <c r="D18" s="2510">
        <f t="shared" si="2"/>
        <v>4319643</v>
      </c>
      <c r="E18" s="2509"/>
      <c r="F18" s="2509"/>
      <c r="G18" s="2510">
        <f>D18+E18-F18</f>
        <v>4319643</v>
      </c>
      <c r="H18" s="1991"/>
      <c r="I18" s="3432"/>
      <c r="J18" s="2510"/>
      <c r="K18" s="2510"/>
    </row>
    <row r="19" spans="1:11" ht="30.75">
      <c r="A19" s="2512" t="s">
        <v>641</v>
      </c>
      <c r="B19" s="2509" t="e">
        <f>'23-24'!N18+'23-24'!N22+'23-24'!#REF!</f>
        <v>#REF!</v>
      </c>
      <c r="C19" s="2509" t="e">
        <f>'23-24'!P18+'23-24'!P22+'23-24'!#REF!</f>
        <v>#REF!</v>
      </c>
      <c r="D19" s="2510" t="e">
        <f>+B19-C19</f>
        <v>#REF!</v>
      </c>
      <c r="E19" s="2509"/>
      <c r="F19" s="2509"/>
      <c r="G19" s="2510" t="e">
        <f t="shared" si="0"/>
        <v>#REF!</v>
      </c>
      <c r="H19" s="1991"/>
      <c r="I19" s="2510" t="e">
        <f>+G19</f>
        <v>#REF!</v>
      </c>
      <c r="J19" s="2510"/>
      <c r="K19" s="2510"/>
    </row>
    <row r="20" spans="1:11" ht="30.75">
      <c r="A20" s="2512" t="s">
        <v>2070</v>
      </c>
      <c r="B20" s="2509">
        <f>-'[1]400'!U487</f>
        <v>0</v>
      </c>
      <c r="C20" s="2509">
        <f>-'[1]400'!V487</f>
        <v>0</v>
      </c>
      <c r="D20" s="2510">
        <f>+B20-C20</f>
        <v>0</v>
      </c>
      <c r="E20" s="2509"/>
      <c r="F20" s="2509"/>
      <c r="G20" s="2510">
        <f t="shared" si="0"/>
        <v>0</v>
      </c>
      <c r="H20" s="1991"/>
      <c r="I20" s="2511">
        <f>+G20</f>
        <v>0</v>
      </c>
      <c r="J20" s="2510"/>
      <c r="K20" s="2510"/>
    </row>
    <row r="21" spans="1:11" ht="30.75">
      <c r="A21" s="2512" t="s">
        <v>1964</v>
      </c>
      <c r="B21" s="2509">
        <f>'[1]وضعیت مالی'!G36</f>
        <v>0</v>
      </c>
      <c r="C21" s="2509">
        <f>'[1]وضعیت مالی'!I36</f>
        <v>0</v>
      </c>
      <c r="D21" s="2510">
        <f>B21-C21</f>
        <v>0</v>
      </c>
      <c r="E21" s="2509"/>
      <c r="F21" s="2509"/>
      <c r="G21" s="2510">
        <f t="shared" si="0"/>
        <v>0</v>
      </c>
      <c r="H21" s="1991"/>
      <c r="I21" s="2510">
        <f>G21</f>
        <v>0</v>
      </c>
      <c r="J21" s="2510"/>
      <c r="K21" s="2510"/>
    </row>
    <row r="22" spans="1:11" ht="30.75">
      <c r="A22" s="2512" t="s">
        <v>1875</v>
      </c>
      <c r="B22" s="2509">
        <f>'وضعیت مالی'!G24</f>
        <v>12000000</v>
      </c>
      <c r="C22" s="2509">
        <f>'وضعیت مالی'!I24</f>
        <v>12000000</v>
      </c>
      <c r="D22" s="2510">
        <f t="shared" si="2"/>
        <v>0</v>
      </c>
      <c r="E22" s="2509"/>
      <c r="F22" s="2509"/>
      <c r="G22" s="2510">
        <f t="shared" si="0"/>
        <v>0</v>
      </c>
      <c r="H22" s="1991"/>
      <c r="I22" s="2510"/>
      <c r="J22" s="2510"/>
      <c r="K22" s="2510"/>
    </row>
    <row r="23" spans="1:11" ht="30.75">
      <c r="A23" s="2512" t="s">
        <v>1876</v>
      </c>
      <c r="B23" s="2515">
        <f>'وضعیت مالی'!G25</f>
        <v>0.5</v>
      </c>
      <c r="C23" s="2515">
        <f>'وضعیت مالی'!I25</f>
        <v>0.5</v>
      </c>
      <c r="D23" s="2514">
        <f t="shared" si="2"/>
        <v>0</v>
      </c>
      <c r="E23" s="2516"/>
      <c r="F23" s="2516"/>
      <c r="G23" s="2510">
        <f t="shared" si="0"/>
        <v>0</v>
      </c>
      <c r="H23" s="1993"/>
      <c r="I23" s="2514"/>
      <c r="J23" s="2517"/>
      <c r="K23" s="2517"/>
    </row>
    <row r="24" spans="1:11" ht="30.75">
      <c r="A24" s="2512" t="s">
        <v>1877</v>
      </c>
      <c r="B24" s="2509">
        <f>'وضعیت مالی'!G26</f>
        <v>2735.5</v>
      </c>
      <c r="C24" s="2509">
        <f>'وضعیت مالی'!I26</f>
        <v>2736</v>
      </c>
      <c r="D24" s="2514">
        <f t="shared" si="2"/>
        <v>-0.5</v>
      </c>
      <c r="E24" s="2516"/>
      <c r="F24" s="2516"/>
      <c r="G24" s="2510">
        <f t="shared" si="0"/>
        <v>-0.5</v>
      </c>
      <c r="H24" s="1993"/>
      <c r="I24" s="2514"/>
      <c r="J24" s="2510"/>
      <c r="K24" s="2510"/>
    </row>
    <row r="25" spans="1:11" ht="30.75">
      <c r="A25" s="2512" t="s">
        <v>2071</v>
      </c>
      <c r="B25" s="2518"/>
      <c r="C25" s="2518"/>
      <c r="D25" s="2514"/>
      <c r="E25" s="2516"/>
      <c r="F25" s="2516"/>
      <c r="G25" s="2510">
        <f t="shared" si="0"/>
        <v>0</v>
      </c>
      <c r="H25" s="1993"/>
      <c r="I25" s="2514">
        <f>G25</f>
        <v>0</v>
      </c>
      <c r="J25" s="2519"/>
      <c r="K25" s="2519"/>
    </row>
    <row r="26" spans="1:11" ht="30.75">
      <c r="A26" s="2512" t="s">
        <v>2072</v>
      </c>
      <c r="B26" s="2518"/>
      <c r="C26" s="2518"/>
      <c r="D26" s="2514"/>
      <c r="E26" s="2516"/>
      <c r="F26" s="2516"/>
      <c r="G26" s="2510">
        <f t="shared" si="0"/>
        <v>0</v>
      </c>
      <c r="H26" s="1993"/>
      <c r="I26" s="2514"/>
      <c r="J26" s="2519"/>
      <c r="K26" s="2519"/>
    </row>
    <row r="27" spans="1:11" ht="30.75">
      <c r="A27" s="2512" t="s">
        <v>2073</v>
      </c>
      <c r="B27" s="2518"/>
      <c r="C27" s="2518"/>
      <c r="D27" s="2514"/>
      <c r="E27" s="2516"/>
      <c r="F27" s="2516"/>
      <c r="G27" s="2510">
        <f t="shared" si="0"/>
        <v>0</v>
      </c>
      <c r="H27" s="1993"/>
      <c r="I27" s="2514"/>
      <c r="J27" s="2519"/>
      <c r="K27" s="2519"/>
    </row>
    <row r="28" spans="1:11" ht="30.75">
      <c r="A28" s="2512" t="s">
        <v>2074</v>
      </c>
      <c r="B28" s="2518"/>
      <c r="C28" s="2518"/>
      <c r="D28" s="2514"/>
      <c r="E28" s="2516"/>
      <c r="F28" s="2516"/>
      <c r="G28" s="2510">
        <f t="shared" si="0"/>
        <v>0</v>
      </c>
      <c r="H28" s="1993"/>
      <c r="I28" s="2514"/>
      <c r="J28" s="2519"/>
      <c r="K28" s="2514">
        <f>+G28</f>
        <v>0</v>
      </c>
    </row>
    <row r="29" spans="1:11" ht="30.75">
      <c r="A29" s="2512" t="s">
        <v>2075</v>
      </c>
      <c r="B29" s="2518"/>
      <c r="C29" s="2518"/>
      <c r="D29" s="2514"/>
      <c r="E29" s="2516"/>
      <c r="F29" s="2516"/>
      <c r="G29" s="2510">
        <f t="shared" si="0"/>
        <v>0</v>
      </c>
      <c r="H29" s="1993"/>
      <c r="I29" s="2514">
        <f>G29</f>
        <v>0</v>
      </c>
      <c r="J29" s="2519"/>
      <c r="K29" s="2519"/>
    </row>
    <row r="30" spans="1:11" ht="31.5" thickBot="1">
      <c r="A30" s="1998"/>
      <c r="B30" s="2520"/>
      <c r="C30" s="2520"/>
      <c r="D30" s="2521" t="e">
        <f>SUM(D7:D29)</f>
        <v>#REF!</v>
      </c>
      <c r="E30" s="2521">
        <f>SUM(E7:E29)</f>
        <v>0</v>
      </c>
      <c r="F30" s="2521">
        <f>SUM(F7:F29)</f>
        <v>0</v>
      </c>
      <c r="G30" s="2521" t="e">
        <f>SUM(G7:G29)</f>
        <v>#REF!</v>
      </c>
      <c r="H30" s="2522"/>
      <c r="I30" s="2521" t="e">
        <f>SUM(I7:I29)</f>
        <v>#REF!</v>
      </c>
      <c r="J30" s="2521">
        <f t="shared" ref="J30:K30" si="3">SUM(J7:J29)</f>
        <v>-44727986</v>
      </c>
      <c r="K30" s="2521">
        <f t="shared" si="3"/>
        <v>0</v>
      </c>
    </row>
    <row r="31" spans="1:11" ht="31.5" thickTop="1">
      <c r="A31" s="1999"/>
      <c r="B31" s="2523"/>
      <c r="C31" s="2523"/>
      <c r="D31" s="2523"/>
      <c r="E31" s="2523"/>
      <c r="F31" s="2523"/>
      <c r="G31" s="2523"/>
      <c r="H31" s="2524"/>
      <c r="I31" s="3454" t="e">
        <f>SUM(I30:K30)</f>
        <v>#REF!</v>
      </c>
      <c r="J31" s="3454"/>
      <c r="K31" s="3454"/>
    </row>
  </sheetData>
  <mergeCells count="26">
    <mergeCell ref="B14:B15"/>
    <mergeCell ref="C14:C15"/>
    <mergeCell ref="D14:D15"/>
    <mergeCell ref="I17:I18"/>
    <mergeCell ref="I31:K31"/>
    <mergeCell ref="B5:B6"/>
    <mergeCell ref="C5:C6"/>
    <mergeCell ref="D5:D6"/>
    <mergeCell ref="E5:F5"/>
    <mergeCell ref="G5:G6"/>
    <mergeCell ref="A14:A15"/>
    <mergeCell ref="B1:F1"/>
    <mergeCell ref="I1:J1"/>
    <mergeCell ref="B2:F2"/>
    <mergeCell ref="I2:J2"/>
    <mergeCell ref="B3:F3"/>
    <mergeCell ref="I3:J3"/>
    <mergeCell ref="I5:K5"/>
    <mergeCell ref="I9:I10"/>
    <mergeCell ref="A12:A13"/>
    <mergeCell ref="B12:B13"/>
    <mergeCell ref="C12:C13"/>
    <mergeCell ref="D12:D13"/>
    <mergeCell ref="G12:G13"/>
    <mergeCell ref="J12:J13"/>
    <mergeCell ref="A5:A6"/>
  </mergeCells>
  <pageMargins left="0.7" right="0.7" top="0.75" bottom="0.75" header="0.3" footer="0.3"/>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Y563"/>
  <sheetViews>
    <sheetView rightToLeft="1" topLeftCell="D1" zoomScale="78" zoomScaleNormal="78" zoomScaleSheetLayoutView="98" workbookViewId="0">
      <pane ySplit="2" topLeftCell="A530" activePane="bottomLeft" state="frozen"/>
      <selection activeCell="E19" sqref="E19:G19"/>
      <selection pane="bottomLeft" activeCell="E19" sqref="E19:G19"/>
    </sheetView>
  </sheetViews>
  <sheetFormatPr defaultColWidth="1.375" defaultRowHeight="19.5" customHeight="1"/>
  <cols>
    <col min="1" max="1" width="7.625" style="597" bestFit="1" customWidth="1"/>
    <col min="2" max="2" width="8" style="597" bestFit="1" customWidth="1"/>
    <col min="3" max="3" width="5.625" style="580" bestFit="1" customWidth="1"/>
    <col min="4" max="4" width="24" style="1145" customWidth="1"/>
    <col min="5" max="5" width="33.625" style="1140" customWidth="1"/>
    <col min="6" max="6" width="20.625" style="597" hidden="1" customWidth="1"/>
    <col min="7" max="7" width="17.75" style="597" hidden="1" customWidth="1"/>
    <col min="8" max="9" width="19.375" style="597" hidden="1" customWidth="1"/>
    <col min="10" max="10" width="20.25" style="597" hidden="1" customWidth="1"/>
    <col min="11" max="13" width="19.375" style="597" hidden="1" customWidth="1"/>
    <col min="14" max="14" width="17.75" style="597" hidden="1" customWidth="1"/>
    <col min="15" max="15" width="6.25" style="597" hidden="1" customWidth="1"/>
    <col min="16" max="16" width="18.25" style="597" hidden="1" customWidth="1"/>
    <col min="17" max="17" width="20.625" style="1119" bestFit="1" customWidth="1"/>
    <col min="18" max="18" width="20.625" style="597" hidden="1" customWidth="1"/>
    <col min="19" max="19" width="14.25" style="1102" customWidth="1"/>
    <col min="20" max="20" width="12.625" style="597" hidden="1" customWidth="1"/>
    <col min="21" max="21" width="20.625" style="597" bestFit="1" customWidth="1"/>
    <col min="22" max="22" width="23" style="597" customWidth="1"/>
    <col min="23" max="23" width="21" style="1102" bestFit="1" customWidth="1"/>
    <col min="24" max="24" width="13.875" style="597" bestFit="1" customWidth="1"/>
    <col min="25" max="25" width="12" style="597" customWidth="1"/>
    <col min="26" max="26" width="1.375" style="597" customWidth="1"/>
    <col min="27" max="16384" width="1.375" style="597"/>
  </cols>
  <sheetData>
    <row r="1" spans="1:25" s="608" customFormat="1" ht="18.75" customHeight="1">
      <c r="A1" s="2937" t="s">
        <v>1683</v>
      </c>
      <c r="B1" s="2937" t="s">
        <v>1658</v>
      </c>
      <c r="C1" s="2939" t="s">
        <v>1657</v>
      </c>
      <c r="D1" s="1142"/>
      <c r="E1" s="2941" t="s">
        <v>62</v>
      </c>
      <c r="F1" s="2945" t="s">
        <v>1566</v>
      </c>
      <c r="G1" s="2945" t="s">
        <v>1567</v>
      </c>
      <c r="H1" s="2945" t="s">
        <v>1568</v>
      </c>
      <c r="I1" s="2945" t="s">
        <v>1366</v>
      </c>
      <c r="J1" s="2945" t="s">
        <v>1367</v>
      </c>
      <c r="K1" s="2945" t="s">
        <v>1475</v>
      </c>
      <c r="L1" s="2945" t="s">
        <v>1437</v>
      </c>
      <c r="M1" s="2945" t="s">
        <v>1438</v>
      </c>
      <c r="N1" s="2945" t="s">
        <v>1439</v>
      </c>
      <c r="O1" s="2945" t="s">
        <v>1498</v>
      </c>
      <c r="P1" s="2945" t="s">
        <v>1569</v>
      </c>
      <c r="Q1" s="2978" t="s">
        <v>1731</v>
      </c>
      <c r="R1" s="2949">
        <v>1395</v>
      </c>
      <c r="S1" s="2959">
        <v>1396</v>
      </c>
      <c r="T1" s="2949">
        <v>1395</v>
      </c>
      <c r="U1" s="2955" t="s">
        <v>1473</v>
      </c>
      <c r="V1" s="2957" t="s">
        <v>1474</v>
      </c>
      <c r="W1" s="2959" t="s">
        <v>1732</v>
      </c>
      <c r="X1" s="2949" t="s">
        <v>1777</v>
      </c>
    </row>
    <row r="2" spans="1:25" s="609" customFormat="1" ht="18.75" customHeight="1">
      <c r="A2" s="2938"/>
      <c r="B2" s="2938"/>
      <c r="C2" s="2940"/>
      <c r="D2" s="1143"/>
      <c r="E2" s="2942"/>
      <c r="F2" s="2946"/>
      <c r="G2" s="2946"/>
      <c r="H2" s="2946"/>
      <c r="I2" s="2946"/>
      <c r="J2" s="2946"/>
      <c r="K2" s="2946"/>
      <c r="L2" s="2946"/>
      <c r="M2" s="2946"/>
      <c r="N2" s="2946"/>
      <c r="O2" s="2946"/>
      <c r="P2" s="2946"/>
      <c r="Q2" s="2948"/>
      <c r="R2" s="2950"/>
      <c r="S2" s="2960"/>
      <c r="T2" s="2950"/>
      <c r="U2" s="2956"/>
      <c r="V2" s="2958"/>
      <c r="W2" s="2960"/>
      <c r="X2" s="2950"/>
    </row>
    <row r="3" spans="1:25" ht="27" customHeight="1">
      <c r="A3" s="583"/>
      <c r="B3" s="583">
        <v>1012</v>
      </c>
      <c r="C3" s="581">
        <v>10</v>
      </c>
      <c r="D3" s="1137" t="s">
        <v>425</v>
      </c>
      <c r="E3" s="1138" t="s">
        <v>426</v>
      </c>
      <c r="F3" s="599">
        <v>-10626000</v>
      </c>
      <c r="G3" s="599"/>
      <c r="H3" s="599"/>
      <c r="I3" s="599"/>
      <c r="J3" s="599"/>
      <c r="K3" s="599"/>
      <c r="L3" s="599"/>
      <c r="M3" s="599"/>
      <c r="N3" s="599"/>
      <c r="O3" s="599"/>
      <c r="P3" s="599"/>
      <c r="Q3" s="1096">
        <f>SUM(F3:P3)</f>
        <v>-10626000</v>
      </c>
      <c r="R3" s="599">
        <v>-21226000</v>
      </c>
      <c r="S3" s="1096">
        <f>ROUND((Q3/1000000),0)+0</f>
        <v>-11</v>
      </c>
      <c r="T3" s="599">
        <f t="shared" ref="S3:T71" si="0">ROUND((R3/1000000),0)</f>
        <v>-21</v>
      </c>
      <c r="U3" s="620"/>
      <c r="V3" s="621"/>
      <c r="W3" s="1096">
        <f>Q3+V3-U3</f>
        <v>-10626000</v>
      </c>
      <c r="X3" s="882">
        <f>ROUND((W3/1000000),0)</f>
        <v>-11</v>
      </c>
      <c r="Y3" s="910">
        <f>S3-X3</f>
        <v>0</v>
      </c>
    </row>
    <row r="4" spans="1:25" ht="27" customHeight="1">
      <c r="A4" s="583"/>
      <c r="B4" s="583">
        <v>1009</v>
      </c>
      <c r="C4" s="581">
        <v>10</v>
      </c>
      <c r="D4" s="1137" t="s">
        <v>1202</v>
      </c>
      <c r="E4" s="1138" t="s">
        <v>1082</v>
      </c>
      <c r="F4" s="599">
        <v>17050795</v>
      </c>
      <c r="G4" s="599">
        <v>-2336795</v>
      </c>
      <c r="H4" s="599"/>
      <c r="I4" s="599"/>
      <c r="J4" s="599"/>
      <c r="K4" s="599"/>
      <c r="L4" s="599"/>
      <c r="M4" s="599"/>
      <c r="N4" s="599"/>
      <c r="O4" s="599"/>
      <c r="P4" s="599"/>
      <c r="Q4" s="1096">
        <f t="shared" ref="Q4:Q67" si="1">SUM(F4:P4)</f>
        <v>14714000</v>
      </c>
      <c r="R4" s="599">
        <v>77482825</v>
      </c>
      <c r="S4" s="1096">
        <f t="shared" si="0"/>
        <v>15</v>
      </c>
      <c r="T4" s="599">
        <f t="shared" si="0"/>
        <v>77</v>
      </c>
      <c r="U4" s="620"/>
      <c r="V4" s="621"/>
      <c r="W4" s="1096">
        <f t="shared" ref="W4:W72" si="2">Q4+V4-U4</f>
        <v>14714000</v>
      </c>
      <c r="X4" s="882">
        <f t="shared" ref="X4:X67" si="3">ROUND((W4/1000000),0)</f>
        <v>15</v>
      </c>
      <c r="Y4" s="910">
        <f t="shared" ref="Y4:Y67" si="4">S4-X4</f>
        <v>0</v>
      </c>
    </row>
    <row r="5" spans="1:25" ht="27" customHeight="1">
      <c r="A5" s="583"/>
      <c r="B5" s="583">
        <v>401</v>
      </c>
      <c r="C5" s="581">
        <v>4</v>
      </c>
      <c r="D5" s="1137" t="s">
        <v>825</v>
      </c>
      <c r="E5" s="1138" t="s">
        <v>826</v>
      </c>
      <c r="F5" s="599"/>
      <c r="G5" s="599"/>
      <c r="H5" s="599"/>
      <c r="I5" s="599"/>
      <c r="J5" s="599"/>
      <c r="K5" s="599"/>
      <c r="L5" s="599"/>
      <c r="M5" s="599"/>
      <c r="N5" s="599"/>
      <c r="O5" s="599"/>
      <c r="P5" s="599"/>
      <c r="Q5" s="1096">
        <f t="shared" si="1"/>
        <v>0</v>
      </c>
      <c r="R5" s="599">
        <v>0</v>
      </c>
      <c r="S5" s="1096">
        <f t="shared" si="0"/>
        <v>0</v>
      </c>
      <c r="T5" s="599">
        <f t="shared" si="0"/>
        <v>0</v>
      </c>
      <c r="U5" s="620"/>
      <c r="V5" s="621"/>
      <c r="W5" s="1096">
        <f t="shared" si="2"/>
        <v>0</v>
      </c>
      <c r="X5" s="882">
        <f t="shared" si="3"/>
        <v>0</v>
      </c>
      <c r="Y5" s="910">
        <f t="shared" si="4"/>
        <v>0</v>
      </c>
    </row>
    <row r="6" spans="1:25" ht="27" customHeight="1">
      <c r="A6" s="583"/>
      <c r="B6" s="583">
        <v>1009</v>
      </c>
      <c r="C6" s="581">
        <v>10</v>
      </c>
      <c r="D6" s="1137" t="s">
        <v>607</v>
      </c>
      <c r="E6" s="1138" t="s">
        <v>606</v>
      </c>
      <c r="F6" s="599">
        <v>-9166674</v>
      </c>
      <c r="G6" s="599"/>
      <c r="H6" s="599"/>
      <c r="I6" s="599"/>
      <c r="J6" s="599"/>
      <c r="K6" s="599"/>
      <c r="L6" s="599"/>
      <c r="M6" s="599"/>
      <c r="N6" s="599"/>
      <c r="O6" s="599"/>
      <c r="P6" s="599"/>
      <c r="Q6" s="1096">
        <f t="shared" si="1"/>
        <v>-9166674</v>
      </c>
      <c r="R6" s="599">
        <v>-6666672</v>
      </c>
      <c r="S6" s="1096">
        <f t="shared" si="0"/>
        <v>-9</v>
      </c>
      <c r="T6" s="599">
        <f t="shared" si="0"/>
        <v>-7</v>
      </c>
      <c r="U6" s="620"/>
      <c r="V6" s="621"/>
      <c r="W6" s="1096">
        <f t="shared" si="2"/>
        <v>-9166674</v>
      </c>
      <c r="X6" s="882">
        <f t="shared" si="3"/>
        <v>-9</v>
      </c>
      <c r="Y6" s="910">
        <f t="shared" si="4"/>
        <v>0</v>
      </c>
    </row>
    <row r="7" spans="1:25" ht="27" customHeight="1">
      <c r="A7" s="583"/>
      <c r="B7" s="583">
        <v>1009</v>
      </c>
      <c r="C7" s="581">
        <v>10</v>
      </c>
      <c r="D7" s="1137" t="s">
        <v>873</v>
      </c>
      <c r="E7" s="1138" t="s">
        <v>827</v>
      </c>
      <c r="F7" s="599"/>
      <c r="G7" s="599"/>
      <c r="H7" s="599"/>
      <c r="I7" s="599"/>
      <c r="J7" s="599"/>
      <c r="K7" s="599"/>
      <c r="L7" s="599"/>
      <c r="M7" s="599"/>
      <c r="N7" s="599"/>
      <c r="O7" s="599"/>
      <c r="P7" s="599"/>
      <c r="Q7" s="1096">
        <f t="shared" si="1"/>
        <v>0</v>
      </c>
      <c r="R7" s="599">
        <v>0</v>
      </c>
      <c r="S7" s="1096">
        <f t="shared" si="0"/>
        <v>0</v>
      </c>
      <c r="T7" s="599">
        <f t="shared" si="0"/>
        <v>0</v>
      </c>
      <c r="U7" s="620"/>
      <c r="V7" s="621"/>
      <c r="W7" s="1096">
        <f t="shared" si="2"/>
        <v>0</v>
      </c>
      <c r="X7" s="882">
        <f t="shared" si="3"/>
        <v>0</v>
      </c>
      <c r="Y7" s="910">
        <f t="shared" si="4"/>
        <v>0</v>
      </c>
    </row>
    <row r="8" spans="1:25" ht="27" customHeight="1">
      <c r="A8" s="583"/>
      <c r="B8" s="583">
        <v>1009</v>
      </c>
      <c r="C8" s="581">
        <v>10</v>
      </c>
      <c r="D8" s="1137" t="s">
        <v>427</v>
      </c>
      <c r="E8" s="1139" t="s">
        <v>775</v>
      </c>
      <c r="F8" s="599">
        <v>46284638</v>
      </c>
      <c r="G8" s="599"/>
      <c r="H8" s="599"/>
      <c r="I8" s="599"/>
      <c r="J8" s="599"/>
      <c r="K8" s="599"/>
      <c r="L8" s="599"/>
      <c r="M8" s="599"/>
      <c r="N8" s="599"/>
      <c r="O8" s="599"/>
      <c r="P8" s="599"/>
      <c r="Q8" s="1096">
        <f t="shared" si="1"/>
        <v>46284638</v>
      </c>
      <c r="R8" s="599">
        <v>-405078637</v>
      </c>
      <c r="S8" s="1096">
        <f t="shared" si="0"/>
        <v>46</v>
      </c>
      <c r="T8" s="599">
        <f t="shared" si="0"/>
        <v>-405</v>
      </c>
      <c r="U8" s="620"/>
      <c r="V8" s="621"/>
      <c r="W8" s="1096">
        <f t="shared" si="2"/>
        <v>46284638</v>
      </c>
      <c r="X8" s="882">
        <f t="shared" si="3"/>
        <v>46</v>
      </c>
      <c r="Y8" s="910">
        <f t="shared" si="4"/>
        <v>0</v>
      </c>
    </row>
    <row r="9" spans="1:25" ht="27" customHeight="1">
      <c r="A9" s="583"/>
      <c r="B9" s="583">
        <v>1009</v>
      </c>
      <c r="C9" s="581">
        <v>10</v>
      </c>
      <c r="D9" s="1137" t="s">
        <v>829</v>
      </c>
      <c r="E9" s="1138" t="s">
        <v>830</v>
      </c>
      <c r="F9" s="599"/>
      <c r="G9" s="599"/>
      <c r="H9" s="599"/>
      <c r="I9" s="599"/>
      <c r="J9" s="599"/>
      <c r="K9" s="599"/>
      <c r="L9" s="599"/>
      <c r="M9" s="599"/>
      <c r="N9" s="599"/>
      <c r="O9" s="599"/>
      <c r="P9" s="599"/>
      <c r="Q9" s="1096">
        <f t="shared" si="1"/>
        <v>0</v>
      </c>
      <c r="R9" s="599">
        <v>0</v>
      </c>
      <c r="S9" s="1096">
        <f t="shared" si="0"/>
        <v>0</v>
      </c>
      <c r="T9" s="599">
        <f t="shared" si="0"/>
        <v>0</v>
      </c>
      <c r="U9" s="620"/>
      <c r="V9" s="621"/>
      <c r="W9" s="1096">
        <f t="shared" si="2"/>
        <v>0</v>
      </c>
      <c r="X9" s="882">
        <f t="shared" si="3"/>
        <v>0</v>
      </c>
      <c r="Y9" s="910">
        <f t="shared" si="4"/>
        <v>0</v>
      </c>
    </row>
    <row r="10" spans="1:25" ht="27" customHeight="1">
      <c r="A10" s="583"/>
      <c r="B10" s="583">
        <v>1009</v>
      </c>
      <c r="C10" s="1131">
        <v>10</v>
      </c>
      <c r="D10" s="1137" t="s">
        <v>1440</v>
      </c>
      <c r="E10" s="1138" t="s">
        <v>1266</v>
      </c>
      <c r="F10" s="599">
        <v>-334509475</v>
      </c>
      <c r="G10" s="599"/>
      <c r="H10" s="599"/>
      <c r="I10" s="599"/>
      <c r="J10" s="599"/>
      <c r="K10" s="599"/>
      <c r="L10" s="599"/>
      <c r="M10" s="599"/>
      <c r="N10" s="599"/>
      <c r="O10" s="599"/>
      <c r="P10" s="599"/>
      <c r="Q10" s="1096">
        <f t="shared" si="1"/>
        <v>-334509475</v>
      </c>
      <c r="R10" s="599">
        <v>-371671743</v>
      </c>
      <c r="S10" s="1096">
        <f>ROUND((Q10/1000000),0)+1</f>
        <v>-334</v>
      </c>
      <c r="T10" s="599">
        <f t="shared" si="0"/>
        <v>-372</v>
      </c>
      <c r="U10" s="620"/>
      <c r="V10" s="621"/>
      <c r="W10" s="1096">
        <f t="shared" si="2"/>
        <v>-334509475</v>
      </c>
      <c r="X10" s="882">
        <f t="shared" si="3"/>
        <v>-335</v>
      </c>
      <c r="Y10" s="910">
        <f t="shared" si="4"/>
        <v>1</v>
      </c>
    </row>
    <row r="11" spans="1:25" ht="27" customHeight="1">
      <c r="A11" s="583"/>
      <c r="B11" s="583">
        <v>1009</v>
      </c>
      <c r="C11" s="581">
        <v>10</v>
      </c>
      <c r="D11" s="1137" t="s">
        <v>1167</v>
      </c>
      <c r="E11" s="1138" t="s">
        <v>1168</v>
      </c>
      <c r="F11" s="599">
        <v>-9819952</v>
      </c>
      <c r="G11" s="599"/>
      <c r="H11" s="599">
        <v>4736900</v>
      </c>
      <c r="I11" s="599"/>
      <c r="J11" s="599"/>
      <c r="K11" s="599"/>
      <c r="L11" s="599"/>
      <c r="M11" s="599"/>
      <c r="N11" s="599"/>
      <c r="O11" s="599"/>
      <c r="P11" s="599"/>
      <c r="Q11" s="1096">
        <f t="shared" si="1"/>
        <v>-5083052</v>
      </c>
      <c r="R11" s="599">
        <v>-147234080</v>
      </c>
      <c r="S11" s="1096">
        <f t="shared" si="0"/>
        <v>-5</v>
      </c>
      <c r="T11" s="599">
        <f t="shared" si="0"/>
        <v>-147</v>
      </c>
      <c r="U11" s="620"/>
      <c r="V11" s="621"/>
      <c r="W11" s="1096">
        <f t="shared" si="2"/>
        <v>-5083052</v>
      </c>
      <c r="X11" s="882">
        <f t="shared" si="3"/>
        <v>-5</v>
      </c>
      <c r="Y11" s="910">
        <f t="shared" si="4"/>
        <v>0</v>
      </c>
    </row>
    <row r="12" spans="1:25" ht="27" customHeight="1">
      <c r="A12" s="583"/>
      <c r="B12" s="583">
        <v>1009</v>
      </c>
      <c r="C12" s="581">
        <v>10</v>
      </c>
      <c r="D12" s="1137" t="s">
        <v>1227</v>
      </c>
      <c r="E12" s="1138" t="s">
        <v>1228</v>
      </c>
      <c r="F12" s="599">
        <v>30500000</v>
      </c>
      <c r="G12" s="599"/>
      <c r="H12" s="599"/>
      <c r="I12" s="599"/>
      <c r="J12" s="599"/>
      <c r="K12" s="599"/>
      <c r="L12" s="599"/>
      <c r="M12" s="599"/>
      <c r="N12" s="599"/>
      <c r="O12" s="599"/>
      <c r="P12" s="599"/>
      <c r="Q12" s="1096">
        <f t="shared" si="1"/>
        <v>30500000</v>
      </c>
      <c r="R12" s="599">
        <v>56500000</v>
      </c>
      <c r="S12" s="1096">
        <f t="shared" si="0"/>
        <v>31</v>
      </c>
      <c r="T12" s="599">
        <f t="shared" si="0"/>
        <v>57</v>
      </c>
      <c r="U12" s="620"/>
      <c r="V12" s="621"/>
      <c r="W12" s="1096">
        <f t="shared" si="2"/>
        <v>30500000</v>
      </c>
      <c r="X12" s="882">
        <f t="shared" si="3"/>
        <v>31</v>
      </c>
      <c r="Y12" s="910">
        <f t="shared" si="4"/>
        <v>0</v>
      </c>
    </row>
    <row r="13" spans="1:25" ht="27" customHeight="1">
      <c r="A13" s="583"/>
      <c r="B13" s="583">
        <v>1009</v>
      </c>
      <c r="C13" s="581">
        <v>10</v>
      </c>
      <c r="D13" s="1137" t="s">
        <v>430</v>
      </c>
      <c r="E13" s="1138" t="s">
        <v>431</v>
      </c>
      <c r="F13" s="599">
        <v>-3200000</v>
      </c>
      <c r="G13" s="599"/>
      <c r="H13" s="599"/>
      <c r="I13" s="599"/>
      <c r="J13" s="599"/>
      <c r="K13" s="599"/>
      <c r="L13" s="599"/>
      <c r="M13" s="599"/>
      <c r="N13" s="599"/>
      <c r="O13" s="599"/>
      <c r="P13" s="599"/>
      <c r="Q13" s="1096">
        <f t="shared" si="1"/>
        <v>-3200000</v>
      </c>
      <c r="R13" s="599">
        <v>-9140000</v>
      </c>
      <c r="S13" s="1096">
        <f t="shared" si="0"/>
        <v>-3</v>
      </c>
      <c r="T13" s="599">
        <f t="shared" si="0"/>
        <v>-9</v>
      </c>
      <c r="U13" s="620"/>
      <c r="V13" s="621"/>
      <c r="W13" s="1096">
        <f t="shared" si="2"/>
        <v>-3200000</v>
      </c>
      <c r="X13" s="882">
        <f t="shared" si="3"/>
        <v>-3</v>
      </c>
      <c r="Y13" s="910">
        <f t="shared" si="4"/>
        <v>0</v>
      </c>
    </row>
    <row r="14" spans="1:25" ht="27" customHeight="1">
      <c r="A14" s="583"/>
      <c r="B14" s="583">
        <v>401</v>
      </c>
      <c r="C14" s="581">
        <v>4</v>
      </c>
      <c r="D14" s="1137" t="s">
        <v>432</v>
      </c>
      <c r="E14" s="1138" t="s">
        <v>433</v>
      </c>
      <c r="F14" s="599">
        <v>-419410921</v>
      </c>
      <c r="G14" s="599"/>
      <c r="H14" s="599"/>
      <c r="I14" s="599"/>
      <c r="J14" s="599"/>
      <c r="K14" s="599"/>
      <c r="L14" s="599"/>
      <c r="M14" s="599"/>
      <c r="N14" s="599"/>
      <c r="O14" s="599"/>
      <c r="P14" s="599"/>
      <c r="Q14" s="1096">
        <f t="shared" si="1"/>
        <v>-419410921</v>
      </c>
      <c r="R14" s="599">
        <v>176902000</v>
      </c>
      <c r="S14" s="1096">
        <f t="shared" si="0"/>
        <v>-419</v>
      </c>
      <c r="T14" s="599">
        <f t="shared" si="0"/>
        <v>177</v>
      </c>
      <c r="U14" s="620"/>
      <c r="V14" s="621"/>
      <c r="W14" s="1096">
        <f t="shared" si="2"/>
        <v>-419410921</v>
      </c>
      <c r="X14" s="882">
        <f t="shared" si="3"/>
        <v>-419</v>
      </c>
      <c r="Y14" s="910">
        <f t="shared" si="4"/>
        <v>0</v>
      </c>
    </row>
    <row r="15" spans="1:25" ht="42.75" customHeight="1">
      <c r="A15" s="583"/>
      <c r="B15" s="583">
        <v>401</v>
      </c>
      <c r="C15" s="581">
        <v>4</v>
      </c>
      <c r="D15" s="1137" t="s">
        <v>925</v>
      </c>
      <c r="E15" s="1139" t="s">
        <v>926</v>
      </c>
      <c r="F15" s="599">
        <v>15689580</v>
      </c>
      <c r="G15" s="599"/>
      <c r="H15" s="599"/>
      <c r="I15" s="599"/>
      <c r="J15" s="599"/>
      <c r="K15" s="599"/>
      <c r="L15" s="599"/>
      <c r="M15" s="599"/>
      <c r="N15" s="599"/>
      <c r="O15" s="599"/>
      <c r="P15" s="599"/>
      <c r="Q15" s="1096">
        <f t="shared" si="1"/>
        <v>15689580</v>
      </c>
      <c r="R15" s="599">
        <v>0</v>
      </c>
      <c r="S15" s="1096">
        <f t="shared" si="0"/>
        <v>16</v>
      </c>
      <c r="T15" s="599">
        <f t="shared" si="0"/>
        <v>0</v>
      </c>
      <c r="U15" s="620"/>
      <c r="V15" s="621"/>
      <c r="W15" s="1096">
        <f t="shared" si="2"/>
        <v>15689580</v>
      </c>
      <c r="X15" s="882">
        <f t="shared" si="3"/>
        <v>16</v>
      </c>
      <c r="Y15" s="910">
        <f t="shared" si="4"/>
        <v>0</v>
      </c>
    </row>
    <row r="16" spans="1:25" ht="27" customHeight="1">
      <c r="A16" s="583"/>
      <c r="B16" s="583">
        <v>1009</v>
      </c>
      <c r="C16" s="581">
        <v>10</v>
      </c>
      <c r="D16" s="1137" t="s">
        <v>434</v>
      </c>
      <c r="E16" s="1138" t="s">
        <v>435</v>
      </c>
      <c r="F16" s="599"/>
      <c r="G16" s="599"/>
      <c r="H16" s="599"/>
      <c r="I16" s="599"/>
      <c r="J16" s="599"/>
      <c r="K16" s="599"/>
      <c r="L16" s="599"/>
      <c r="M16" s="599"/>
      <c r="N16" s="599"/>
      <c r="O16" s="599"/>
      <c r="P16" s="599"/>
      <c r="Q16" s="1096">
        <f t="shared" si="1"/>
        <v>0</v>
      </c>
      <c r="R16" s="599">
        <v>0</v>
      </c>
      <c r="S16" s="1096">
        <f t="shared" si="0"/>
        <v>0</v>
      </c>
      <c r="T16" s="599">
        <f t="shared" si="0"/>
        <v>0</v>
      </c>
      <c r="U16" s="620"/>
      <c r="V16" s="621"/>
      <c r="W16" s="1096">
        <f t="shared" si="2"/>
        <v>0</v>
      </c>
      <c r="X16" s="882">
        <f t="shared" si="3"/>
        <v>0</v>
      </c>
      <c r="Y16" s="910">
        <f t="shared" si="4"/>
        <v>0</v>
      </c>
    </row>
    <row r="17" spans="1:25" ht="27" customHeight="1">
      <c r="A17" s="583"/>
      <c r="B17" s="583">
        <v>401</v>
      </c>
      <c r="C17" s="581">
        <v>4</v>
      </c>
      <c r="D17" s="1137" t="s">
        <v>436</v>
      </c>
      <c r="E17" s="1138" t="s">
        <v>437</v>
      </c>
      <c r="F17" s="599"/>
      <c r="G17" s="599"/>
      <c r="H17" s="599"/>
      <c r="I17" s="599"/>
      <c r="J17" s="599"/>
      <c r="K17" s="599"/>
      <c r="L17" s="599"/>
      <c r="M17" s="599"/>
      <c r="N17" s="599"/>
      <c r="O17" s="599"/>
      <c r="P17" s="599"/>
      <c r="Q17" s="1096">
        <f t="shared" si="1"/>
        <v>0</v>
      </c>
      <c r="R17" s="599">
        <v>0</v>
      </c>
      <c r="S17" s="1096">
        <f t="shared" si="0"/>
        <v>0</v>
      </c>
      <c r="T17" s="599">
        <f t="shared" si="0"/>
        <v>0</v>
      </c>
      <c r="U17" s="620"/>
      <c r="V17" s="621"/>
      <c r="W17" s="1096">
        <f t="shared" si="2"/>
        <v>0</v>
      </c>
      <c r="X17" s="882">
        <f t="shared" si="3"/>
        <v>0</v>
      </c>
      <c r="Y17" s="910">
        <f t="shared" si="4"/>
        <v>0</v>
      </c>
    </row>
    <row r="18" spans="1:25" ht="27" customHeight="1">
      <c r="A18" s="583"/>
      <c r="B18" s="583">
        <v>1009</v>
      </c>
      <c r="C18" s="581">
        <v>10</v>
      </c>
      <c r="D18" s="1137" t="s">
        <v>438</v>
      </c>
      <c r="E18" s="1138" t="s">
        <v>176</v>
      </c>
      <c r="F18" s="599">
        <v>-974970106</v>
      </c>
      <c r="G18" s="599"/>
      <c r="H18" s="599"/>
      <c r="I18" s="599"/>
      <c r="J18" s="599"/>
      <c r="K18" s="599"/>
      <c r="L18" s="599"/>
      <c r="M18" s="599"/>
      <c r="N18" s="599"/>
      <c r="O18" s="599"/>
      <c r="P18" s="599"/>
      <c r="Q18" s="1096">
        <f t="shared" si="1"/>
        <v>-974970106</v>
      </c>
      <c r="R18" s="599">
        <v>-2507199563</v>
      </c>
      <c r="S18" s="1096">
        <f t="shared" si="0"/>
        <v>-975</v>
      </c>
      <c r="T18" s="599">
        <f t="shared" si="0"/>
        <v>-2507</v>
      </c>
      <c r="U18" s="620"/>
      <c r="V18" s="621"/>
      <c r="W18" s="1096">
        <f t="shared" si="2"/>
        <v>-974970106</v>
      </c>
      <c r="X18" s="882">
        <f t="shared" si="3"/>
        <v>-975</v>
      </c>
      <c r="Y18" s="910">
        <f t="shared" si="4"/>
        <v>0</v>
      </c>
    </row>
    <row r="19" spans="1:25" ht="27" customHeight="1">
      <c r="A19" s="583"/>
      <c r="B19" s="583">
        <v>401</v>
      </c>
      <c r="C19" s="581">
        <v>4</v>
      </c>
      <c r="D19" s="1137" t="s">
        <v>1169</v>
      </c>
      <c r="E19" s="1138" t="s">
        <v>1102</v>
      </c>
      <c r="F19" s="599"/>
      <c r="G19" s="599"/>
      <c r="H19" s="599"/>
      <c r="I19" s="599"/>
      <c r="J19" s="599"/>
      <c r="K19" s="599"/>
      <c r="L19" s="599"/>
      <c r="M19" s="599"/>
      <c r="N19" s="599"/>
      <c r="O19" s="599"/>
      <c r="P19" s="599"/>
      <c r="Q19" s="1096">
        <f t="shared" si="1"/>
        <v>0</v>
      </c>
      <c r="R19" s="599">
        <v>0</v>
      </c>
      <c r="S19" s="1096">
        <f t="shared" si="0"/>
        <v>0</v>
      </c>
      <c r="T19" s="599">
        <f t="shared" si="0"/>
        <v>0</v>
      </c>
      <c r="U19" s="620"/>
      <c r="V19" s="621"/>
      <c r="W19" s="1096">
        <f t="shared" si="2"/>
        <v>0</v>
      </c>
      <c r="X19" s="882">
        <f t="shared" si="3"/>
        <v>0</v>
      </c>
      <c r="Y19" s="910">
        <f t="shared" si="4"/>
        <v>0</v>
      </c>
    </row>
    <row r="20" spans="1:25" ht="27" customHeight="1">
      <c r="A20" s="583"/>
      <c r="B20" s="583">
        <v>1009</v>
      </c>
      <c r="C20" s="581">
        <v>10</v>
      </c>
      <c r="D20" s="1137" t="s">
        <v>472</v>
      </c>
      <c r="E20" s="1138" t="s">
        <v>473</v>
      </c>
      <c r="F20" s="599">
        <v>-5356056102</v>
      </c>
      <c r="G20" s="599"/>
      <c r="H20" s="599"/>
      <c r="I20" s="599"/>
      <c r="J20" s="599"/>
      <c r="K20" s="599"/>
      <c r="L20" s="599"/>
      <c r="M20" s="599"/>
      <c r="N20" s="599"/>
      <c r="O20" s="599"/>
      <c r="P20" s="599"/>
      <c r="Q20" s="1096">
        <f t="shared" si="1"/>
        <v>-5356056102</v>
      </c>
      <c r="R20" s="599">
        <v>-4288114285</v>
      </c>
      <c r="S20" s="1096">
        <f t="shared" si="0"/>
        <v>-5356</v>
      </c>
      <c r="T20" s="599">
        <f t="shared" si="0"/>
        <v>-4288</v>
      </c>
      <c r="U20" s="620"/>
      <c r="V20" s="621"/>
      <c r="W20" s="1096">
        <f t="shared" si="2"/>
        <v>-5356056102</v>
      </c>
      <c r="X20" s="882">
        <f t="shared" si="3"/>
        <v>-5356</v>
      </c>
      <c r="Y20" s="910">
        <f t="shared" si="4"/>
        <v>0</v>
      </c>
    </row>
    <row r="21" spans="1:25" ht="27" customHeight="1">
      <c r="A21" s="583"/>
      <c r="B21" s="583">
        <v>1009</v>
      </c>
      <c r="C21" s="581">
        <v>10</v>
      </c>
      <c r="D21" s="1137" t="s">
        <v>698</v>
      </c>
      <c r="E21" s="1138" t="s">
        <v>927</v>
      </c>
      <c r="F21" s="599"/>
      <c r="G21" s="599"/>
      <c r="H21" s="599"/>
      <c r="I21" s="599"/>
      <c r="J21" s="599"/>
      <c r="K21" s="599"/>
      <c r="L21" s="599"/>
      <c r="M21" s="599"/>
      <c r="N21" s="599"/>
      <c r="O21" s="599"/>
      <c r="P21" s="599"/>
      <c r="Q21" s="1096">
        <f t="shared" si="1"/>
        <v>0</v>
      </c>
      <c r="R21" s="599">
        <v>0</v>
      </c>
      <c r="S21" s="1096">
        <f t="shared" si="0"/>
        <v>0</v>
      </c>
      <c r="T21" s="599">
        <f t="shared" si="0"/>
        <v>0</v>
      </c>
      <c r="U21" s="620"/>
      <c r="V21" s="621"/>
      <c r="W21" s="1096">
        <f t="shared" si="2"/>
        <v>0</v>
      </c>
      <c r="X21" s="882">
        <f t="shared" si="3"/>
        <v>0</v>
      </c>
      <c r="Y21" s="910">
        <f t="shared" si="4"/>
        <v>0</v>
      </c>
    </row>
    <row r="22" spans="1:25" ht="27" customHeight="1">
      <c r="A22" s="583"/>
      <c r="B22" s="583">
        <v>1009</v>
      </c>
      <c r="C22" s="581">
        <v>10</v>
      </c>
      <c r="D22" s="1137" t="s">
        <v>831</v>
      </c>
      <c r="E22" s="1138" t="s">
        <v>552</v>
      </c>
      <c r="F22" s="599"/>
      <c r="G22" s="599"/>
      <c r="H22" s="599"/>
      <c r="I22" s="599"/>
      <c r="J22" s="599"/>
      <c r="K22" s="599"/>
      <c r="L22" s="599"/>
      <c r="M22" s="599"/>
      <c r="N22" s="599"/>
      <c r="O22" s="599"/>
      <c r="P22" s="599"/>
      <c r="Q22" s="1096">
        <f t="shared" si="1"/>
        <v>0</v>
      </c>
      <c r="R22" s="599">
        <v>0</v>
      </c>
      <c r="S22" s="1096">
        <f t="shared" si="0"/>
        <v>0</v>
      </c>
      <c r="T22" s="599">
        <f t="shared" si="0"/>
        <v>0</v>
      </c>
      <c r="U22" s="620"/>
      <c r="V22" s="621"/>
      <c r="W22" s="1096">
        <f t="shared" si="2"/>
        <v>0</v>
      </c>
      <c r="X22" s="882">
        <f t="shared" si="3"/>
        <v>0</v>
      </c>
      <c r="Y22" s="910">
        <f t="shared" si="4"/>
        <v>0</v>
      </c>
    </row>
    <row r="23" spans="1:25" ht="27" customHeight="1">
      <c r="A23" s="583"/>
      <c r="B23" s="583">
        <v>401</v>
      </c>
      <c r="C23" s="581">
        <v>4</v>
      </c>
      <c r="D23" s="1137" t="s">
        <v>128</v>
      </c>
      <c r="E23" s="1138" t="s">
        <v>1083</v>
      </c>
      <c r="F23" s="599"/>
      <c r="G23" s="599"/>
      <c r="H23" s="599"/>
      <c r="I23" s="599"/>
      <c r="J23" s="599"/>
      <c r="K23" s="599"/>
      <c r="L23" s="599"/>
      <c r="M23" s="599"/>
      <c r="N23" s="599"/>
      <c r="O23" s="599"/>
      <c r="P23" s="599"/>
      <c r="Q23" s="1096">
        <f t="shared" si="1"/>
        <v>0</v>
      </c>
      <c r="R23" s="599">
        <v>0</v>
      </c>
      <c r="S23" s="1096">
        <f t="shared" si="0"/>
        <v>0</v>
      </c>
      <c r="T23" s="599">
        <f t="shared" si="0"/>
        <v>0</v>
      </c>
      <c r="U23" s="620"/>
      <c r="V23" s="621"/>
      <c r="W23" s="1096">
        <f t="shared" si="2"/>
        <v>0</v>
      </c>
      <c r="X23" s="882">
        <f t="shared" si="3"/>
        <v>0</v>
      </c>
      <c r="Y23" s="910">
        <f t="shared" si="4"/>
        <v>0</v>
      </c>
    </row>
    <row r="24" spans="1:25" ht="27" customHeight="1">
      <c r="A24" s="583"/>
      <c r="B24" s="583">
        <v>1002</v>
      </c>
      <c r="C24" s="581">
        <v>10</v>
      </c>
      <c r="D24" s="1137" t="s">
        <v>132</v>
      </c>
      <c r="E24" s="1138" t="s">
        <v>1761</v>
      </c>
      <c r="F24" s="599">
        <v>120676909</v>
      </c>
      <c r="G24" s="599">
        <v>-309981380</v>
      </c>
      <c r="H24" s="599">
        <v>-1088349241</v>
      </c>
      <c r="I24" s="599">
        <v>-4013132242</v>
      </c>
      <c r="J24" s="599"/>
      <c r="K24" s="599"/>
      <c r="L24" s="599"/>
      <c r="M24" s="599"/>
      <c r="N24" s="599"/>
      <c r="O24" s="599"/>
      <c r="P24" s="599"/>
      <c r="Q24" s="1096">
        <f t="shared" si="1"/>
        <v>-5290785954</v>
      </c>
      <c r="R24" s="599">
        <v>-4379876299</v>
      </c>
      <c r="S24" s="1096">
        <f t="shared" si="0"/>
        <v>-5291</v>
      </c>
      <c r="T24" s="599">
        <f t="shared" si="0"/>
        <v>-4380</v>
      </c>
      <c r="U24" s="620"/>
      <c r="V24" s="621"/>
      <c r="W24" s="1096">
        <f t="shared" si="2"/>
        <v>-5290785954</v>
      </c>
      <c r="X24" s="882">
        <f t="shared" si="3"/>
        <v>-5291</v>
      </c>
      <c r="Y24" s="910">
        <f t="shared" si="4"/>
        <v>0</v>
      </c>
    </row>
    <row r="25" spans="1:25" ht="27" customHeight="1">
      <c r="A25" s="583"/>
      <c r="B25" s="583">
        <v>1301</v>
      </c>
      <c r="C25" s="581">
        <v>11</v>
      </c>
      <c r="D25" s="1137" t="s">
        <v>134</v>
      </c>
      <c r="E25" s="1138" t="s">
        <v>135</v>
      </c>
      <c r="F25" s="599">
        <v>-15845254443</v>
      </c>
      <c r="G25" s="599"/>
      <c r="H25" s="599">
        <v>-2935367257</v>
      </c>
      <c r="I25" s="599">
        <v>-1427182223</v>
      </c>
      <c r="J25" s="599"/>
      <c r="K25" s="599"/>
      <c r="L25" s="599"/>
      <c r="M25" s="599"/>
      <c r="N25" s="599"/>
      <c r="O25" s="599"/>
      <c r="P25" s="599"/>
      <c r="Q25" s="1096">
        <f t="shared" si="1"/>
        <v>-20207803923</v>
      </c>
      <c r="R25" s="599">
        <v>-17395927842</v>
      </c>
      <c r="S25" s="1096">
        <f t="shared" si="0"/>
        <v>-20208</v>
      </c>
      <c r="T25" s="599">
        <f t="shared" si="0"/>
        <v>-17396</v>
      </c>
      <c r="U25" s="620"/>
      <c r="V25" s="621"/>
      <c r="W25" s="1096">
        <f t="shared" si="2"/>
        <v>-20207803923</v>
      </c>
      <c r="X25" s="882">
        <f t="shared" si="3"/>
        <v>-20208</v>
      </c>
      <c r="Y25" s="910">
        <f t="shared" si="4"/>
        <v>0</v>
      </c>
    </row>
    <row r="26" spans="1:25" ht="27" customHeight="1">
      <c r="A26" s="583"/>
      <c r="B26" s="583">
        <v>1009</v>
      </c>
      <c r="C26" s="581">
        <v>10</v>
      </c>
      <c r="D26" s="1137" t="s">
        <v>1170</v>
      </c>
      <c r="E26" s="1138" t="s">
        <v>1171</v>
      </c>
      <c r="F26" s="599"/>
      <c r="G26" s="599"/>
      <c r="H26" s="599"/>
      <c r="I26" s="599"/>
      <c r="J26" s="599"/>
      <c r="K26" s="599"/>
      <c r="L26" s="599"/>
      <c r="M26" s="599"/>
      <c r="N26" s="599"/>
      <c r="O26" s="599"/>
      <c r="P26" s="599"/>
      <c r="Q26" s="1096">
        <f t="shared" si="1"/>
        <v>0</v>
      </c>
      <c r="R26" s="599">
        <v>-5130000</v>
      </c>
      <c r="S26" s="1096">
        <f t="shared" si="0"/>
        <v>0</v>
      </c>
      <c r="T26" s="599">
        <f t="shared" si="0"/>
        <v>-5</v>
      </c>
      <c r="U26" s="620"/>
      <c r="V26" s="621"/>
      <c r="W26" s="1096">
        <f t="shared" si="2"/>
        <v>0</v>
      </c>
      <c r="X26" s="882">
        <f t="shared" si="3"/>
        <v>0</v>
      </c>
      <c r="Y26" s="910">
        <f t="shared" si="4"/>
        <v>0</v>
      </c>
    </row>
    <row r="27" spans="1:25" ht="27" customHeight="1">
      <c r="A27" s="583"/>
      <c r="B27" s="583">
        <v>1009</v>
      </c>
      <c r="C27" s="581">
        <v>10</v>
      </c>
      <c r="D27" s="1137" t="s">
        <v>1229</v>
      </c>
      <c r="E27" s="1138" t="s">
        <v>1084</v>
      </c>
      <c r="F27" s="599"/>
      <c r="G27" s="599"/>
      <c r="H27" s="599"/>
      <c r="I27" s="599"/>
      <c r="J27" s="599"/>
      <c r="K27" s="599"/>
      <c r="L27" s="599"/>
      <c r="M27" s="599"/>
      <c r="N27" s="599"/>
      <c r="O27" s="599"/>
      <c r="P27" s="599"/>
      <c r="Q27" s="1096">
        <f t="shared" si="1"/>
        <v>0</v>
      </c>
      <c r="R27" s="599">
        <v>0</v>
      </c>
      <c r="S27" s="1096">
        <f t="shared" si="0"/>
        <v>0</v>
      </c>
      <c r="T27" s="599">
        <f t="shared" si="0"/>
        <v>0</v>
      </c>
      <c r="U27" s="620"/>
      <c r="V27" s="621"/>
      <c r="W27" s="1096">
        <f t="shared" si="2"/>
        <v>0</v>
      </c>
      <c r="X27" s="882">
        <f t="shared" si="3"/>
        <v>0</v>
      </c>
      <c r="Y27" s="910">
        <f t="shared" si="4"/>
        <v>0</v>
      </c>
    </row>
    <row r="28" spans="1:25" ht="27" customHeight="1">
      <c r="A28" s="583"/>
      <c r="B28" s="583">
        <v>1009</v>
      </c>
      <c r="C28" s="581">
        <v>10</v>
      </c>
      <c r="D28" s="1137" t="s">
        <v>136</v>
      </c>
      <c r="E28" s="1138" t="s">
        <v>700</v>
      </c>
      <c r="F28" s="599">
        <v>1032879042</v>
      </c>
      <c r="G28" s="599"/>
      <c r="H28" s="599"/>
      <c r="I28" s="599"/>
      <c r="J28" s="599"/>
      <c r="K28" s="599"/>
      <c r="L28" s="599"/>
      <c r="M28" s="599"/>
      <c r="N28" s="599"/>
      <c r="O28" s="599"/>
      <c r="P28" s="599"/>
      <c r="Q28" s="1096">
        <f t="shared" si="1"/>
        <v>1032879042</v>
      </c>
      <c r="R28" s="599">
        <v>317794637</v>
      </c>
      <c r="S28" s="1096">
        <f t="shared" si="0"/>
        <v>1033</v>
      </c>
      <c r="T28" s="599">
        <f t="shared" si="0"/>
        <v>318</v>
      </c>
      <c r="U28" s="620"/>
      <c r="V28" s="621"/>
      <c r="W28" s="1096">
        <f t="shared" si="2"/>
        <v>1032879042</v>
      </c>
      <c r="X28" s="882">
        <f t="shared" si="3"/>
        <v>1033</v>
      </c>
      <c r="Y28" s="910">
        <f t="shared" si="4"/>
        <v>0</v>
      </c>
    </row>
    <row r="29" spans="1:25" ht="27" customHeight="1">
      <c r="A29" s="583"/>
      <c r="B29" s="583">
        <v>401</v>
      </c>
      <c r="C29" s="581">
        <v>4</v>
      </c>
      <c r="D29" s="1137" t="s">
        <v>928</v>
      </c>
      <c r="E29" s="1138" t="s">
        <v>929</v>
      </c>
      <c r="F29" s="599">
        <v>319301386441</v>
      </c>
      <c r="G29" s="599">
        <v>-49176749261</v>
      </c>
      <c r="H29" s="599">
        <v>-69237624320</v>
      </c>
      <c r="I29" s="599">
        <v>-162968004390</v>
      </c>
      <c r="J29" s="599"/>
      <c r="K29" s="599"/>
      <c r="L29" s="599"/>
      <c r="M29" s="599"/>
      <c r="N29" s="599"/>
      <c r="O29" s="599"/>
      <c r="P29" s="599"/>
      <c r="Q29" s="1096">
        <f t="shared" si="1"/>
        <v>37919008470</v>
      </c>
      <c r="R29" s="599">
        <v>0</v>
      </c>
      <c r="S29" s="1096">
        <f t="shared" si="0"/>
        <v>37919</v>
      </c>
      <c r="T29" s="599">
        <f t="shared" si="0"/>
        <v>0</v>
      </c>
      <c r="U29" s="620"/>
      <c r="V29" s="621"/>
      <c r="W29" s="1096">
        <f t="shared" si="2"/>
        <v>37919008470</v>
      </c>
      <c r="X29" s="882">
        <f t="shared" si="3"/>
        <v>37919</v>
      </c>
      <c r="Y29" s="910">
        <f t="shared" si="4"/>
        <v>0</v>
      </c>
    </row>
    <row r="30" spans="1:25" ht="27" customHeight="1">
      <c r="A30" s="583"/>
      <c r="B30" s="583">
        <v>1009</v>
      </c>
      <c r="C30" s="581">
        <v>10</v>
      </c>
      <c r="D30" s="1137" t="s">
        <v>83</v>
      </c>
      <c r="E30" s="1138" t="s">
        <v>931</v>
      </c>
      <c r="F30" s="599">
        <v>-343723</v>
      </c>
      <c r="G30" s="599">
        <v>4082658</v>
      </c>
      <c r="H30" s="599">
        <v>-8489975</v>
      </c>
      <c r="I30" s="599"/>
      <c r="J30" s="599"/>
      <c r="K30" s="599"/>
      <c r="L30" s="599"/>
      <c r="M30" s="599"/>
      <c r="N30" s="599"/>
      <c r="O30" s="599"/>
      <c r="P30" s="599"/>
      <c r="Q30" s="1096">
        <f t="shared" si="1"/>
        <v>-4751040</v>
      </c>
      <c r="R30" s="599">
        <v>0</v>
      </c>
      <c r="S30" s="1096">
        <f t="shared" si="0"/>
        <v>-5</v>
      </c>
      <c r="T30" s="599">
        <f t="shared" si="0"/>
        <v>0</v>
      </c>
      <c r="U30" s="620"/>
      <c r="V30" s="621"/>
      <c r="W30" s="1096">
        <f t="shared" si="2"/>
        <v>-4751040</v>
      </c>
      <c r="X30" s="882">
        <f t="shared" si="3"/>
        <v>-5</v>
      </c>
      <c r="Y30" s="910">
        <f t="shared" si="4"/>
        <v>0</v>
      </c>
    </row>
    <row r="31" spans="1:25" ht="27" customHeight="1">
      <c r="A31" s="583"/>
      <c r="B31" s="583">
        <v>1009</v>
      </c>
      <c r="C31" s="581">
        <v>10</v>
      </c>
      <c r="D31" s="1137" t="s">
        <v>212</v>
      </c>
      <c r="E31" s="1138" t="s">
        <v>930</v>
      </c>
      <c r="F31" s="599">
        <v>-293988167115</v>
      </c>
      <c r="G31" s="599">
        <v>43396109743</v>
      </c>
      <c r="H31" s="599">
        <v>64711223986</v>
      </c>
      <c r="I31" s="599">
        <v>149706815250</v>
      </c>
      <c r="J31" s="599"/>
      <c r="K31" s="599"/>
      <c r="L31" s="599"/>
      <c r="M31" s="599"/>
      <c r="N31" s="599"/>
      <c r="O31" s="599"/>
      <c r="P31" s="599"/>
      <c r="Q31" s="1096">
        <f t="shared" si="1"/>
        <v>-36174018136</v>
      </c>
      <c r="R31" s="599">
        <v>0</v>
      </c>
      <c r="S31" s="1096">
        <f t="shared" si="0"/>
        <v>-36174</v>
      </c>
      <c r="T31" s="599">
        <f t="shared" si="0"/>
        <v>0</v>
      </c>
      <c r="U31" s="620"/>
      <c r="V31" s="621"/>
      <c r="W31" s="1096">
        <f t="shared" si="2"/>
        <v>-36174018136</v>
      </c>
      <c r="X31" s="882">
        <f t="shared" si="3"/>
        <v>-36174</v>
      </c>
      <c r="Y31" s="910">
        <f t="shared" si="4"/>
        <v>0</v>
      </c>
    </row>
    <row r="32" spans="1:25" ht="27" customHeight="1">
      <c r="A32" s="583"/>
      <c r="B32" s="583"/>
      <c r="C32" s="581" t="s">
        <v>765</v>
      </c>
      <c r="D32" s="1137" t="s">
        <v>932</v>
      </c>
      <c r="E32" s="1138" t="s">
        <v>934</v>
      </c>
      <c r="F32" s="599"/>
      <c r="G32" s="599"/>
      <c r="H32" s="599"/>
      <c r="I32" s="599"/>
      <c r="J32" s="599"/>
      <c r="K32" s="599"/>
      <c r="L32" s="599"/>
      <c r="M32" s="599"/>
      <c r="N32" s="599"/>
      <c r="O32" s="599"/>
      <c r="P32" s="599"/>
      <c r="Q32" s="1096">
        <f t="shared" si="1"/>
        <v>0</v>
      </c>
      <c r="R32" s="599">
        <v>0</v>
      </c>
      <c r="S32" s="1096">
        <f t="shared" si="0"/>
        <v>0</v>
      </c>
      <c r="T32" s="599">
        <f t="shared" si="0"/>
        <v>0</v>
      </c>
      <c r="U32" s="620"/>
      <c r="V32" s="621"/>
      <c r="W32" s="1096">
        <f t="shared" si="2"/>
        <v>0</v>
      </c>
      <c r="X32" s="882">
        <f t="shared" si="3"/>
        <v>0</v>
      </c>
      <c r="Y32" s="910">
        <f t="shared" si="4"/>
        <v>0</v>
      </c>
    </row>
    <row r="33" spans="1:25" ht="27" customHeight="1">
      <c r="A33" s="583"/>
      <c r="B33" s="583"/>
      <c r="C33" s="581" t="s">
        <v>765</v>
      </c>
      <c r="D33" s="1137" t="s">
        <v>1427</v>
      </c>
      <c r="E33" s="1138" t="s">
        <v>935</v>
      </c>
      <c r="F33" s="599"/>
      <c r="G33" s="599"/>
      <c r="H33" s="599"/>
      <c r="I33" s="599"/>
      <c r="J33" s="599"/>
      <c r="K33" s="599"/>
      <c r="L33" s="599"/>
      <c r="M33" s="599"/>
      <c r="N33" s="599"/>
      <c r="O33" s="599"/>
      <c r="P33" s="599"/>
      <c r="Q33" s="1096">
        <f t="shared" si="1"/>
        <v>0</v>
      </c>
      <c r="R33" s="599">
        <v>0</v>
      </c>
      <c r="S33" s="1096">
        <f t="shared" si="0"/>
        <v>0</v>
      </c>
      <c r="T33" s="599">
        <f t="shared" si="0"/>
        <v>0</v>
      </c>
      <c r="U33" s="620"/>
      <c r="V33" s="621"/>
      <c r="W33" s="1096">
        <f t="shared" si="2"/>
        <v>0</v>
      </c>
      <c r="X33" s="882">
        <f t="shared" si="3"/>
        <v>0</v>
      </c>
      <c r="Y33" s="910">
        <f t="shared" si="4"/>
        <v>0</v>
      </c>
    </row>
    <row r="34" spans="1:25" ht="27" customHeight="1">
      <c r="A34" s="583"/>
      <c r="B34" s="583">
        <v>1009</v>
      </c>
      <c r="C34" s="581">
        <v>10</v>
      </c>
      <c r="D34" s="1137" t="s">
        <v>933</v>
      </c>
      <c r="E34" s="1138" t="s">
        <v>936</v>
      </c>
      <c r="F34" s="599">
        <v>-521160</v>
      </c>
      <c r="G34" s="599">
        <v>521160</v>
      </c>
      <c r="H34" s="599"/>
      <c r="I34" s="599"/>
      <c r="J34" s="599"/>
      <c r="K34" s="599"/>
      <c r="L34" s="599"/>
      <c r="M34" s="599"/>
      <c r="N34" s="599"/>
      <c r="O34" s="599"/>
      <c r="P34" s="599"/>
      <c r="Q34" s="1096">
        <f t="shared" si="1"/>
        <v>0</v>
      </c>
      <c r="R34" s="599">
        <v>0</v>
      </c>
      <c r="S34" s="1096">
        <f t="shared" si="0"/>
        <v>0</v>
      </c>
      <c r="T34" s="599">
        <f t="shared" si="0"/>
        <v>0</v>
      </c>
      <c r="U34" s="620"/>
      <c r="V34" s="621"/>
      <c r="W34" s="1096">
        <f t="shared" si="2"/>
        <v>0</v>
      </c>
      <c r="X34" s="882">
        <f t="shared" si="3"/>
        <v>0</v>
      </c>
      <c r="Y34" s="910">
        <f t="shared" si="4"/>
        <v>0</v>
      </c>
    </row>
    <row r="35" spans="1:25" ht="27" customHeight="1">
      <c r="A35" s="583"/>
      <c r="B35" s="583">
        <v>1009</v>
      </c>
      <c r="C35" s="581">
        <v>10</v>
      </c>
      <c r="D35" s="1137" t="s">
        <v>1572</v>
      </c>
      <c r="E35" s="1138" t="s">
        <v>1573</v>
      </c>
      <c r="F35" s="599"/>
      <c r="G35" s="599"/>
      <c r="H35" s="599"/>
      <c r="I35" s="599"/>
      <c r="J35" s="599"/>
      <c r="K35" s="599"/>
      <c r="L35" s="599"/>
      <c r="M35" s="599"/>
      <c r="N35" s="599"/>
      <c r="O35" s="599"/>
      <c r="P35" s="599"/>
      <c r="Q35" s="1096">
        <f t="shared" si="1"/>
        <v>0</v>
      </c>
      <c r="R35" s="599">
        <v>0</v>
      </c>
      <c r="S35" s="1096">
        <f t="shared" si="0"/>
        <v>0</v>
      </c>
      <c r="T35" s="599">
        <f t="shared" si="0"/>
        <v>0</v>
      </c>
      <c r="U35" s="620"/>
      <c r="V35" s="621"/>
      <c r="W35" s="1096">
        <f t="shared" si="2"/>
        <v>0</v>
      </c>
      <c r="X35" s="882">
        <f t="shared" si="3"/>
        <v>0</v>
      </c>
      <c r="Y35" s="910">
        <f t="shared" si="4"/>
        <v>0</v>
      </c>
    </row>
    <row r="36" spans="1:25" ht="27" customHeight="1">
      <c r="A36" s="583"/>
      <c r="B36" s="583">
        <v>1009</v>
      </c>
      <c r="C36" s="581">
        <v>10</v>
      </c>
      <c r="D36" s="1137" t="s">
        <v>1574</v>
      </c>
      <c r="E36" s="1138" t="s">
        <v>1575</v>
      </c>
      <c r="F36" s="599"/>
      <c r="G36" s="599"/>
      <c r="H36" s="599"/>
      <c r="I36" s="599"/>
      <c r="J36" s="599"/>
      <c r="K36" s="599"/>
      <c r="L36" s="599"/>
      <c r="M36" s="599"/>
      <c r="N36" s="599"/>
      <c r="O36" s="599"/>
      <c r="P36" s="599"/>
      <c r="Q36" s="1096">
        <f t="shared" si="1"/>
        <v>0</v>
      </c>
      <c r="R36" s="599">
        <v>0</v>
      </c>
      <c r="S36" s="1096">
        <f t="shared" si="0"/>
        <v>0</v>
      </c>
      <c r="T36" s="599">
        <f t="shared" si="0"/>
        <v>0</v>
      </c>
      <c r="U36" s="620"/>
      <c r="V36" s="621"/>
      <c r="W36" s="1096">
        <f t="shared" si="2"/>
        <v>0</v>
      </c>
      <c r="X36" s="882">
        <f t="shared" si="3"/>
        <v>0</v>
      </c>
      <c r="Y36" s="910">
        <f t="shared" si="4"/>
        <v>0</v>
      </c>
    </row>
    <row r="37" spans="1:25" ht="27" customHeight="1">
      <c r="A37" s="583"/>
      <c r="B37" s="583">
        <v>1009</v>
      </c>
      <c r="C37" s="581">
        <v>10</v>
      </c>
      <c r="D37" s="1137" t="s">
        <v>1230</v>
      </c>
      <c r="E37" s="1138" t="s">
        <v>1231</v>
      </c>
      <c r="F37" s="599"/>
      <c r="G37" s="599"/>
      <c r="H37" s="599"/>
      <c r="I37" s="599"/>
      <c r="J37" s="599"/>
      <c r="K37" s="599"/>
      <c r="L37" s="599"/>
      <c r="M37" s="599"/>
      <c r="N37" s="599"/>
      <c r="O37" s="599"/>
      <c r="P37" s="599"/>
      <c r="Q37" s="1096">
        <f t="shared" si="1"/>
        <v>0</v>
      </c>
      <c r="R37" s="599">
        <v>0</v>
      </c>
      <c r="S37" s="1096">
        <f t="shared" si="0"/>
        <v>0</v>
      </c>
      <c r="T37" s="599">
        <f t="shared" si="0"/>
        <v>0</v>
      </c>
      <c r="U37" s="620"/>
      <c r="V37" s="621"/>
      <c r="W37" s="1096">
        <f t="shared" si="2"/>
        <v>0</v>
      </c>
      <c r="X37" s="882">
        <f t="shared" si="3"/>
        <v>0</v>
      </c>
      <c r="Y37" s="910">
        <f t="shared" si="4"/>
        <v>0</v>
      </c>
    </row>
    <row r="38" spans="1:25" ht="27" customHeight="1">
      <c r="A38" s="583"/>
      <c r="B38" s="583">
        <v>401</v>
      </c>
      <c r="C38" s="581">
        <v>4</v>
      </c>
      <c r="D38" s="1137" t="s">
        <v>1085</v>
      </c>
      <c r="E38" s="1138" t="s">
        <v>1086</v>
      </c>
      <c r="F38" s="599"/>
      <c r="G38" s="599"/>
      <c r="H38" s="599"/>
      <c r="I38" s="599"/>
      <c r="J38" s="599"/>
      <c r="K38" s="599"/>
      <c r="L38" s="599"/>
      <c r="M38" s="599"/>
      <c r="N38" s="599"/>
      <c r="O38" s="599"/>
      <c r="P38" s="599"/>
      <c r="Q38" s="1096">
        <f t="shared" si="1"/>
        <v>0</v>
      </c>
      <c r="R38" s="599">
        <v>0</v>
      </c>
      <c r="S38" s="1096">
        <f t="shared" si="0"/>
        <v>0</v>
      </c>
      <c r="T38" s="599">
        <f t="shared" si="0"/>
        <v>0</v>
      </c>
      <c r="U38" s="620"/>
      <c r="V38" s="621"/>
      <c r="W38" s="1096">
        <f t="shared" si="2"/>
        <v>0</v>
      </c>
      <c r="X38" s="882">
        <f t="shared" si="3"/>
        <v>0</v>
      </c>
      <c r="Y38" s="910">
        <f t="shared" si="4"/>
        <v>0</v>
      </c>
    </row>
    <row r="39" spans="1:25" ht="27" customHeight="1">
      <c r="A39" s="583"/>
      <c r="B39" s="583">
        <v>1009</v>
      </c>
      <c r="C39" s="581">
        <v>10</v>
      </c>
      <c r="D39" s="1137" t="s">
        <v>84</v>
      </c>
      <c r="E39" s="1138" t="s">
        <v>699</v>
      </c>
      <c r="F39" s="599">
        <v>-950036742</v>
      </c>
      <c r="G39" s="599"/>
      <c r="H39" s="599"/>
      <c r="I39" s="599"/>
      <c r="J39" s="599"/>
      <c r="K39" s="599"/>
      <c r="L39" s="599"/>
      <c r="M39" s="599"/>
      <c r="N39" s="599"/>
      <c r="O39" s="599"/>
      <c r="P39" s="599"/>
      <c r="Q39" s="1096">
        <f t="shared" si="1"/>
        <v>-950036742</v>
      </c>
      <c r="R39" s="599">
        <v>-2020233382</v>
      </c>
      <c r="S39" s="1096">
        <f t="shared" si="0"/>
        <v>-950</v>
      </c>
      <c r="T39" s="599">
        <f t="shared" si="0"/>
        <v>-2020</v>
      </c>
      <c r="U39" s="620"/>
      <c r="V39" s="621"/>
      <c r="W39" s="1096">
        <f t="shared" si="2"/>
        <v>-950036742</v>
      </c>
      <c r="X39" s="882">
        <f t="shared" si="3"/>
        <v>-950</v>
      </c>
      <c r="Y39" s="910">
        <f t="shared" si="4"/>
        <v>0</v>
      </c>
    </row>
    <row r="40" spans="1:25" ht="27" customHeight="1">
      <c r="A40" s="583"/>
      <c r="B40" s="583">
        <v>401</v>
      </c>
      <c r="C40" s="581">
        <v>4</v>
      </c>
      <c r="D40" s="1137" t="s">
        <v>874</v>
      </c>
      <c r="E40" s="1138" t="s">
        <v>875</v>
      </c>
      <c r="F40" s="599">
        <v>345518447</v>
      </c>
      <c r="G40" s="599">
        <v>-284358848</v>
      </c>
      <c r="H40" s="599">
        <v>-5642500</v>
      </c>
      <c r="I40" s="599"/>
      <c r="J40" s="599"/>
      <c r="K40" s="599"/>
      <c r="L40" s="599"/>
      <c r="M40" s="599"/>
      <c r="N40" s="599"/>
      <c r="O40" s="599"/>
      <c r="P40" s="599"/>
      <c r="Q40" s="1096">
        <f t="shared" si="1"/>
        <v>55517099</v>
      </c>
      <c r="R40" s="599">
        <v>0</v>
      </c>
      <c r="S40" s="1096">
        <f t="shared" si="0"/>
        <v>56</v>
      </c>
      <c r="T40" s="599">
        <f t="shared" si="0"/>
        <v>0</v>
      </c>
      <c r="U40" s="620"/>
      <c r="V40" s="621"/>
      <c r="W40" s="1096">
        <f t="shared" si="2"/>
        <v>55517099</v>
      </c>
      <c r="X40" s="882">
        <f t="shared" si="3"/>
        <v>56</v>
      </c>
      <c r="Y40" s="910">
        <f t="shared" si="4"/>
        <v>0</v>
      </c>
    </row>
    <row r="41" spans="1:25" ht="27" customHeight="1">
      <c r="A41" s="583"/>
      <c r="B41" s="583">
        <v>1009</v>
      </c>
      <c r="C41" s="1131">
        <v>10</v>
      </c>
      <c r="D41" s="1137" t="s">
        <v>86</v>
      </c>
      <c r="E41" s="1138" t="s">
        <v>876</v>
      </c>
      <c r="F41" s="599">
        <v>-121887651</v>
      </c>
      <c r="G41" s="599">
        <v>109683674</v>
      </c>
      <c r="H41" s="599">
        <v>-26581874</v>
      </c>
      <c r="I41" s="599"/>
      <c r="J41" s="599"/>
      <c r="K41" s="599"/>
      <c r="L41" s="599"/>
      <c r="M41" s="599"/>
      <c r="N41" s="599"/>
      <c r="O41" s="599"/>
      <c r="P41" s="599"/>
      <c r="Q41" s="1096">
        <f t="shared" si="1"/>
        <v>-38785851</v>
      </c>
      <c r="R41" s="599">
        <v>0</v>
      </c>
      <c r="S41" s="1096">
        <f t="shared" si="0"/>
        <v>-39</v>
      </c>
      <c r="T41" s="599">
        <f t="shared" si="0"/>
        <v>0</v>
      </c>
      <c r="U41" s="620"/>
      <c r="V41" s="621"/>
      <c r="W41" s="1096">
        <f t="shared" si="2"/>
        <v>-38785851</v>
      </c>
      <c r="X41" s="882">
        <f t="shared" si="3"/>
        <v>-39</v>
      </c>
      <c r="Y41" s="910">
        <f t="shared" si="4"/>
        <v>0</v>
      </c>
    </row>
    <row r="42" spans="1:25" ht="27" customHeight="1">
      <c r="A42" s="583"/>
      <c r="B42" s="583">
        <v>401</v>
      </c>
      <c r="C42" s="581">
        <v>4</v>
      </c>
      <c r="D42" s="1137" t="s">
        <v>1172</v>
      </c>
      <c r="E42" s="1138" t="s">
        <v>1173</v>
      </c>
      <c r="F42" s="599">
        <v>429134718</v>
      </c>
      <c r="G42" s="599">
        <v>-78877615</v>
      </c>
      <c r="H42" s="599">
        <v>-59026664</v>
      </c>
      <c r="I42" s="599">
        <v>-291230439</v>
      </c>
      <c r="J42" s="599"/>
      <c r="K42" s="599"/>
      <c r="L42" s="599"/>
      <c r="M42" s="599"/>
      <c r="N42" s="599"/>
      <c r="O42" s="599"/>
      <c r="P42" s="599"/>
      <c r="Q42" s="1096">
        <f t="shared" si="1"/>
        <v>0</v>
      </c>
      <c r="R42" s="599">
        <v>0</v>
      </c>
      <c r="S42" s="1096">
        <f t="shared" si="0"/>
        <v>0</v>
      </c>
      <c r="T42" s="599">
        <f t="shared" si="0"/>
        <v>0</v>
      </c>
      <c r="U42" s="620"/>
      <c r="V42" s="621"/>
      <c r="W42" s="1096">
        <f t="shared" si="2"/>
        <v>0</v>
      </c>
      <c r="X42" s="882">
        <f t="shared" si="3"/>
        <v>0</v>
      </c>
      <c r="Y42" s="910">
        <f t="shared" si="4"/>
        <v>0</v>
      </c>
    </row>
    <row r="43" spans="1:25" ht="27" customHeight="1">
      <c r="A43" s="583"/>
      <c r="B43" s="583">
        <v>401</v>
      </c>
      <c r="C43" s="581">
        <v>4</v>
      </c>
      <c r="D43" s="1137" t="s">
        <v>1087</v>
      </c>
      <c r="E43" s="1138" t="s">
        <v>1088</v>
      </c>
      <c r="F43" s="599">
        <v>455576</v>
      </c>
      <c r="G43" s="599"/>
      <c r="H43" s="599"/>
      <c r="I43" s="599"/>
      <c r="J43" s="599"/>
      <c r="K43" s="599"/>
      <c r="L43" s="599"/>
      <c r="M43" s="599"/>
      <c r="N43" s="599"/>
      <c r="O43" s="599"/>
      <c r="P43" s="599"/>
      <c r="Q43" s="1096">
        <f t="shared" si="1"/>
        <v>455576</v>
      </c>
      <c r="R43" s="599">
        <v>455576</v>
      </c>
      <c r="S43" s="1096">
        <f>ROUND((Q43/1000000),0)+1</f>
        <v>1</v>
      </c>
      <c r="T43" s="599">
        <f t="shared" si="0"/>
        <v>0</v>
      </c>
      <c r="U43" s="620"/>
      <c r="V43" s="621"/>
      <c r="W43" s="1096">
        <f t="shared" si="2"/>
        <v>455576</v>
      </c>
      <c r="X43" s="882">
        <f t="shared" si="3"/>
        <v>0</v>
      </c>
      <c r="Y43" s="910">
        <f t="shared" si="4"/>
        <v>1</v>
      </c>
    </row>
    <row r="44" spans="1:25" ht="27" customHeight="1">
      <c r="A44" s="583"/>
      <c r="B44" s="583">
        <v>401</v>
      </c>
      <c r="C44" s="581">
        <v>4</v>
      </c>
      <c r="D44" s="1137" t="s">
        <v>1232</v>
      </c>
      <c r="E44" s="1138" t="s">
        <v>1233</v>
      </c>
      <c r="F44" s="599">
        <v>33406000</v>
      </c>
      <c r="G44" s="599">
        <v>-1130000</v>
      </c>
      <c r="H44" s="599"/>
      <c r="I44" s="599"/>
      <c r="J44" s="599"/>
      <c r="K44" s="599"/>
      <c r="L44" s="599"/>
      <c r="M44" s="599"/>
      <c r="N44" s="599"/>
      <c r="O44" s="599"/>
      <c r="P44" s="599"/>
      <c r="Q44" s="1096">
        <f t="shared" si="1"/>
        <v>32276000</v>
      </c>
      <c r="R44" s="599">
        <v>32303000</v>
      </c>
      <c r="S44" s="1096">
        <f t="shared" si="0"/>
        <v>32</v>
      </c>
      <c r="T44" s="599">
        <f t="shared" si="0"/>
        <v>32</v>
      </c>
      <c r="U44" s="620"/>
      <c r="V44" s="621"/>
      <c r="W44" s="1096">
        <f t="shared" si="2"/>
        <v>32276000</v>
      </c>
      <c r="X44" s="882">
        <f t="shared" si="3"/>
        <v>32</v>
      </c>
      <c r="Y44" s="910">
        <f t="shared" si="4"/>
        <v>0</v>
      </c>
    </row>
    <row r="45" spans="1:25" ht="27" customHeight="1">
      <c r="A45" s="583"/>
      <c r="B45" s="583">
        <v>1009</v>
      </c>
      <c r="C45" s="581">
        <v>10</v>
      </c>
      <c r="D45" s="1137" t="s">
        <v>89</v>
      </c>
      <c r="E45" s="1138" t="s">
        <v>937</v>
      </c>
      <c r="F45" s="599">
        <v>-81245120</v>
      </c>
      <c r="G45" s="599">
        <v>18743040</v>
      </c>
      <c r="H45" s="599">
        <v>9502080</v>
      </c>
      <c r="I45" s="599"/>
      <c r="J45" s="599"/>
      <c r="K45" s="599"/>
      <c r="L45" s="599"/>
      <c r="M45" s="599"/>
      <c r="N45" s="599"/>
      <c r="O45" s="599"/>
      <c r="P45" s="599"/>
      <c r="Q45" s="1096">
        <f t="shared" si="1"/>
        <v>-53000000</v>
      </c>
      <c r="R45" s="599">
        <v>0</v>
      </c>
      <c r="S45" s="1096">
        <f t="shared" si="0"/>
        <v>-53</v>
      </c>
      <c r="T45" s="599">
        <f t="shared" si="0"/>
        <v>0</v>
      </c>
      <c r="U45" s="620"/>
      <c r="V45" s="621"/>
      <c r="W45" s="1096">
        <f t="shared" si="2"/>
        <v>-53000000</v>
      </c>
      <c r="X45" s="882">
        <f t="shared" si="3"/>
        <v>-53</v>
      </c>
      <c r="Y45" s="910">
        <f t="shared" si="4"/>
        <v>0</v>
      </c>
    </row>
    <row r="46" spans="1:25" ht="27" customHeight="1">
      <c r="A46" s="583"/>
      <c r="B46" s="583">
        <v>1009</v>
      </c>
      <c r="C46" s="581">
        <v>10</v>
      </c>
      <c r="D46" s="1137" t="s">
        <v>1576</v>
      </c>
      <c r="E46" s="1138" t="s">
        <v>1577</v>
      </c>
      <c r="F46" s="599"/>
      <c r="G46" s="599"/>
      <c r="H46" s="599"/>
      <c r="I46" s="599"/>
      <c r="J46" s="599"/>
      <c r="K46" s="599"/>
      <c r="L46" s="599"/>
      <c r="M46" s="599"/>
      <c r="N46" s="599"/>
      <c r="O46" s="599"/>
      <c r="P46" s="599"/>
      <c r="Q46" s="1096">
        <f t="shared" si="1"/>
        <v>0</v>
      </c>
      <c r="R46" s="599">
        <v>0</v>
      </c>
      <c r="S46" s="1096">
        <f t="shared" si="0"/>
        <v>0</v>
      </c>
      <c r="T46" s="599">
        <f t="shared" si="0"/>
        <v>0</v>
      </c>
      <c r="U46" s="620"/>
      <c r="V46" s="621"/>
      <c r="W46" s="1096">
        <f t="shared" si="2"/>
        <v>0</v>
      </c>
      <c r="X46" s="882">
        <f t="shared" si="3"/>
        <v>0</v>
      </c>
      <c r="Y46" s="910">
        <f t="shared" si="4"/>
        <v>0</v>
      </c>
    </row>
    <row r="47" spans="1:25" ht="27" customHeight="1">
      <c r="A47" s="583"/>
      <c r="B47" s="583">
        <v>401</v>
      </c>
      <c r="C47" s="581">
        <v>4</v>
      </c>
      <c r="D47" s="1137" t="s">
        <v>1089</v>
      </c>
      <c r="E47" s="1138" t="s">
        <v>957</v>
      </c>
      <c r="F47" s="599">
        <v>56876333</v>
      </c>
      <c r="G47" s="599">
        <v>-51366133</v>
      </c>
      <c r="H47" s="599">
        <v>-5510200</v>
      </c>
      <c r="I47" s="599"/>
      <c r="J47" s="599"/>
      <c r="K47" s="599"/>
      <c r="L47" s="599"/>
      <c r="M47" s="599"/>
      <c r="N47" s="599"/>
      <c r="O47" s="599"/>
      <c r="P47" s="599"/>
      <c r="Q47" s="1096">
        <f t="shared" si="1"/>
        <v>0</v>
      </c>
      <c r="R47" s="599">
        <v>0</v>
      </c>
      <c r="S47" s="1096">
        <f t="shared" si="0"/>
        <v>0</v>
      </c>
      <c r="T47" s="599">
        <f t="shared" si="0"/>
        <v>0</v>
      </c>
      <c r="U47" s="620"/>
      <c r="V47" s="621"/>
      <c r="W47" s="1096">
        <f t="shared" si="2"/>
        <v>0</v>
      </c>
      <c r="X47" s="882">
        <f t="shared" si="3"/>
        <v>0</v>
      </c>
      <c r="Y47" s="910">
        <f t="shared" si="4"/>
        <v>0</v>
      </c>
    </row>
    <row r="48" spans="1:25" ht="27" customHeight="1">
      <c r="A48" s="583"/>
      <c r="B48" s="583">
        <v>401</v>
      </c>
      <c r="C48" s="581">
        <v>4</v>
      </c>
      <c r="D48" s="1137" t="s">
        <v>1578</v>
      </c>
      <c r="E48" s="1138" t="s">
        <v>957</v>
      </c>
      <c r="F48" s="599">
        <v>-7</v>
      </c>
      <c r="G48" s="599"/>
      <c r="H48" s="599"/>
      <c r="I48" s="599"/>
      <c r="J48" s="599"/>
      <c r="K48" s="599"/>
      <c r="L48" s="599"/>
      <c r="M48" s="599"/>
      <c r="N48" s="599"/>
      <c r="O48" s="599"/>
      <c r="P48" s="599"/>
      <c r="Q48" s="1096">
        <f t="shared" si="1"/>
        <v>-7</v>
      </c>
      <c r="R48" s="599">
        <v>-20</v>
      </c>
      <c r="S48" s="1096">
        <f t="shared" si="0"/>
        <v>0</v>
      </c>
      <c r="T48" s="599">
        <f t="shared" si="0"/>
        <v>0</v>
      </c>
      <c r="U48" s="620"/>
      <c r="V48" s="621"/>
      <c r="W48" s="1096">
        <f t="shared" si="2"/>
        <v>-7</v>
      </c>
      <c r="X48" s="882">
        <f t="shared" si="3"/>
        <v>0</v>
      </c>
      <c r="Y48" s="910">
        <f t="shared" si="4"/>
        <v>0</v>
      </c>
    </row>
    <row r="49" spans="1:25" ht="27" customHeight="1">
      <c r="A49" s="583"/>
      <c r="B49" s="583">
        <v>1009</v>
      </c>
      <c r="C49" s="581">
        <v>10</v>
      </c>
      <c r="D49" s="1137" t="s">
        <v>1332</v>
      </c>
      <c r="E49" s="1138" t="s">
        <v>1331</v>
      </c>
      <c r="F49" s="599"/>
      <c r="G49" s="599"/>
      <c r="H49" s="599"/>
      <c r="I49" s="599"/>
      <c r="J49" s="599"/>
      <c r="K49" s="599"/>
      <c r="L49" s="599"/>
      <c r="M49" s="599"/>
      <c r="N49" s="599"/>
      <c r="O49" s="599"/>
      <c r="P49" s="599"/>
      <c r="Q49" s="1096">
        <f t="shared" si="1"/>
        <v>0</v>
      </c>
      <c r="R49" s="599">
        <v>0</v>
      </c>
      <c r="S49" s="1096">
        <f t="shared" si="0"/>
        <v>0</v>
      </c>
      <c r="T49" s="599">
        <f t="shared" si="0"/>
        <v>0</v>
      </c>
      <c r="U49" s="620"/>
      <c r="V49" s="621"/>
      <c r="W49" s="1096">
        <f t="shared" si="2"/>
        <v>0</v>
      </c>
      <c r="X49" s="882">
        <f t="shared" si="3"/>
        <v>0</v>
      </c>
      <c r="Y49" s="910">
        <f t="shared" si="4"/>
        <v>0</v>
      </c>
    </row>
    <row r="50" spans="1:25" ht="27" customHeight="1">
      <c r="A50" s="583"/>
      <c r="B50" s="583">
        <v>401</v>
      </c>
      <c r="C50" s="581">
        <v>4</v>
      </c>
      <c r="D50" s="1137" t="s">
        <v>216</v>
      </c>
      <c r="E50" s="1138" t="s">
        <v>706</v>
      </c>
      <c r="F50" s="599">
        <v>2083332</v>
      </c>
      <c r="G50" s="599"/>
      <c r="H50" s="599"/>
      <c r="I50" s="599"/>
      <c r="J50" s="599"/>
      <c r="K50" s="599"/>
      <c r="L50" s="599"/>
      <c r="M50" s="599"/>
      <c r="N50" s="599"/>
      <c r="O50" s="599"/>
      <c r="P50" s="599"/>
      <c r="Q50" s="1096">
        <f t="shared" si="1"/>
        <v>2083332</v>
      </c>
      <c r="R50" s="599">
        <v>115627578</v>
      </c>
      <c r="S50" s="1096">
        <f t="shared" si="0"/>
        <v>2</v>
      </c>
      <c r="T50" s="599">
        <f t="shared" si="0"/>
        <v>116</v>
      </c>
      <c r="U50" s="620"/>
      <c r="V50" s="621"/>
      <c r="W50" s="1096">
        <f t="shared" si="2"/>
        <v>2083332</v>
      </c>
      <c r="X50" s="882">
        <f t="shared" si="3"/>
        <v>2</v>
      </c>
      <c r="Y50" s="910">
        <f t="shared" si="4"/>
        <v>0</v>
      </c>
    </row>
    <row r="51" spans="1:25" ht="27" customHeight="1">
      <c r="A51" s="583"/>
      <c r="B51" s="583">
        <v>1009</v>
      </c>
      <c r="C51" s="581">
        <v>10</v>
      </c>
      <c r="D51" s="1137" t="s">
        <v>562</v>
      </c>
      <c r="E51" s="1138" t="s">
        <v>705</v>
      </c>
      <c r="F51" s="599"/>
      <c r="G51" s="599"/>
      <c r="H51" s="599"/>
      <c r="I51" s="599"/>
      <c r="J51" s="599"/>
      <c r="K51" s="599"/>
      <c r="L51" s="599"/>
      <c r="M51" s="599"/>
      <c r="N51" s="599"/>
      <c r="O51" s="599"/>
      <c r="P51" s="599"/>
      <c r="Q51" s="1096">
        <f t="shared" si="1"/>
        <v>0</v>
      </c>
      <c r="R51" s="599">
        <v>0</v>
      </c>
      <c r="S51" s="1096">
        <f t="shared" si="0"/>
        <v>0</v>
      </c>
      <c r="T51" s="599">
        <f t="shared" si="0"/>
        <v>0</v>
      </c>
      <c r="U51" s="620"/>
      <c r="V51" s="621"/>
      <c r="W51" s="1096">
        <f t="shared" si="2"/>
        <v>0</v>
      </c>
      <c r="X51" s="882">
        <f t="shared" si="3"/>
        <v>0</v>
      </c>
      <c r="Y51" s="910">
        <f t="shared" si="4"/>
        <v>0</v>
      </c>
    </row>
    <row r="52" spans="1:25" ht="27" customHeight="1">
      <c r="A52" s="583"/>
      <c r="B52" s="583">
        <v>401</v>
      </c>
      <c r="C52" s="581">
        <v>4</v>
      </c>
      <c r="D52" s="1137" t="s">
        <v>564</v>
      </c>
      <c r="E52" s="1138" t="s">
        <v>704</v>
      </c>
      <c r="F52" s="599">
        <v>58502000</v>
      </c>
      <c r="G52" s="599"/>
      <c r="H52" s="599"/>
      <c r="I52" s="599"/>
      <c r="J52" s="599"/>
      <c r="K52" s="599"/>
      <c r="L52" s="599"/>
      <c r="M52" s="599"/>
      <c r="N52" s="599"/>
      <c r="O52" s="599"/>
      <c r="P52" s="599"/>
      <c r="Q52" s="1096">
        <f t="shared" si="1"/>
        <v>58502000</v>
      </c>
      <c r="R52" s="599">
        <v>70110879</v>
      </c>
      <c r="S52" s="1096">
        <f t="shared" si="0"/>
        <v>59</v>
      </c>
      <c r="T52" s="599">
        <f t="shared" si="0"/>
        <v>70</v>
      </c>
      <c r="U52" s="620"/>
      <c r="V52" s="621"/>
      <c r="W52" s="1096">
        <f t="shared" si="2"/>
        <v>58502000</v>
      </c>
      <c r="X52" s="882">
        <f t="shared" si="3"/>
        <v>59</v>
      </c>
      <c r="Y52" s="910">
        <f t="shared" si="4"/>
        <v>0</v>
      </c>
    </row>
    <row r="53" spans="1:25" ht="27" customHeight="1">
      <c r="A53" s="583"/>
      <c r="B53" s="583">
        <v>401</v>
      </c>
      <c r="C53" s="581">
        <v>4</v>
      </c>
      <c r="D53" s="1137" t="s">
        <v>184</v>
      </c>
      <c r="E53" s="1138" t="s">
        <v>832</v>
      </c>
      <c r="F53" s="599">
        <v>133452</v>
      </c>
      <c r="G53" s="599"/>
      <c r="H53" s="599"/>
      <c r="I53" s="599"/>
      <c r="J53" s="599"/>
      <c r="K53" s="599"/>
      <c r="L53" s="599"/>
      <c r="M53" s="599"/>
      <c r="N53" s="599"/>
      <c r="O53" s="599"/>
      <c r="P53" s="599"/>
      <c r="Q53" s="1096">
        <f t="shared" si="1"/>
        <v>133452</v>
      </c>
      <c r="R53" s="599">
        <v>933444</v>
      </c>
      <c r="S53" s="1096">
        <f t="shared" si="0"/>
        <v>0</v>
      </c>
      <c r="T53" s="599">
        <f t="shared" si="0"/>
        <v>1</v>
      </c>
      <c r="U53" s="620"/>
      <c r="V53" s="621"/>
      <c r="W53" s="1096">
        <f t="shared" si="2"/>
        <v>133452</v>
      </c>
      <c r="X53" s="882">
        <f t="shared" si="3"/>
        <v>0</v>
      </c>
      <c r="Y53" s="910">
        <f t="shared" si="4"/>
        <v>0</v>
      </c>
    </row>
    <row r="54" spans="1:25" ht="27" customHeight="1">
      <c r="A54" s="583"/>
      <c r="B54" s="583">
        <v>401</v>
      </c>
      <c r="C54" s="581">
        <v>4</v>
      </c>
      <c r="D54" s="1137" t="s">
        <v>479</v>
      </c>
      <c r="E54" s="1138" t="s">
        <v>701</v>
      </c>
      <c r="F54" s="599">
        <v>184689215</v>
      </c>
      <c r="G54" s="599">
        <v>128232291</v>
      </c>
      <c r="H54" s="599"/>
      <c r="I54" s="599">
        <v>68639490</v>
      </c>
      <c r="J54" s="599"/>
      <c r="K54" s="599"/>
      <c r="L54" s="599"/>
      <c r="M54" s="599"/>
      <c r="N54" s="599"/>
      <c r="O54" s="599"/>
      <c r="P54" s="599"/>
      <c r="Q54" s="1096">
        <f t="shared" si="1"/>
        <v>381560996</v>
      </c>
      <c r="R54" s="599">
        <v>225082170</v>
      </c>
      <c r="S54" s="1096">
        <f t="shared" si="0"/>
        <v>382</v>
      </c>
      <c r="T54" s="599">
        <f t="shared" si="0"/>
        <v>225</v>
      </c>
      <c r="U54" s="620"/>
      <c r="V54" s="621"/>
      <c r="W54" s="1096">
        <f t="shared" si="2"/>
        <v>381560996</v>
      </c>
      <c r="X54" s="882">
        <f t="shared" si="3"/>
        <v>382</v>
      </c>
      <c r="Y54" s="910">
        <f t="shared" si="4"/>
        <v>0</v>
      </c>
    </row>
    <row r="55" spans="1:25" ht="27" customHeight="1">
      <c r="A55" s="583"/>
      <c r="B55" s="583">
        <v>401</v>
      </c>
      <c r="C55" s="581">
        <v>4</v>
      </c>
      <c r="D55" s="1137" t="s">
        <v>480</v>
      </c>
      <c r="E55" s="1138" t="s">
        <v>702</v>
      </c>
      <c r="F55" s="599"/>
      <c r="G55" s="599"/>
      <c r="H55" s="599"/>
      <c r="I55" s="599"/>
      <c r="J55" s="599"/>
      <c r="K55" s="599"/>
      <c r="L55" s="599"/>
      <c r="M55" s="599"/>
      <c r="N55" s="599"/>
      <c r="O55" s="599"/>
      <c r="P55" s="599"/>
      <c r="Q55" s="1096">
        <f t="shared" si="1"/>
        <v>0</v>
      </c>
      <c r="R55" s="599">
        <v>0</v>
      </c>
      <c r="S55" s="1096">
        <f t="shared" si="0"/>
        <v>0</v>
      </c>
      <c r="T55" s="599">
        <f t="shared" si="0"/>
        <v>0</v>
      </c>
      <c r="U55" s="620"/>
      <c r="V55" s="621"/>
      <c r="W55" s="1096">
        <f t="shared" si="2"/>
        <v>0</v>
      </c>
      <c r="X55" s="882">
        <f t="shared" si="3"/>
        <v>0</v>
      </c>
      <c r="Y55" s="910">
        <f t="shared" si="4"/>
        <v>0</v>
      </c>
    </row>
    <row r="56" spans="1:25" ht="27" customHeight="1">
      <c r="A56" s="583"/>
      <c r="B56" s="583">
        <v>1009</v>
      </c>
      <c r="C56" s="581">
        <v>10</v>
      </c>
      <c r="D56" s="1137" t="s">
        <v>481</v>
      </c>
      <c r="E56" s="1138" t="s">
        <v>1333</v>
      </c>
      <c r="F56" s="599"/>
      <c r="G56" s="599"/>
      <c r="H56" s="599"/>
      <c r="I56" s="599"/>
      <c r="J56" s="599"/>
      <c r="K56" s="599"/>
      <c r="L56" s="599"/>
      <c r="M56" s="599"/>
      <c r="N56" s="599"/>
      <c r="O56" s="599"/>
      <c r="P56" s="599"/>
      <c r="Q56" s="1096">
        <f t="shared" si="1"/>
        <v>0</v>
      </c>
      <c r="R56" s="599">
        <v>0</v>
      </c>
      <c r="S56" s="1096">
        <f t="shared" si="0"/>
        <v>0</v>
      </c>
      <c r="T56" s="599">
        <f t="shared" si="0"/>
        <v>0</v>
      </c>
      <c r="U56" s="620"/>
      <c r="V56" s="621"/>
      <c r="W56" s="1096">
        <f t="shared" si="2"/>
        <v>0</v>
      </c>
      <c r="X56" s="882">
        <f t="shared" si="3"/>
        <v>0</v>
      </c>
      <c r="Y56" s="910">
        <f t="shared" si="4"/>
        <v>0</v>
      </c>
    </row>
    <row r="57" spans="1:25" ht="27" customHeight="1">
      <c r="A57" s="583"/>
      <c r="B57" s="583">
        <v>401</v>
      </c>
      <c r="C57" s="581">
        <v>4</v>
      </c>
      <c r="D57" s="1137" t="s">
        <v>220</v>
      </c>
      <c r="E57" s="1138" t="s">
        <v>703</v>
      </c>
      <c r="F57" s="599"/>
      <c r="G57" s="599"/>
      <c r="H57" s="599"/>
      <c r="I57" s="599"/>
      <c r="J57" s="599"/>
      <c r="K57" s="599"/>
      <c r="L57" s="599"/>
      <c r="M57" s="599"/>
      <c r="N57" s="599"/>
      <c r="O57" s="599"/>
      <c r="P57" s="599"/>
      <c r="Q57" s="1096">
        <f t="shared" si="1"/>
        <v>0</v>
      </c>
      <c r="R57" s="599">
        <v>0</v>
      </c>
      <c r="S57" s="1096">
        <f t="shared" si="0"/>
        <v>0</v>
      </c>
      <c r="T57" s="599">
        <f t="shared" si="0"/>
        <v>0</v>
      </c>
      <c r="U57" s="620"/>
      <c r="V57" s="621"/>
      <c r="W57" s="1096">
        <f t="shared" si="2"/>
        <v>0</v>
      </c>
      <c r="X57" s="882">
        <f t="shared" si="3"/>
        <v>0</v>
      </c>
      <c r="Y57" s="910">
        <f t="shared" si="4"/>
        <v>0</v>
      </c>
    </row>
    <row r="58" spans="1:25" ht="27" customHeight="1">
      <c r="A58" s="583"/>
      <c r="B58" s="583">
        <v>420</v>
      </c>
      <c r="C58" s="581">
        <v>4</v>
      </c>
      <c r="D58" s="1137" t="s">
        <v>483</v>
      </c>
      <c r="E58" s="1138" t="s">
        <v>1057</v>
      </c>
      <c r="F58" s="599">
        <v>74005672184</v>
      </c>
      <c r="G58" s="599">
        <v>-2645474794</v>
      </c>
      <c r="H58" s="599">
        <v>-916738364</v>
      </c>
      <c r="I58" s="599"/>
      <c r="J58" s="599"/>
      <c r="K58" s="599"/>
      <c r="L58" s="599"/>
      <c r="M58" s="599"/>
      <c r="N58" s="599"/>
      <c r="O58" s="599"/>
      <c r="P58" s="599"/>
      <c r="Q58" s="1096">
        <f t="shared" si="1"/>
        <v>70443459026</v>
      </c>
      <c r="R58" s="599">
        <v>91673787804</v>
      </c>
      <c r="S58" s="1096">
        <f t="shared" si="0"/>
        <v>70443</v>
      </c>
      <c r="T58" s="599">
        <f t="shared" si="0"/>
        <v>91674</v>
      </c>
      <c r="U58" s="620"/>
      <c r="V58" s="621"/>
      <c r="W58" s="1096">
        <f t="shared" si="2"/>
        <v>70443459026</v>
      </c>
      <c r="X58" s="882">
        <f t="shared" si="3"/>
        <v>70443</v>
      </c>
      <c r="Y58" s="910">
        <f t="shared" si="4"/>
        <v>0</v>
      </c>
    </row>
    <row r="59" spans="1:25" ht="27" customHeight="1">
      <c r="A59" s="583"/>
      <c r="B59" s="583">
        <v>401</v>
      </c>
      <c r="C59" s="581">
        <v>4</v>
      </c>
      <c r="D59" s="1137" t="s">
        <v>483</v>
      </c>
      <c r="E59" s="1138" t="s">
        <v>1159</v>
      </c>
      <c r="F59" s="599"/>
      <c r="G59" s="599"/>
      <c r="H59" s="599"/>
      <c r="I59" s="599"/>
      <c r="J59" s="599"/>
      <c r="K59" s="599"/>
      <c r="L59" s="599"/>
      <c r="M59" s="599"/>
      <c r="N59" s="599"/>
      <c r="O59" s="599"/>
      <c r="P59" s="599"/>
      <c r="Q59" s="1096">
        <f t="shared" si="1"/>
        <v>0</v>
      </c>
      <c r="R59" s="599">
        <v>0</v>
      </c>
      <c r="S59" s="1096">
        <f t="shared" si="0"/>
        <v>0</v>
      </c>
      <c r="T59" s="599">
        <f t="shared" si="0"/>
        <v>0</v>
      </c>
      <c r="U59" s="620"/>
      <c r="V59" s="621"/>
      <c r="W59" s="1096">
        <f t="shared" si="2"/>
        <v>0</v>
      </c>
      <c r="X59" s="882">
        <f t="shared" si="3"/>
        <v>0</v>
      </c>
      <c r="Y59" s="910">
        <f t="shared" si="4"/>
        <v>0</v>
      </c>
    </row>
    <row r="60" spans="1:25" ht="27" customHeight="1">
      <c r="A60" s="583"/>
      <c r="B60" s="583">
        <v>401</v>
      </c>
      <c r="C60" s="581">
        <v>4</v>
      </c>
      <c r="D60" s="1137" t="s">
        <v>0</v>
      </c>
      <c r="E60" s="1138" t="s">
        <v>1090</v>
      </c>
      <c r="F60" s="599">
        <v>25351280</v>
      </c>
      <c r="G60" s="599"/>
      <c r="H60" s="599"/>
      <c r="I60" s="599"/>
      <c r="J60" s="599"/>
      <c r="K60" s="599"/>
      <c r="L60" s="599"/>
      <c r="M60" s="599"/>
      <c r="N60" s="599"/>
      <c r="O60" s="599"/>
      <c r="P60" s="599"/>
      <c r="Q60" s="1096">
        <f t="shared" si="1"/>
        <v>25351280</v>
      </c>
      <c r="R60" s="599">
        <v>0</v>
      </c>
      <c r="S60" s="1096">
        <f t="shared" si="0"/>
        <v>25</v>
      </c>
      <c r="T60" s="599">
        <f t="shared" si="0"/>
        <v>0</v>
      </c>
      <c r="U60" s="620"/>
      <c r="V60" s="621"/>
      <c r="W60" s="1096">
        <f t="shared" si="2"/>
        <v>25351280</v>
      </c>
      <c r="X60" s="882">
        <f t="shared" si="3"/>
        <v>25</v>
      </c>
      <c r="Y60" s="910">
        <f t="shared" si="4"/>
        <v>0</v>
      </c>
    </row>
    <row r="61" spans="1:25" ht="27" customHeight="1">
      <c r="A61" s="583"/>
      <c r="B61" s="583">
        <v>401</v>
      </c>
      <c r="C61" s="581">
        <v>4</v>
      </c>
      <c r="D61" s="1137" t="s">
        <v>224</v>
      </c>
      <c r="E61" s="1138" t="s">
        <v>474</v>
      </c>
      <c r="F61" s="599">
        <v>-19149910</v>
      </c>
      <c r="G61" s="599">
        <v>-5693610</v>
      </c>
      <c r="H61" s="599">
        <v>-5693610</v>
      </c>
      <c r="I61" s="599"/>
      <c r="J61" s="599"/>
      <c r="K61" s="599"/>
      <c r="L61" s="599"/>
      <c r="M61" s="599"/>
      <c r="N61" s="599"/>
      <c r="O61" s="599"/>
      <c r="P61" s="599"/>
      <c r="Q61" s="1096">
        <f t="shared" si="1"/>
        <v>-30537130</v>
      </c>
      <c r="R61" s="599">
        <v>685820969</v>
      </c>
      <c r="S61" s="1096">
        <f>ROUND((Q61/1000000),0)+1</f>
        <v>-30</v>
      </c>
      <c r="T61" s="599">
        <f t="shared" si="0"/>
        <v>686</v>
      </c>
      <c r="U61" s="620"/>
      <c r="V61" s="621"/>
      <c r="W61" s="1096">
        <f t="shared" si="2"/>
        <v>-30537130</v>
      </c>
      <c r="X61" s="882">
        <f t="shared" si="3"/>
        <v>-31</v>
      </c>
      <c r="Y61" s="910">
        <f t="shared" si="4"/>
        <v>1</v>
      </c>
    </row>
    <row r="62" spans="1:25" ht="27" customHeight="1">
      <c r="A62" s="583"/>
      <c r="B62" s="583">
        <v>401</v>
      </c>
      <c r="C62" s="581">
        <v>4</v>
      </c>
      <c r="D62" s="1137" t="s">
        <v>1234</v>
      </c>
      <c r="E62" s="1138" t="s">
        <v>1235</v>
      </c>
      <c r="F62" s="599">
        <v>12290000000</v>
      </c>
      <c r="G62" s="599"/>
      <c r="H62" s="599"/>
      <c r="I62" s="599"/>
      <c r="J62" s="599"/>
      <c r="K62" s="599"/>
      <c r="L62" s="599"/>
      <c r="M62" s="599"/>
      <c r="N62" s="599"/>
      <c r="O62" s="599"/>
      <c r="P62" s="599"/>
      <c r="Q62" s="1096">
        <f t="shared" si="1"/>
        <v>12290000000</v>
      </c>
      <c r="R62" s="599">
        <v>8710000000</v>
      </c>
      <c r="S62" s="1096">
        <f t="shared" si="0"/>
        <v>12290</v>
      </c>
      <c r="T62" s="599">
        <f t="shared" si="0"/>
        <v>8710</v>
      </c>
      <c r="U62" s="620"/>
      <c r="V62" s="621"/>
      <c r="W62" s="1096">
        <f t="shared" si="2"/>
        <v>12290000000</v>
      </c>
      <c r="X62" s="882">
        <f t="shared" si="3"/>
        <v>12290</v>
      </c>
      <c r="Y62" s="910">
        <f t="shared" si="4"/>
        <v>0</v>
      </c>
    </row>
    <row r="63" spans="1:25" ht="27" customHeight="1">
      <c r="A63" s="583"/>
      <c r="B63" s="583">
        <v>401</v>
      </c>
      <c r="C63" s="581">
        <v>4</v>
      </c>
      <c r="D63" s="1137" t="s">
        <v>1606</v>
      </c>
      <c r="E63" s="1138" t="s">
        <v>1607</v>
      </c>
      <c r="F63" s="599">
        <v>5000000</v>
      </c>
      <c r="G63" s="599"/>
      <c r="H63" s="599">
        <v>-5000000</v>
      </c>
      <c r="I63" s="599"/>
      <c r="J63" s="599"/>
      <c r="K63" s="599"/>
      <c r="L63" s="599"/>
      <c r="M63" s="599"/>
      <c r="N63" s="599"/>
      <c r="O63" s="599"/>
      <c r="P63" s="599"/>
      <c r="Q63" s="1096">
        <f t="shared" si="1"/>
        <v>0</v>
      </c>
      <c r="R63" s="599">
        <v>0</v>
      </c>
      <c r="S63" s="1096">
        <f t="shared" si="0"/>
        <v>0</v>
      </c>
      <c r="T63" s="599">
        <f t="shared" si="0"/>
        <v>0</v>
      </c>
      <c r="U63" s="620"/>
      <c r="V63" s="621"/>
      <c r="W63" s="1096">
        <f t="shared" si="2"/>
        <v>0</v>
      </c>
      <c r="X63" s="882">
        <f t="shared" si="3"/>
        <v>0</v>
      </c>
      <c r="Y63" s="910">
        <f t="shared" si="4"/>
        <v>0</v>
      </c>
    </row>
    <row r="64" spans="1:25" ht="27" customHeight="1">
      <c r="A64" s="583"/>
      <c r="B64" s="583">
        <v>401</v>
      </c>
      <c r="C64" s="581">
        <v>4</v>
      </c>
      <c r="D64" s="1137" t="s">
        <v>2</v>
      </c>
      <c r="E64" s="1138" t="s">
        <v>877</v>
      </c>
      <c r="F64" s="599">
        <v>8904157499</v>
      </c>
      <c r="G64" s="599">
        <v>2745474794</v>
      </c>
      <c r="H64" s="599">
        <v>916738364</v>
      </c>
      <c r="I64" s="599"/>
      <c r="J64" s="599"/>
      <c r="K64" s="599"/>
      <c r="L64" s="599"/>
      <c r="M64" s="599"/>
      <c r="N64" s="599"/>
      <c r="O64" s="599"/>
      <c r="P64" s="599"/>
      <c r="Q64" s="1096">
        <f t="shared" si="1"/>
        <v>12566370657</v>
      </c>
      <c r="R64" s="599">
        <v>8163527409</v>
      </c>
      <c r="S64" s="1096">
        <f t="shared" si="0"/>
        <v>12566</v>
      </c>
      <c r="T64" s="599">
        <f t="shared" si="0"/>
        <v>8164</v>
      </c>
      <c r="U64" s="620"/>
      <c r="V64" s="621"/>
      <c r="W64" s="1096">
        <f t="shared" si="2"/>
        <v>12566370657</v>
      </c>
      <c r="X64" s="882">
        <f t="shared" si="3"/>
        <v>12566</v>
      </c>
      <c r="Y64" s="910">
        <f t="shared" si="4"/>
        <v>0</v>
      </c>
    </row>
    <row r="65" spans="1:25" ht="27" customHeight="1">
      <c r="A65" s="583"/>
      <c r="B65" s="583">
        <v>406</v>
      </c>
      <c r="C65" s="581">
        <v>4</v>
      </c>
      <c r="D65" s="1137" t="s">
        <v>476</v>
      </c>
      <c r="E65" s="1138" t="s">
        <v>1174</v>
      </c>
      <c r="F65" s="599"/>
      <c r="G65" s="599"/>
      <c r="H65" s="599"/>
      <c r="I65" s="599"/>
      <c r="J65" s="599">
        <v>-6000000</v>
      </c>
      <c r="K65" s="599"/>
      <c r="L65" s="599"/>
      <c r="M65" s="599"/>
      <c r="N65" s="599"/>
      <c r="O65" s="599"/>
      <c r="P65" s="599"/>
      <c r="Q65" s="1096">
        <f t="shared" si="1"/>
        <v>-6000000</v>
      </c>
      <c r="R65" s="599">
        <v>0</v>
      </c>
      <c r="S65" s="1096">
        <f t="shared" si="0"/>
        <v>-6</v>
      </c>
      <c r="T65" s="599">
        <f t="shared" si="0"/>
        <v>0</v>
      </c>
      <c r="U65" s="620"/>
      <c r="V65" s="621"/>
      <c r="W65" s="1096">
        <f t="shared" si="2"/>
        <v>-6000000</v>
      </c>
      <c r="X65" s="882">
        <f t="shared" si="3"/>
        <v>-6</v>
      </c>
      <c r="Y65" s="910">
        <f t="shared" si="4"/>
        <v>0</v>
      </c>
    </row>
    <row r="66" spans="1:25" ht="27" customHeight="1">
      <c r="A66" s="583"/>
      <c r="B66" s="583">
        <v>1009</v>
      </c>
      <c r="C66" s="581">
        <v>10</v>
      </c>
      <c r="D66" s="1137" t="s">
        <v>3</v>
      </c>
      <c r="E66" s="1138" t="s">
        <v>938</v>
      </c>
      <c r="F66" s="599"/>
      <c r="G66" s="599"/>
      <c r="H66" s="599"/>
      <c r="I66" s="599"/>
      <c r="J66" s="599"/>
      <c r="K66" s="599"/>
      <c r="L66" s="599"/>
      <c r="M66" s="599"/>
      <c r="N66" s="599"/>
      <c r="O66" s="599"/>
      <c r="P66" s="599"/>
      <c r="Q66" s="1096">
        <f t="shared" si="1"/>
        <v>0</v>
      </c>
      <c r="R66" s="599">
        <v>0</v>
      </c>
      <c r="S66" s="1096">
        <f t="shared" si="0"/>
        <v>0</v>
      </c>
      <c r="T66" s="599">
        <f t="shared" si="0"/>
        <v>0</v>
      </c>
      <c r="U66" s="620"/>
      <c r="V66" s="621"/>
      <c r="W66" s="1096">
        <f t="shared" si="2"/>
        <v>0</v>
      </c>
      <c r="X66" s="882">
        <f t="shared" si="3"/>
        <v>0</v>
      </c>
      <c r="Y66" s="910">
        <f t="shared" si="4"/>
        <v>0</v>
      </c>
    </row>
    <row r="67" spans="1:25" ht="27" customHeight="1">
      <c r="A67" s="583"/>
      <c r="B67" s="583">
        <v>1009</v>
      </c>
      <c r="C67" s="581">
        <v>10</v>
      </c>
      <c r="D67" s="1137" t="s">
        <v>4</v>
      </c>
      <c r="E67" s="1138" t="s">
        <v>440</v>
      </c>
      <c r="F67" s="599">
        <v>-212562194663</v>
      </c>
      <c r="G67" s="599"/>
      <c r="H67" s="599"/>
      <c r="I67" s="599"/>
      <c r="J67" s="599"/>
      <c r="K67" s="599"/>
      <c r="L67" s="599"/>
      <c r="M67" s="599"/>
      <c r="N67" s="599"/>
      <c r="O67" s="599"/>
      <c r="P67" s="599"/>
      <c r="Q67" s="1096">
        <f t="shared" si="1"/>
        <v>-212562194663</v>
      </c>
      <c r="R67" s="599">
        <v>-88306070502</v>
      </c>
      <c r="S67" s="1096">
        <f t="shared" si="0"/>
        <v>-212562</v>
      </c>
      <c r="T67" s="599">
        <f t="shared" si="0"/>
        <v>-88306</v>
      </c>
      <c r="U67" s="620"/>
      <c r="V67" s="621"/>
      <c r="W67" s="1096">
        <f t="shared" si="2"/>
        <v>-212562194663</v>
      </c>
      <c r="X67" s="882">
        <f t="shared" si="3"/>
        <v>-212562</v>
      </c>
      <c r="Y67" s="910">
        <f t="shared" si="4"/>
        <v>0</v>
      </c>
    </row>
    <row r="68" spans="1:25" ht="27" customHeight="1">
      <c r="A68" s="583"/>
      <c r="B68" s="583">
        <v>401</v>
      </c>
      <c r="C68" s="581">
        <v>4</v>
      </c>
      <c r="D68" s="1137" t="s">
        <v>441</v>
      </c>
      <c r="E68" s="1138" t="s">
        <v>442</v>
      </c>
      <c r="F68" s="599">
        <v>51111276</v>
      </c>
      <c r="G68" s="599"/>
      <c r="H68" s="599"/>
      <c r="I68" s="599"/>
      <c r="J68" s="599"/>
      <c r="K68" s="599"/>
      <c r="L68" s="599"/>
      <c r="M68" s="599"/>
      <c r="N68" s="599"/>
      <c r="O68" s="599"/>
      <c r="P68" s="599"/>
      <c r="Q68" s="1096">
        <f t="shared" ref="Q68:Q131" si="5">SUM(F68:P68)</f>
        <v>51111276</v>
      </c>
      <c r="R68" s="599">
        <v>452785964</v>
      </c>
      <c r="S68" s="1096">
        <f t="shared" si="0"/>
        <v>51</v>
      </c>
      <c r="T68" s="599">
        <f t="shared" si="0"/>
        <v>453</v>
      </c>
      <c r="U68" s="620"/>
      <c r="V68" s="621"/>
      <c r="W68" s="1096">
        <f t="shared" si="2"/>
        <v>51111276</v>
      </c>
      <c r="X68" s="882">
        <f t="shared" ref="X68:X131" si="6">ROUND((W68/1000000),0)</f>
        <v>51</v>
      </c>
      <c r="Y68" s="910">
        <f t="shared" ref="Y68:Y131" si="7">S68-X68</f>
        <v>0</v>
      </c>
    </row>
    <row r="69" spans="1:25" ht="27" customHeight="1">
      <c r="A69" s="583"/>
      <c r="B69" s="583">
        <v>1009</v>
      </c>
      <c r="C69" s="581">
        <v>10</v>
      </c>
      <c r="D69" s="1137" t="s">
        <v>5</v>
      </c>
      <c r="E69" s="1138" t="s">
        <v>828</v>
      </c>
      <c r="F69" s="599"/>
      <c r="G69" s="599"/>
      <c r="H69" s="599"/>
      <c r="I69" s="599"/>
      <c r="J69" s="599"/>
      <c r="K69" s="599"/>
      <c r="L69" s="599"/>
      <c r="M69" s="599"/>
      <c r="N69" s="599"/>
      <c r="O69" s="599"/>
      <c r="P69" s="599"/>
      <c r="Q69" s="1096">
        <f t="shared" si="5"/>
        <v>0</v>
      </c>
      <c r="R69" s="599">
        <v>0</v>
      </c>
      <c r="S69" s="1096">
        <f t="shared" si="0"/>
        <v>0</v>
      </c>
      <c r="T69" s="599">
        <f t="shared" si="0"/>
        <v>0</v>
      </c>
      <c r="U69" s="620"/>
      <c r="V69" s="621"/>
      <c r="W69" s="1096">
        <f t="shared" si="2"/>
        <v>0</v>
      </c>
      <c r="X69" s="882">
        <f t="shared" si="6"/>
        <v>0</v>
      </c>
      <c r="Y69" s="910">
        <f t="shared" si="7"/>
        <v>0</v>
      </c>
    </row>
    <row r="70" spans="1:25" ht="27" customHeight="1">
      <c r="A70" s="583"/>
      <c r="B70" s="583">
        <v>406</v>
      </c>
      <c r="C70" s="581">
        <v>4</v>
      </c>
      <c r="D70" s="1137" t="s">
        <v>1334</v>
      </c>
      <c r="E70" s="1138" t="s">
        <v>1611</v>
      </c>
      <c r="F70" s="599">
        <v>205992538675</v>
      </c>
      <c r="G70" s="599"/>
      <c r="H70" s="599"/>
      <c r="I70" s="599"/>
      <c r="J70" s="599"/>
      <c r="K70" s="599"/>
      <c r="L70" s="599"/>
      <c r="M70" s="599"/>
      <c r="N70" s="599"/>
      <c r="O70" s="599"/>
      <c r="P70" s="599"/>
      <c r="Q70" s="1096">
        <f t="shared" si="5"/>
        <v>205992538675</v>
      </c>
      <c r="R70" s="599">
        <v>90227951830</v>
      </c>
      <c r="S70" s="1096">
        <f t="shared" si="0"/>
        <v>205993</v>
      </c>
      <c r="T70" s="599">
        <f t="shared" si="0"/>
        <v>90228</v>
      </c>
      <c r="U70" s="620"/>
      <c r="V70" s="621"/>
      <c r="W70" s="1096">
        <f t="shared" si="2"/>
        <v>205992538675</v>
      </c>
      <c r="X70" s="882">
        <f t="shared" si="6"/>
        <v>205993</v>
      </c>
      <c r="Y70" s="910">
        <f t="shared" si="7"/>
        <v>0</v>
      </c>
    </row>
    <row r="71" spans="1:25" ht="27" customHeight="1">
      <c r="A71" s="583"/>
      <c r="B71" s="583">
        <v>1009</v>
      </c>
      <c r="C71" s="581">
        <v>10</v>
      </c>
      <c r="D71" s="1137" t="s">
        <v>878</v>
      </c>
      <c r="E71" s="1138" t="s">
        <v>879</v>
      </c>
      <c r="F71" s="599">
        <v>-87537267</v>
      </c>
      <c r="G71" s="599">
        <v>18442857</v>
      </c>
      <c r="H71" s="599">
        <v>3492500</v>
      </c>
      <c r="I71" s="599"/>
      <c r="J71" s="599"/>
      <c r="K71" s="599"/>
      <c r="L71" s="599"/>
      <c r="M71" s="599"/>
      <c r="N71" s="599"/>
      <c r="O71" s="599"/>
      <c r="P71" s="599"/>
      <c r="Q71" s="1096">
        <f t="shared" si="5"/>
        <v>-65601910</v>
      </c>
      <c r="R71" s="599">
        <v>0</v>
      </c>
      <c r="S71" s="1096">
        <f t="shared" si="0"/>
        <v>-66</v>
      </c>
      <c r="T71" s="599">
        <f t="shared" si="0"/>
        <v>0</v>
      </c>
      <c r="U71" s="620"/>
      <c r="V71" s="621"/>
      <c r="W71" s="1096">
        <f t="shared" si="2"/>
        <v>-65601910</v>
      </c>
      <c r="X71" s="882">
        <f t="shared" si="6"/>
        <v>-66</v>
      </c>
      <c r="Y71" s="910">
        <f t="shared" si="7"/>
        <v>0</v>
      </c>
    </row>
    <row r="72" spans="1:25" ht="27" customHeight="1">
      <c r="A72" s="583"/>
      <c r="B72" s="583">
        <v>1009</v>
      </c>
      <c r="C72" s="581">
        <v>10</v>
      </c>
      <c r="D72" s="1137" t="s">
        <v>1236</v>
      </c>
      <c r="E72" s="1138" t="s">
        <v>1237</v>
      </c>
      <c r="F72" s="599">
        <v>19340000</v>
      </c>
      <c r="G72" s="599">
        <v>-12300000</v>
      </c>
      <c r="H72" s="599"/>
      <c r="I72" s="599"/>
      <c r="J72" s="599"/>
      <c r="K72" s="599"/>
      <c r="L72" s="599"/>
      <c r="M72" s="599"/>
      <c r="N72" s="599"/>
      <c r="O72" s="599"/>
      <c r="P72" s="599"/>
      <c r="Q72" s="1096">
        <f t="shared" si="5"/>
        <v>7040000</v>
      </c>
      <c r="R72" s="599">
        <v>-28504267</v>
      </c>
      <c r="S72" s="1096">
        <f t="shared" ref="S72:T135" si="8">ROUND((Q72/1000000),0)</f>
        <v>7</v>
      </c>
      <c r="T72" s="599">
        <f t="shared" si="8"/>
        <v>-29</v>
      </c>
      <c r="U72" s="620"/>
      <c r="V72" s="621"/>
      <c r="W72" s="1096">
        <f t="shared" si="2"/>
        <v>7040000</v>
      </c>
      <c r="X72" s="882">
        <f t="shared" si="6"/>
        <v>7</v>
      </c>
      <c r="Y72" s="910">
        <f t="shared" si="7"/>
        <v>0</v>
      </c>
    </row>
    <row r="73" spans="1:25" ht="27" customHeight="1">
      <c r="A73" s="583"/>
      <c r="B73" s="583">
        <v>401</v>
      </c>
      <c r="C73" s="581">
        <v>4</v>
      </c>
      <c r="D73" s="1137" t="s">
        <v>1175</v>
      </c>
      <c r="E73" s="1138" t="s">
        <v>1168</v>
      </c>
      <c r="F73" s="599">
        <v>-84717985</v>
      </c>
      <c r="G73" s="599"/>
      <c r="H73" s="599"/>
      <c r="I73" s="599"/>
      <c r="J73" s="599"/>
      <c r="K73" s="599"/>
      <c r="L73" s="599"/>
      <c r="M73" s="599"/>
      <c r="N73" s="599"/>
      <c r="O73" s="599"/>
      <c r="P73" s="599"/>
      <c r="Q73" s="1096">
        <f t="shared" si="5"/>
        <v>-84717985</v>
      </c>
      <c r="R73" s="599">
        <v>-162643378</v>
      </c>
      <c r="S73" s="1096">
        <f t="shared" si="8"/>
        <v>-85</v>
      </c>
      <c r="T73" s="599">
        <f t="shared" si="8"/>
        <v>-163</v>
      </c>
      <c r="U73" s="620"/>
      <c r="V73" s="621"/>
      <c r="W73" s="1096">
        <f t="shared" ref="W73:W136" si="9">Q73+V73-U73</f>
        <v>-84717985</v>
      </c>
      <c r="X73" s="882">
        <f t="shared" si="6"/>
        <v>-85</v>
      </c>
      <c r="Y73" s="910">
        <f t="shared" si="7"/>
        <v>0</v>
      </c>
    </row>
    <row r="74" spans="1:25" ht="27" customHeight="1">
      <c r="A74" s="583"/>
      <c r="B74" s="583">
        <v>1009</v>
      </c>
      <c r="C74" s="581">
        <v>10</v>
      </c>
      <c r="D74" s="1137" t="s">
        <v>833</v>
      </c>
      <c r="E74" s="1138" t="s">
        <v>834</v>
      </c>
      <c r="F74" s="599"/>
      <c r="G74" s="599"/>
      <c r="H74" s="599"/>
      <c r="I74" s="599"/>
      <c r="J74" s="599"/>
      <c r="K74" s="599"/>
      <c r="L74" s="599"/>
      <c r="M74" s="599"/>
      <c r="N74" s="599"/>
      <c r="O74" s="599"/>
      <c r="P74" s="599"/>
      <c r="Q74" s="1096">
        <f t="shared" si="5"/>
        <v>0</v>
      </c>
      <c r="R74" s="599">
        <v>0</v>
      </c>
      <c r="S74" s="1096">
        <f t="shared" si="8"/>
        <v>0</v>
      </c>
      <c r="T74" s="599">
        <f t="shared" si="8"/>
        <v>0</v>
      </c>
      <c r="U74" s="620"/>
      <c r="V74" s="621"/>
      <c r="W74" s="1096">
        <f t="shared" si="9"/>
        <v>0</v>
      </c>
      <c r="X74" s="882">
        <f t="shared" si="6"/>
        <v>0</v>
      </c>
      <c r="Y74" s="910">
        <f t="shared" si="7"/>
        <v>0</v>
      </c>
    </row>
    <row r="75" spans="1:25" ht="27" customHeight="1">
      <c r="A75" s="583"/>
      <c r="B75" s="583">
        <v>401</v>
      </c>
      <c r="C75" s="581">
        <v>4</v>
      </c>
      <c r="D75" s="1137" t="s">
        <v>835</v>
      </c>
      <c r="E75" s="1138" t="s">
        <v>836</v>
      </c>
      <c r="F75" s="599">
        <v>39236110973</v>
      </c>
      <c r="G75" s="599">
        <v>-860663344</v>
      </c>
      <c r="H75" s="599"/>
      <c r="I75" s="599"/>
      <c r="J75" s="599"/>
      <c r="K75" s="599"/>
      <c r="L75" s="599"/>
      <c r="M75" s="599"/>
      <c r="N75" s="599"/>
      <c r="O75" s="599"/>
      <c r="P75" s="599"/>
      <c r="Q75" s="1096">
        <f t="shared" si="5"/>
        <v>38375447629</v>
      </c>
      <c r="R75" s="599">
        <v>9959642487</v>
      </c>
      <c r="S75" s="1096">
        <f t="shared" si="8"/>
        <v>38375</v>
      </c>
      <c r="T75" s="599">
        <f t="shared" si="8"/>
        <v>9960</v>
      </c>
      <c r="U75" s="620"/>
      <c r="V75" s="621"/>
      <c r="W75" s="1096">
        <f t="shared" si="9"/>
        <v>38375447629</v>
      </c>
      <c r="X75" s="882">
        <f t="shared" si="6"/>
        <v>38375</v>
      </c>
      <c r="Y75" s="910">
        <f t="shared" si="7"/>
        <v>0</v>
      </c>
    </row>
    <row r="76" spans="1:25" ht="27" customHeight="1">
      <c r="A76" s="583"/>
      <c r="B76" s="583">
        <v>401</v>
      </c>
      <c r="C76" s="581">
        <v>4</v>
      </c>
      <c r="D76" s="1137" t="s">
        <v>6</v>
      </c>
      <c r="E76" s="1138" t="s">
        <v>204</v>
      </c>
      <c r="F76" s="599">
        <v>8120799810</v>
      </c>
      <c r="G76" s="599">
        <v>-575340603</v>
      </c>
      <c r="H76" s="599">
        <v>298931426</v>
      </c>
      <c r="I76" s="599"/>
      <c r="J76" s="599"/>
      <c r="K76" s="599"/>
      <c r="L76" s="599"/>
      <c r="M76" s="599"/>
      <c r="N76" s="599"/>
      <c r="O76" s="599"/>
      <c r="P76" s="599"/>
      <c r="Q76" s="1096">
        <f t="shared" si="5"/>
        <v>7844390633</v>
      </c>
      <c r="R76" s="599">
        <v>8614607801</v>
      </c>
      <c r="S76" s="1096">
        <f t="shared" si="8"/>
        <v>7844</v>
      </c>
      <c r="T76" s="599">
        <f t="shared" si="8"/>
        <v>8615</v>
      </c>
      <c r="U76" s="620"/>
      <c r="V76" s="621"/>
      <c r="W76" s="1096">
        <f t="shared" si="9"/>
        <v>7844390633</v>
      </c>
      <c r="X76" s="882">
        <f t="shared" si="6"/>
        <v>7844</v>
      </c>
      <c r="Y76" s="910">
        <f t="shared" si="7"/>
        <v>0</v>
      </c>
    </row>
    <row r="77" spans="1:25" ht="27" customHeight="1">
      <c r="A77" s="583"/>
      <c r="B77" s="583">
        <v>1002</v>
      </c>
      <c r="C77" s="581">
        <v>10</v>
      </c>
      <c r="D77" s="1137" t="s">
        <v>939</v>
      </c>
      <c r="E77" s="1138" t="s">
        <v>940</v>
      </c>
      <c r="F77" s="599">
        <v>20622924427</v>
      </c>
      <c r="G77" s="599"/>
      <c r="H77" s="599">
        <v>-3994211082</v>
      </c>
      <c r="I77" s="599"/>
      <c r="J77" s="599">
        <v>-16628713345</v>
      </c>
      <c r="K77" s="599"/>
      <c r="L77" s="599"/>
      <c r="M77" s="599"/>
      <c r="N77" s="599"/>
      <c r="O77" s="599"/>
      <c r="P77" s="599"/>
      <c r="Q77" s="1096">
        <f t="shared" si="5"/>
        <v>0</v>
      </c>
      <c r="R77" s="599">
        <v>0</v>
      </c>
      <c r="S77" s="1096">
        <f t="shared" si="8"/>
        <v>0</v>
      </c>
      <c r="T77" s="599">
        <f t="shared" si="8"/>
        <v>0</v>
      </c>
      <c r="U77" s="620"/>
      <c r="V77" s="621"/>
      <c r="W77" s="1096">
        <f t="shared" si="9"/>
        <v>0</v>
      </c>
      <c r="X77" s="882">
        <f t="shared" si="6"/>
        <v>0</v>
      </c>
      <c r="Y77" s="910">
        <f t="shared" si="7"/>
        <v>0</v>
      </c>
    </row>
    <row r="78" spans="1:25" ht="27" customHeight="1">
      <c r="A78" s="583"/>
      <c r="B78" s="1203">
        <v>1009</v>
      </c>
      <c r="C78" s="581">
        <v>10</v>
      </c>
      <c r="D78" s="1137" t="s">
        <v>8</v>
      </c>
      <c r="E78" s="1138" t="s">
        <v>203</v>
      </c>
      <c r="F78" s="599">
        <v>-6086402750</v>
      </c>
      <c r="G78" s="599">
        <v>-2877954</v>
      </c>
      <c r="H78" s="599">
        <v>174607300</v>
      </c>
      <c r="I78" s="599"/>
      <c r="J78" s="599"/>
      <c r="K78" s="599"/>
      <c r="L78" s="599"/>
      <c r="M78" s="599"/>
      <c r="N78" s="599"/>
      <c r="O78" s="599"/>
      <c r="P78" s="599"/>
      <c r="Q78" s="1096">
        <f t="shared" si="5"/>
        <v>-5914673404</v>
      </c>
      <c r="R78" s="599">
        <v>-7264516059</v>
      </c>
      <c r="S78" s="1096">
        <f t="shared" si="8"/>
        <v>-5915</v>
      </c>
      <c r="T78" s="599">
        <f t="shared" si="8"/>
        <v>-7265</v>
      </c>
      <c r="U78" s="620"/>
      <c r="V78" s="621"/>
      <c r="W78" s="1096">
        <f t="shared" si="9"/>
        <v>-5914673404</v>
      </c>
      <c r="X78" s="882">
        <f t="shared" si="6"/>
        <v>-5915</v>
      </c>
      <c r="Y78" s="910">
        <f t="shared" si="7"/>
        <v>0</v>
      </c>
    </row>
    <row r="79" spans="1:25" ht="27" customHeight="1">
      <c r="A79" s="583"/>
      <c r="B79" s="583">
        <v>401</v>
      </c>
      <c r="C79" s="581">
        <v>4</v>
      </c>
      <c r="D79" s="1137" t="s">
        <v>1238</v>
      </c>
      <c r="E79" s="1138" t="s">
        <v>1239</v>
      </c>
      <c r="F79" s="599">
        <v>81848200</v>
      </c>
      <c r="G79" s="599"/>
      <c r="H79" s="599"/>
      <c r="I79" s="599"/>
      <c r="J79" s="599"/>
      <c r="K79" s="599"/>
      <c r="L79" s="599"/>
      <c r="M79" s="599"/>
      <c r="N79" s="599"/>
      <c r="O79" s="599"/>
      <c r="P79" s="599"/>
      <c r="Q79" s="1096">
        <f t="shared" si="5"/>
        <v>81848200</v>
      </c>
      <c r="R79" s="599">
        <v>0</v>
      </c>
      <c r="S79" s="1096">
        <f t="shared" si="8"/>
        <v>82</v>
      </c>
      <c r="T79" s="599">
        <f t="shared" si="8"/>
        <v>0</v>
      </c>
      <c r="U79" s="620"/>
      <c r="V79" s="621"/>
      <c r="W79" s="1096">
        <f t="shared" si="9"/>
        <v>81848200</v>
      </c>
      <c r="X79" s="882">
        <f t="shared" si="6"/>
        <v>82</v>
      </c>
      <c r="Y79" s="910">
        <f t="shared" si="7"/>
        <v>0</v>
      </c>
    </row>
    <row r="80" spans="1:25" ht="27" customHeight="1">
      <c r="A80" s="583"/>
      <c r="B80" s="583">
        <v>1009</v>
      </c>
      <c r="C80" s="581">
        <v>10</v>
      </c>
      <c r="D80" s="1137" t="s">
        <v>549</v>
      </c>
      <c r="E80" s="1138" t="s">
        <v>550</v>
      </c>
      <c r="F80" s="599">
        <v>31646932</v>
      </c>
      <c r="G80" s="599">
        <v>-4608200</v>
      </c>
      <c r="H80" s="599">
        <v>-13336032</v>
      </c>
      <c r="I80" s="599"/>
      <c r="J80" s="599"/>
      <c r="K80" s="599"/>
      <c r="L80" s="599">
        <f>14420400</f>
        <v>14420400</v>
      </c>
      <c r="M80" s="599"/>
      <c r="N80" s="599"/>
      <c r="O80" s="599"/>
      <c r="P80" s="599"/>
      <c r="Q80" s="1096">
        <f t="shared" si="5"/>
        <v>28123100</v>
      </c>
      <c r="R80" s="599">
        <v>-43854200</v>
      </c>
      <c r="S80" s="1096">
        <f t="shared" si="8"/>
        <v>28</v>
      </c>
      <c r="T80" s="599">
        <f t="shared" si="8"/>
        <v>-44</v>
      </c>
      <c r="U80" s="620"/>
      <c r="V80" s="621"/>
      <c r="W80" s="1096">
        <f t="shared" si="9"/>
        <v>28123100</v>
      </c>
      <c r="X80" s="882">
        <f t="shared" si="6"/>
        <v>28</v>
      </c>
      <c r="Y80" s="910">
        <f t="shared" si="7"/>
        <v>0</v>
      </c>
    </row>
    <row r="81" spans="1:25" ht="27" customHeight="1">
      <c r="A81" s="583"/>
      <c r="B81" s="583">
        <v>1301</v>
      </c>
      <c r="C81" s="581">
        <v>11</v>
      </c>
      <c r="D81" s="1137" t="s">
        <v>9</v>
      </c>
      <c r="E81" s="1138" t="s">
        <v>590</v>
      </c>
      <c r="F81" s="599">
        <v>-3908707413734</v>
      </c>
      <c r="G81" s="599">
        <v>-598175159</v>
      </c>
      <c r="H81" s="599">
        <v>1735642093</v>
      </c>
      <c r="I81" s="599">
        <v>-12971466</v>
      </c>
      <c r="J81" s="599"/>
      <c r="K81" s="599"/>
      <c r="L81" s="599"/>
      <c r="M81" s="599"/>
      <c r="N81" s="599"/>
      <c r="O81" s="599"/>
      <c r="P81" s="599"/>
      <c r="Q81" s="1096">
        <f t="shared" si="5"/>
        <v>-3907582918266</v>
      </c>
      <c r="R81" s="599">
        <v>-3266127594699</v>
      </c>
      <c r="S81" s="1096">
        <f t="shared" si="8"/>
        <v>-3907583</v>
      </c>
      <c r="T81" s="599">
        <f t="shared" si="8"/>
        <v>-3266128</v>
      </c>
      <c r="U81" s="620"/>
      <c r="V81" s="621"/>
      <c r="W81" s="1096">
        <f t="shared" si="9"/>
        <v>-3907582918266</v>
      </c>
      <c r="X81" s="882">
        <f t="shared" si="6"/>
        <v>-3907583</v>
      </c>
      <c r="Y81" s="910">
        <f t="shared" si="7"/>
        <v>0</v>
      </c>
    </row>
    <row r="82" spans="1:25" ht="27" customHeight="1">
      <c r="A82" s="583"/>
      <c r="B82" s="583">
        <v>1009</v>
      </c>
      <c r="C82" s="581">
        <v>10</v>
      </c>
      <c r="D82" s="1137" t="s">
        <v>11</v>
      </c>
      <c r="E82" s="1138" t="s">
        <v>551</v>
      </c>
      <c r="F82" s="599">
        <v>-142633952</v>
      </c>
      <c r="G82" s="599"/>
      <c r="H82" s="599">
        <v>43299516</v>
      </c>
      <c r="I82" s="599"/>
      <c r="J82" s="599"/>
      <c r="K82" s="599"/>
      <c r="L82" s="599"/>
      <c r="M82" s="599"/>
      <c r="N82" s="599"/>
      <c r="O82" s="599"/>
      <c r="P82" s="599"/>
      <c r="Q82" s="1096">
        <f t="shared" si="5"/>
        <v>-99334436</v>
      </c>
      <c r="R82" s="599">
        <v>-65337498</v>
      </c>
      <c r="S82" s="1096">
        <f t="shared" si="8"/>
        <v>-99</v>
      </c>
      <c r="T82" s="599">
        <f t="shared" si="8"/>
        <v>-65</v>
      </c>
      <c r="U82" s="620"/>
      <c r="V82" s="621"/>
      <c r="W82" s="1096">
        <f t="shared" si="9"/>
        <v>-99334436</v>
      </c>
      <c r="X82" s="882">
        <f t="shared" si="6"/>
        <v>-99</v>
      </c>
      <c r="Y82" s="910">
        <f t="shared" si="7"/>
        <v>0</v>
      </c>
    </row>
    <row r="83" spans="1:25" ht="27" customHeight="1">
      <c r="A83" s="583"/>
      <c r="B83" s="583">
        <v>1009</v>
      </c>
      <c r="C83" s="581">
        <v>10</v>
      </c>
      <c r="D83" s="1137" t="s">
        <v>12</v>
      </c>
      <c r="E83" s="1138" t="s">
        <v>13</v>
      </c>
      <c r="F83" s="599">
        <v>-347647981</v>
      </c>
      <c r="G83" s="599"/>
      <c r="H83" s="599"/>
      <c r="I83" s="599"/>
      <c r="J83" s="599"/>
      <c r="K83" s="599"/>
      <c r="L83" s="599"/>
      <c r="M83" s="599"/>
      <c r="N83" s="599"/>
      <c r="O83" s="599"/>
      <c r="P83" s="599"/>
      <c r="Q83" s="1096">
        <f t="shared" si="5"/>
        <v>-347647981</v>
      </c>
      <c r="R83" s="599">
        <v>29398932</v>
      </c>
      <c r="S83" s="1096">
        <f t="shared" si="8"/>
        <v>-348</v>
      </c>
      <c r="T83" s="599">
        <f t="shared" si="8"/>
        <v>29</v>
      </c>
      <c r="U83" s="620"/>
      <c r="V83" s="621"/>
      <c r="W83" s="1096">
        <f t="shared" si="9"/>
        <v>-347647981</v>
      </c>
      <c r="X83" s="882">
        <f t="shared" si="6"/>
        <v>-348</v>
      </c>
      <c r="Y83" s="910">
        <f t="shared" si="7"/>
        <v>0</v>
      </c>
    </row>
    <row r="84" spans="1:25" ht="27" customHeight="1">
      <c r="A84" s="583"/>
      <c r="B84" s="583">
        <v>1009</v>
      </c>
      <c r="C84" s="581">
        <v>10</v>
      </c>
      <c r="D84" s="1137" t="s">
        <v>1091</v>
      </c>
      <c r="E84" s="1138" t="s">
        <v>1092</v>
      </c>
      <c r="F84" s="599"/>
      <c r="G84" s="599"/>
      <c r="H84" s="599"/>
      <c r="I84" s="599"/>
      <c r="J84" s="599"/>
      <c r="K84" s="599"/>
      <c r="L84" s="599"/>
      <c r="M84" s="599"/>
      <c r="N84" s="599"/>
      <c r="O84" s="599"/>
      <c r="P84" s="599"/>
      <c r="Q84" s="1096">
        <f t="shared" si="5"/>
        <v>0</v>
      </c>
      <c r="R84" s="599">
        <v>0</v>
      </c>
      <c r="S84" s="1096">
        <f t="shared" si="8"/>
        <v>0</v>
      </c>
      <c r="T84" s="599">
        <f t="shared" si="8"/>
        <v>0</v>
      </c>
      <c r="U84" s="620"/>
      <c r="V84" s="621"/>
      <c r="W84" s="1096">
        <f t="shared" si="9"/>
        <v>0</v>
      </c>
      <c r="X84" s="882">
        <f t="shared" si="6"/>
        <v>0</v>
      </c>
      <c r="Y84" s="910">
        <f t="shared" si="7"/>
        <v>0</v>
      </c>
    </row>
    <row r="85" spans="1:25" ht="27" customHeight="1">
      <c r="A85" s="583"/>
      <c r="B85" s="583">
        <v>1009</v>
      </c>
      <c r="C85" s="581">
        <v>10</v>
      </c>
      <c r="D85" s="1137" t="s">
        <v>14</v>
      </c>
      <c r="E85" s="1138" t="s">
        <v>363</v>
      </c>
      <c r="F85" s="599">
        <v>-6504311829</v>
      </c>
      <c r="G85" s="599">
        <v>-14</v>
      </c>
      <c r="H85" s="599"/>
      <c r="I85" s="599"/>
      <c r="J85" s="599"/>
      <c r="K85" s="599"/>
      <c r="L85" s="599"/>
      <c r="M85" s="599"/>
      <c r="N85" s="599"/>
      <c r="O85" s="599"/>
      <c r="P85" s="599"/>
      <c r="Q85" s="1096">
        <f t="shared" si="5"/>
        <v>-6504311843</v>
      </c>
      <c r="R85" s="599">
        <v>-13789359269</v>
      </c>
      <c r="S85" s="1096">
        <f t="shared" si="8"/>
        <v>-6504</v>
      </c>
      <c r="T85" s="599">
        <f t="shared" si="8"/>
        <v>-13789</v>
      </c>
      <c r="U85" s="620"/>
      <c r="V85" s="621"/>
      <c r="W85" s="1096">
        <f t="shared" si="9"/>
        <v>-6504311843</v>
      </c>
      <c r="X85" s="882">
        <f t="shared" si="6"/>
        <v>-6504</v>
      </c>
      <c r="Y85" s="910">
        <f t="shared" si="7"/>
        <v>0</v>
      </c>
    </row>
    <row r="86" spans="1:25" ht="27" customHeight="1">
      <c r="A86" s="583"/>
      <c r="B86" s="583">
        <v>1009</v>
      </c>
      <c r="C86" s="581">
        <v>10</v>
      </c>
      <c r="D86" s="1137" t="s">
        <v>15</v>
      </c>
      <c r="E86" s="1138" t="s">
        <v>552</v>
      </c>
      <c r="F86" s="599">
        <v>-29400000</v>
      </c>
      <c r="G86" s="599"/>
      <c r="H86" s="599">
        <v>29400000</v>
      </c>
      <c r="I86" s="599"/>
      <c r="J86" s="599"/>
      <c r="K86" s="599"/>
      <c r="L86" s="599"/>
      <c r="M86" s="599"/>
      <c r="N86" s="599"/>
      <c r="O86" s="599"/>
      <c r="P86" s="599"/>
      <c r="Q86" s="1096">
        <f t="shared" si="5"/>
        <v>0</v>
      </c>
      <c r="R86" s="599">
        <v>0</v>
      </c>
      <c r="S86" s="1096">
        <f t="shared" si="8"/>
        <v>0</v>
      </c>
      <c r="T86" s="599">
        <f t="shared" si="8"/>
        <v>0</v>
      </c>
      <c r="U86" s="620"/>
      <c r="V86" s="621"/>
      <c r="W86" s="1096">
        <f t="shared" si="9"/>
        <v>0</v>
      </c>
      <c r="X86" s="882">
        <f t="shared" si="6"/>
        <v>0</v>
      </c>
      <c r="Y86" s="910">
        <f t="shared" si="7"/>
        <v>0</v>
      </c>
    </row>
    <row r="87" spans="1:25" ht="27" customHeight="1">
      <c r="A87" s="583"/>
      <c r="B87" s="583">
        <v>1009</v>
      </c>
      <c r="C87" s="581">
        <v>10</v>
      </c>
      <c r="D87" s="1137" t="s">
        <v>744</v>
      </c>
      <c r="E87" s="1138" t="s">
        <v>1093</v>
      </c>
      <c r="F87" s="599">
        <v>-899104081</v>
      </c>
      <c r="G87" s="599">
        <v>123999071</v>
      </c>
      <c r="H87" s="599">
        <v>790656580</v>
      </c>
      <c r="I87" s="599"/>
      <c r="J87" s="599">
        <v>-16957920</v>
      </c>
      <c r="K87" s="599"/>
      <c r="L87" s="599"/>
      <c r="M87" s="599"/>
      <c r="N87" s="599"/>
      <c r="O87" s="599"/>
      <c r="P87" s="599"/>
      <c r="Q87" s="1096">
        <f t="shared" si="5"/>
        <v>-1406350</v>
      </c>
      <c r="R87" s="599">
        <v>0</v>
      </c>
      <c r="S87" s="1096">
        <f t="shared" si="8"/>
        <v>-1</v>
      </c>
      <c r="T87" s="599">
        <f t="shared" si="8"/>
        <v>0</v>
      </c>
      <c r="U87" s="620"/>
      <c r="V87" s="621"/>
      <c r="W87" s="1096">
        <f t="shared" si="9"/>
        <v>-1406350</v>
      </c>
      <c r="X87" s="882">
        <f t="shared" si="6"/>
        <v>-1</v>
      </c>
      <c r="Y87" s="910">
        <f t="shared" si="7"/>
        <v>0</v>
      </c>
    </row>
    <row r="88" spans="1:25" ht="27" customHeight="1">
      <c r="A88" s="583"/>
      <c r="B88" s="583">
        <v>1002</v>
      </c>
      <c r="C88" s="581">
        <v>10</v>
      </c>
      <c r="D88" s="1137" t="s">
        <v>39</v>
      </c>
      <c r="E88" s="1138" t="s">
        <v>181</v>
      </c>
      <c r="F88" s="599">
        <v>-129651541094</v>
      </c>
      <c r="G88" s="599">
        <v>-4904756</v>
      </c>
      <c r="H88" s="599">
        <v>3994211082</v>
      </c>
      <c r="I88" s="599">
        <v>-37533452</v>
      </c>
      <c r="J88" s="599">
        <v>16628713345</v>
      </c>
      <c r="K88" s="599"/>
      <c r="L88" s="599"/>
      <c r="M88" s="599"/>
      <c r="N88" s="599"/>
      <c r="O88" s="599"/>
      <c r="P88" s="599"/>
      <c r="Q88" s="1096">
        <f t="shared" si="5"/>
        <v>-109071054875</v>
      </c>
      <c r="R88" s="599">
        <v>-128892076073</v>
      </c>
      <c r="S88" s="1096">
        <f t="shared" si="8"/>
        <v>-109071</v>
      </c>
      <c r="T88" s="599">
        <f t="shared" si="8"/>
        <v>-128892</v>
      </c>
      <c r="U88" s="620"/>
      <c r="V88" s="621"/>
      <c r="W88" s="1096">
        <f t="shared" si="9"/>
        <v>-109071054875</v>
      </c>
      <c r="X88" s="882">
        <f t="shared" si="6"/>
        <v>-109071</v>
      </c>
      <c r="Y88" s="910">
        <f t="shared" si="7"/>
        <v>0</v>
      </c>
    </row>
    <row r="89" spans="1:25" ht="27" customHeight="1">
      <c r="A89" s="583"/>
      <c r="B89" s="583">
        <v>1009</v>
      </c>
      <c r="C89" s="581">
        <v>10</v>
      </c>
      <c r="D89" s="1137" t="s">
        <v>941</v>
      </c>
      <c r="E89" s="1138" t="s">
        <v>942</v>
      </c>
      <c r="F89" s="599"/>
      <c r="G89" s="599"/>
      <c r="H89" s="599"/>
      <c r="I89" s="599"/>
      <c r="J89" s="599"/>
      <c r="K89" s="599"/>
      <c r="L89" s="599"/>
      <c r="M89" s="599"/>
      <c r="N89" s="599"/>
      <c r="O89" s="599"/>
      <c r="P89" s="599"/>
      <c r="Q89" s="1096">
        <f t="shared" si="5"/>
        <v>0</v>
      </c>
      <c r="R89" s="599">
        <v>0</v>
      </c>
      <c r="S89" s="1096">
        <f t="shared" si="8"/>
        <v>0</v>
      </c>
      <c r="T89" s="599">
        <f t="shared" si="8"/>
        <v>0</v>
      </c>
      <c r="U89" s="620"/>
      <c r="V89" s="621"/>
      <c r="W89" s="1096">
        <f t="shared" si="9"/>
        <v>0</v>
      </c>
      <c r="X89" s="882">
        <f t="shared" si="6"/>
        <v>0</v>
      </c>
      <c r="Y89" s="910">
        <f t="shared" si="7"/>
        <v>0</v>
      </c>
    </row>
    <row r="90" spans="1:25" ht="27" customHeight="1">
      <c r="A90" s="583"/>
      <c r="B90" s="583">
        <v>1009</v>
      </c>
      <c r="C90" s="581">
        <v>10</v>
      </c>
      <c r="D90" s="1137" t="s">
        <v>40</v>
      </c>
      <c r="E90" s="1138" t="s">
        <v>41</v>
      </c>
      <c r="F90" s="599"/>
      <c r="G90" s="599"/>
      <c r="H90" s="599"/>
      <c r="I90" s="599"/>
      <c r="J90" s="599"/>
      <c r="K90" s="599"/>
      <c r="L90" s="599"/>
      <c r="M90" s="599"/>
      <c r="N90" s="599"/>
      <c r="O90" s="599"/>
      <c r="P90" s="599"/>
      <c r="Q90" s="1096">
        <f t="shared" si="5"/>
        <v>0</v>
      </c>
      <c r="R90" s="599">
        <v>0</v>
      </c>
      <c r="S90" s="1096">
        <f t="shared" si="8"/>
        <v>0</v>
      </c>
      <c r="T90" s="599">
        <f t="shared" si="8"/>
        <v>0</v>
      </c>
      <c r="U90" s="620"/>
      <c r="V90" s="621"/>
      <c r="W90" s="1096">
        <f t="shared" si="9"/>
        <v>0</v>
      </c>
      <c r="X90" s="882">
        <f t="shared" si="6"/>
        <v>0</v>
      </c>
      <c r="Y90" s="910">
        <f t="shared" si="7"/>
        <v>0</v>
      </c>
    </row>
    <row r="91" spans="1:25" ht="27" customHeight="1">
      <c r="A91" s="583"/>
      <c r="B91" s="583">
        <v>1009</v>
      </c>
      <c r="C91" s="581">
        <v>10</v>
      </c>
      <c r="D91" s="1137" t="s">
        <v>1094</v>
      </c>
      <c r="E91" s="1138" t="s">
        <v>1095</v>
      </c>
      <c r="F91" s="599">
        <v>-337287795</v>
      </c>
      <c r="G91" s="599">
        <v>91492767</v>
      </c>
      <c r="H91" s="599">
        <v>236978642</v>
      </c>
      <c r="I91" s="599"/>
      <c r="J91" s="599">
        <v>9816386</v>
      </c>
      <c r="K91" s="599"/>
      <c r="L91" s="599"/>
      <c r="M91" s="599"/>
      <c r="N91" s="599"/>
      <c r="O91" s="599"/>
      <c r="P91" s="599"/>
      <c r="Q91" s="1096">
        <f t="shared" si="5"/>
        <v>1000000</v>
      </c>
      <c r="R91" s="599">
        <v>0</v>
      </c>
      <c r="S91" s="1096">
        <f t="shared" si="8"/>
        <v>1</v>
      </c>
      <c r="T91" s="599">
        <f t="shared" si="8"/>
        <v>0</v>
      </c>
      <c r="U91" s="620"/>
      <c r="V91" s="621"/>
      <c r="W91" s="1096">
        <f t="shared" si="9"/>
        <v>1000000</v>
      </c>
      <c r="X91" s="882">
        <f t="shared" si="6"/>
        <v>1</v>
      </c>
      <c r="Y91" s="910">
        <f t="shared" si="7"/>
        <v>0</v>
      </c>
    </row>
    <row r="92" spans="1:25" ht="27" customHeight="1">
      <c r="A92" s="583"/>
      <c r="B92" s="583">
        <v>1009</v>
      </c>
      <c r="C92" s="581">
        <v>10</v>
      </c>
      <c r="D92" s="1137" t="s">
        <v>1096</v>
      </c>
      <c r="E92" s="1138" t="s">
        <v>1097</v>
      </c>
      <c r="F92" s="599">
        <v>-240000</v>
      </c>
      <c r="G92" s="599"/>
      <c r="H92" s="599"/>
      <c r="I92" s="599"/>
      <c r="J92" s="599">
        <v>240000</v>
      </c>
      <c r="K92" s="599"/>
      <c r="L92" s="599"/>
      <c r="M92" s="599"/>
      <c r="N92" s="599"/>
      <c r="O92" s="599"/>
      <c r="P92" s="599"/>
      <c r="Q92" s="1096">
        <f t="shared" si="5"/>
        <v>0</v>
      </c>
      <c r="R92" s="599">
        <v>0</v>
      </c>
      <c r="S92" s="1096">
        <f t="shared" si="8"/>
        <v>0</v>
      </c>
      <c r="T92" s="599">
        <f t="shared" si="8"/>
        <v>0</v>
      </c>
      <c r="U92" s="620"/>
      <c r="V92" s="621"/>
      <c r="W92" s="1096">
        <f t="shared" si="9"/>
        <v>0</v>
      </c>
      <c r="X92" s="882">
        <f t="shared" si="6"/>
        <v>0</v>
      </c>
      <c r="Y92" s="910">
        <f t="shared" si="7"/>
        <v>0</v>
      </c>
    </row>
    <row r="93" spans="1:25" ht="27" customHeight="1">
      <c r="A93" s="583"/>
      <c r="B93" s="583">
        <v>1009</v>
      </c>
      <c r="C93" s="581">
        <v>10</v>
      </c>
      <c r="D93" s="1137" t="s">
        <v>854</v>
      </c>
      <c r="E93" s="1138" t="s">
        <v>1098</v>
      </c>
      <c r="F93" s="599">
        <v>-55123442</v>
      </c>
      <c r="G93" s="599">
        <v>373152</v>
      </c>
      <c r="H93" s="599">
        <v>36039710</v>
      </c>
      <c r="I93" s="599"/>
      <c r="J93" s="599">
        <v>35668500</v>
      </c>
      <c r="K93" s="599"/>
      <c r="L93" s="599"/>
      <c r="M93" s="599">
        <v>-16957920</v>
      </c>
      <c r="N93" s="599"/>
      <c r="O93" s="599"/>
      <c r="P93" s="599"/>
      <c r="Q93" s="1096">
        <f t="shared" si="5"/>
        <v>0</v>
      </c>
      <c r="R93" s="599">
        <v>0</v>
      </c>
      <c r="S93" s="1096">
        <f t="shared" si="8"/>
        <v>0</v>
      </c>
      <c r="T93" s="599">
        <f t="shared" si="8"/>
        <v>0</v>
      </c>
      <c r="U93" s="620"/>
      <c r="V93" s="621"/>
      <c r="W93" s="1096">
        <f t="shared" si="9"/>
        <v>0</v>
      </c>
      <c r="X93" s="882">
        <f t="shared" si="6"/>
        <v>0</v>
      </c>
      <c r="Y93" s="910">
        <f t="shared" si="7"/>
        <v>0</v>
      </c>
    </row>
    <row r="94" spans="1:25" ht="27" customHeight="1">
      <c r="A94" s="583"/>
      <c r="B94" s="583">
        <v>401</v>
      </c>
      <c r="C94" s="581">
        <v>4</v>
      </c>
      <c r="D94" s="1137" t="s">
        <v>42</v>
      </c>
      <c r="E94" s="1138" t="s">
        <v>943</v>
      </c>
      <c r="F94" s="599">
        <v>-44973000</v>
      </c>
      <c r="G94" s="599">
        <v>445000</v>
      </c>
      <c r="H94" s="599">
        <v>44528000</v>
      </c>
      <c r="I94" s="599"/>
      <c r="J94" s="599"/>
      <c r="K94" s="599"/>
      <c r="L94" s="599"/>
      <c r="M94" s="599"/>
      <c r="N94" s="599"/>
      <c r="O94" s="599"/>
      <c r="P94" s="599"/>
      <c r="Q94" s="1096">
        <f t="shared" si="5"/>
        <v>0</v>
      </c>
      <c r="R94" s="599">
        <v>0</v>
      </c>
      <c r="S94" s="1096">
        <f t="shared" si="8"/>
        <v>0</v>
      </c>
      <c r="T94" s="599">
        <f t="shared" si="8"/>
        <v>0</v>
      </c>
      <c r="U94" s="620"/>
      <c r="V94" s="621"/>
      <c r="W94" s="1096">
        <f t="shared" si="9"/>
        <v>0</v>
      </c>
      <c r="X94" s="882">
        <f t="shared" si="6"/>
        <v>0</v>
      </c>
      <c r="Y94" s="910">
        <f t="shared" si="7"/>
        <v>0</v>
      </c>
    </row>
    <row r="95" spans="1:25" ht="27" customHeight="1">
      <c r="A95" s="583"/>
      <c r="B95" s="583">
        <v>1009</v>
      </c>
      <c r="C95" s="581">
        <v>10</v>
      </c>
      <c r="D95" s="1137" t="s">
        <v>1099</v>
      </c>
      <c r="E95" s="1138" t="s">
        <v>1084</v>
      </c>
      <c r="F95" s="599">
        <v>-85494888</v>
      </c>
      <c r="G95" s="599"/>
      <c r="H95" s="599"/>
      <c r="I95" s="599"/>
      <c r="J95" s="599"/>
      <c r="K95" s="599"/>
      <c r="L95" s="599"/>
      <c r="M95" s="599"/>
      <c r="N95" s="599"/>
      <c r="O95" s="599"/>
      <c r="P95" s="599"/>
      <c r="Q95" s="1096">
        <f t="shared" si="5"/>
        <v>-85494888</v>
      </c>
      <c r="R95" s="599">
        <v>-58494888</v>
      </c>
      <c r="S95" s="1096">
        <f t="shared" si="8"/>
        <v>-85</v>
      </c>
      <c r="T95" s="599">
        <f t="shared" si="8"/>
        <v>-58</v>
      </c>
      <c r="U95" s="620"/>
      <c r="V95" s="621"/>
      <c r="W95" s="1096">
        <f t="shared" si="9"/>
        <v>-85494888</v>
      </c>
      <c r="X95" s="882">
        <f t="shared" si="6"/>
        <v>-85</v>
      </c>
      <c r="Y95" s="910">
        <f t="shared" si="7"/>
        <v>0</v>
      </c>
    </row>
    <row r="96" spans="1:25" ht="27" customHeight="1">
      <c r="A96" s="583"/>
      <c r="B96" s="583">
        <v>401</v>
      </c>
      <c r="C96" s="581">
        <v>4</v>
      </c>
      <c r="D96" s="1137" t="s">
        <v>1100</v>
      </c>
      <c r="E96" s="1138" t="s">
        <v>1102</v>
      </c>
      <c r="F96" s="599"/>
      <c r="G96" s="599"/>
      <c r="H96" s="599"/>
      <c r="I96" s="599"/>
      <c r="J96" s="599"/>
      <c r="K96" s="599"/>
      <c r="L96" s="599"/>
      <c r="M96" s="599"/>
      <c r="N96" s="599"/>
      <c r="O96" s="599"/>
      <c r="P96" s="599"/>
      <c r="Q96" s="1096">
        <f t="shared" si="5"/>
        <v>0</v>
      </c>
      <c r="R96" s="599">
        <v>0</v>
      </c>
      <c r="S96" s="1096">
        <f t="shared" si="8"/>
        <v>0</v>
      </c>
      <c r="T96" s="599">
        <f t="shared" si="8"/>
        <v>0</v>
      </c>
      <c r="U96" s="620"/>
      <c r="V96" s="621"/>
      <c r="W96" s="1096">
        <f t="shared" si="9"/>
        <v>0</v>
      </c>
      <c r="X96" s="882">
        <f t="shared" si="6"/>
        <v>0</v>
      </c>
      <c r="Y96" s="910">
        <f t="shared" si="7"/>
        <v>0</v>
      </c>
    </row>
    <row r="97" spans="1:25" ht="27" customHeight="1">
      <c r="A97" s="583"/>
      <c r="B97" s="583">
        <v>1009</v>
      </c>
      <c r="C97" s="581">
        <v>10</v>
      </c>
      <c r="D97" s="1137" t="s">
        <v>1101</v>
      </c>
      <c r="E97" s="1138" t="s">
        <v>1103</v>
      </c>
      <c r="F97" s="599">
        <v>-14265635</v>
      </c>
      <c r="G97" s="599">
        <v>10008485</v>
      </c>
      <c r="H97" s="599">
        <v>4257150</v>
      </c>
      <c r="I97" s="599"/>
      <c r="J97" s="599"/>
      <c r="K97" s="599"/>
      <c r="L97" s="599"/>
      <c r="M97" s="599"/>
      <c r="N97" s="599"/>
      <c r="O97" s="599"/>
      <c r="P97" s="599"/>
      <c r="Q97" s="1096">
        <f t="shared" si="5"/>
        <v>0</v>
      </c>
      <c r="R97" s="599">
        <v>0</v>
      </c>
      <c r="S97" s="1096">
        <f t="shared" si="8"/>
        <v>0</v>
      </c>
      <c r="T97" s="599">
        <f t="shared" si="8"/>
        <v>0</v>
      </c>
      <c r="U97" s="620"/>
      <c r="V97" s="621"/>
      <c r="W97" s="1096">
        <f t="shared" si="9"/>
        <v>0</v>
      </c>
      <c r="X97" s="882">
        <f t="shared" si="6"/>
        <v>0</v>
      </c>
      <c r="Y97" s="910">
        <f t="shared" si="7"/>
        <v>0</v>
      </c>
    </row>
    <row r="98" spans="1:25" ht="27" customHeight="1">
      <c r="A98" s="583"/>
      <c r="B98" s="583">
        <v>406</v>
      </c>
      <c r="C98" s="581">
        <v>4</v>
      </c>
      <c r="D98" s="1137" t="s">
        <v>43</v>
      </c>
      <c r="E98" s="1138" t="s">
        <v>1002</v>
      </c>
      <c r="F98" s="599">
        <v>5196000</v>
      </c>
      <c r="G98" s="599">
        <v>595000</v>
      </c>
      <c r="H98" s="599"/>
      <c r="I98" s="599"/>
      <c r="J98" s="599"/>
      <c r="K98" s="599"/>
      <c r="L98" s="599"/>
      <c r="M98" s="599"/>
      <c r="N98" s="599"/>
      <c r="O98" s="599"/>
      <c r="P98" s="599"/>
      <c r="Q98" s="1096">
        <f t="shared" si="5"/>
        <v>5791000</v>
      </c>
      <c r="R98" s="599">
        <v>3996000</v>
      </c>
      <c r="S98" s="1096">
        <f t="shared" si="8"/>
        <v>6</v>
      </c>
      <c r="T98" s="599">
        <f t="shared" si="8"/>
        <v>4</v>
      </c>
      <c r="U98" s="620"/>
      <c r="V98" s="621"/>
      <c r="W98" s="1096">
        <f t="shared" si="9"/>
        <v>5791000</v>
      </c>
      <c r="X98" s="882">
        <f t="shared" si="6"/>
        <v>6</v>
      </c>
      <c r="Y98" s="910">
        <f t="shared" si="7"/>
        <v>0</v>
      </c>
    </row>
    <row r="99" spans="1:25" ht="27" customHeight="1">
      <c r="A99" s="583"/>
      <c r="B99" s="583">
        <v>401</v>
      </c>
      <c r="C99" s="581">
        <v>4</v>
      </c>
      <c r="D99" s="1137" t="s">
        <v>1176</v>
      </c>
      <c r="E99" s="1138" t="s">
        <v>1171</v>
      </c>
      <c r="F99" s="599">
        <v>64671978</v>
      </c>
      <c r="G99" s="599">
        <v>1</v>
      </c>
      <c r="H99" s="599">
        <v>16</v>
      </c>
      <c r="I99" s="599"/>
      <c r="J99" s="599"/>
      <c r="K99" s="599"/>
      <c r="L99" s="599"/>
      <c r="M99" s="599"/>
      <c r="N99" s="599"/>
      <c r="O99" s="599"/>
      <c r="P99" s="599"/>
      <c r="Q99" s="1096">
        <f t="shared" si="5"/>
        <v>64671995</v>
      </c>
      <c r="R99" s="599">
        <v>-1810004</v>
      </c>
      <c r="S99" s="1096">
        <f t="shared" si="8"/>
        <v>65</v>
      </c>
      <c r="T99" s="599">
        <f t="shared" si="8"/>
        <v>-2</v>
      </c>
      <c r="U99" s="620"/>
      <c r="V99" s="621"/>
      <c r="W99" s="1096">
        <f t="shared" si="9"/>
        <v>64671995</v>
      </c>
      <c r="X99" s="882">
        <f t="shared" si="6"/>
        <v>65</v>
      </c>
      <c r="Y99" s="910">
        <f t="shared" si="7"/>
        <v>0</v>
      </c>
    </row>
    <row r="100" spans="1:25" ht="27" customHeight="1">
      <c r="A100" s="583"/>
      <c r="B100" s="583">
        <v>1009</v>
      </c>
      <c r="C100" s="581">
        <v>10</v>
      </c>
      <c r="D100" s="1137" t="s">
        <v>44</v>
      </c>
      <c r="E100" s="1138" t="s">
        <v>898</v>
      </c>
      <c r="F100" s="599"/>
      <c r="G100" s="599"/>
      <c r="H100" s="599"/>
      <c r="I100" s="599"/>
      <c r="J100" s="599"/>
      <c r="K100" s="599"/>
      <c r="L100" s="599"/>
      <c r="M100" s="599"/>
      <c r="N100" s="599"/>
      <c r="O100" s="599"/>
      <c r="P100" s="599"/>
      <c r="Q100" s="1096">
        <f t="shared" si="5"/>
        <v>0</v>
      </c>
      <c r="R100" s="599">
        <v>0</v>
      </c>
      <c r="S100" s="1096">
        <f t="shared" si="8"/>
        <v>0</v>
      </c>
      <c r="T100" s="599">
        <f t="shared" si="8"/>
        <v>0</v>
      </c>
      <c r="U100" s="620"/>
      <c r="V100" s="621"/>
      <c r="W100" s="1096">
        <f t="shared" si="9"/>
        <v>0</v>
      </c>
      <c r="X100" s="882">
        <f t="shared" si="6"/>
        <v>0</v>
      </c>
      <c r="Y100" s="910">
        <f t="shared" si="7"/>
        <v>0</v>
      </c>
    </row>
    <row r="101" spans="1:25" ht="27" customHeight="1">
      <c r="A101" s="583"/>
      <c r="B101" s="583">
        <v>401</v>
      </c>
      <c r="C101" s="581">
        <v>4</v>
      </c>
      <c r="D101" s="1137" t="s">
        <v>944</v>
      </c>
      <c r="E101" s="1138" t="s">
        <v>945</v>
      </c>
      <c r="F101" s="599">
        <v>4607845008902</v>
      </c>
      <c r="G101" s="599">
        <v>-727154006672</v>
      </c>
      <c r="H101" s="599">
        <v>-1660417467284</v>
      </c>
      <c r="I101" s="599"/>
      <c r="J101" s="599">
        <v>-801856614551</v>
      </c>
      <c r="K101" s="599"/>
      <c r="L101" s="599">
        <f>-342711779591</f>
        <v>-342711779591</v>
      </c>
      <c r="M101" s="599">
        <v>-1075705140804</v>
      </c>
      <c r="N101" s="599"/>
      <c r="O101" s="599"/>
      <c r="P101" s="599"/>
      <c r="Q101" s="1096">
        <f t="shared" si="5"/>
        <v>0</v>
      </c>
      <c r="R101" s="599">
        <v>0</v>
      </c>
      <c r="S101" s="1096">
        <f t="shared" si="8"/>
        <v>0</v>
      </c>
      <c r="T101" s="599">
        <f t="shared" si="8"/>
        <v>0</v>
      </c>
      <c r="U101" s="620"/>
      <c r="V101" s="621"/>
      <c r="W101" s="1096">
        <f t="shared" si="9"/>
        <v>0</v>
      </c>
      <c r="X101" s="882">
        <f t="shared" si="6"/>
        <v>0</v>
      </c>
      <c r="Y101" s="910">
        <f t="shared" si="7"/>
        <v>0</v>
      </c>
    </row>
    <row r="102" spans="1:25" ht="27" customHeight="1">
      <c r="A102" s="583"/>
      <c r="B102" s="583">
        <v>401</v>
      </c>
      <c r="C102" s="581">
        <v>4</v>
      </c>
      <c r="D102" s="1137" t="s">
        <v>946</v>
      </c>
      <c r="E102" s="1138" t="s">
        <v>947</v>
      </c>
      <c r="F102" s="599">
        <v>30537123480</v>
      </c>
      <c r="G102" s="599">
        <v>-6072853342</v>
      </c>
      <c r="H102" s="599">
        <v>-8104891193</v>
      </c>
      <c r="I102" s="599"/>
      <c r="J102" s="599">
        <v>-2571097011</v>
      </c>
      <c r="K102" s="599"/>
      <c r="L102" s="599">
        <f>-2529077422</f>
        <v>-2529077422</v>
      </c>
      <c r="M102" s="599">
        <v>-11259204512</v>
      </c>
      <c r="N102" s="599"/>
      <c r="O102" s="599"/>
      <c r="P102" s="599"/>
      <c r="Q102" s="1096">
        <f t="shared" si="5"/>
        <v>0</v>
      </c>
      <c r="R102" s="599">
        <v>0</v>
      </c>
      <c r="S102" s="1096">
        <f t="shared" si="8"/>
        <v>0</v>
      </c>
      <c r="T102" s="599">
        <f t="shared" si="8"/>
        <v>0</v>
      </c>
      <c r="U102" s="620"/>
      <c r="V102" s="621"/>
      <c r="W102" s="1096">
        <f t="shared" si="9"/>
        <v>0</v>
      </c>
      <c r="X102" s="882">
        <f t="shared" si="6"/>
        <v>0</v>
      </c>
      <c r="Y102" s="910">
        <f t="shared" si="7"/>
        <v>0</v>
      </c>
    </row>
    <row r="103" spans="1:25" ht="27" customHeight="1">
      <c r="A103" s="583"/>
      <c r="B103" s="583">
        <v>401</v>
      </c>
      <c r="C103" s="581">
        <v>4</v>
      </c>
      <c r="D103" s="1137" t="s">
        <v>948</v>
      </c>
      <c r="E103" s="1138" t="s">
        <v>949</v>
      </c>
      <c r="F103" s="599">
        <v>-3079564</v>
      </c>
      <c r="G103" s="599"/>
      <c r="H103" s="599">
        <v>-34974953</v>
      </c>
      <c r="I103" s="599"/>
      <c r="J103" s="599"/>
      <c r="K103" s="599"/>
      <c r="L103" s="599"/>
      <c r="M103" s="599">
        <v>38054517</v>
      </c>
      <c r="N103" s="599"/>
      <c r="O103" s="599"/>
      <c r="P103" s="599"/>
      <c r="Q103" s="1096">
        <f t="shared" si="5"/>
        <v>0</v>
      </c>
      <c r="R103" s="599">
        <v>0</v>
      </c>
      <c r="S103" s="1096">
        <f t="shared" si="8"/>
        <v>0</v>
      </c>
      <c r="T103" s="599">
        <f t="shared" si="8"/>
        <v>0</v>
      </c>
      <c r="U103" s="620"/>
      <c r="V103" s="621"/>
      <c r="W103" s="1096">
        <f t="shared" si="9"/>
        <v>0</v>
      </c>
      <c r="X103" s="882">
        <f t="shared" si="6"/>
        <v>0</v>
      </c>
      <c r="Y103" s="910">
        <f t="shared" si="7"/>
        <v>0</v>
      </c>
    </row>
    <row r="104" spans="1:25" ht="27" customHeight="1">
      <c r="A104" s="583"/>
      <c r="B104" s="583">
        <v>1009</v>
      </c>
      <c r="C104" s="581">
        <v>10</v>
      </c>
      <c r="D104" s="1137" t="s">
        <v>950</v>
      </c>
      <c r="E104" s="1138" t="s">
        <v>951</v>
      </c>
      <c r="F104" s="599">
        <v>-4638418211818</v>
      </c>
      <c r="G104" s="599">
        <v>733226860014</v>
      </c>
      <c r="H104" s="599">
        <v>1668557333430</v>
      </c>
      <c r="I104" s="599"/>
      <c r="J104" s="599">
        <v>804427711562</v>
      </c>
      <c r="K104" s="599"/>
      <c r="L104" s="599">
        <f>345240857013</f>
        <v>345240857013</v>
      </c>
      <c r="M104" s="599">
        <v>1086965449799</v>
      </c>
      <c r="N104" s="599"/>
      <c r="O104" s="599"/>
      <c r="P104" s="599"/>
      <c r="Q104" s="1096">
        <f t="shared" si="5"/>
        <v>0</v>
      </c>
      <c r="R104" s="599">
        <v>0</v>
      </c>
      <c r="S104" s="1096">
        <f t="shared" si="8"/>
        <v>0</v>
      </c>
      <c r="T104" s="599">
        <f t="shared" si="8"/>
        <v>0</v>
      </c>
      <c r="U104" s="620"/>
      <c r="V104" s="621"/>
      <c r="W104" s="1096">
        <f t="shared" si="9"/>
        <v>0</v>
      </c>
      <c r="X104" s="882">
        <f t="shared" si="6"/>
        <v>0</v>
      </c>
      <c r="Y104" s="910">
        <f t="shared" si="7"/>
        <v>0</v>
      </c>
    </row>
    <row r="105" spans="1:25" ht="27" customHeight="1">
      <c r="A105" s="583"/>
      <c r="B105" s="583">
        <v>401</v>
      </c>
      <c r="C105" s="581">
        <v>4</v>
      </c>
      <c r="D105" s="1137" t="s">
        <v>45</v>
      </c>
      <c r="E105" s="1138" t="s">
        <v>46</v>
      </c>
      <c r="F105" s="599">
        <v>764488699</v>
      </c>
      <c r="G105" s="599">
        <v>501568607</v>
      </c>
      <c r="H105" s="599">
        <v>-57691466</v>
      </c>
      <c r="I105" s="599">
        <v>29650916</v>
      </c>
      <c r="J105" s="599">
        <v>155155154</v>
      </c>
      <c r="K105" s="599">
        <v>9027900</v>
      </c>
      <c r="L105" s="599">
        <f>-14420400</f>
        <v>-14420400</v>
      </c>
      <c r="M105" s="599">
        <v>16957920</v>
      </c>
      <c r="N105" s="599"/>
      <c r="O105" s="599"/>
      <c r="P105" s="599"/>
      <c r="Q105" s="1096">
        <f t="shared" si="5"/>
        <v>1404737330</v>
      </c>
      <c r="R105" s="599">
        <v>-1838584299</v>
      </c>
      <c r="S105" s="1096">
        <f t="shared" si="8"/>
        <v>1405</v>
      </c>
      <c r="T105" s="599">
        <f t="shared" si="8"/>
        <v>-1839</v>
      </c>
      <c r="U105" s="620"/>
      <c r="V105" s="621"/>
      <c r="W105" s="1096">
        <f t="shared" si="9"/>
        <v>1404737330</v>
      </c>
      <c r="X105" s="882">
        <f t="shared" si="6"/>
        <v>1405</v>
      </c>
      <c r="Y105" s="910">
        <f t="shared" si="7"/>
        <v>0</v>
      </c>
    </row>
    <row r="106" spans="1:25" ht="27" customHeight="1">
      <c r="A106" s="583" t="s">
        <v>1767</v>
      </c>
      <c r="B106" s="583">
        <v>401</v>
      </c>
      <c r="C106" s="581">
        <v>4</v>
      </c>
      <c r="D106" s="1137" t="s">
        <v>47</v>
      </c>
      <c r="E106" s="1138" t="s">
        <v>1493</v>
      </c>
      <c r="F106" s="599">
        <v>-4435409590</v>
      </c>
      <c r="G106" s="599">
        <v>-86232781</v>
      </c>
      <c r="H106" s="599">
        <v>-473849859</v>
      </c>
      <c r="I106" s="599">
        <v>96594708</v>
      </c>
      <c r="J106" s="599"/>
      <c r="K106" s="599"/>
      <c r="L106" s="599"/>
      <c r="M106" s="599"/>
      <c r="N106" s="599"/>
      <c r="O106" s="599"/>
      <c r="P106" s="599"/>
      <c r="Q106" s="1096">
        <f t="shared" si="5"/>
        <v>-4898897522</v>
      </c>
      <c r="R106" s="599">
        <v>-4658191725</v>
      </c>
      <c r="S106" s="1096">
        <f t="shared" si="8"/>
        <v>-4899</v>
      </c>
      <c r="T106" s="599">
        <f t="shared" si="8"/>
        <v>-4658</v>
      </c>
      <c r="U106" s="620"/>
      <c r="V106" s="621"/>
      <c r="W106" s="1096">
        <f t="shared" si="9"/>
        <v>-4898897522</v>
      </c>
      <c r="X106" s="882">
        <f t="shared" si="6"/>
        <v>-4899</v>
      </c>
      <c r="Y106" s="910">
        <f t="shared" si="7"/>
        <v>0</v>
      </c>
    </row>
    <row r="107" spans="1:25" ht="27" customHeight="1">
      <c r="A107" s="583"/>
      <c r="B107" s="583">
        <v>1009</v>
      </c>
      <c r="C107" s="581">
        <v>10</v>
      </c>
      <c r="D107" s="1137" t="s">
        <v>47</v>
      </c>
      <c r="E107" s="1138" t="s">
        <v>555</v>
      </c>
      <c r="F107" s="599"/>
      <c r="G107" s="599"/>
      <c r="H107" s="599"/>
      <c r="I107" s="599"/>
      <c r="J107" s="599"/>
      <c r="K107" s="599"/>
      <c r="L107" s="599"/>
      <c r="M107" s="599">
        <v>-39159000</v>
      </c>
      <c r="N107" s="599"/>
      <c r="O107" s="599"/>
      <c r="P107" s="599"/>
      <c r="Q107" s="1096">
        <f t="shared" si="5"/>
        <v>-39159000</v>
      </c>
      <c r="R107" s="599">
        <v>0</v>
      </c>
      <c r="S107" s="1096">
        <f t="shared" si="8"/>
        <v>-39</v>
      </c>
      <c r="T107" s="599">
        <f t="shared" si="8"/>
        <v>0</v>
      </c>
      <c r="U107" s="620"/>
      <c r="V107" s="621"/>
      <c r="W107" s="1096">
        <f t="shared" si="9"/>
        <v>-39159000</v>
      </c>
      <c r="X107" s="882">
        <f t="shared" si="6"/>
        <v>-39</v>
      </c>
      <c r="Y107" s="910">
        <f t="shared" si="7"/>
        <v>0</v>
      </c>
    </row>
    <row r="108" spans="1:25" ht="27" customHeight="1">
      <c r="A108" s="583"/>
      <c r="B108" s="583">
        <v>401</v>
      </c>
      <c r="C108" s="581">
        <v>4</v>
      </c>
      <c r="D108" s="1137" t="s">
        <v>952</v>
      </c>
      <c r="E108" s="1138" t="s">
        <v>953</v>
      </c>
      <c r="F108" s="599"/>
      <c r="G108" s="599"/>
      <c r="H108" s="599"/>
      <c r="I108" s="599"/>
      <c r="J108" s="599"/>
      <c r="K108" s="599"/>
      <c r="L108" s="599"/>
      <c r="M108" s="599"/>
      <c r="N108" s="599"/>
      <c r="O108" s="599"/>
      <c r="P108" s="599"/>
      <c r="Q108" s="1096">
        <f t="shared" si="5"/>
        <v>0</v>
      </c>
      <c r="R108" s="599">
        <v>0</v>
      </c>
      <c r="S108" s="1096">
        <f t="shared" si="8"/>
        <v>0</v>
      </c>
      <c r="T108" s="599">
        <f t="shared" si="8"/>
        <v>0</v>
      </c>
      <c r="U108" s="620"/>
      <c r="V108" s="621"/>
      <c r="W108" s="1096">
        <f t="shared" si="9"/>
        <v>0</v>
      </c>
      <c r="X108" s="882">
        <f t="shared" si="6"/>
        <v>0</v>
      </c>
      <c r="Y108" s="910">
        <f t="shared" si="7"/>
        <v>0</v>
      </c>
    </row>
    <row r="109" spans="1:25" ht="27" customHeight="1">
      <c r="A109" s="583"/>
      <c r="B109" s="583">
        <v>401</v>
      </c>
      <c r="C109" s="581">
        <v>4</v>
      </c>
      <c r="D109" s="1137" t="s">
        <v>837</v>
      </c>
      <c r="E109" s="1138" t="s">
        <v>954</v>
      </c>
      <c r="F109" s="599">
        <v>478360690</v>
      </c>
      <c r="G109" s="599">
        <v>-96125596</v>
      </c>
      <c r="H109" s="599">
        <v>-85000272</v>
      </c>
      <c r="I109" s="599"/>
      <c r="J109" s="599">
        <v>-297234822</v>
      </c>
      <c r="K109" s="599"/>
      <c r="L109" s="599"/>
      <c r="M109" s="599"/>
      <c r="N109" s="599"/>
      <c r="O109" s="599"/>
      <c r="P109" s="599"/>
      <c r="Q109" s="1096">
        <f t="shared" si="5"/>
        <v>0</v>
      </c>
      <c r="R109" s="599">
        <v>0</v>
      </c>
      <c r="S109" s="1096">
        <f t="shared" si="8"/>
        <v>0</v>
      </c>
      <c r="T109" s="599">
        <f t="shared" si="8"/>
        <v>0</v>
      </c>
      <c r="U109" s="620"/>
      <c r="V109" s="621"/>
      <c r="W109" s="1096">
        <f t="shared" si="9"/>
        <v>0</v>
      </c>
      <c r="X109" s="882">
        <f t="shared" si="6"/>
        <v>0</v>
      </c>
      <c r="Y109" s="910">
        <f t="shared" si="7"/>
        <v>0</v>
      </c>
    </row>
    <row r="110" spans="1:25" ht="27" customHeight="1">
      <c r="A110" s="583"/>
      <c r="B110" s="583">
        <v>1009</v>
      </c>
      <c r="C110" s="581">
        <v>10</v>
      </c>
      <c r="D110" s="1137" t="s">
        <v>955</v>
      </c>
      <c r="E110" s="1138" t="s">
        <v>956</v>
      </c>
      <c r="F110" s="599">
        <v>-7615880639</v>
      </c>
      <c r="G110" s="599">
        <v>2178542906</v>
      </c>
      <c r="H110" s="599">
        <v>4628066535</v>
      </c>
      <c r="I110" s="599"/>
      <c r="J110" s="599">
        <v>809271198</v>
      </c>
      <c r="K110" s="599"/>
      <c r="L110" s="599"/>
      <c r="M110" s="599"/>
      <c r="N110" s="599"/>
      <c r="O110" s="599"/>
      <c r="P110" s="599"/>
      <c r="Q110" s="1096">
        <f t="shared" si="5"/>
        <v>0</v>
      </c>
      <c r="R110" s="599">
        <v>0</v>
      </c>
      <c r="S110" s="1096">
        <f t="shared" si="8"/>
        <v>0</v>
      </c>
      <c r="T110" s="599">
        <f t="shared" si="8"/>
        <v>0</v>
      </c>
      <c r="U110" s="620"/>
      <c r="V110" s="621"/>
      <c r="W110" s="1096">
        <f t="shared" si="9"/>
        <v>0</v>
      </c>
      <c r="X110" s="882">
        <f t="shared" si="6"/>
        <v>0</v>
      </c>
      <c r="Y110" s="910">
        <f t="shared" si="7"/>
        <v>0</v>
      </c>
    </row>
    <row r="111" spans="1:25" ht="27" customHeight="1">
      <c r="A111" s="583"/>
      <c r="B111" s="583">
        <v>1009</v>
      </c>
      <c r="C111" s="581">
        <v>10</v>
      </c>
      <c r="D111" s="1137" t="s">
        <v>1104</v>
      </c>
      <c r="E111" s="1138" t="s">
        <v>1105</v>
      </c>
      <c r="F111" s="599">
        <v>-1235652</v>
      </c>
      <c r="G111" s="599">
        <v>1235652</v>
      </c>
      <c r="H111" s="599"/>
      <c r="I111" s="599"/>
      <c r="J111" s="599"/>
      <c r="K111" s="599"/>
      <c r="L111" s="599"/>
      <c r="M111" s="599"/>
      <c r="N111" s="599"/>
      <c r="O111" s="599"/>
      <c r="P111" s="599"/>
      <c r="Q111" s="1096">
        <f t="shared" si="5"/>
        <v>0</v>
      </c>
      <c r="R111" s="599">
        <v>0</v>
      </c>
      <c r="S111" s="1096">
        <f t="shared" si="8"/>
        <v>0</v>
      </c>
      <c r="T111" s="599">
        <f t="shared" si="8"/>
        <v>0</v>
      </c>
      <c r="U111" s="620"/>
      <c r="V111" s="621"/>
      <c r="W111" s="1096">
        <f t="shared" si="9"/>
        <v>0</v>
      </c>
      <c r="X111" s="882">
        <f t="shared" si="6"/>
        <v>0</v>
      </c>
      <c r="Y111" s="910">
        <f t="shared" si="7"/>
        <v>0</v>
      </c>
    </row>
    <row r="112" spans="1:25" ht="27" customHeight="1">
      <c r="A112" s="583"/>
      <c r="B112" s="583">
        <v>401</v>
      </c>
      <c r="C112" s="581">
        <v>4</v>
      </c>
      <c r="D112" s="1137" t="s">
        <v>881</v>
      </c>
      <c r="E112" s="1138" t="s">
        <v>880</v>
      </c>
      <c r="F112" s="599">
        <v>10504258593</v>
      </c>
      <c r="G112" s="599">
        <v>-5803509646</v>
      </c>
      <c r="H112" s="599">
        <v>-223540674</v>
      </c>
      <c r="I112" s="599">
        <v>-853614090</v>
      </c>
      <c r="J112" s="599">
        <v>-2463271769</v>
      </c>
      <c r="K112" s="599"/>
      <c r="L112" s="599"/>
      <c r="M112" s="599"/>
      <c r="N112" s="599"/>
      <c r="O112" s="599"/>
      <c r="P112" s="599"/>
      <c r="Q112" s="1096">
        <f t="shared" si="5"/>
        <v>1160322414</v>
      </c>
      <c r="R112" s="599">
        <v>-618086445</v>
      </c>
      <c r="S112" s="1096">
        <f t="shared" si="8"/>
        <v>1160</v>
      </c>
      <c r="T112" s="599">
        <f t="shared" si="8"/>
        <v>-618</v>
      </c>
      <c r="U112" s="620"/>
      <c r="V112" s="621"/>
      <c r="W112" s="1096">
        <f t="shared" si="9"/>
        <v>1160322414</v>
      </c>
      <c r="X112" s="882">
        <f t="shared" si="6"/>
        <v>1160</v>
      </c>
      <c r="Y112" s="910">
        <f t="shared" si="7"/>
        <v>0</v>
      </c>
    </row>
    <row r="113" spans="1:25" ht="27" customHeight="1">
      <c r="A113" s="583"/>
      <c r="B113" s="583">
        <v>401</v>
      </c>
      <c r="C113" s="581">
        <v>4</v>
      </c>
      <c r="D113" s="1137" t="s">
        <v>556</v>
      </c>
      <c r="E113" s="1138" t="s">
        <v>957</v>
      </c>
      <c r="F113" s="599">
        <v>1582502907</v>
      </c>
      <c r="G113" s="599">
        <v>-1563711224</v>
      </c>
      <c r="H113" s="599">
        <v>-9960283</v>
      </c>
      <c r="I113" s="599"/>
      <c r="J113" s="599"/>
      <c r="K113" s="599"/>
      <c r="L113" s="599"/>
      <c r="M113" s="599"/>
      <c r="N113" s="599"/>
      <c r="O113" s="599"/>
      <c r="P113" s="599"/>
      <c r="Q113" s="1096">
        <f t="shared" si="5"/>
        <v>8831400</v>
      </c>
      <c r="R113" s="599">
        <v>4182800</v>
      </c>
      <c r="S113" s="1096">
        <f t="shared" si="8"/>
        <v>9</v>
      </c>
      <c r="T113" s="599">
        <f t="shared" si="8"/>
        <v>4</v>
      </c>
      <c r="U113" s="620"/>
      <c r="V113" s="621"/>
      <c r="W113" s="1096">
        <f t="shared" si="9"/>
        <v>8831400</v>
      </c>
      <c r="X113" s="882">
        <f t="shared" si="6"/>
        <v>9</v>
      </c>
      <c r="Y113" s="910">
        <f t="shared" si="7"/>
        <v>0</v>
      </c>
    </row>
    <row r="114" spans="1:25" ht="27" customHeight="1">
      <c r="A114" s="583"/>
      <c r="B114" s="583">
        <v>402</v>
      </c>
      <c r="C114" s="581">
        <v>4</v>
      </c>
      <c r="D114" s="1137" t="s">
        <v>48</v>
      </c>
      <c r="E114" s="1138" t="s">
        <v>49</v>
      </c>
      <c r="F114" s="599">
        <v>10608448586</v>
      </c>
      <c r="G114" s="599"/>
      <c r="H114" s="599"/>
      <c r="I114" s="599"/>
      <c r="J114" s="599"/>
      <c r="K114" s="599"/>
      <c r="L114" s="599"/>
      <c r="M114" s="599"/>
      <c r="N114" s="599"/>
      <c r="O114" s="599"/>
      <c r="P114" s="599"/>
      <c r="Q114" s="1096">
        <f t="shared" si="5"/>
        <v>10608448586</v>
      </c>
      <c r="R114" s="599">
        <v>10608448586</v>
      </c>
      <c r="S114" s="1096">
        <f t="shared" si="8"/>
        <v>10608</v>
      </c>
      <c r="T114" s="599">
        <f t="shared" si="8"/>
        <v>10608</v>
      </c>
      <c r="U114" s="620"/>
      <c r="V114" s="621"/>
      <c r="W114" s="1096">
        <f t="shared" si="9"/>
        <v>10608448586</v>
      </c>
      <c r="X114" s="882">
        <f t="shared" si="6"/>
        <v>10608</v>
      </c>
      <c r="Y114" s="910">
        <f t="shared" si="7"/>
        <v>0</v>
      </c>
    </row>
    <row r="115" spans="1:25" ht="27" customHeight="1">
      <c r="A115" s="583"/>
      <c r="B115" s="583">
        <v>1024</v>
      </c>
      <c r="C115" s="581">
        <v>10</v>
      </c>
      <c r="D115" s="1137" t="s">
        <v>50</v>
      </c>
      <c r="E115" s="1138" t="s">
        <v>205</v>
      </c>
      <c r="F115" s="599">
        <v>-15825760049</v>
      </c>
      <c r="G115" s="599"/>
      <c r="H115" s="599"/>
      <c r="I115" s="599">
        <v>15795355179</v>
      </c>
      <c r="J115" s="599">
        <v>-14644736567</v>
      </c>
      <c r="K115" s="599"/>
      <c r="L115" s="599"/>
      <c r="M115" s="599"/>
      <c r="N115" s="599">
        <v>-3038269460</v>
      </c>
      <c r="O115" s="599"/>
      <c r="P115" s="599"/>
      <c r="Q115" s="1096">
        <f t="shared" si="5"/>
        <v>-17713410897</v>
      </c>
      <c r="R115" s="599">
        <v>-43814873022</v>
      </c>
      <c r="S115" s="1096">
        <f t="shared" si="8"/>
        <v>-17713</v>
      </c>
      <c r="T115" s="599">
        <f t="shared" si="8"/>
        <v>-43815</v>
      </c>
      <c r="U115" s="620"/>
      <c r="V115" s="621"/>
      <c r="W115" s="1096">
        <f t="shared" si="9"/>
        <v>-17713410897</v>
      </c>
      <c r="X115" s="882">
        <f t="shared" si="6"/>
        <v>-17713</v>
      </c>
      <c r="Y115" s="910">
        <f t="shared" si="7"/>
        <v>0</v>
      </c>
    </row>
    <row r="116" spans="1:25" ht="27" customHeight="1">
      <c r="A116" s="583"/>
      <c r="B116" s="583">
        <v>404</v>
      </c>
      <c r="C116" s="581">
        <v>4</v>
      </c>
      <c r="D116" s="1137" t="s">
        <v>51</v>
      </c>
      <c r="E116" s="1138" t="s">
        <v>155</v>
      </c>
      <c r="F116" s="599">
        <v>6479449592</v>
      </c>
      <c r="G116" s="599">
        <v>5363940944</v>
      </c>
      <c r="H116" s="599">
        <v>46516332</v>
      </c>
      <c r="I116" s="599">
        <v>8012058145</v>
      </c>
      <c r="J116" s="599">
        <v>2357341977</v>
      </c>
      <c r="K116" s="599"/>
      <c r="L116" s="599"/>
      <c r="M116" s="599"/>
      <c r="N116" s="599"/>
      <c r="O116" s="599"/>
      <c r="P116" s="599"/>
      <c r="Q116" s="1096">
        <f t="shared" si="5"/>
        <v>22259306990</v>
      </c>
      <c r="R116" s="599">
        <v>54725868733</v>
      </c>
      <c r="S116" s="1096">
        <f t="shared" si="8"/>
        <v>22259</v>
      </c>
      <c r="T116" s="599">
        <f t="shared" si="8"/>
        <v>54726</v>
      </c>
      <c r="U116" s="620"/>
      <c r="V116" s="621"/>
      <c r="W116" s="1096">
        <f t="shared" si="9"/>
        <v>22259306990</v>
      </c>
      <c r="X116" s="882">
        <f t="shared" si="6"/>
        <v>22259</v>
      </c>
      <c r="Y116" s="910">
        <f t="shared" si="7"/>
        <v>0</v>
      </c>
    </row>
    <row r="117" spans="1:25" ht="27" customHeight="1">
      <c r="A117" s="583"/>
      <c r="B117" s="583">
        <v>406</v>
      </c>
      <c r="C117" s="581">
        <v>4</v>
      </c>
      <c r="D117" s="1137" t="s">
        <v>52</v>
      </c>
      <c r="E117" s="1138" t="s">
        <v>206</v>
      </c>
      <c r="F117" s="599">
        <v>5657979544</v>
      </c>
      <c r="G117" s="599">
        <v>29870000</v>
      </c>
      <c r="H117" s="599"/>
      <c r="I117" s="599">
        <v>1195167165</v>
      </c>
      <c r="J117" s="599">
        <v>-1109115587</v>
      </c>
      <c r="K117" s="599"/>
      <c r="L117" s="599"/>
      <c r="M117" s="599"/>
      <c r="N117" s="599"/>
      <c r="O117" s="599"/>
      <c r="P117" s="599"/>
      <c r="Q117" s="1096">
        <f t="shared" si="5"/>
        <v>5773901122</v>
      </c>
      <c r="R117" s="599">
        <v>6562429567</v>
      </c>
      <c r="S117" s="1096">
        <f t="shared" si="8"/>
        <v>5774</v>
      </c>
      <c r="T117" s="599">
        <f t="shared" si="8"/>
        <v>6562</v>
      </c>
      <c r="U117" s="620"/>
      <c r="V117" s="621"/>
      <c r="W117" s="1096">
        <f t="shared" si="9"/>
        <v>5773901122</v>
      </c>
      <c r="X117" s="882">
        <f t="shared" si="6"/>
        <v>5774</v>
      </c>
      <c r="Y117" s="910">
        <f t="shared" si="7"/>
        <v>0</v>
      </c>
    </row>
    <row r="118" spans="1:25" ht="27" customHeight="1">
      <c r="A118" s="583"/>
      <c r="B118" s="583">
        <v>403</v>
      </c>
      <c r="C118" s="581">
        <v>4</v>
      </c>
      <c r="D118" s="1137" t="s">
        <v>53</v>
      </c>
      <c r="E118" s="1138" t="s">
        <v>757</v>
      </c>
      <c r="F118" s="599">
        <v>6</v>
      </c>
      <c r="G118" s="599"/>
      <c r="H118" s="599"/>
      <c r="I118" s="599"/>
      <c r="J118" s="599"/>
      <c r="K118" s="599"/>
      <c r="L118" s="599"/>
      <c r="M118" s="599"/>
      <c r="N118" s="599"/>
      <c r="O118" s="599"/>
      <c r="P118" s="599"/>
      <c r="Q118" s="1096">
        <f t="shared" si="5"/>
        <v>6</v>
      </c>
      <c r="R118" s="599">
        <v>6</v>
      </c>
      <c r="S118" s="1096">
        <f t="shared" si="8"/>
        <v>0</v>
      </c>
      <c r="T118" s="599">
        <f t="shared" si="8"/>
        <v>0</v>
      </c>
      <c r="U118" s="620"/>
      <c r="V118" s="621"/>
      <c r="W118" s="1096">
        <f t="shared" si="9"/>
        <v>6</v>
      </c>
      <c r="X118" s="882">
        <f t="shared" si="6"/>
        <v>0</v>
      </c>
      <c r="Y118" s="910">
        <f t="shared" si="7"/>
        <v>0</v>
      </c>
    </row>
    <row r="119" spans="1:25" ht="27" customHeight="1">
      <c r="A119" s="583"/>
      <c r="B119" s="583">
        <v>1001</v>
      </c>
      <c r="C119" s="581">
        <v>10</v>
      </c>
      <c r="D119" s="1137" t="s">
        <v>55</v>
      </c>
      <c r="E119" s="1138" t="s">
        <v>547</v>
      </c>
      <c r="F119" s="599">
        <v>-1115243563</v>
      </c>
      <c r="G119" s="599"/>
      <c r="H119" s="599"/>
      <c r="I119" s="599"/>
      <c r="J119" s="599"/>
      <c r="K119" s="599"/>
      <c r="L119" s="599"/>
      <c r="M119" s="599"/>
      <c r="N119" s="599"/>
      <c r="O119" s="599"/>
      <c r="P119" s="599"/>
      <c r="Q119" s="1096">
        <f t="shared" si="5"/>
        <v>-1115243563</v>
      </c>
      <c r="R119" s="599">
        <v>830224609</v>
      </c>
      <c r="S119" s="1096">
        <f t="shared" si="8"/>
        <v>-1115</v>
      </c>
      <c r="T119" s="599">
        <f t="shared" si="8"/>
        <v>830</v>
      </c>
      <c r="U119" s="620"/>
      <c r="V119" s="621"/>
      <c r="W119" s="1096">
        <f t="shared" si="9"/>
        <v>-1115243563</v>
      </c>
      <c r="X119" s="882">
        <f t="shared" si="6"/>
        <v>-1115</v>
      </c>
      <c r="Y119" s="910">
        <f t="shared" si="7"/>
        <v>0</v>
      </c>
    </row>
    <row r="120" spans="1:25" ht="27" customHeight="1">
      <c r="A120" s="583"/>
      <c r="B120" s="583">
        <v>1009</v>
      </c>
      <c r="C120" s="581">
        <v>10</v>
      </c>
      <c r="D120" s="1137" t="s">
        <v>56</v>
      </c>
      <c r="E120" s="1138" t="s">
        <v>597</v>
      </c>
      <c r="F120" s="599"/>
      <c r="G120" s="599"/>
      <c r="H120" s="599"/>
      <c r="I120" s="599"/>
      <c r="J120" s="599"/>
      <c r="K120" s="599"/>
      <c r="L120" s="599"/>
      <c r="M120" s="599"/>
      <c r="N120" s="599"/>
      <c r="O120" s="599"/>
      <c r="P120" s="599"/>
      <c r="Q120" s="1096">
        <f t="shared" si="5"/>
        <v>0</v>
      </c>
      <c r="R120" s="599">
        <v>0</v>
      </c>
      <c r="S120" s="1096">
        <f t="shared" si="8"/>
        <v>0</v>
      </c>
      <c r="T120" s="599">
        <f t="shared" si="8"/>
        <v>0</v>
      </c>
      <c r="U120" s="620"/>
      <c r="V120" s="621"/>
      <c r="W120" s="1096">
        <f t="shared" si="9"/>
        <v>0</v>
      </c>
      <c r="X120" s="882">
        <f t="shared" si="6"/>
        <v>0</v>
      </c>
      <c r="Y120" s="910">
        <f t="shared" si="7"/>
        <v>0</v>
      </c>
    </row>
    <row r="121" spans="1:25" ht="27" customHeight="1">
      <c r="A121" s="583"/>
      <c r="B121" s="1203">
        <v>406</v>
      </c>
      <c r="C121" s="1131">
        <v>4</v>
      </c>
      <c r="D121" s="1137" t="s">
        <v>715</v>
      </c>
      <c r="E121" s="1138" t="s">
        <v>716</v>
      </c>
      <c r="F121" s="599">
        <v>283630791</v>
      </c>
      <c r="G121" s="599">
        <v>-84287597</v>
      </c>
      <c r="H121" s="599">
        <v>-126806202</v>
      </c>
      <c r="I121" s="599"/>
      <c r="J121" s="599"/>
      <c r="K121" s="599"/>
      <c r="L121" s="599"/>
      <c r="M121" s="599"/>
      <c r="N121" s="599"/>
      <c r="O121" s="599"/>
      <c r="P121" s="599"/>
      <c r="Q121" s="1096">
        <f t="shared" si="5"/>
        <v>72536992</v>
      </c>
      <c r="R121" s="599">
        <v>-408253234</v>
      </c>
      <c r="S121" s="1096">
        <f t="shared" si="8"/>
        <v>73</v>
      </c>
      <c r="T121" s="599">
        <f t="shared" si="8"/>
        <v>-408</v>
      </c>
      <c r="U121" s="620"/>
      <c r="V121" s="621"/>
      <c r="W121" s="1096">
        <f t="shared" si="9"/>
        <v>72536992</v>
      </c>
      <c r="X121" s="882">
        <f t="shared" si="6"/>
        <v>73</v>
      </c>
      <c r="Y121" s="910">
        <f t="shared" si="7"/>
        <v>0</v>
      </c>
    </row>
    <row r="122" spans="1:25" ht="27" customHeight="1">
      <c r="A122" s="583"/>
      <c r="B122" s="583">
        <v>406</v>
      </c>
      <c r="C122" s="581">
        <v>4</v>
      </c>
      <c r="D122" s="1137" t="s">
        <v>412</v>
      </c>
      <c r="E122" s="1138" t="s">
        <v>17</v>
      </c>
      <c r="F122" s="599">
        <v>327756312</v>
      </c>
      <c r="G122" s="599"/>
      <c r="H122" s="599"/>
      <c r="I122" s="599"/>
      <c r="J122" s="599"/>
      <c r="K122" s="599"/>
      <c r="L122" s="599"/>
      <c r="M122" s="599"/>
      <c r="N122" s="599"/>
      <c r="O122" s="599"/>
      <c r="P122" s="599"/>
      <c r="Q122" s="1096">
        <f t="shared" si="5"/>
        <v>327756312</v>
      </c>
      <c r="R122" s="599">
        <v>3400800</v>
      </c>
      <c r="S122" s="1096">
        <f t="shared" si="8"/>
        <v>328</v>
      </c>
      <c r="T122" s="599">
        <f t="shared" si="8"/>
        <v>3</v>
      </c>
      <c r="U122" s="620"/>
      <c r="V122" s="621"/>
      <c r="W122" s="1096">
        <f t="shared" si="9"/>
        <v>327756312</v>
      </c>
      <c r="X122" s="882">
        <f t="shared" si="6"/>
        <v>328</v>
      </c>
      <c r="Y122" s="910">
        <f t="shared" si="7"/>
        <v>0</v>
      </c>
    </row>
    <row r="123" spans="1:25" ht="27" customHeight="1">
      <c r="A123" s="583"/>
      <c r="B123" s="583">
        <v>1025</v>
      </c>
      <c r="C123" s="581">
        <v>10</v>
      </c>
      <c r="D123" s="1137" t="s">
        <v>57</v>
      </c>
      <c r="E123" s="1138" t="s">
        <v>137</v>
      </c>
      <c r="F123" s="599">
        <v>-12981471941</v>
      </c>
      <c r="G123" s="599">
        <v>-202560150</v>
      </c>
      <c r="H123" s="599">
        <v>-1051392418</v>
      </c>
      <c r="I123" s="599"/>
      <c r="J123" s="599"/>
      <c r="K123" s="599"/>
      <c r="L123" s="599"/>
      <c r="M123" s="599"/>
      <c r="N123" s="599"/>
      <c r="O123" s="599"/>
      <c r="P123" s="599"/>
      <c r="Q123" s="1096">
        <f t="shared" si="5"/>
        <v>-14235424509</v>
      </c>
      <c r="R123" s="599">
        <v>-8996571556</v>
      </c>
      <c r="S123" s="1096">
        <f t="shared" si="8"/>
        <v>-14235</v>
      </c>
      <c r="T123" s="599">
        <f t="shared" si="8"/>
        <v>-8997</v>
      </c>
      <c r="U123" s="620"/>
      <c r="V123" s="621"/>
      <c r="W123" s="1096">
        <f t="shared" si="9"/>
        <v>-14235424509</v>
      </c>
      <c r="X123" s="882">
        <f t="shared" si="6"/>
        <v>-14235</v>
      </c>
      <c r="Y123" s="910">
        <f t="shared" si="7"/>
        <v>0</v>
      </c>
    </row>
    <row r="124" spans="1:25" ht="27" customHeight="1">
      <c r="A124" s="583"/>
      <c r="B124" s="583">
        <v>407</v>
      </c>
      <c r="C124" s="581">
        <v>4</v>
      </c>
      <c r="D124" s="1137" t="s">
        <v>58</v>
      </c>
      <c r="E124" s="1138" t="s">
        <v>139</v>
      </c>
      <c r="F124" s="599">
        <v>-625146229163</v>
      </c>
      <c r="G124" s="599"/>
      <c r="H124" s="599"/>
      <c r="I124" s="599">
        <v>625146229163</v>
      </c>
      <c r="J124" s="599"/>
      <c r="K124" s="599"/>
      <c r="L124" s="599"/>
      <c r="M124" s="599"/>
      <c r="N124" s="599"/>
      <c r="O124" s="599"/>
      <c r="P124" s="599"/>
      <c r="Q124" s="1096">
        <f t="shared" si="5"/>
        <v>0</v>
      </c>
      <c r="R124" s="599">
        <v>0</v>
      </c>
      <c r="S124" s="1096">
        <f t="shared" si="8"/>
        <v>0</v>
      </c>
      <c r="T124" s="599">
        <f t="shared" si="8"/>
        <v>0</v>
      </c>
      <c r="U124" s="620"/>
      <c r="V124" s="621"/>
      <c r="W124" s="1096">
        <f t="shared" si="9"/>
        <v>0</v>
      </c>
      <c r="X124" s="882">
        <f t="shared" si="6"/>
        <v>0</v>
      </c>
      <c r="Y124" s="910">
        <f t="shared" si="7"/>
        <v>0</v>
      </c>
    </row>
    <row r="125" spans="1:25" ht="27" customHeight="1">
      <c r="A125" s="583"/>
      <c r="B125" s="583">
        <v>407</v>
      </c>
      <c r="C125" s="581">
        <v>4</v>
      </c>
      <c r="D125" s="1137" t="s">
        <v>1373</v>
      </c>
      <c r="E125" s="1138" t="s">
        <v>1374</v>
      </c>
      <c r="F125" s="599">
        <v>738563628989</v>
      </c>
      <c r="G125" s="599"/>
      <c r="H125" s="599">
        <v>46274692272</v>
      </c>
      <c r="I125" s="599">
        <v>-625185648732</v>
      </c>
      <c r="J125" s="599">
        <v>4341252</v>
      </c>
      <c r="K125" s="599"/>
      <c r="L125" s="599"/>
      <c r="M125" s="599">
        <v>-5427520</v>
      </c>
      <c r="N125" s="599"/>
      <c r="O125" s="599"/>
      <c r="P125" s="599"/>
      <c r="Q125" s="1096">
        <f t="shared" si="5"/>
        <v>159651586261</v>
      </c>
      <c r="R125" s="599">
        <v>147114396047</v>
      </c>
      <c r="S125" s="1096">
        <f t="shared" si="8"/>
        <v>159652</v>
      </c>
      <c r="T125" s="599">
        <f t="shared" si="8"/>
        <v>147114</v>
      </c>
      <c r="U125" s="620"/>
      <c r="V125" s="621"/>
      <c r="W125" s="1096">
        <f t="shared" si="9"/>
        <v>159651586261</v>
      </c>
      <c r="X125" s="882">
        <f t="shared" si="6"/>
        <v>159652</v>
      </c>
      <c r="Y125" s="910">
        <f t="shared" si="7"/>
        <v>0</v>
      </c>
    </row>
    <row r="126" spans="1:25" ht="27" customHeight="1">
      <c r="A126" s="583">
        <v>1</v>
      </c>
      <c r="B126" s="583">
        <v>10040</v>
      </c>
      <c r="C126" s="581">
        <v>4</v>
      </c>
      <c r="D126" s="1137" t="s">
        <v>59</v>
      </c>
      <c r="E126" s="1138" t="s">
        <v>342</v>
      </c>
      <c r="F126" s="599">
        <v>4436302417759</v>
      </c>
      <c r="G126" s="599">
        <v>80283760</v>
      </c>
      <c r="H126" s="599">
        <v>-44626300276</v>
      </c>
      <c r="I126" s="599">
        <v>4054677527</v>
      </c>
      <c r="J126" s="599">
        <f>214908367907-229879780447</f>
        <v>-14971412540</v>
      </c>
      <c r="K126" s="599">
        <v>-1437757315600</v>
      </c>
      <c r="L126" s="599">
        <v>285673780</v>
      </c>
      <c r="M126" s="599">
        <v>-256844754</v>
      </c>
      <c r="N126" s="599"/>
      <c r="O126" s="599"/>
      <c r="P126" s="599">
        <v>-811602150699</v>
      </c>
      <c r="Q126" s="1114">
        <f t="shared" si="5"/>
        <v>2131509028957</v>
      </c>
      <c r="R126" s="599">
        <v>4682215367896</v>
      </c>
      <c r="S126" s="1096">
        <f t="shared" si="8"/>
        <v>2131509</v>
      </c>
      <c r="T126" s="599">
        <f t="shared" si="8"/>
        <v>4682215</v>
      </c>
      <c r="U126" s="620"/>
      <c r="V126" s="621"/>
      <c r="W126" s="1096">
        <f t="shared" si="9"/>
        <v>2131509028957</v>
      </c>
      <c r="X126" s="882">
        <f t="shared" si="6"/>
        <v>2131509</v>
      </c>
      <c r="Y126" s="910">
        <f t="shared" si="7"/>
        <v>0</v>
      </c>
    </row>
    <row r="127" spans="1:25" ht="27" customHeight="1">
      <c r="A127" s="583">
        <v>3214</v>
      </c>
      <c r="B127" s="583">
        <v>10040</v>
      </c>
      <c r="C127" s="581">
        <v>4</v>
      </c>
      <c r="D127" s="1137" t="s">
        <v>59</v>
      </c>
      <c r="E127" s="1138" t="s">
        <v>342</v>
      </c>
      <c r="F127" s="599"/>
      <c r="G127" s="599"/>
      <c r="H127" s="599"/>
      <c r="I127" s="599"/>
      <c r="J127" s="599">
        <v>229879780447</v>
      </c>
      <c r="K127" s="599"/>
      <c r="L127" s="599"/>
      <c r="M127" s="599">
        <v>0</v>
      </c>
      <c r="N127" s="599">
        <v>-116830509682</v>
      </c>
      <c r="O127" s="599"/>
      <c r="P127" s="599"/>
      <c r="Q127" s="1114">
        <f t="shared" si="5"/>
        <v>113049270765</v>
      </c>
      <c r="R127" s="599">
        <v>0</v>
      </c>
      <c r="S127" s="1096">
        <f t="shared" si="8"/>
        <v>113049</v>
      </c>
      <c r="T127" s="599">
        <f t="shared" si="8"/>
        <v>0</v>
      </c>
      <c r="U127" s="620"/>
      <c r="V127" s="621"/>
      <c r="W127" s="1096">
        <f t="shared" si="9"/>
        <v>113049270765</v>
      </c>
      <c r="X127" s="882">
        <f t="shared" si="6"/>
        <v>113049</v>
      </c>
      <c r="Y127" s="910">
        <f t="shared" si="7"/>
        <v>0</v>
      </c>
    </row>
    <row r="128" spans="1:25" ht="27" customHeight="1">
      <c r="A128" s="583"/>
      <c r="B128" s="583">
        <v>10040</v>
      </c>
      <c r="C128" s="581">
        <v>4</v>
      </c>
      <c r="D128" s="1137" t="s">
        <v>59</v>
      </c>
      <c r="E128" s="1138" t="s">
        <v>923</v>
      </c>
      <c r="F128" s="599"/>
      <c r="G128" s="599"/>
      <c r="H128" s="599"/>
      <c r="I128" s="599"/>
      <c r="J128" s="599"/>
      <c r="K128" s="599"/>
      <c r="L128" s="599"/>
      <c r="M128" s="599"/>
      <c r="N128" s="599"/>
      <c r="O128" s="599"/>
      <c r="P128" s="599"/>
      <c r="Q128" s="1114">
        <f t="shared" si="5"/>
        <v>0</v>
      </c>
      <c r="R128" s="599">
        <v>0</v>
      </c>
      <c r="S128" s="1096">
        <f t="shared" si="8"/>
        <v>0</v>
      </c>
      <c r="T128" s="599">
        <f t="shared" si="8"/>
        <v>0</v>
      </c>
      <c r="U128" s="620"/>
      <c r="V128" s="621"/>
      <c r="W128" s="1096">
        <f t="shared" si="9"/>
        <v>0</v>
      </c>
      <c r="X128" s="882">
        <f t="shared" si="6"/>
        <v>0</v>
      </c>
      <c r="Y128" s="910">
        <f t="shared" si="7"/>
        <v>0</v>
      </c>
    </row>
    <row r="129" spans="1:25" ht="27" customHeight="1">
      <c r="A129" s="583"/>
      <c r="B129" s="583">
        <v>1001</v>
      </c>
      <c r="C129" s="581">
        <v>10</v>
      </c>
      <c r="D129" s="1137" t="s">
        <v>378</v>
      </c>
      <c r="E129" s="1138" t="s">
        <v>958</v>
      </c>
      <c r="F129" s="599">
        <v>57960900</v>
      </c>
      <c r="G129" s="599">
        <v>-54922146</v>
      </c>
      <c r="H129" s="599"/>
      <c r="I129" s="599"/>
      <c r="J129" s="599">
        <f>-57960900+46753700</f>
        <v>-11207200</v>
      </c>
      <c r="K129" s="599"/>
      <c r="L129" s="599"/>
      <c r="M129" s="599"/>
      <c r="N129" s="599"/>
      <c r="O129" s="599"/>
      <c r="P129" s="599"/>
      <c r="Q129" s="1096">
        <f t="shared" si="5"/>
        <v>-8168446</v>
      </c>
      <c r="R129" s="599">
        <v>57960900</v>
      </c>
      <c r="S129" s="1096">
        <f t="shared" si="8"/>
        <v>-8</v>
      </c>
      <c r="T129" s="599">
        <f t="shared" si="8"/>
        <v>58</v>
      </c>
      <c r="U129" s="620"/>
      <c r="V129" s="621"/>
      <c r="W129" s="1096">
        <f t="shared" si="9"/>
        <v>-8168446</v>
      </c>
      <c r="X129" s="882">
        <f t="shared" si="6"/>
        <v>-8</v>
      </c>
      <c r="Y129" s="910">
        <f t="shared" si="7"/>
        <v>0</v>
      </c>
    </row>
    <row r="130" spans="1:25" ht="27" customHeight="1">
      <c r="A130" s="583">
        <v>1</v>
      </c>
      <c r="B130" s="583">
        <v>1022</v>
      </c>
      <c r="C130" s="581">
        <v>10</v>
      </c>
      <c r="D130" s="1137" t="s">
        <v>60</v>
      </c>
      <c r="E130" s="1138" t="s">
        <v>1375</v>
      </c>
      <c r="F130" s="599">
        <v>-74340025724</v>
      </c>
      <c r="G130" s="599">
        <v>-6101257568</v>
      </c>
      <c r="H130" s="599">
        <v>-5455168445</v>
      </c>
      <c r="I130" s="599">
        <v>-220884089945</v>
      </c>
      <c r="J130" s="599">
        <v>-141766909</v>
      </c>
      <c r="K130" s="599">
        <v>-73403188</v>
      </c>
      <c r="L130" s="599"/>
      <c r="M130" s="599">
        <f>565173533400-10156</f>
        <v>565173523244</v>
      </c>
      <c r="N130" s="599">
        <v>-47663173</v>
      </c>
      <c r="O130" s="599"/>
      <c r="P130" s="599"/>
      <c r="Q130" s="1114">
        <f t="shared" si="5"/>
        <v>258130148292</v>
      </c>
      <c r="R130" s="599">
        <v>263350508357</v>
      </c>
      <c r="S130" s="1096">
        <f t="shared" si="8"/>
        <v>258130</v>
      </c>
      <c r="T130" s="599">
        <f t="shared" si="8"/>
        <v>263351</v>
      </c>
      <c r="U130" s="620"/>
      <c r="V130" s="621"/>
      <c r="W130" s="1096">
        <f t="shared" si="9"/>
        <v>258130148292</v>
      </c>
      <c r="X130" s="882">
        <f t="shared" si="6"/>
        <v>258130</v>
      </c>
      <c r="Y130" s="910">
        <f t="shared" si="7"/>
        <v>0</v>
      </c>
    </row>
    <row r="131" spans="1:25" ht="27" customHeight="1">
      <c r="A131" s="583">
        <v>7</v>
      </c>
      <c r="B131" s="583">
        <v>1022</v>
      </c>
      <c r="C131" s="581">
        <v>10</v>
      </c>
      <c r="D131" s="1137" t="s">
        <v>1327</v>
      </c>
      <c r="E131" s="1138" t="s">
        <v>778</v>
      </c>
      <c r="F131" s="599">
        <v>5651581118500</v>
      </c>
      <c r="G131" s="599">
        <v>286152890327</v>
      </c>
      <c r="H131" s="599">
        <v>511763643281</v>
      </c>
      <c r="I131" s="599">
        <v>220315681990</v>
      </c>
      <c r="J131" s="599">
        <v>-6669813334098</v>
      </c>
      <c r="K131" s="599"/>
      <c r="L131" s="599">
        <f>79585280860-1175642020000</f>
        <v>-1096056739140</v>
      </c>
      <c r="M131" s="599"/>
      <c r="N131" s="599"/>
      <c r="O131" s="599"/>
      <c r="P131" s="599">
        <v>-60913906874</v>
      </c>
      <c r="Q131" s="1114">
        <f t="shared" si="5"/>
        <v>-1156970646014</v>
      </c>
      <c r="R131" s="599">
        <v>788447278177</v>
      </c>
      <c r="S131" s="1096">
        <f t="shared" si="8"/>
        <v>-1156971</v>
      </c>
      <c r="T131" s="599">
        <f t="shared" si="8"/>
        <v>788447</v>
      </c>
      <c r="U131" s="620"/>
      <c r="V131" s="621"/>
      <c r="W131" s="1096">
        <f t="shared" si="9"/>
        <v>-1156970646014</v>
      </c>
      <c r="X131" s="882">
        <f t="shared" si="6"/>
        <v>-1156971</v>
      </c>
      <c r="Y131" s="910">
        <f t="shared" si="7"/>
        <v>0</v>
      </c>
    </row>
    <row r="132" spans="1:25" ht="27" customHeight="1">
      <c r="A132" s="583"/>
      <c r="B132" s="583">
        <v>406</v>
      </c>
      <c r="C132" s="581">
        <v>4</v>
      </c>
      <c r="D132" s="1137" t="s">
        <v>565</v>
      </c>
      <c r="E132" s="1138" t="s">
        <v>566</v>
      </c>
      <c r="F132" s="599">
        <v>1889867140</v>
      </c>
      <c r="G132" s="599"/>
      <c r="H132" s="599"/>
      <c r="I132" s="599"/>
      <c r="J132" s="599"/>
      <c r="K132" s="599"/>
      <c r="L132" s="599"/>
      <c r="M132" s="599"/>
      <c r="N132" s="599"/>
      <c r="O132" s="599"/>
      <c r="P132" s="599"/>
      <c r="Q132" s="1096">
        <f t="shared" ref="Q132:Q195" si="10">SUM(F132:P132)</f>
        <v>1889867140</v>
      </c>
      <c r="R132" s="599">
        <v>1838070340</v>
      </c>
      <c r="S132" s="1096">
        <f t="shared" si="8"/>
        <v>1890</v>
      </c>
      <c r="T132" s="599">
        <f t="shared" si="8"/>
        <v>1838</v>
      </c>
      <c r="U132" s="620"/>
      <c r="V132" s="621"/>
      <c r="W132" s="1096">
        <f t="shared" si="9"/>
        <v>1889867140</v>
      </c>
      <c r="X132" s="882">
        <f t="shared" ref="X132:X195" si="11">ROUND((W132/1000000),0)</f>
        <v>1890</v>
      </c>
      <c r="Y132" s="910">
        <f t="shared" ref="Y132:Y195" si="12">S132-X132</f>
        <v>0</v>
      </c>
    </row>
    <row r="133" spans="1:25" ht="27" customHeight="1">
      <c r="A133" s="583"/>
      <c r="B133" s="1203">
        <v>406</v>
      </c>
      <c r="C133" s="1131">
        <v>4</v>
      </c>
      <c r="D133" s="1137" t="s">
        <v>567</v>
      </c>
      <c r="E133" s="1138" t="s">
        <v>777</v>
      </c>
      <c r="F133" s="599">
        <v>5765626714</v>
      </c>
      <c r="G133" s="599">
        <v>-36731467</v>
      </c>
      <c r="H133" s="599"/>
      <c r="I133" s="599"/>
      <c r="J133" s="599">
        <v>-143845480</v>
      </c>
      <c r="K133" s="599"/>
      <c r="L133" s="599"/>
      <c r="M133" s="599"/>
      <c r="N133" s="599"/>
      <c r="O133" s="599"/>
      <c r="P133" s="599"/>
      <c r="Q133" s="1096">
        <f t="shared" si="10"/>
        <v>5585049767</v>
      </c>
      <c r="R133" s="599">
        <v>-516803680</v>
      </c>
      <c r="S133" s="1096">
        <f t="shared" si="8"/>
        <v>5585</v>
      </c>
      <c r="T133" s="599">
        <f t="shared" si="8"/>
        <v>-517</v>
      </c>
      <c r="U133" s="620"/>
      <c r="V133" s="621"/>
      <c r="W133" s="1096">
        <f t="shared" si="9"/>
        <v>5585049767</v>
      </c>
      <c r="X133" s="882">
        <f t="shared" si="11"/>
        <v>5585</v>
      </c>
      <c r="Y133" s="910">
        <f t="shared" si="12"/>
        <v>0</v>
      </c>
    </row>
    <row r="134" spans="1:25" ht="27" customHeight="1">
      <c r="A134" s="583"/>
      <c r="B134" s="583">
        <v>406</v>
      </c>
      <c r="C134" s="581">
        <v>4</v>
      </c>
      <c r="D134" s="1137" t="s">
        <v>361</v>
      </c>
      <c r="E134" s="1138" t="s">
        <v>253</v>
      </c>
      <c r="F134" s="599">
        <v>6746905</v>
      </c>
      <c r="G134" s="599"/>
      <c r="H134" s="599"/>
      <c r="I134" s="599"/>
      <c r="J134" s="599"/>
      <c r="K134" s="599"/>
      <c r="L134" s="599"/>
      <c r="M134" s="599"/>
      <c r="N134" s="599"/>
      <c r="O134" s="599"/>
      <c r="P134" s="599"/>
      <c r="Q134" s="1096">
        <f t="shared" si="10"/>
        <v>6746905</v>
      </c>
      <c r="R134" s="599">
        <v>0</v>
      </c>
      <c r="S134" s="1096">
        <f t="shared" si="8"/>
        <v>7</v>
      </c>
      <c r="T134" s="599">
        <f t="shared" si="8"/>
        <v>0</v>
      </c>
      <c r="U134" s="620"/>
      <c r="V134" s="621"/>
      <c r="W134" s="1096">
        <f t="shared" si="9"/>
        <v>6746905</v>
      </c>
      <c r="X134" s="882">
        <f t="shared" si="11"/>
        <v>7</v>
      </c>
      <c r="Y134" s="910">
        <f t="shared" si="12"/>
        <v>0</v>
      </c>
    </row>
    <row r="135" spans="1:25" ht="27" customHeight="1">
      <c r="A135" s="583">
        <v>3215</v>
      </c>
      <c r="B135" s="583">
        <v>1028</v>
      </c>
      <c r="C135" s="581">
        <v>10</v>
      </c>
      <c r="D135" s="1137" t="s">
        <v>568</v>
      </c>
      <c r="E135" s="1138" t="s">
        <v>153</v>
      </c>
      <c r="F135" s="599">
        <v>-64331760478</v>
      </c>
      <c r="G135" s="599">
        <v>-6715030867</v>
      </c>
      <c r="H135" s="599">
        <v>-334924169</v>
      </c>
      <c r="I135" s="599">
        <v>-4342957157</v>
      </c>
      <c r="J135" s="599">
        <v>-9811</v>
      </c>
      <c r="K135" s="599">
        <v>-9000</v>
      </c>
      <c r="L135" s="599"/>
      <c r="M135" s="599"/>
      <c r="N135" s="599"/>
      <c r="O135" s="599"/>
      <c r="P135" s="599"/>
      <c r="Q135" s="1096">
        <f t="shared" si="10"/>
        <v>-75724691482</v>
      </c>
      <c r="R135" s="599">
        <v>-27918116578</v>
      </c>
      <c r="S135" s="1096">
        <f t="shared" si="8"/>
        <v>-75725</v>
      </c>
      <c r="T135" s="599">
        <f t="shared" si="8"/>
        <v>-27918</v>
      </c>
      <c r="U135" s="620"/>
      <c r="V135" s="621"/>
      <c r="W135" s="1096">
        <f t="shared" si="9"/>
        <v>-75724691482</v>
      </c>
      <c r="X135" s="882">
        <f t="shared" si="11"/>
        <v>-75725</v>
      </c>
      <c r="Y135" s="910">
        <f t="shared" si="12"/>
        <v>0</v>
      </c>
    </row>
    <row r="136" spans="1:25" ht="27" customHeight="1">
      <c r="A136" s="583"/>
      <c r="B136" s="583">
        <v>406</v>
      </c>
      <c r="C136" s="581">
        <v>4</v>
      </c>
      <c r="D136" s="1137" t="s">
        <v>254</v>
      </c>
      <c r="E136" s="1138" t="s">
        <v>959</v>
      </c>
      <c r="F136" s="599">
        <v>11588814304</v>
      </c>
      <c r="G136" s="599">
        <v>13871892556</v>
      </c>
      <c r="H136" s="599"/>
      <c r="I136" s="599"/>
      <c r="J136" s="599"/>
      <c r="K136" s="599"/>
      <c r="L136" s="599"/>
      <c r="M136" s="599"/>
      <c r="N136" s="599"/>
      <c r="O136" s="599"/>
      <c r="P136" s="599"/>
      <c r="Q136" s="1096">
        <f t="shared" si="10"/>
        <v>25460706860</v>
      </c>
      <c r="R136" s="599">
        <v>19017089977</v>
      </c>
      <c r="S136" s="1096">
        <f t="shared" ref="S136:T201" si="13">ROUND((Q136/1000000),0)</f>
        <v>25461</v>
      </c>
      <c r="T136" s="599">
        <f t="shared" si="13"/>
        <v>19017</v>
      </c>
      <c r="U136" s="620"/>
      <c r="V136" s="621"/>
      <c r="W136" s="1096">
        <f t="shared" si="9"/>
        <v>25460706860</v>
      </c>
      <c r="X136" s="882">
        <f t="shared" si="11"/>
        <v>25461</v>
      </c>
      <c r="Y136" s="910">
        <f t="shared" si="12"/>
        <v>0</v>
      </c>
    </row>
    <row r="137" spans="1:25" ht="27" customHeight="1">
      <c r="A137" s="583"/>
      <c r="B137" s="583">
        <v>1001</v>
      </c>
      <c r="C137" s="581">
        <v>10</v>
      </c>
      <c r="D137" s="1137" t="s">
        <v>569</v>
      </c>
      <c r="E137" s="1138" t="s">
        <v>961</v>
      </c>
      <c r="F137" s="599">
        <v>-3109739595</v>
      </c>
      <c r="G137" s="599">
        <v>-10591829</v>
      </c>
      <c r="H137" s="599"/>
      <c r="I137" s="599"/>
      <c r="J137" s="599"/>
      <c r="K137" s="599"/>
      <c r="L137" s="599"/>
      <c r="M137" s="599"/>
      <c r="N137" s="599"/>
      <c r="O137" s="599"/>
      <c r="P137" s="599"/>
      <c r="Q137" s="1096">
        <f t="shared" si="10"/>
        <v>-3120331424</v>
      </c>
      <c r="R137" s="599">
        <v>0</v>
      </c>
      <c r="S137" s="1096">
        <f t="shared" si="13"/>
        <v>-3120</v>
      </c>
      <c r="T137" s="599">
        <f t="shared" si="13"/>
        <v>0</v>
      </c>
      <c r="U137" s="620"/>
      <c r="V137" s="621"/>
      <c r="W137" s="1096">
        <f t="shared" ref="W137:W202" si="14">Q137+V137-U137</f>
        <v>-3120331424</v>
      </c>
      <c r="X137" s="882">
        <f t="shared" si="11"/>
        <v>-3120</v>
      </c>
      <c r="Y137" s="910">
        <f t="shared" si="12"/>
        <v>0</v>
      </c>
    </row>
    <row r="138" spans="1:25" ht="27" customHeight="1">
      <c r="A138" s="583"/>
      <c r="B138" s="583">
        <v>406</v>
      </c>
      <c r="C138" s="581">
        <v>4</v>
      </c>
      <c r="D138" s="1137" t="s">
        <v>960</v>
      </c>
      <c r="E138" s="1138" t="s">
        <v>962</v>
      </c>
      <c r="F138" s="599">
        <v>1319356788</v>
      </c>
      <c r="G138" s="599"/>
      <c r="H138" s="599"/>
      <c r="I138" s="599"/>
      <c r="J138" s="599"/>
      <c r="K138" s="599"/>
      <c r="L138" s="599"/>
      <c r="M138" s="599"/>
      <c r="N138" s="599"/>
      <c r="O138" s="599"/>
      <c r="P138" s="599"/>
      <c r="Q138" s="1096">
        <f t="shared" si="10"/>
        <v>1319356788</v>
      </c>
      <c r="R138" s="599">
        <v>1818151118</v>
      </c>
      <c r="S138" s="1096">
        <f t="shared" si="13"/>
        <v>1319</v>
      </c>
      <c r="T138" s="599">
        <f t="shared" si="13"/>
        <v>1818</v>
      </c>
      <c r="U138" s="620"/>
      <c r="V138" s="621"/>
      <c r="W138" s="1096">
        <f t="shared" si="14"/>
        <v>1319356788</v>
      </c>
      <c r="X138" s="882">
        <f t="shared" si="11"/>
        <v>1319</v>
      </c>
      <c r="Y138" s="910">
        <f t="shared" si="12"/>
        <v>0</v>
      </c>
    </row>
    <row r="139" spans="1:25" ht="27" customHeight="1">
      <c r="A139" s="583"/>
      <c r="B139" s="583">
        <v>406</v>
      </c>
      <c r="C139" s="581">
        <v>4</v>
      </c>
      <c r="D139" s="1137" t="s">
        <v>733</v>
      </c>
      <c r="E139" s="1138" t="s">
        <v>963</v>
      </c>
      <c r="F139" s="599"/>
      <c r="G139" s="599"/>
      <c r="H139" s="599"/>
      <c r="I139" s="599"/>
      <c r="J139" s="599"/>
      <c r="K139" s="599"/>
      <c r="L139" s="599"/>
      <c r="M139" s="599"/>
      <c r="N139" s="599"/>
      <c r="O139" s="599"/>
      <c r="P139" s="599"/>
      <c r="Q139" s="1096">
        <f t="shared" si="10"/>
        <v>0</v>
      </c>
      <c r="R139" s="599">
        <v>0</v>
      </c>
      <c r="S139" s="1096">
        <f t="shared" si="13"/>
        <v>0</v>
      </c>
      <c r="T139" s="599">
        <f t="shared" si="13"/>
        <v>0</v>
      </c>
      <c r="U139" s="620"/>
      <c r="V139" s="621"/>
      <c r="W139" s="1096">
        <f t="shared" si="14"/>
        <v>0</v>
      </c>
      <c r="X139" s="882">
        <f t="shared" si="11"/>
        <v>0</v>
      </c>
      <c r="Y139" s="910">
        <f t="shared" si="12"/>
        <v>0</v>
      </c>
    </row>
    <row r="140" spans="1:25" ht="27" customHeight="1">
      <c r="A140" s="583"/>
      <c r="B140" s="583">
        <v>406</v>
      </c>
      <c r="C140" s="581">
        <v>4</v>
      </c>
      <c r="D140" s="1137" t="s">
        <v>570</v>
      </c>
      <c r="E140" s="1138" t="s">
        <v>257</v>
      </c>
      <c r="F140" s="599">
        <v>598377228</v>
      </c>
      <c r="G140" s="599"/>
      <c r="H140" s="599"/>
      <c r="I140" s="599"/>
      <c r="J140" s="599"/>
      <c r="K140" s="599"/>
      <c r="L140" s="599"/>
      <c r="M140" s="599"/>
      <c r="N140" s="599"/>
      <c r="O140" s="599"/>
      <c r="P140" s="599"/>
      <c r="Q140" s="1096">
        <f t="shared" si="10"/>
        <v>598377228</v>
      </c>
      <c r="R140" s="599">
        <v>583227100</v>
      </c>
      <c r="S140" s="1096">
        <f t="shared" si="13"/>
        <v>598</v>
      </c>
      <c r="T140" s="599">
        <f t="shared" si="13"/>
        <v>583</v>
      </c>
      <c r="U140" s="620"/>
      <c r="V140" s="621"/>
      <c r="W140" s="1096">
        <f t="shared" si="14"/>
        <v>598377228</v>
      </c>
      <c r="X140" s="882">
        <f t="shared" si="11"/>
        <v>598</v>
      </c>
      <c r="Y140" s="910">
        <f t="shared" si="12"/>
        <v>0</v>
      </c>
    </row>
    <row r="141" spans="1:25" ht="27" customHeight="1">
      <c r="A141" s="583"/>
      <c r="B141" s="583">
        <v>406</v>
      </c>
      <c r="C141" s="581">
        <v>4</v>
      </c>
      <c r="D141" s="1137" t="s">
        <v>256</v>
      </c>
      <c r="E141" s="1138" t="s">
        <v>258</v>
      </c>
      <c r="F141" s="599"/>
      <c r="G141" s="599"/>
      <c r="H141" s="599"/>
      <c r="I141" s="599"/>
      <c r="J141" s="599"/>
      <c r="K141" s="599"/>
      <c r="L141" s="599"/>
      <c r="M141" s="599"/>
      <c r="N141" s="599"/>
      <c r="O141" s="599"/>
      <c r="P141" s="599"/>
      <c r="Q141" s="1096">
        <f t="shared" si="10"/>
        <v>0</v>
      </c>
      <c r="R141" s="599">
        <v>0</v>
      </c>
      <c r="S141" s="1096">
        <f t="shared" si="13"/>
        <v>0</v>
      </c>
      <c r="T141" s="599">
        <f t="shared" si="13"/>
        <v>0</v>
      </c>
      <c r="U141" s="620"/>
      <c r="V141" s="621"/>
      <c r="W141" s="1096">
        <f t="shared" si="14"/>
        <v>0</v>
      </c>
      <c r="X141" s="882">
        <f t="shared" si="11"/>
        <v>0</v>
      </c>
      <c r="Y141" s="910">
        <f t="shared" si="12"/>
        <v>0</v>
      </c>
    </row>
    <row r="142" spans="1:25" ht="27" customHeight="1">
      <c r="A142" s="583"/>
      <c r="B142" s="583">
        <v>406</v>
      </c>
      <c r="C142" s="581">
        <v>4</v>
      </c>
      <c r="D142" s="1137" t="s">
        <v>571</v>
      </c>
      <c r="E142" s="1138" t="s">
        <v>259</v>
      </c>
      <c r="F142" s="599">
        <v>113360000</v>
      </c>
      <c r="G142" s="599">
        <v>13080000</v>
      </c>
      <c r="H142" s="599"/>
      <c r="I142" s="599">
        <v>13080000</v>
      </c>
      <c r="J142" s="599"/>
      <c r="K142" s="599"/>
      <c r="L142" s="599"/>
      <c r="M142" s="599"/>
      <c r="N142" s="599"/>
      <c r="O142" s="599"/>
      <c r="P142" s="599"/>
      <c r="Q142" s="1096">
        <f t="shared" si="10"/>
        <v>139520000</v>
      </c>
      <c r="R142" s="599">
        <v>74120000</v>
      </c>
      <c r="S142" s="1096">
        <f t="shared" si="13"/>
        <v>140</v>
      </c>
      <c r="T142" s="599">
        <f t="shared" si="13"/>
        <v>74</v>
      </c>
      <c r="U142" s="620"/>
      <c r="V142" s="621"/>
      <c r="W142" s="1096">
        <f t="shared" si="14"/>
        <v>139520000</v>
      </c>
      <c r="X142" s="882">
        <f t="shared" si="11"/>
        <v>140</v>
      </c>
      <c r="Y142" s="910">
        <f t="shared" si="12"/>
        <v>0</v>
      </c>
    </row>
    <row r="143" spans="1:25" ht="27" customHeight="1">
      <c r="A143" s="583"/>
      <c r="B143" s="583">
        <v>406</v>
      </c>
      <c r="C143" s="581">
        <v>4</v>
      </c>
      <c r="D143" s="1137" t="s">
        <v>964</v>
      </c>
      <c r="E143" s="1138" t="s">
        <v>965</v>
      </c>
      <c r="F143" s="599">
        <v>173804400</v>
      </c>
      <c r="G143" s="599"/>
      <c r="H143" s="599"/>
      <c r="I143" s="599"/>
      <c r="J143" s="599"/>
      <c r="K143" s="599"/>
      <c r="L143" s="599"/>
      <c r="M143" s="599"/>
      <c r="N143" s="599"/>
      <c r="O143" s="599"/>
      <c r="P143" s="599"/>
      <c r="Q143" s="1096">
        <f t="shared" si="10"/>
        <v>173804400</v>
      </c>
      <c r="R143" s="599">
        <v>113374800</v>
      </c>
      <c r="S143" s="1096">
        <f t="shared" si="13"/>
        <v>174</v>
      </c>
      <c r="T143" s="599">
        <f t="shared" si="13"/>
        <v>113</v>
      </c>
      <c r="U143" s="620"/>
      <c r="V143" s="621"/>
      <c r="W143" s="1096">
        <f t="shared" si="14"/>
        <v>173804400</v>
      </c>
      <c r="X143" s="882">
        <f t="shared" si="11"/>
        <v>174</v>
      </c>
      <c r="Y143" s="910">
        <f t="shared" si="12"/>
        <v>0</v>
      </c>
    </row>
    <row r="144" spans="1:25" ht="27" customHeight="1">
      <c r="A144" s="583"/>
      <c r="B144" s="583">
        <v>406</v>
      </c>
      <c r="C144" s="581">
        <v>4</v>
      </c>
      <c r="D144" s="1137" t="s">
        <v>643</v>
      </c>
      <c r="E144" s="1138" t="s">
        <v>642</v>
      </c>
      <c r="F144" s="599">
        <v>209992860</v>
      </c>
      <c r="G144" s="599"/>
      <c r="H144" s="599"/>
      <c r="I144" s="599"/>
      <c r="J144" s="599"/>
      <c r="K144" s="599"/>
      <c r="L144" s="599"/>
      <c r="M144" s="599"/>
      <c r="N144" s="599"/>
      <c r="O144" s="599"/>
      <c r="P144" s="599"/>
      <c r="Q144" s="1096">
        <f t="shared" si="10"/>
        <v>209992860</v>
      </c>
      <c r="R144" s="599">
        <v>2786845820</v>
      </c>
      <c r="S144" s="1096">
        <f t="shared" si="13"/>
        <v>210</v>
      </c>
      <c r="T144" s="599">
        <f t="shared" si="13"/>
        <v>2787</v>
      </c>
      <c r="U144" s="620"/>
      <c r="V144" s="621"/>
      <c r="W144" s="1096">
        <f t="shared" si="14"/>
        <v>209992860</v>
      </c>
      <c r="X144" s="882">
        <f t="shared" si="11"/>
        <v>210</v>
      </c>
      <c r="Y144" s="910">
        <f t="shared" si="12"/>
        <v>0</v>
      </c>
    </row>
    <row r="145" spans="1:25" ht="27" customHeight="1">
      <c r="A145" s="583"/>
      <c r="B145" s="583">
        <v>406</v>
      </c>
      <c r="C145" s="581">
        <v>4</v>
      </c>
      <c r="D145" s="1137" t="s">
        <v>572</v>
      </c>
      <c r="E145" s="1138" t="s">
        <v>168</v>
      </c>
      <c r="F145" s="599">
        <v>1195289325</v>
      </c>
      <c r="G145" s="599"/>
      <c r="H145" s="599"/>
      <c r="I145" s="599">
        <v>323234911</v>
      </c>
      <c r="J145" s="599">
        <v>-304112338</v>
      </c>
      <c r="K145" s="599"/>
      <c r="L145" s="599"/>
      <c r="M145" s="599"/>
      <c r="N145" s="599"/>
      <c r="O145" s="599"/>
      <c r="P145" s="599"/>
      <c r="Q145" s="1096">
        <f t="shared" si="10"/>
        <v>1214411898</v>
      </c>
      <c r="R145" s="599">
        <v>2020436105</v>
      </c>
      <c r="S145" s="1096">
        <f t="shared" si="13"/>
        <v>1214</v>
      </c>
      <c r="T145" s="599">
        <f t="shared" si="13"/>
        <v>2020</v>
      </c>
      <c r="U145" s="620"/>
      <c r="V145" s="621"/>
      <c r="W145" s="1096">
        <f t="shared" si="14"/>
        <v>1214411898</v>
      </c>
      <c r="X145" s="882">
        <f t="shared" si="11"/>
        <v>1214</v>
      </c>
      <c r="Y145" s="910">
        <f t="shared" si="12"/>
        <v>0</v>
      </c>
    </row>
    <row r="146" spans="1:25" ht="27" customHeight="1">
      <c r="A146" s="583"/>
      <c r="B146" s="583">
        <v>1001</v>
      </c>
      <c r="C146" s="581">
        <v>10</v>
      </c>
      <c r="D146" s="1137" t="s">
        <v>573</v>
      </c>
      <c r="E146" s="1138" t="s">
        <v>966</v>
      </c>
      <c r="F146" s="599">
        <v>-120753402</v>
      </c>
      <c r="G146" s="599">
        <v>-20711253</v>
      </c>
      <c r="H146" s="599">
        <v>-23392146</v>
      </c>
      <c r="I146" s="599">
        <v>-135834708</v>
      </c>
      <c r="J146" s="599">
        <v>-30109637</v>
      </c>
      <c r="K146" s="599"/>
      <c r="L146" s="599"/>
      <c r="M146" s="599"/>
      <c r="N146" s="599"/>
      <c r="O146" s="599"/>
      <c r="P146" s="599"/>
      <c r="Q146" s="1096">
        <f t="shared" si="10"/>
        <v>-330801146</v>
      </c>
      <c r="R146" s="599">
        <v>-217319646</v>
      </c>
      <c r="S146" s="1096">
        <f t="shared" si="13"/>
        <v>-331</v>
      </c>
      <c r="T146" s="599">
        <f t="shared" si="13"/>
        <v>-217</v>
      </c>
      <c r="U146" s="620"/>
      <c r="V146" s="621"/>
      <c r="W146" s="1096">
        <f t="shared" si="14"/>
        <v>-330801146</v>
      </c>
      <c r="X146" s="882">
        <f t="shared" si="11"/>
        <v>-331</v>
      </c>
      <c r="Y146" s="910">
        <f t="shared" si="12"/>
        <v>0</v>
      </c>
    </row>
    <row r="147" spans="1:25" ht="27" customHeight="1">
      <c r="A147" s="583"/>
      <c r="B147" s="583">
        <v>1001</v>
      </c>
      <c r="C147" s="581">
        <v>10</v>
      </c>
      <c r="D147" s="1137" t="s">
        <v>575</v>
      </c>
      <c r="E147" s="1138" t="s">
        <v>1608</v>
      </c>
      <c r="F147" s="599">
        <v>-2413080</v>
      </c>
      <c r="G147" s="599"/>
      <c r="H147" s="599"/>
      <c r="I147" s="599"/>
      <c r="J147" s="599"/>
      <c r="K147" s="599"/>
      <c r="L147" s="599"/>
      <c r="M147" s="599"/>
      <c r="N147" s="599"/>
      <c r="O147" s="599"/>
      <c r="P147" s="599"/>
      <c r="Q147" s="1096">
        <f t="shared" si="10"/>
        <v>-2413080</v>
      </c>
      <c r="R147" s="599">
        <v>0</v>
      </c>
      <c r="S147" s="1096">
        <f t="shared" si="13"/>
        <v>-2</v>
      </c>
      <c r="T147" s="599">
        <f t="shared" si="13"/>
        <v>0</v>
      </c>
      <c r="U147" s="620"/>
      <c r="V147" s="621"/>
      <c r="W147" s="1096">
        <f t="shared" si="14"/>
        <v>-2413080</v>
      </c>
      <c r="X147" s="882">
        <f t="shared" si="11"/>
        <v>-2</v>
      </c>
      <c r="Y147" s="910">
        <f t="shared" si="12"/>
        <v>0</v>
      </c>
    </row>
    <row r="148" spans="1:25" ht="27" customHeight="1">
      <c r="A148" s="583"/>
      <c r="B148" s="583">
        <v>1018</v>
      </c>
      <c r="C148" s="581">
        <v>10</v>
      </c>
      <c r="D148" s="1137" t="s">
        <v>577</v>
      </c>
      <c r="E148" s="1138" t="s">
        <v>578</v>
      </c>
      <c r="F148" s="599">
        <v>-5454014426</v>
      </c>
      <c r="G148" s="599">
        <v>-243002345</v>
      </c>
      <c r="H148" s="599">
        <v>-2381437</v>
      </c>
      <c r="I148" s="599">
        <v>-332906124</v>
      </c>
      <c r="J148" s="599">
        <v>-12692772</v>
      </c>
      <c r="K148" s="599"/>
      <c r="L148" s="599"/>
      <c r="M148" s="599"/>
      <c r="N148" s="599"/>
      <c r="O148" s="599"/>
      <c r="P148" s="599"/>
      <c r="Q148" s="1096">
        <f t="shared" si="10"/>
        <v>-6044997104</v>
      </c>
      <c r="R148" s="599">
        <v>-18307201136</v>
      </c>
      <c r="S148" s="1096">
        <f t="shared" si="13"/>
        <v>-6045</v>
      </c>
      <c r="T148" s="599">
        <f t="shared" si="13"/>
        <v>-18307</v>
      </c>
      <c r="U148" s="620"/>
      <c r="V148" s="621"/>
      <c r="W148" s="1096">
        <f t="shared" si="14"/>
        <v>-6044997104</v>
      </c>
      <c r="X148" s="882">
        <f t="shared" si="11"/>
        <v>-6045</v>
      </c>
      <c r="Y148" s="910">
        <f t="shared" si="12"/>
        <v>0</v>
      </c>
    </row>
    <row r="149" spans="1:25" ht="27" customHeight="1">
      <c r="A149" s="583"/>
      <c r="B149" s="583">
        <v>1001</v>
      </c>
      <c r="C149" s="581">
        <v>10</v>
      </c>
      <c r="D149" s="1137" t="s">
        <v>1177</v>
      </c>
      <c r="E149" s="1138" t="s">
        <v>1178</v>
      </c>
      <c r="F149" s="599">
        <v>-1876262588</v>
      </c>
      <c r="G149" s="599"/>
      <c r="H149" s="599"/>
      <c r="I149" s="599"/>
      <c r="J149" s="599"/>
      <c r="K149" s="599"/>
      <c r="L149" s="599"/>
      <c r="M149" s="599"/>
      <c r="N149" s="599"/>
      <c r="O149" s="599"/>
      <c r="P149" s="599"/>
      <c r="Q149" s="1096">
        <f t="shared" si="10"/>
        <v>-1876262588</v>
      </c>
      <c r="R149" s="599">
        <v>-1909616588</v>
      </c>
      <c r="S149" s="1096">
        <f t="shared" si="13"/>
        <v>-1876</v>
      </c>
      <c r="T149" s="599">
        <f t="shared" si="13"/>
        <v>-1910</v>
      </c>
      <c r="U149" s="620"/>
      <c r="V149" s="621"/>
      <c r="W149" s="1096">
        <f t="shared" si="14"/>
        <v>-1876262588</v>
      </c>
      <c r="X149" s="882">
        <f t="shared" si="11"/>
        <v>-1876</v>
      </c>
      <c r="Y149" s="910">
        <f t="shared" si="12"/>
        <v>0</v>
      </c>
    </row>
    <row r="150" spans="1:25" ht="27" customHeight="1">
      <c r="A150" s="583"/>
      <c r="B150" s="583">
        <v>406</v>
      </c>
      <c r="C150" s="581">
        <v>4</v>
      </c>
      <c r="D150" s="1137" t="s">
        <v>579</v>
      </c>
      <c r="E150" s="1138" t="s">
        <v>580</v>
      </c>
      <c r="F150" s="599">
        <v>2531362670</v>
      </c>
      <c r="G150" s="599"/>
      <c r="H150" s="599"/>
      <c r="I150" s="599"/>
      <c r="J150" s="599"/>
      <c r="K150" s="599"/>
      <c r="L150" s="599"/>
      <c r="M150" s="599"/>
      <c r="N150" s="599"/>
      <c r="O150" s="599"/>
      <c r="P150" s="599"/>
      <c r="Q150" s="1096">
        <f t="shared" si="10"/>
        <v>2531362670</v>
      </c>
      <c r="R150" s="599">
        <v>2531362670</v>
      </c>
      <c r="S150" s="1096">
        <f t="shared" si="13"/>
        <v>2531</v>
      </c>
      <c r="T150" s="599">
        <f t="shared" si="13"/>
        <v>2531</v>
      </c>
      <c r="U150" s="620"/>
      <c r="V150" s="621"/>
      <c r="W150" s="1096">
        <f t="shared" si="14"/>
        <v>2531362670</v>
      </c>
      <c r="X150" s="882">
        <f t="shared" si="11"/>
        <v>2531</v>
      </c>
      <c r="Y150" s="910">
        <f t="shared" si="12"/>
        <v>0</v>
      </c>
    </row>
    <row r="151" spans="1:25" ht="27" customHeight="1">
      <c r="A151" s="583"/>
      <c r="B151" s="583">
        <v>406</v>
      </c>
      <c r="C151" s="581">
        <v>4</v>
      </c>
      <c r="D151" s="1137" t="s">
        <v>581</v>
      </c>
      <c r="E151" s="1138" t="s">
        <v>756</v>
      </c>
      <c r="F151" s="599">
        <v>4234561871</v>
      </c>
      <c r="G151" s="599">
        <v>6432932470</v>
      </c>
      <c r="H151" s="599"/>
      <c r="I151" s="599"/>
      <c r="J151" s="599"/>
      <c r="K151" s="599"/>
      <c r="L151" s="599"/>
      <c r="M151" s="599"/>
      <c r="N151" s="599"/>
      <c r="O151" s="599"/>
      <c r="P151" s="599"/>
      <c r="Q151" s="1096">
        <f t="shared" si="10"/>
        <v>10667494341</v>
      </c>
      <c r="R151" s="599">
        <v>18159151275</v>
      </c>
      <c r="S151" s="1096">
        <f t="shared" si="13"/>
        <v>10667</v>
      </c>
      <c r="T151" s="599">
        <f t="shared" si="13"/>
        <v>18159</v>
      </c>
      <c r="U151" s="620"/>
      <c r="V151" s="621"/>
      <c r="W151" s="1096">
        <f t="shared" si="14"/>
        <v>10667494341</v>
      </c>
      <c r="X151" s="882">
        <f t="shared" si="11"/>
        <v>10667</v>
      </c>
      <c r="Y151" s="910">
        <f t="shared" si="12"/>
        <v>0</v>
      </c>
    </row>
    <row r="152" spans="1:25" ht="27" customHeight="1">
      <c r="A152" s="583"/>
      <c r="B152" s="583">
        <v>406</v>
      </c>
      <c r="C152" s="581">
        <v>4</v>
      </c>
      <c r="D152" s="1137" t="s">
        <v>882</v>
      </c>
      <c r="E152" s="1138" t="s">
        <v>883</v>
      </c>
      <c r="F152" s="599"/>
      <c r="G152" s="599"/>
      <c r="H152" s="599"/>
      <c r="I152" s="599"/>
      <c r="J152" s="599"/>
      <c r="K152" s="599"/>
      <c r="L152" s="599"/>
      <c r="M152" s="599"/>
      <c r="N152" s="599"/>
      <c r="O152" s="599"/>
      <c r="P152" s="599"/>
      <c r="Q152" s="1096">
        <f t="shared" si="10"/>
        <v>0</v>
      </c>
      <c r="R152" s="599">
        <v>0</v>
      </c>
      <c r="S152" s="1096">
        <f t="shared" si="13"/>
        <v>0</v>
      </c>
      <c r="T152" s="599">
        <f t="shared" si="13"/>
        <v>0</v>
      </c>
      <c r="U152" s="620"/>
      <c r="V152" s="621"/>
      <c r="W152" s="1096">
        <f t="shared" si="14"/>
        <v>0</v>
      </c>
      <c r="X152" s="882">
        <f t="shared" si="11"/>
        <v>0</v>
      </c>
      <c r="Y152" s="910">
        <f t="shared" si="12"/>
        <v>0</v>
      </c>
    </row>
    <row r="153" spans="1:25" ht="27" customHeight="1">
      <c r="A153" s="583"/>
      <c r="B153" s="583">
        <v>1001</v>
      </c>
      <c r="C153" s="581">
        <v>10</v>
      </c>
      <c r="D153" s="1137" t="s">
        <v>582</v>
      </c>
      <c r="E153" s="1138" t="s">
        <v>583</v>
      </c>
      <c r="F153" s="599">
        <v>-1444130799</v>
      </c>
      <c r="G153" s="599">
        <v>-610584149</v>
      </c>
      <c r="H153" s="599"/>
      <c r="I153" s="599"/>
      <c r="J153" s="599"/>
      <c r="K153" s="599"/>
      <c r="L153" s="599"/>
      <c r="M153" s="599"/>
      <c r="N153" s="599"/>
      <c r="O153" s="599"/>
      <c r="P153" s="599"/>
      <c r="Q153" s="1096">
        <f t="shared" si="10"/>
        <v>-2054714948</v>
      </c>
      <c r="R153" s="599">
        <v>-2020464805</v>
      </c>
      <c r="S153" s="1096">
        <f t="shared" si="13"/>
        <v>-2055</v>
      </c>
      <c r="T153" s="599">
        <f t="shared" si="13"/>
        <v>-2020</v>
      </c>
      <c r="U153" s="620"/>
      <c r="V153" s="621"/>
      <c r="W153" s="1096">
        <f t="shared" si="14"/>
        <v>-2054714948</v>
      </c>
      <c r="X153" s="882">
        <f t="shared" si="11"/>
        <v>-2055</v>
      </c>
      <c r="Y153" s="910">
        <f t="shared" si="12"/>
        <v>0</v>
      </c>
    </row>
    <row r="154" spans="1:25" ht="27" customHeight="1">
      <c r="A154" s="583"/>
      <c r="B154" s="583">
        <v>406</v>
      </c>
      <c r="C154" s="581">
        <v>4</v>
      </c>
      <c r="D154" s="1137" t="s">
        <v>260</v>
      </c>
      <c r="E154" s="1138" t="s">
        <v>261</v>
      </c>
      <c r="F154" s="599">
        <v>91723500</v>
      </c>
      <c r="G154" s="599"/>
      <c r="H154" s="599"/>
      <c r="I154" s="599"/>
      <c r="J154" s="599"/>
      <c r="K154" s="599"/>
      <c r="L154" s="599"/>
      <c r="M154" s="599"/>
      <c r="N154" s="599"/>
      <c r="O154" s="599"/>
      <c r="P154" s="599"/>
      <c r="Q154" s="1096">
        <f t="shared" si="10"/>
        <v>91723500</v>
      </c>
      <c r="R154" s="599">
        <v>58369500</v>
      </c>
      <c r="S154" s="1096">
        <f t="shared" si="13"/>
        <v>92</v>
      </c>
      <c r="T154" s="599">
        <f t="shared" si="13"/>
        <v>58</v>
      </c>
      <c r="U154" s="620"/>
      <c r="V154" s="621"/>
      <c r="W154" s="1096">
        <f t="shared" si="14"/>
        <v>91723500</v>
      </c>
      <c r="X154" s="882">
        <f t="shared" si="11"/>
        <v>92</v>
      </c>
      <c r="Y154" s="910">
        <f t="shared" si="12"/>
        <v>0</v>
      </c>
    </row>
    <row r="155" spans="1:25" ht="27" customHeight="1">
      <c r="A155" s="583"/>
      <c r="B155" s="583">
        <v>1001</v>
      </c>
      <c r="C155" s="581">
        <v>10</v>
      </c>
      <c r="D155" s="1137" t="s">
        <v>262</v>
      </c>
      <c r="E155" s="1138" t="s">
        <v>263</v>
      </c>
      <c r="F155" s="599">
        <v>-2359693404</v>
      </c>
      <c r="G155" s="599"/>
      <c r="H155" s="599"/>
      <c r="I155" s="599"/>
      <c r="J155" s="599">
        <v>-195699200</v>
      </c>
      <c r="K155" s="599"/>
      <c r="L155" s="599"/>
      <c r="M155" s="599"/>
      <c r="N155" s="599"/>
      <c r="O155" s="599"/>
      <c r="P155" s="599"/>
      <c r="Q155" s="1096">
        <f t="shared" si="10"/>
        <v>-2555392604</v>
      </c>
      <c r="R155" s="599">
        <v>-1480258622</v>
      </c>
      <c r="S155" s="1096">
        <f t="shared" si="13"/>
        <v>-2555</v>
      </c>
      <c r="T155" s="599">
        <f t="shared" si="13"/>
        <v>-1480</v>
      </c>
      <c r="U155" s="620"/>
      <c r="V155" s="621"/>
      <c r="W155" s="1096">
        <f t="shared" si="14"/>
        <v>-2555392604</v>
      </c>
      <c r="X155" s="882">
        <f t="shared" si="11"/>
        <v>-2555</v>
      </c>
      <c r="Y155" s="910">
        <f t="shared" si="12"/>
        <v>0</v>
      </c>
    </row>
    <row r="156" spans="1:25" ht="27" customHeight="1">
      <c r="A156" s="583"/>
      <c r="B156" s="1203">
        <v>406</v>
      </c>
      <c r="C156" s="1131">
        <v>4</v>
      </c>
      <c r="D156" s="1137" t="s">
        <v>584</v>
      </c>
      <c r="E156" s="1138" t="s">
        <v>645</v>
      </c>
      <c r="F156" s="599">
        <v>205026340</v>
      </c>
      <c r="G156" s="599">
        <v>-13080000</v>
      </c>
      <c r="H156" s="599"/>
      <c r="I156" s="599">
        <v>26160000</v>
      </c>
      <c r="J156" s="599"/>
      <c r="K156" s="599"/>
      <c r="L156" s="599"/>
      <c r="M156" s="599"/>
      <c r="N156" s="599"/>
      <c r="O156" s="599"/>
      <c r="P156" s="599"/>
      <c r="Q156" s="1096">
        <f t="shared" si="10"/>
        <v>218106340</v>
      </c>
      <c r="R156" s="599">
        <v>126546340</v>
      </c>
      <c r="S156" s="1096">
        <f t="shared" si="13"/>
        <v>218</v>
      </c>
      <c r="T156" s="599">
        <f t="shared" si="13"/>
        <v>127</v>
      </c>
      <c r="U156" s="620"/>
      <c r="V156" s="621"/>
      <c r="W156" s="1096">
        <f t="shared" si="14"/>
        <v>218106340</v>
      </c>
      <c r="X156" s="882">
        <f t="shared" si="11"/>
        <v>218</v>
      </c>
      <c r="Y156" s="910">
        <f t="shared" si="12"/>
        <v>0</v>
      </c>
    </row>
    <row r="157" spans="1:25" ht="27" customHeight="1">
      <c r="A157" s="583"/>
      <c r="B157" s="583">
        <v>1001</v>
      </c>
      <c r="C157" s="581">
        <v>10</v>
      </c>
      <c r="D157" s="1137" t="s">
        <v>546</v>
      </c>
      <c r="E157" s="1138" t="s">
        <v>170</v>
      </c>
      <c r="F157" s="599">
        <v>-10983386346</v>
      </c>
      <c r="G157" s="599"/>
      <c r="H157" s="599">
        <v>-597062501</v>
      </c>
      <c r="I157" s="599"/>
      <c r="J157" s="599"/>
      <c r="K157" s="599"/>
      <c r="L157" s="599"/>
      <c r="M157" s="599">
        <v>-260901561</v>
      </c>
      <c r="N157" s="599"/>
      <c r="O157" s="599"/>
      <c r="P157" s="599"/>
      <c r="Q157" s="1096">
        <f t="shared" si="10"/>
        <v>-11841350408</v>
      </c>
      <c r="R157" s="599">
        <v>-9884865609</v>
      </c>
      <c r="S157" s="1096">
        <f t="shared" si="13"/>
        <v>-11841</v>
      </c>
      <c r="T157" s="599">
        <f t="shared" si="13"/>
        <v>-9885</v>
      </c>
      <c r="U157" s="620"/>
      <c r="V157" s="621"/>
      <c r="W157" s="1096">
        <f t="shared" si="14"/>
        <v>-11841350408</v>
      </c>
      <c r="X157" s="882">
        <f t="shared" si="11"/>
        <v>-11841</v>
      </c>
      <c r="Y157" s="910">
        <f t="shared" si="12"/>
        <v>0</v>
      </c>
    </row>
    <row r="158" spans="1:25" ht="27" customHeight="1">
      <c r="A158" s="583"/>
      <c r="B158" s="583">
        <v>1001</v>
      </c>
      <c r="C158" s="581">
        <v>10</v>
      </c>
      <c r="D158" s="1137" t="s">
        <v>162</v>
      </c>
      <c r="E158" s="1138" t="s">
        <v>171</v>
      </c>
      <c r="F158" s="599">
        <v>-743251603</v>
      </c>
      <c r="G158" s="599">
        <v>2436218986</v>
      </c>
      <c r="H158" s="599">
        <v>-2037523410</v>
      </c>
      <c r="I158" s="599">
        <v>-4992123</v>
      </c>
      <c r="J158" s="599"/>
      <c r="K158" s="599"/>
      <c r="L158" s="599"/>
      <c r="M158" s="599"/>
      <c r="N158" s="599"/>
      <c r="O158" s="599"/>
      <c r="P158" s="599"/>
      <c r="Q158" s="1096">
        <f t="shared" si="10"/>
        <v>-349548150</v>
      </c>
      <c r="R158" s="599">
        <v>1586580473</v>
      </c>
      <c r="S158" s="1096">
        <f t="shared" si="13"/>
        <v>-350</v>
      </c>
      <c r="T158" s="599">
        <f t="shared" si="13"/>
        <v>1587</v>
      </c>
      <c r="U158" s="620"/>
      <c r="V158" s="621"/>
      <c r="W158" s="1096">
        <f t="shared" si="14"/>
        <v>-349548150</v>
      </c>
      <c r="X158" s="882">
        <f t="shared" si="11"/>
        <v>-350</v>
      </c>
      <c r="Y158" s="910">
        <f t="shared" si="12"/>
        <v>0</v>
      </c>
    </row>
    <row r="159" spans="1:25" ht="27" customHeight="1">
      <c r="A159" s="583"/>
      <c r="B159" s="583">
        <v>406</v>
      </c>
      <c r="C159" s="581">
        <v>4</v>
      </c>
      <c r="D159" s="1137" t="s">
        <v>299</v>
      </c>
      <c r="E159" s="1138" t="s">
        <v>644</v>
      </c>
      <c r="F159" s="599"/>
      <c r="G159" s="599"/>
      <c r="H159" s="599"/>
      <c r="I159" s="599"/>
      <c r="J159" s="599"/>
      <c r="K159" s="599"/>
      <c r="L159" s="599"/>
      <c r="M159" s="599"/>
      <c r="N159" s="599"/>
      <c r="O159" s="599"/>
      <c r="P159" s="599"/>
      <c r="Q159" s="1096">
        <f t="shared" si="10"/>
        <v>0</v>
      </c>
      <c r="R159" s="599">
        <v>74821109</v>
      </c>
      <c r="S159" s="1096">
        <f t="shared" si="13"/>
        <v>0</v>
      </c>
      <c r="T159" s="599">
        <f t="shared" si="13"/>
        <v>75</v>
      </c>
      <c r="U159" s="620"/>
      <c r="V159" s="621"/>
      <c r="W159" s="1096">
        <f t="shared" si="14"/>
        <v>0</v>
      </c>
      <c r="X159" s="882">
        <f t="shared" si="11"/>
        <v>0</v>
      </c>
      <c r="Y159" s="910">
        <f t="shared" si="12"/>
        <v>0</v>
      </c>
    </row>
    <row r="160" spans="1:25" ht="27" customHeight="1">
      <c r="A160" s="583"/>
      <c r="B160" s="583">
        <v>406</v>
      </c>
      <c r="C160" s="581">
        <v>4</v>
      </c>
      <c r="D160" s="1137" t="s">
        <v>839</v>
      </c>
      <c r="E160" s="1138" t="s">
        <v>838</v>
      </c>
      <c r="F160" s="599">
        <v>393575214</v>
      </c>
      <c r="G160" s="599">
        <v>-315754872</v>
      </c>
      <c r="H160" s="599"/>
      <c r="I160" s="599"/>
      <c r="J160" s="599"/>
      <c r="K160" s="599"/>
      <c r="L160" s="599"/>
      <c r="M160" s="599"/>
      <c r="N160" s="599"/>
      <c r="O160" s="599"/>
      <c r="P160" s="599"/>
      <c r="Q160" s="1096">
        <f t="shared" si="10"/>
        <v>77820342</v>
      </c>
      <c r="R160" s="599">
        <v>393575214</v>
      </c>
      <c r="S160" s="1096">
        <f t="shared" si="13"/>
        <v>78</v>
      </c>
      <c r="T160" s="599">
        <f t="shared" si="13"/>
        <v>394</v>
      </c>
      <c r="U160" s="620"/>
      <c r="V160" s="621"/>
      <c r="W160" s="1096">
        <f t="shared" si="14"/>
        <v>77820342</v>
      </c>
      <c r="X160" s="882">
        <f t="shared" si="11"/>
        <v>78</v>
      </c>
      <c r="Y160" s="910">
        <f t="shared" si="12"/>
        <v>0</v>
      </c>
    </row>
    <row r="161" spans="1:25" ht="27" customHeight="1">
      <c r="A161" s="583"/>
      <c r="B161" s="583">
        <v>406</v>
      </c>
      <c r="C161" s="581">
        <v>4</v>
      </c>
      <c r="D161" s="1137" t="s">
        <v>884</v>
      </c>
      <c r="E161" s="1138" t="s">
        <v>885</v>
      </c>
      <c r="F161" s="599">
        <v>44764066</v>
      </c>
      <c r="G161" s="599"/>
      <c r="H161" s="599"/>
      <c r="I161" s="599"/>
      <c r="J161" s="599"/>
      <c r="K161" s="599"/>
      <c r="L161" s="599"/>
      <c r="M161" s="599"/>
      <c r="N161" s="599"/>
      <c r="O161" s="599"/>
      <c r="P161" s="599"/>
      <c r="Q161" s="1096">
        <f t="shared" si="10"/>
        <v>44764066</v>
      </c>
      <c r="R161" s="599">
        <v>65912922</v>
      </c>
      <c r="S161" s="1096">
        <f t="shared" si="13"/>
        <v>45</v>
      </c>
      <c r="T161" s="599">
        <f t="shared" si="13"/>
        <v>66</v>
      </c>
      <c r="U161" s="620"/>
      <c r="V161" s="621"/>
      <c r="W161" s="1096">
        <f t="shared" si="14"/>
        <v>44764066</v>
      </c>
      <c r="X161" s="882">
        <f t="shared" si="11"/>
        <v>45</v>
      </c>
      <c r="Y161" s="910">
        <f t="shared" si="12"/>
        <v>0</v>
      </c>
    </row>
    <row r="162" spans="1:25" ht="27" customHeight="1">
      <c r="A162" s="583"/>
      <c r="B162" s="583">
        <v>1001</v>
      </c>
      <c r="C162" s="581">
        <v>10</v>
      </c>
      <c r="D162" s="1137" t="s">
        <v>301</v>
      </c>
      <c r="E162" s="1138" t="s">
        <v>886</v>
      </c>
      <c r="F162" s="599"/>
      <c r="G162" s="599"/>
      <c r="H162" s="599"/>
      <c r="I162" s="599"/>
      <c r="J162" s="599"/>
      <c r="K162" s="599"/>
      <c r="L162" s="599"/>
      <c r="M162" s="599"/>
      <c r="N162" s="599"/>
      <c r="O162" s="599"/>
      <c r="P162" s="599"/>
      <c r="Q162" s="1096">
        <f t="shared" si="10"/>
        <v>0</v>
      </c>
      <c r="R162" s="599">
        <v>-29418821</v>
      </c>
      <c r="S162" s="1096">
        <f t="shared" si="13"/>
        <v>0</v>
      </c>
      <c r="T162" s="599">
        <f t="shared" si="13"/>
        <v>-29</v>
      </c>
      <c r="U162" s="620"/>
      <c r="V162" s="621"/>
      <c r="W162" s="1096">
        <f t="shared" si="14"/>
        <v>0</v>
      </c>
      <c r="X162" s="882">
        <f t="shared" si="11"/>
        <v>0</v>
      </c>
      <c r="Y162" s="910">
        <f t="shared" si="12"/>
        <v>0</v>
      </c>
    </row>
    <row r="163" spans="1:25" ht="27" customHeight="1">
      <c r="A163" s="583"/>
      <c r="B163" s="583">
        <v>406</v>
      </c>
      <c r="C163" s="581">
        <v>4</v>
      </c>
      <c r="D163" s="1137" t="s">
        <v>264</v>
      </c>
      <c r="E163" s="1138" t="s">
        <v>265</v>
      </c>
      <c r="F163" s="599">
        <v>15240911952</v>
      </c>
      <c r="G163" s="599"/>
      <c r="H163" s="599">
        <v>-15240911952</v>
      </c>
      <c r="I163" s="599"/>
      <c r="J163" s="599"/>
      <c r="K163" s="599"/>
      <c r="L163" s="599"/>
      <c r="M163" s="599"/>
      <c r="N163" s="599"/>
      <c r="O163" s="599"/>
      <c r="P163" s="599"/>
      <c r="Q163" s="1096">
        <f t="shared" si="10"/>
        <v>0</v>
      </c>
      <c r="R163" s="599">
        <v>0</v>
      </c>
      <c r="S163" s="1096">
        <f t="shared" si="13"/>
        <v>0</v>
      </c>
      <c r="T163" s="599">
        <f t="shared" si="13"/>
        <v>0</v>
      </c>
      <c r="U163" s="620"/>
      <c r="V163" s="621"/>
      <c r="W163" s="1096">
        <f t="shared" si="14"/>
        <v>0</v>
      </c>
      <c r="X163" s="882">
        <f t="shared" si="11"/>
        <v>0</v>
      </c>
      <c r="Y163" s="910">
        <f t="shared" si="12"/>
        <v>0</v>
      </c>
    </row>
    <row r="164" spans="1:25" ht="27" customHeight="1">
      <c r="A164" s="583"/>
      <c r="B164" s="583">
        <v>406</v>
      </c>
      <c r="C164" s="581">
        <v>4</v>
      </c>
      <c r="D164" s="1137" t="s">
        <v>647</v>
      </c>
      <c r="E164" s="1138" t="s">
        <v>646</v>
      </c>
      <c r="F164" s="599"/>
      <c r="G164" s="599"/>
      <c r="H164" s="599"/>
      <c r="I164" s="599"/>
      <c r="J164" s="599"/>
      <c r="K164" s="599"/>
      <c r="L164" s="599"/>
      <c r="M164" s="599"/>
      <c r="N164" s="599"/>
      <c r="O164" s="599"/>
      <c r="P164" s="599"/>
      <c r="Q164" s="1096">
        <f t="shared" si="10"/>
        <v>0</v>
      </c>
      <c r="R164" s="599">
        <v>0</v>
      </c>
      <c r="S164" s="1096">
        <f t="shared" si="13"/>
        <v>0</v>
      </c>
      <c r="T164" s="599">
        <f t="shared" si="13"/>
        <v>0</v>
      </c>
      <c r="U164" s="620"/>
      <c r="V164" s="621"/>
      <c r="W164" s="1096">
        <f t="shared" si="14"/>
        <v>0</v>
      </c>
      <c r="X164" s="882">
        <f t="shared" si="11"/>
        <v>0</v>
      </c>
      <c r="Y164" s="910">
        <f t="shared" si="12"/>
        <v>0</v>
      </c>
    </row>
    <row r="165" spans="1:25" ht="27" customHeight="1">
      <c r="A165" s="583"/>
      <c r="B165" s="583">
        <v>1026</v>
      </c>
      <c r="C165" s="581">
        <v>10</v>
      </c>
      <c r="D165" s="1137" t="s">
        <v>305</v>
      </c>
      <c r="E165" s="1138" t="s">
        <v>172</v>
      </c>
      <c r="F165" s="599">
        <v>-6913124815</v>
      </c>
      <c r="G165" s="599">
        <v>-32663280</v>
      </c>
      <c r="H165" s="599">
        <v>-230729360</v>
      </c>
      <c r="I165" s="599"/>
      <c r="J165" s="599"/>
      <c r="K165" s="599"/>
      <c r="L165" s="599"/>
      <c r="M165" s="599"/>
      <c r="N165" s="599"/>
      <c r="O165" s="599"/>
      <c r="P165" s="599"/>
      <c r="Q165" s="1096">
        <f t="shared" si="10"/>
        <v>-7176517455</v>
      </c>
      <c r="R165" s="599">
        <v>-6369940471</v>
      </c>
      <c r="S165" s="1096">
        <f t="shared" si="13"/>
        <v>-7177</v>
      </c>
      <c r="T165" s="599">
        <f t="shared" si="13"/>
        <v>-6370</v>
      </c>
      <c r="U165" s="620"/>
      <c r="V165" s="621"/>
      <c r="W165" s="1096">
        <f t="shared" si="14"/>
        <v>-7176517455</v>
      </c>
      <c r="X165" s="882">
        <f t="shared" si="11"/>
        <v>-7177</v>
      </c>
      <c r="Y165" s="910">
        <f t="shared" si="12"/>
        <v>0</v>
      </c>
    </row>
    <row r="166" spans="1:25" ht="27" customHeight="1">
      <c r="A166" s="583"/>
      <c r="B166" s="583">
        <v>406</v>
      </c>
      <c r="C166" s="581">
        <v>4</v>
      </c>
      <c r="D166" s="1137" t="s">
        <v>306</v>
      </c>
      <c r="E166" s="1138" t="s">
        <v>307</v>
      </c>
      <c r="F166" s="599">
        <v>400050760</v>
      </c>
      <c r="G166" s="599">
        <v>-7977154</v>
      </c>
      <c r="H166" s="599">
        <v>-2411400</v>
      </c>
      <c r="I166" s="599">
        <v>-33827496</v>
      </c>
      <c r="J166" s="599"/>
      <c r="K166" s="599"/>
      <c r="L166" s="599"/>
      <c r="M166" s="599"/>
      <c r="N166" s="599"/>
      <c r="O166" s="599"/>
      <c r="P166" s="599"/>
      <c r="Q166" s="1096">
        <f t="shared" si="10"/>
        <v>355834710</v>
      </c>
      <c r="R166" s="599">
        <v>904888400</v>
      </c>
      <c r="S166" s="1096">
        <f t="shared" si="13"/>
        <v>356</v>
      </c>
      <c r="T166" s="599">
        <f t="shared" si="13"/>
        <v>905</v>
      </c>
      <c r="U166" s="620"/>
      <c r="V166" s="621"/>
      <c r="W166" s="1096">
        <f t="shared" si="14"/>
        <v>355834710</v>
      </c>
      <c r="X166" s="882">
        <f t="shared" si="11"/>
        <v>356</v>
      </c>
      <c r="Y166" s="910">
        <f t="shared" si="12"/>
        <v>0</v>
      </c>
    </row>
    <row r="167" spans="1:25" ht="27" customHeight="1">
      <c r="A167" s="583"/>
      <c r="B167" s="583">
        <v>1018</v>
      </c>
      <c r="C167" s="581">
        <v>10</v>
      </c>
      <c r="D167" s="1137" t="s">
        <v>308</v>
      </c>
      <c r="E167" s="1138" t="s">
        <v>309</v>
      </c>
      <c r="F167" s="599">
        <v>-1038209866</v>
      </c>
      <c r="G167" s="599"/>
      <c r="H167" s="599"/>
      <c r="I167" s="599"/>
      <c r="J167" s="599"/>
      <c r="K167" s="599"/>
      <c r="L167" s="599"/>
      <c r="M167" s="599"/>
      <c r="N167" s="599"/>
      <c r="O167" s="599"/>
      <c r="P167" s="599"/>
      <c r="Q167" s="1096">
        <f t="shared" si="10"/>
        <v>-1038209866</v>
      </c>
      <c r="R167" s="599">
        <v>580318179</v>
      </c>
      <c r="S167" s="1096">
        <f t="shared" si="13"/>
        <v>-1038</v>
      </c>
      <c r="T167" s="599">
        <f t="shared" si="13"/>
        <v>580</v>
      </c>
      <c r="U167" s="620"/>
      <c r="V167" s="621"/>
      <c r="W167" s="1096">
        <f t="shared" si="14"/>
        <v>-1038209866</v>
      </c>
      <c r="X167" s="882">
        <f t="shared" si="11"/>
        <v>-1038</v>
      </c>
      <c r="Y167" s="910">
        <f t="shared" si="12"/>
        <v>0</v>
      </c>
    </row>
    <row r="168" spans="1:25" ht="27" customHeight="1">
      <c r="A168" s="583"/>
      <c r="B168" s="1203">
        <v>406</v>
      </c>
      <c r="C168" s="1131">
        <v>4</v>
      </c>
      <c r="D168" s="1137" t="s">
        <v>310</v>
      </c>
      <c r="E168" s="1138" t="s">
        <v>967</v>
      </c>
      <c r="F168" s="599">
        <v>246557703</v>
      </c>
      <c r="G168" s="599">
        <v>-56332446</v>
      </c>
      <c r="H168" s="599">
        <v>-70276616</v>
      </c>
      <c r="I168" s="599"/>
      <c r="J168" s="599"/>
      <c r="K168" s="599"/>
      <c r="L168" s="599"/>
      <c r="M168" s="599"/>
      <c r="N168" s="599"/>
      <c r="O168" s="599"/>
      <c r="P168" s="599"/>
      <c r="Q168" s="1096">
        <f t="shared" si="10"/>
        <v>119948641</v>
      </c>
      <c r="R168" s="599">
        <v>-9745000</v>
      </c>
      <c r="S168" s="1096">
        <f t="shared" si="13"/>
        <v>120</v>
      </c>
      <c r="T168" s="599">
        <f t="shared" si="13"/>
        <v>-10</v>
      </c>
      <c r="U168" s="620"/>
      <c r="V168" s="621"/>
      <c r="W168" s="1096">
        <f t="shared" si="14"/>
        <v>119948641</v>
      </c>
      <c r="X168" s="882">
        <f t="shared" si="11"/>
        <v>120</v>
      </c>
      <c r="Y168" s="910">
        <f t="shared" si="12"/>
        <v>0</v>
      </c>
    </row>
    <row r="169" spans="1:25" ht="27" customHeight="1">
      <c r="A169" s="583"/>
      <c r="B169" s="583">
        <v>406</v>
      </c>
      <c r="C169" s="581">
        <v>4</v>
      </c>
      <c r="D169" s="1137" t="s">
        <v>1059</v>
      </c>
      <c r="E169" s="1138" t="s">
        <v>1058</v>
      </c>
      <c r="F169" s="599">
        <v>754655645</v>
      </c>
      <c r="G169" s="599"/>
      <c r="H169" s="599"/>
      <c r="I169" s="599"/>
      <c r="J169" s="599"/>
      <c r="K169" s="599"/>
      <c r="L169" s="599"/>
      <c r="M169" s="599"/>
      <c r="N169" s="599"/>
      <c r="O169" s="599"/>
      <c r="P169" s="599"/>
      <c r="Q169" s="1096">
        <f t="shared" si="10"/>
        <v>754655645</v>
      </c>
      <c r="R169" s="599">
        <v>754655645</v>
      </c>
      <c r="S169" s="1096">
        <f t="shared" si="13"/>
        <v>755</v>
      </c>
      <c r="T169" s="599">
        <f t="shared" si="13"/>
        <v>755</v>
      </c>
      <c r="U169" s="620"/>
      <c r="V169" s="621"/>
      <c r="W169" s="1096">
        <f t="shared" si="14"/>
        <v>754655645</v>
      </c>
      <c r="X169" s="882">
        <f t="shared" si="11"/>
        <v>755</v>
      </c>
      <c r="Y169" s="910">
        <f t="shared" si="12"/>
        <v>0</v>
      </c>
    </row>
    <row r="170" spans="1:25" ht="27" customHeight="1">
      <c r="A170" s="583"/>
      <c r="B170" s="583">
        <v>406</v>
      </c>
      <c r="C170" s="581">
        <v>4</v>
      </c>
      <c r="D170" s="1137" t="s">
        <v>109</v>
      </c>
      <c r="E170" s="1138" t="s">
        <v>840</v>
      </c>
      <c r="F170" s="599">
        <v>775026640</v>
      </c>
      <c r="G170" s="599"/>
      <c r="H170" s="599"/>
      <c r="I170" s="599"/>
      <c r="J170" s="599"/>
      <c r="K170" s="599"/>
      <c r="L170" s="599"/>
      <c r="M170" s="599"/>
      <c r="N170" s="599"/>
      <c r="O170" s="599"/>
      <c r="P170" s="599"/>
      <c r="Q170" s="1096">
        <f t="shared" si="10"/>
        <v>775026640</v>
      </c>
      <c r="R170" s="599">
        <v>1238311521</v>
      </c>
      <c r="S170" s="1096">
        <f t="shared" si="13"/>
        <v>775</v>
      </c>
      <c r="T170" s="599">
        <f t="shared" si="13"/>
        <v>1238</v>
      </c>
      <c r="U170" s="620"/>
      <c r="V170" s="621"/>
      <c r="W170" s="1096">
        <f t="shared" si="14"/>
        <v>775026640</v>
      </c>
      <c r="X170" s="882">
        <f t="shared" si="11"/>
        <v>775</v>
      </c>
      <c r="Y170" s="910">
        <f t="shared" si="12"/>
        <v>0</v>
      </c>
    </row>
    <row r="171" spans="1:25" ht="27" customHeight="1">
      <c r="A171" s="583"/>
      <c r="B171" s="583">
        <v>406</v>
      </c>
      <c r="C171" s="581">
        <v>4</v>
      </c>
      <c r="D171" s="1137" t="s">
        <v>110</v>
      </c>
      <c r="E171" s="1138" t="s">
        <v>174</v>
      </c>
      <c r="F171" s="599">
        <v>530759403</v>
      </c>
      <c r="G171" s="599"/>
      <c r="H171" s="599"/>
      <c r="I171" s="599"/>
      <c r="J171" s="599"/>
      <c r="K171" s="599"/>
      <c r="L171" s="599"/>
      <c r="M171" s="599"/>
      <c r="N171" s="599"/>
      <c r="O171" s="599"/>
      <c r="P171" s="599"/>
      <c r="Q171" s="1096">
        <f t="shared" si="10"/>
        <v>530759403</v>
      </c>
      <c r="R171" s="599">
        <v>1910951193</v>
      </c>
      <c r="S171" s="1096">
        <f t="shared" si="13"/>
        <v>531</v>
      </c>
      <c r="T171" s="599">
        <f t="shared" si="13"/>
        <v>1911</v>
      </c>
      <c r="U171" s="620"/>
      <c r="V171" s="621"/>
      <c r="W171" s="1096">
        <f t="shared" si="14"/>
        <v>530759403</v>
      </c>
      <c r="X171" s="882">
        <f t="shared" si="11"/>
        <v>531</v>
      </c>
      <c r="Y171" s="910">
        <f t="shared" si="12"/>
        <v>0</v>
      </c>
    </row>
    <row r="172" spans="1:25" ht="27" customHeight="1">
      <c r="A172" s="583"/>
      <c r="B172" s="583">
        <v>1001</v>
      </c>
      <c r="C172" s="581">
        <v>10</v>
      </c>
      <c r="D172" s="1137" t="s">
        <v>335</v>
      </c>
      <c r="E172" s="1138" t="s">
        <v>763</v>
      </c>
      <c r="F172" s="599"/>
      <c r="G172" s="599"/>
      <c r="H172" s="599"/>
      <c r="I172" s="599"/>
      <c r="J172" s="599"/>
      <c r="K172" s="599"/>
      <c r="L172" s="599"/>
      <c r="M172" s="599"/>
      <c r="N172" s="599"/>
      <c r="O172" s="599"/>
      <c r="P172" s="599"/>
      <c r="Q172" s="1096">
        <f t="shared" si="10"/>
        <v>0</v>
      </c>
      <c r="R172" s="599">
        <v>0</v>
      </c>
      <c r="S172" s="1096">
        <f t="shared" si="13"/>
        <v>0</v>
      </c>
      <c r="T172" s="599">
        <f t="shared" si="13"/>
        <v>0</v>
      </c>
      <c r="U172" s="620"/>
      <c r="V172" s="621"/>
      <c r="W172" s="1096">
        <f t="shared" si="14"/>
        <v>0</v>
      </c>
      <c r="X172" s="882">
        <f t="shared" si="11"/>
        <v>0</v>
      </c>
      <c r="Y172" s="910">
        <f t="shared" si="12"/>
        <v>0</v>
      </c>
    </row>
    <row r="173" spans="1:25" ht="27" customHeight="1">
      <c r="A173" s="583"/>
      <c r="B173" s="583">
        <v>406</v>
      </c>
      <c r="C173" s="581">
        <v>4</v>
      </c>
      <c r="D173" s="1137" t="s">
        <v>336</v>
      </c>
      <c r="E173" s="1138" t="s">
        <v>656</v>
      </c>
      <c r="F173" s="599">
        <v>3699362070</v>
      </c>
      <c r="G173" s="599"/>
      <c r="H173" s="599">
        <v>66786000</v>
      </c>
      <c r="I173" s="599"/>
      <c r="J173" s="599"/>
      <c r="K173" s="599"/>
      <c r="L173" s="599"/>
      <c r="M173" s="599"/>
      <c r="N173" s="599"/>
      <c r="O173" s="599"/>
      <c r="P173" s="599"/>
      <c r="Q173" s="1096">
        <f t="shared" si="10"/>
        <v>3766148070</v>
      </c>
      <c r="R173" s="599">
        <v>4868046422</v>
      </c>
      <c r="S173" s="1096">
        <f t="shared" si="13"/>
        <v>3766</v>
      </c>
      <c r="T173" s="599">
        <f t="shared" si="13"/>
        <v>4868</v>
      </c>
      <c r="U173" s="620"/>
      <c r="V173" s="621"/>
      <c r="W173" s="1096">
        <f t="shared" si="14"/>
        <v>3766148070</v>
      </c>
      <c r="X173" s="882">
        <f t="shared" si="11"/>
        <v>3766</v>
      </c>
      <c r="Y173" s="910">
        <f t="shared" si="12"/>
        <v>0</v>
      </c>
    </row>
    <row r="174" spans="1:25" ht="27" customHeight="1">
      <c r="A174" s="583"/>
      <c r="B174" s="583">
        <v>409</v>
      </c>
      <c r="C174" s="581">
        <v>4</v>
      </c>
      <c r="D174" s="1137" t="s">
        <v>336</v>
      </c>
      <c r="E174" s="1138" t="s">
        <v>655</v>
      </c>
      <c r="F174" s="599"/>
      <c r="G174" s="599"/>
      <c r="H174" s="599"/>
      <c r="I174" s="599"/>
      <c r="J174" s="599"/>
      <c r="K174" s="599"/>
      <c r="L174" s="599"/>
      <c r="M174" s="599"/>
      <c r="N174" s="599"/>
      <c r="O174" s="599"/>
      <c r="P174" s="599"/>
      <c r="Q174" s="1096">
        <f t="shared" si="10"/>
        <v>0</v>
      </c>
      <c r="R174" s="599">
        <v>0</v>
      </c>
      <c r="S174" s="1096">
        <f t="shared" si="13"/>
        <v>0</v>
      </c>
      <c r="T174" s="599">
        <f t="shared" si="13"/>
        <v>0</v>
      </c>
      <c r="U174" s="620"/>
      <c r="V174" s="621"/>
      <c r="W174" s="1096">
        <f t="shared" si="14"/>
        <v>0</v>
      </c>
      <c r="X174" s="882">
        <f t="shared" si="11"/>
        <v>0</v>
      </c>
      <c r="Y174" s="910">
        <f t="shared" si="12"/>
        <v>0</v>
      </c>
    </row>
    <row r="175" spans="1:25" ht="27" customHeight="1">
      <c r="A175" s="583">
        <v>1</v>
      </c>
      <c r="B175" s="583">
        <v>414</v>
      </c>
      <c r="C175" s="581">
        <v>4</v>
      </c>
      <c r="D175" s="1137" t="s">
        <v>338</v>
      </c>
      <c r="E175" s="1138" t="s">
        <v>152</v>
      </c>
      <c r="F175" s="599">
        <v>-13260516961</v>
      </c>
      <c r="G175" s="599"/>
      <c r="H175" s="599">
        <v>-5557315260</v>
      </c>
      <c r="I175" s="599">
        <v>19121944559</v>
      </c>
      <c r="J175" s="599"/>
      <c r="K175" s="599"/>
      <c r="L175" s="599"/>
      <c r="M175" s="599"/>
      <c r="N175" s="599"/>
      <c r="O175" s="599"/>
      <c r="P175" s="599"/>
      <c r="Q175" s="1114">
        <f t="shared" si="10"/>
        <v>304112338</v>
      </c>
      <c r="R175" s="599">
        <v>3654665034</v>
      </c>
      <c r="S175" s="1096">
        <f t="shared" si="13"/>
        <v>304</v>
      </c>
      <c r="T175" s="599">
        <f t="shared" si="13"/>
        <v>3655</v>
      </c>
      <c r="U175" s="620"/>
      <c r="V175" s="621"/>
      <c r="W175" s="1096">
        <f t="shared" si="14"/>
        <v>304112338</v>
      </c>
      <c r="X175" s="882">
        <f t="shared" si="11"/>
        <v>304</v>
      </c>
      <c r="Y175" s="910">
        <f t="shared" si="12"/>
        <v>0</v>
      </c>
    </row>
    <row r="176" spans="1:25" ht="27" customHeight="1">
      <c r="A176" s="583">
        <v>7</v>
      </c>
      <c r="B176" s="583">
        <v>414</v>
      </c>
      <c r="C176" s="581">
        <v>4</v>
      </c>
      <c r="D176" s="1137" t="s">
        <v>1376</v>
      </c>
      <c r="E176" s="1138" t="s">
        <v>1377</v>
      </c>
      <c r="F176" s="599">
        <v>1291166946995</v>
      </c>
      <c r="G176" s="599">
        <v>111457833242</v>
      </c>
      <c r="H176" s="599">
        <v>129216226932</v>
      </c>
      <c r="I176" s="599">
        <v>-16214335808</v>
      </c>
      <c r="J176" s="599">
        <v>-1515626671361</v>
      </c>
      <c r="K176" s="599"/>
      <c r="L176" s="599"/>
      <c r="M176" s="599"/>
      <c r="N176" s="599"/>
      <c r="O176" s="599"/>
      <c r="P176" s="599"/>
      <c r="Q176" s="1114">
        <f t="shared" si="10"/>
        <v>0</v>
      </c>
      <c r="R176" s="599">
        <v>0</v>
      </c>
      <c r="S176" s="1096">
        <f t="shared" si="13"/>
        <v>0</v>
      </c>
      <c r="T176" s="599">
        <f t="shared" si="13"/>
        <v>0</v>
      </c>
      <c r="U176" s="620"/>
      <c r="V176" s="621"/>
      <c r="W176" s="1096">
        <f t="shared" si="14"/>
        <v>0</v>
      </c>
      <c r="X176" s="882">
        <f t="shared" si="11"/>
        <v>0</v>
      </c>
      <c r="Y176" s="910">
        <f t="shared" si="12"/>
        <v>0</v>
      </c>
    </row>
    <row r="177" spans="1:25" ht="27" customHeight="1">
      <c r="A177" s="583">
        <v>1</v>
      </c>
      <c r="B177" s="583">
        <v>1005</v>
      </c>
      <c r="C177" s="581">
        <v>10</v>
      </c>
      <c r="D177" s="1137" t="s">
        <v>527</v>
      </c>
      <c r="E177" s="1138" t="s">
        <v>528</v>
      </c>
      <c r="F177" s="599">
        <v>-737016383</v>
      </c>
      <c r="G177" s="599"/>
      <c r="H177" s="599">
        <v>-68277600</v>
      </c>
      <c r="I177" s="599">
        <v>805293983</v>
      </c>
      <c r="J177" s="599">
        <v>-122800099</v>
      </c>
      <c r="K177" s="599"/>
      <c r="L177" s="599"/>
      <c r="M177" s="599"/>
      <c r="N177" s="599"/>
      <c r="O177" s="599"/>
      <c r="P177" s="599"/>
      <c r="Q177" s="1114">
        <f t="shared" si="10"/>
        <v>-122800099</v>
      </c>
      <c r="R177" s="599">
        <v>-3087245784</v>
      </c>
      <c r="S177" s="1096">
        <f t="shared" si="13"/>
        <v>-123</v>
      </c>
      <c r="T177" s="599">
        <f t="shared" si="13"/>
        <v>-3087</v>
      </c>
      <c r="U177" s="620"/>
      <c r="V177" s="621"/>
      <c r="W177" s="1096">
        <f t="shared" si="14"/>
        <v>-122800099</v>
      </c>
      <c r="X177" s="882">
        <f t="shared" si="11"/>
        <v>-123</v>
      </c>
      <c r="Y177" s="910">
        <f t="shared" si="12"/>
        <v>0</v>
      </c>
    </row>
    <row r="178" spans="1:25" ht="27" customHeight="1">
      <c r="A178" s="583">
        <v>7</v>
      </c>
      <c r="B178" s="583">
        <v>416</v>
      </c>
      <c r="C178" s="581">
        <v>4</v>
      </c>
      <c r="D178" s="1137" t="s">
        <v>1378</v>
      </c>
      <c r="E178" s="1138" t="s">
        <v>1379</v>
      </c>
      <c r="F178" s="599">
        <v>286319062462</v>
      </c>
      <c r="G178" s="599">
        <v>23163148876</v>
      </c>
      <c r="H178" s="599">
        <v>28734246954</v>
      </c>
      <c r="I178" s="599">
        <v>-1656173405</v>
      </c>
      <c r="J178" s="599">
        <v>-336560284887</v>
      </c>
      <c r="K178" s="599"/>
      <c r="L178" s="599"/>
      <c r="M178" s="599"/>
      <c r="N178" s="599"/>
      <c r="O178" s="599"/>
      <c r="P178" s="599"/>
      <c r="Q178" s="1114">
        <f t="shared" si="10"/>
        <v>0</v>
      </c>
      <c r="R178" s="599">
        <v>0</v>
      </c>
      <c r="S178" s="1096">
        <f t="shared" si="13"/>
        <v>0</v>
      </c>
      <c r="T178" s="599">
        <f t="shared" si="13"/>
        <v>0</v>
      </c>
      <c r="U178" s="620"/>
      <c r="V178" s="621"/>
      <c r="W178" s="1096">
        <f t="shared" si="14"/>
        <v>0</v>
      </c>
      <c r="X178" s="882">
        <f t="shared" si="11"/>
        <v>0</v>
      </c>
      <c r="Y178" s="910">
        <f t="shared" si="12"/>
        <v>0</v>
      </c>
    </row>
    <row r="179" spans="1:25" ht="27" customHeight="1">
      <c r="A179" s="583">
        <v>1</v>
      </c>
      <c r="B179" s="583">
        <v>1006</v>
      </c>
      <c r="C179" s="581">
        <v>10</v>
      </c>
      <c r="D179" s="1137" t="s">
        <v>529</v>
      </c>
      <c r="E179" s="1138" t="s">
        <v>156</v>
      </c>
      <c r="F179" s="599">
        <v>-20951887059</v>
      </c>
      <c r="G179" s="599">
        <v>-1475504257</v>
      </c>
      <c r="H179" s="599">
        <v>-967268572</v>
      </c>
      <c r="I179" s="599">
        <v>23394659888</v>
      </c>
      <c r="J179" s="599">
        <v>-997423361</v>
      </c>
      <c r="K179" s="599"/>
      <c r="L179" s="599"/>
      <c r="M179" s="599"/>
      <c r="N179" s="599"/>
      <c r="O179" s="599"/>
      <c r="P179" s="599"/>
      <c r="Q179" s="1114">
        <f t="shared" si="10"/>
        <v>-997423361</v>
      </c>
      <c r="R179" s="599">
        <v>-31193318858</v>
      </c>
      <c r="S179" s="1096">
        <f t="shared" si="13"/>
        <v>-997</v>
      </c>
      <c r="T179" s="599">
        <f t="shared" si="13"/>
        <v>-31193</v>
      </c>
      <c r="U179" s="620"/>
      <c r="V179" s="621"/>
      <c r="W179" s="1096">
        <f t="shared" si="14"/>
        <v>-997423361</v>
      </c>
      <c r="X179" s="882">
        <f t="shared" si="11"/>
        <v>-997</v>
      </c>
      <c r="Y179" s="910">
        <f t="shared" si="12"/>
        <v>0</v>
      </c>
    </row>
    <row r="180" spans="1:25" ht="27" customHeight="1">
      <c r="A180" s="583">
        <v>7</v>
      </c>
      <c r="B180" s="583">
        <v>413</v>
      </c>
      <c r="C180" s="581">
        <v>4</v>
      </c>
      <c r="D180" s="1137" t="s">
        <v>1381</v>
      </c>
      <c r="E180" s="1138" t="s">
        <v>1380</v>
      </c>
      <c r="F180" s="599">
        <v>1719759750150</v>
      </c>
      <c r="G180" s="599">
        <v>150620613920</v>
      </c>
      <c r="H180" s="599">
        <v>173298104029</v>
      </c>
      <c r="I180" s="599">
        <v>-28353057627</v>
      </c>
      <c r="J180" s="599">
        <v>-2015325410472</v>
      </c>
      <c r="K180" s="599"/>
      <c r="L180" s="599"/>
      <c r="M180" s="599"/>
      <c r="N180" s="599"/>
      <c r="O180" s="599"/>
      <c r="P180" s="599"/>
      <c r="Q180" s="1114">
        <f t="shared" si="10"/>
        <v>0</v>
      </c>
      <c r="R180" s="599">
        <v>0</v>
      </c>
      <c r="S180" s="1096">
        <f t="shared" si="13"/>
        <v>0</v>
      </c>
      <c r="T180" s="599">
        <f t="shared" si="13"/>
        <v>0</v>
      </c>
      <c r="U180" s="620"/>
      <c r="V180" s="621"/>
      <c r="W180" s="1096">
        <f t="shared" si="14"/>
        <v>0</v>
      </c>
      <c r="X180" s="882">
        <f t="shared" si="11"/>
        <v>0</v>
      </c>
      <c r="Y180" s="910">
        <f t="shared" si="12"/>
        <v>0</v>
      </c>
    </row>
    <row r="181" spans="1:25" ht="27" customHeight="1">
      <c r="A181" s="583">
        <v>1</v>
      </c>
      <c r="B181" s="583">
        <v>415</v>
      </c>
      <c r="C181" s="581">
        <v>4</v>
      </c>
      <c r="D181" s="1137" t="s">
        <v>157</v>
      </c>
      <c r="E181" s="1138" t="s">
        <v>558</v>
      </c>
      <c r="F181" s="599">
        <v>6071743882</v>
      </c>
      <c r="G181" s="599">
        <v>-8982143</v>
      </c>
      <c r="H181" s="599"/>
      <c r="I181" s="599">
        <v>-2655252</v>
      </c>
      <c r="J181" s="599">
        <v>-941414924</v>
      </c>
      <c r="K181" s="599"/>
      <c r="L181" s="599"/>
      <c r="M181" s="599"/>
      <c r="N181" s="599"/>
      <c r="O181" s="599"/>
      <c r="P181" s="599"/>
      <c r="Q181" s="1114">
        <f t="shared" si="10"/>
        <v>5118691563</v>
      </c>
      <c r="R181" s="599">
        <v>29163344115</v>
      </c>
      <c r="S181" s="1096">
        <f t="shared" si="13"/>
        <v>5119</v>
      </c>
      <c r="T181" s="599">
        <f t="shared" si="13"/>
        <v>29163</v>
      </c>
      <c r="U181" s="620"/>
      <c r="V181" s="621"/>
      <c r="W181" s="1096">
        <f t="shared" si="14"/>
        <v>5118691563</v>
      </c>
      <c r="X181" s="882">
        <f t="shared" si="11"/>
        <v>5119</v>
      </c>
      <c r="Y181" s="910">
        <f t="shared" si="12"/>
        <v>0</v>
      </c>
    </row>
    <row r="182" spans="1:25" ht="27" customHeight="1">
      <c r="A182" s="583">
        <v>7</v>
      </c>
      <c r="B182" s="583">
        <v>415</v>
      </c>
      <c r="C182" s="581">
        <v>4</v>
      </c>
      <c r="D182" s="1137" t="s">
        <v>1328</v>
      </c>
      <c r="E182" s="1138" t="s">
        <v>558</v>
      </c>
      <c r="F182" s="599">
        <v>570852924026</v>
      </c>
      <c r="G182" s="599">
        <v>49738320436</v>
      </c>
      <c r="H182" s="599">
        <v>56993073471</v>
      </c>
      <c r="I182" s="599"/>
      <c r="J182" s="599">
        <v>-677584317933</v>
      </c>
      <c r="K182" s="599"/>
      <c r="L182" s="599"/>
      <c r="M182" s="599"/>
      <c r="N182" s="599"/>
      <c r="O182" s="599"/>
      <c r="P182" s="599"/>
      <c r="Q182" s="1114">
        <f t="shared" si="10"/>
        <v>0</v>
      </c>
      <c r="R182" s="599">
        <v>0</v>
      </c>
      <c r="S182" s="1096">
        <f t="shared" si="13"/>
        <v>0</v>
      </c>
      <c r="T182" s="599">
        <f t="shared" si="13"/>
        <v>0</v>
      </c>
      <c r="U182" s="620"/>
      <c r="V182" s="621"/>
      <c r="W182" s="1096">
        <f t="shared" si="14"/>
        <v>0</v>
      </c>
      <c r="X182" s="882">
        <f t="shared" si="11"/>
        <v>0</v>
      </c>
      <c r="Y182" s="910">
        <f t="shared" si="12"/>
        <v>0</v>
      </c>
    </row>
    <row r="183" spans="1:25" ht="27" customHeight="1">
      <c r="A183" s="583">
        <v>1</v>
      </c>
      <c r="B183" s="583">
        <v>1019</v>
      </c>
      <c r="C183" s="581">
        <v>10</v>
      </c>
      <c r="D183" s="1137" t="s">
        <v>158</v>
      </c>
      <c r="E183" s="1138" t="s">
        <v>159</v>
      </c>
      <c r="F183" s="599">
        <v>-3063035088</v>
      </c>
      <c r="G183" s="599"/>
      <c r="H183" s="599">
        <v>96037500</v>
      </c>
      <c r="I183" s="599">
        <v>2966997588</v>
      </c>
      <c r="J183" s="599"/>
      <c r="K183" s="599"/>
      <c r="L183" s="599"/>
      <c r="M183" s="599"/>
      <c r="N183" s="599"/>
      <c r="O183" s="599"/>
      <c r="P183" s="599"/>
      <c r="Q183" s="1114">
        <f t="shared" si="10"/>
        <v>0</v>
      </c>
      <c r="R183" s="599">
        <v>-7389003027</v>
      </c>
      <c r="S183" s="1096">
        <f t="shared" si="13"/>
        <v>0</v>
      </c>
      <c r="T183" s="599">
        <f t="shared" si="13"/>
        <v>-7389</v>
      </c>
      <c r="U183" s="620"/>
      <c r="V183" s="621"/>
      <c r="W183" s="1096">
        <f t="shared" si="14"/>
        <v>0</v>
      </c>
      <c r="X183" s="882">
        <f t="shared" si="11"/>
        <v>0</v>
      </c>
      <c r="Y183" s="910">
        <f t="shared" si="12"/>
        <v>0</v>
      </c>
    </row>
    <row r="184" spans="1:25" ht="27" customHeight="1">
      <c r="A184" s="583">
        <v>7</v>
      </c>
      <c r="B184" s="583">
        <v>417</v>
      </c>
      <c r="C184" s="581">
        <v>4</v>
      </c>
      <c r="D184" s="1137" t="s">
        <v>1570</v>
      </c>
      <c r="E184" s="1138" t="s">
        <v>159</v>
      </c>
      <c r="F184" s="599">
        <v>101752725661</v>
      </c>
      <c r="G184" s="599">
        <v>13059414732</v>
      </c>
      <c r="H184" s="599">
        <v>11293883397</v>
      </c>
      <c r="I184" s="599">
        <v>-5003429830</v>
      </c>
      <c r="J184" s="599">
        <v>-121102593960</v>
      </c>
      <c r="K184" s="599"/>
      <c r="L184" s="599"/>
      <c r="M184" s="599"/>
      <c r="N184" s="599"/>
      <c r="O184" s="599"/>
      <c r="P184" s="599"/>
      <c r="Q184" s="1114">
        <f t="shared" si="10"/>
        <v>0</v>
      </c>
      <c r="R184" s="599">
        <v>0</v>
      </c>
      <c r="S184" s="1096">
        <f t="shared" si="13"/>
        <v>0</v>
      </c>
      <c r="T184" s="599">
        <f t="shared" si="13"/>
        <v>0</v>
      </c>
      <c r="U184" s="620"/>
      <c r="V184" s="621"/>
      <c r="W184" s="1096">
        <f t="shared" si="14"/>
        <v>0</v>
      </c>
      <c r="X184" s="882">
        <f t="shared" si="11"/>
        <v>0</v>
      </c>
      <c r="Y184" s="910">
        <f t="shared" si="12"/>
        <v>0</v>
      </c>
    </row>
    <row r="185" spans="1:25" ht="27" customHeight="1">
      <c r="A185" s="583">
        <v>1</v>
      </c>
      <c r="B185" s="583">
        <v>1023</v>
      </c>
      <c r="C185" s="581">
        <v>4</v>
      </c>
      <c r="D185" s="1137" t="s">
        <v>521</v>
      </c>
      <c r="E185" s="1138" t="s">
        <v>207</v>
      </c>
      <c r="F185" s="599">
        <v>373026762</v>
      </c>
      <c r="G185" s="599">
        <v>-691602005</v>
      </c>
      <c r="H185" s="599">
        <v>13262471652</v>
      </c>
      <c r="I185" s="599">
        <v>-8787786331</v>
      </c>
      <c r="J185" s="599">
        <v>-15088010647</v>
      </c>
      <c r="K185" s="599"/>
      <c r="L185" s="599">
        <v>-15240911952</v>
      </c>
      <c r="M185" s="599">
        <f>2420345+201500870</f>
        <v>203921215</v>
      </c>
      <c r="N185" s="599"/>
      <c r="O185" s="599"/>
      <c r="P185" s="599"/>
      <c r="Q185" s="1114">
        <f t="shared" si="10"/>
        <v>-25968891306</v>
      </c>
      <c r="R185" s="599">
        <v>-33518756655</v>
      </c>
      <c r="S185" s="1096">
        <f t="shared" si="13"/>
        <v>-25969</v>
      </c>
      <c r="T185" s="599">
        <f t="shared" si="13"/>
        <v>-33519</v>
      </c>
      <c r="U185" s="620"/>
      <c r="V185" s="621"/>
      <c r="W185" s="1096">
        <f t="shared" si="14"/>
        <v>-25968891306</v>
      </c>
      <c r="X185" s="882">
        <f t="shared" si="11"/>
        <v>-25969</v>
      </c>
      <c r="Y185" s="910">
        <f t="shared" si="12"/>
        <v>0</v>
      </c>
    </row>
    <row r="186" spans="1:25" ht="27" customHeight="1">
      <c r="A186" s="583">
        <v>7</v>
      </c>
      <c r="B186" s="583">
        <v>1023</v>
      </c>
      <c r="C186" s="581">
        <v>4</v>
      </c>
      <c r="D186" s="1137" t="s">
        <v>1329</v>
      </c>
      <c r="E186" s="1138" t="s">
        <v>207</v>
      </c>
      <c r="F186" s="599">
        <v>1718414353160</v>
      </c>
      <c r="G186" s="599">
        <v>129409342995</v>
      </c>
      <c r="H186" s="599">
        <v>177839997043</v>
      </c>
      <c r="I186" s="599"/>
      <c r="J186" s="599">
        <v>-2025663693198</v>
      </c>
      <c r="K186" s="599"/>
      <c r="L186" s="599">
        <f>-79870954640+1175642020000+15240911952</f>
        <v>1111011977312</v>
      </c>
      <c r="M186" s="599"/>
      <c r="N186" s="599"/>
      <c r="O186" s="599"/>
      <c r="P186" s="599"/>
      <c r="Q186" s="1114">
        <f t="shared" si="10"/>
        <v>1111011977312</v>
      </c>
      <c r="R186" s="599">
        <v>0</v>
      </c>
      <c r="S186" s="1096">
        <f t="shared" si="13"/>
        <v>1111012</v>
      </c>
      <c r="T186" s="599">
        <f t="shared" si="13"/>
        <v>0</v>
      </c>
      <c r="U186" s="620"/>
      <c r="V186" s="621"/>
      <c r="W186" s="1096">
        <f t="shared" si="14"/>
        <v>1111011977312</v>
      </c>
      <c r="X186" s="882">
        <f t="shared" si="11"/>
        <v>1111012</v>
      </c>
      <c r="Y186" s="910">
        <f t="shared" si="12"/>
        <v>0</v>
      </c>
    </row>
    <row r="187" spans="1:25" ht="27" customHeight="1">
      <c r="A187" s="583">
        <v>1</v>
      </c>
      <c r="B187" s="583">
        <v>1003</v>
      </c>
      <c r="C187" s="581">
        <v>4</v>
      </c>
      <c r="D187" s="1137" t="s">
        <v>208</v>
      </c>
      <c r="E187" s="1138" t="s">
        <v>209</v>
      </c>
      <c r="F187" s="599">
        <v>418710809</v>
      </c>
      <c r="G187" s="599">
        <v>-1401199921</v>
      </c>
      <c r="H187" s="599">
        <v>62269798</v>
      </c>
      <c r="I187" s="599">
        <v>920219314</v>
      </c>
      <c r="J187" s="599">
        <v>112956600706</v>
      </c>
      <c r="K187" s="599"/>
      <c r="L187" s="599"/>
      <c r="M187" s="599"/>
      <c r="N187" s="599"/>
      <c r="O187" s="599"/>
      <c r="P187" s="599"/>
      <c r="Q187" s="1114">
        <f t="shared" si="10"/>
        <v>112956600706</v>
      </c>
      <c r="R187" s="599">
        <v>-179013927</v>
      </c>
      <c r="S187" s="1096">
        <f t="shared" si="13"/>
        <v>112957</v>
      </c>
      <c r="T187" s="599">
        <f t="shared" si="13"/>
        <v>-179</v>
      </c>
      <c r="U187" s="620"/>
      <c r="V187" s="621"/>
      <c r="W187" s="1096">
        <f t="shared" si="14"/>
        <v>112956600706</v>
      </c>
      <c r="X187" s="882">
        <f t="shared" si="11"/>
        <v>112957</v>
      </c>
      <c r="Y187" s="910">
        <f t="shared" si="12"/>
        <v>0</v>
      </c>
    </row>
    <row r="188" spans="1:25" ht="27" customHeight="1">
      <c r="A188" s="583">
        <v>7</v>
      </c>
      <c r="B188" s="583">
        <v>1003</v>
      </c>
      <c r="C188" s="581">
        <v>4</v>
      </c>
      <c r="D188" s="1137" t="s">
        <v>1330</v>
      </c>
      <c r="E188" s="1138" t="s">
        <v>209</v>
      </c>
      <c r="F188" s="599">
        <v>1355836925622</v>
      </c>
      <c r="G188" s="599">
        <v>84244698674</v>
      </c>
      <c r="H188" s="599">
        <v>132252394068</v>
      </c>
      <c r="I188" s="599">
        <v>-3820825881</v>
      </c>
      <c r="J188" s="599">
        <v>-1568513192483</v>
      </c>
      <c r="K188" s="599"/>
      <c r="L188" s="599"/>
      <c r="M188" s="599"/>
      <c r="N188" s="599"/>
      <c r="O188" s="599"/>
      <c r="P188" s="599"/>
      <c r="Q188" s="1114">
        <f t="shared" si="10"/>
        <v>0</v>
      </c>
      <c r="R188" s="599">
        <v>0</v>
      </c>
      <c r="S188" s="1096">
        <f t="shared" si="13"/>
        <v>0</v>
      </c>
      <c r="T188" s="599">
        <f t="shared" si="13"/>
        <v>0</v>
      </c>
      <c r="U188" s="620"/>
      <c r="V188" s="621"/>
      <c r="W188" s="1096">
        <f t="shared" si="14"/>
        <v>0</v>
      </c>
      <c r="X188" s="882">
        <f t="shared" si="11"/>
        <v>0</v>
      </c>
      <c r="Y188" s="910">
        <f t="shared" si="12"/>
        <v>0</v>
      </c>
    </row>
    <row r="189" spans="1:25" ht="27" customHeight="1">
      <c r="A189" s="583">
        <v>1</v>
      </c>
      <c r="B189" s="583">
        <v>1021</v>
      </c>
      <c r="C189" s="581">
        <v>10</v>
      </c>
      <c r="D189" s="1137" t="s">
        <v>343</v>
      </c>
      <c r="E189" s="1138" t="s">
        <v>344</v>
      </c>
      <c r="F189" s="599">
        <v>-107776754826</v>
      </c>
      <c r="G189" s="599">
        <v>-4696004366</v>
      </c>
      <c r="H189" s="599">
        <v>8158571</v>
      </c>
      <c r="I189" s="599">
        <v>-44039305846</v>
      </c>
      <c r="J189" s="599">
        <v>-3346279447</v>
      </c>
      <c r="K189" s="599">
        <v>-3546000000</v>
      </c>
      <c r="L189" s="599"/>
      <c r="M189" s="599"/>
      <c r="N189" s="599"/>
      <c r="O189" s="599"/>
      <c r="P189" s="599"/>
      <c r="Q189" s="1096">
        <f t="shared" si="10"/>
        <v>-163396185914</v>
      </c>
      <c r="R189" s="599">
        <v>-110220206037</v>
      </c>
      <c r="S189" s="1096">
        <f t="shared" si="13"/>
        <v>-163396</v>
      </c>
      <c r="T189" s="599">
        <f t="shared" si="13"/>
        <v>-110220</v>
      </c>
      <c r="U189" s="620"/>
      <c r="V189" s="621"/>
      <c r="W189" s="1096">
        <f t="shared" si="14"/>
        <v>-163396185914</v>
      </c>
      <c r="X189" s="882">
        <f t="shared" si="11"/>
        <v>-163396</v>
      </c>
      <c r="Y189" s="910">
        <f t="shared" si="12"/>
        <v>0</v>
      </c>
    </row>
    <row r="190" spans="1:25" ht="27" customHeight="1">
      <c r="A190" s="583"/>
      <c r="B190" s="583">
        <v>1018</v>
      </c>
      <c r="C190" s="581">
        <v>10</v>
      </c>
      <c r="D190" s="1137" t="s">
        <v>266</v>
      </c>
      <c r="E190" s="1138" t="s">
        <v>267</v>
      </c>
      <c r="F190" s="599">
        <v>-2109759796</v>
      </c>
      <c r="G190" s="599">
        <v>-16735923</v>
      </c>
      <c r="H190" s="599"/>
      <c r="I190" s="599"/>
      <c r="J190" s="599"/>
      <c r="K190" s="599"/>
      <c r="L190" s="599"/>
      <c r="M190" s="599"/>
      <c r="N190" s="599"/>
      <c r="O190" s="599"/>
      <c r="P190" s="599"/>
      <c r="Q190" s="1096">
        <f t="shared" si="10"/>
        <v>-2126495719</v>
      </c>
      <c r="R190" s="599">
        <v>259688742</v>
      </c>
      <c r="S190" s="1096">
        <f t="shared" si="13"/>
        <v>-2126</v>
      </c>
      <c r="T190" s="599">
        <f t="shared" si="13"/>
        <v>260</v>
      </c>
      <c r="U190" s="620"/>
      <c r="V190" s="621"/>
      <c r="W190" s="1096">
        <f t="shared" si="14"/>
        <v>-2126495719</v>
      </c>
      <c r="X190" s="882">
        <f t="shared" si="11"/>
        <v>-2126</v>
      </c>
      <c r="Y190" s="910">
        <f t="shared" si="12"/>
        <v>0</v>
      </c>
    </row>
    <row r="191" spans="1:25" ht="27" customHeight="1">
      <c r="A191" s="583"/>
      <c r="B191" s="583">
        <v>1001</v>
      </c>
      <c r="C191" s="581">
        <v>10</v>
      </c>
      <c r="D191" s="1137" t="s">
        <v>393</v>
      </c>
      <c r="E191" s="1138" t="s">
        <v>394</v>
      </c>
      <c r="F191" s="599"/>
      <c r="G191" s="599"/>
      <c r="H191" s="599"/>
      <c r="I191" s="599"/>
      <c r="J191" s="599"/>
      <c r="K191" s="599"/>
      <c r="L191" s="599"/>
      <c r="M191" s="599"/>
      <c r="N191" s="599"/>
      <c r="O191" s="599"/>
      <c r="P191" s="599"/>
      <c r="Q191" s="1096">
        <f t="shared" si="10"/>
        <v>0</v>
      </c>
      <c r="R191" s="599">
        <v>0</v>
      </c>
      <c r="S191" s="1096">
        <f t="shared" si="13"/>
        <v>0</v>
      </c>
      <c r="T191" s="599">
        <f t="shared" si="13"/>
        <v>0</v>
      </c>
      <c r="U191" s="620"/>
      <c r="V191" s="621"/>
      <c r="W191" s="1096">
        <f t="shared" si="14"/>
        <v>0</v>
      </c>
      <c r="X191" s="882">
        <f t="shared" si="11"/>
        <v>0</v>
      </c>
      <c r="Y191" s="910">
        <f t="shared" si="12"/>
        <v>0</v>
      </c>
    </row>
    <row r="192" spans="1:25" ht="27" customHeight="1">
      <c r="A192" s="583"/>
      <c r="B192" s="583">
        <v>406</v>
      </c>
      <c r="C192" s="581">
        <v>4</v>
      </c>
      <c r="D192" s="1137" t="s">
        <v>345</v>
      </c>
      <c r="E192" s="1138" t="s">
        <v>1336</v>
      </c>
      <c r="F192" s="599">
        <v>100062000</v>
      </c>
      <c r="G192" s="599"/>
      <c r="H192" s="599"/>
      <c r="I192" s="599"/>
      <c r="J192" s="599"/>
      <c r="K192" s="599"/>
      <c r="L192" s="599"/>
      <c r="M192" s="599"/>
      <c r="N192" s="599"/>
      <c r="O192" s="599"/>
      <c r="P192" s="599"/>
      <c r="Q192" s="1096">
        <f t="shared" si="10"/>
        <v>100062000</v>
      </c>
      <c r="R192" s="599">
        <v>66708000</v>
      </c>
      <c r="S192" s="1096">
        <f t="shared" si="13"/>
        <v>100</v>
      </c>
      <c r="T192" s="599">
        <f t="shared" si="13"/>
        <v>67</v>
      </c>
      <c r="U192" s="620"/>
      <c r="V192" s="621"/>
      <c r="W192" s="1096">
        <f t="shared" si="14"/>
        <v>100062000</v>
      </c>
      <c r="X192" s="882">
        <f t="shared" si="11"/>
        <v>100</v>
      </c>
      <c r="Y192" s="910">
        <f t="shared" si="12"/>
        <v>0</v>
      </c>
    </row>
    <row r="193" spans="1:25" ht="27" customHeight="1">
      <c r="A193" s="583"/>
      <c r="B193" s="1203">
        <v>406</v>
      </c>
      <c r="C193" s="1131">
        <v>4</v>
      </c>
      <c r="D193" s="1137" t="s">
        <v>269</v>
      </c>
      <c r="E193" s="1138" t="s">
        <v>268</v>
      </c>
      <c r="F193" s="599">
        <v>171833516</v>
      </c>
      <c r="G193" s="599"/>
      <c r="H193" s="599"/>
      <c r="I193" s="599"/>
      <c r="J193" s="599"/>
      <c r="K193" s="599"/>
      <c r="L193" s="599"/>
      <c r="M193" s="599"/>
      <c r="N193" s="599"/>
      <c r="O193" s="599"/>
      <c r="P193" s="599"/>
      <c r="Q193" s="1096">
        <f t="shared" si="10"/>
        <v>171833516</v>
      </c>
      <c r="R193" s="599">
        <v>-94998484</v>
      </c>
      <c r="S193" s="1096">
        <f t="shared" si="13"/>
        <v>172</v>
      </c>
      <c r="T193" s="599">
        <f t="shared" si="13"/>
        <v>-95</v>
      </c>
      <c r="U193" s="620"/>
      <c r="V193" s="621"/>
      <c r="W193" s="1096">
        <f t="shared" si="14"/>
        <v>171833516</v>
      </c>
      <c r="X193" s="882">
        <f t="shared" si="11"/>
        <v>172</v>
      </c>
      <c r="Y193" s="910">
        <f t="shared" si="12"/>
        <v>0</v>
      </c>
    </row>
    <row r="194" spans="1:25" ht="27" customHeight="1">
      <c r="A194" s="583"/>
      <c r="B194" s="1203">
        <v>406</v>
      </c>
      <c r="C194" s="1131">
        <v>4</v>
      </c>
      <c r="D194" s="1137" t="s">
        <v>535</v>
      </c>
      <c r="E194" s="1138" t="s">
        <v>64</v>
      </c>
      <c r="F194" s="599">
        <v>50031000</v>
      </c>
      <c r="G194" s="599"/>
      <c r="H194" s="599"/>
      <c r="I194" s="599"/>
      <c r="J194" s="599"/>
      <c r="K194" s="599"/>
      <c r="L194" s="599"/>
      <c r="M194" s="599"/>
      <c r="N194" s="599"/>
      <c r="O194" s="599"/>
      <c r="P194" s="599"/>
      <c r="Q194" s="1096">
        <f t="shared" si="10"/>
        <v>50031000</v>
      </c>
      <c r="R194" s="599">
        <v>-171832310</v>
      </c>
      <c r="S194" s="1096">
        <f t="shared" si="13"/>
        <v>50</v>
      </c>
      <c r="T194" s="599">
        <f t="shared" si="13"/>
        <v>-172</v>
      </c>
      <c r="U194" s="620"/>
      <c r="V194" s="621"/>
      <c r="W194" s="1096">
        <f t="shared" si="14"/>
        <v>50031000</v>
      </c>
      <c r="X194" s="882">
        <f t="shared" si="11"/>
        <v>50</v>
      </c>
      <c r="Y194" s="910">
        <f t="shared" si="12"/>
        <v>0</v>
      </c>
    </row>
    <row r="195" spans="1:25" ht="27" customHeight="1">
      <c r="A195" s="583"/>
      <c r="B195" s="583">
        <v>406</v>
      </c>
      <c r="C195" s="581">
        <v>4</v>
      </c>
      <c r="D195" s="1137" t="s">
        <v>347</v>
      </c>
      <c r="E195" s="1138" t="s">
        <v>1060</v>
      </c>
      <c r="F195" s="599"/>
      <c r="G195" s="599"/>
      <c r="H195" s="599"/>
      <c r="I195" s="599"/>
      <c r="J195" s="599"/>
      <c r="K195" s="599"/>
      <c r="L195" s="599"/>
      <c r="M195" s="599"/>
      <c r="N195" s="599"/>
      <c r="O195" s="599"/>
      <c r="P195" s="599"/>
      <c r="Q195" s="1096">
        <f t="shared" si="10"/>
        <v>0</v>
      </c>
      <c r="R195" s="599">
        <v>0</v>
      </c>
      <c r="S195" s="1096">
        <f t="shared" si="13"/>
        <v>0</v>
      </c>
      <c r="T195" s="599">
        <f t="shared" si="13"/>
        <v>0</v>
      </c>
      <c r="U195" s="620"/>
      <c r="V195" s="621"/>
      <c r="W195" s="1096">
        <f t="shared" si="14"/>
        <v>0</v>
      </c>
      <c r="X195" s="882">
        <f t="shared" si="11"/>
        <v>0</v>
      </c>
      <c r="Y195" s="910">
        <f t="shared" si="12"/>
        <v>0</v>
      </c>
    </row>
    <row r="196" spans="1:25" ht="27" customHeight="1">
      <c r="A196" s="583"/>
      <c r="B196" s="583">
        <v>406</v>
      </c>
      <c r="C196" s="581">
        <v>4</v>
      </c>
      <c r="D196" s="1137" t="s">
        <v>270</v>
      </c>
      <c r="E196" s="1138" t="s">
        <v>271</v>
      </c>
      <c r="F196" s="599"/>
      <c r="G196" s="599"/>
      <c r="H196" s="599"/>
      <c r="I196" s="599"/>
      <c r="J196" s="599"/>
      <c r="K196" s="599"/>
      <c r="L196" s="599"/>
      <c r="M196" s="599"/>
      <c r="N196" s="599"/>
      <c r="O196" s="599"/>
      <c r="P196" s="599"/>
      <c r="Q196" s="1096">
        <f t="shared" ref="Q196:Q262" si="15">SUM(F196:P196)</f>
        <v>0</v>
      </c>
      <c r="R196" s="599">
        <v>0</v>
      </c>
      <c r="S196" s="1096">
        <f t="shared" si="13"/>
        <v>0</v>
      </c>
      <c r="T196" s="599">
        <f t="shared" si="13"/>
        <v>0</v>
      </c>
      <c r="U196" s="620"/>
      <c r="V196" s="621"/>
      <c r="W196" s="1096">
        <f t="shared" si="14"/>
        <v>0</v>
      </c>
      <c r="X196" s="882">
        <f t="shared" ref="X196:X263" si="16">ROUND((W196/1000000),0)</f>
        <v>0</v>
      </c>
      <c r="Y196" s="910">
        <f t="shared" ref="Y196:Y259" si="17">S196-X196</f>
        <v>0</v>
      </c>
    </row>
    <row r="197" spans="1:25" ht="27" customHeight="1">
      <c r="A197" s="583"/>
      <c r="B197" s="583">
        <v>1001</v>
      </c>
      <c r="C197" s="581">
        <v>10</v>
      </c>
      <c r="D197" s="1137" t="s">
        <v>968</v>
      </c>
      <c r="E197" s="1138" t="s">
        <v>969</v>
      </c>
      <c r="F197" s="599"/>
      <c r="G197" s="599"/>
      <c r="H197" s="599"/>
      <c r="I197" s="599"/>
      <c r="J197" s="599"/>
      <c r="K197" s="599"/>
      <c r="L197" s="599"/>
      <c r="M197" s="599"/>
      <c r="N197" s="599"/>
      <c r="O197" s="599"/>
      <c r="P197" s="599"/>
      <c r="Q197" s="1096">
        <f t="shared" si="15"/>
        <v>0</v>
      </c>
      <c r="R197" s="599">
        <v>0</v>
      </c>
      <c r="S197" s="1096">
        <f t="shared" si="13"/>
        <v>0</v>
      </c>
      <c r="T197" s="599">
        <f t="shared" si="13"/>
        <v>0</v>
      </c>
      <c r="U197" s="620"/>
      <c r="V197" s="621"/>
      <c r="W197" s="1096">
        <f t="shared" si="14"/>
        <v>0</v>
      </c>
      <c r="X197" s="882">
        <f t="shared" si="16"/>
        <v>0</v>
      </c>
      <c r="Y197" s="910">
        <f t="shared" si="17"/>
        <v>0</v>
      </c>
    </row>
    <row r="198" spans="1:25" ht="27" customHeight="1">
      <c r="A198" s="583"/>
      <c r="B198" s="583">
        <v>1001</v>
      </c>
      <c r="C198" s="581">
        <v>10</v>
      </c>
      <c r="D198" s="1137" t="s">
        <v>349</v>
      </c>
      <c r="E198" s="1138" t="s">
        <v>285</v>
      </c>
      <c r="F198" s="599"/>
      <c r="G198" s="599"/>
      <c r="H198" s="599"/>
      <c r="I198" s="599"/>
      <c r="J198" s="599"/>
      <c r="K198" s="599"/>
      <c r="L198" s="599"/>
      <c r="M198" s="599"/>
      <c r="N198" s="599"/>
      <c r="O198" s="599"/>
      <c r="P198" s="599"/>
      <c r="Q198" s="1096">
        <f t="shared" si="15"/>
        <v>0</v>
      </c>
      <c r="R198" s="599">
        <v>0</v>
      </c>
      <c r="S198" s="1096">
        <f t="shared" si="13"/>
        <v>0</v>
      </c>
      <c r="T198" s="599">
        <f t="shared" si="13"/>
        <v>0</v>
      </c>
      <c r="U198" s="620"/>
      <c r="V198" s="621"/>
      <c r="W198" s="1096">
        <f t="shared" si="14"/>
        <v>0</v>
      </c>
      <c r="X198" s="882">
        <f t="shared" si="16"/>
        <v>0</v>
      </c>
      <c r="Y198" s="910">
        <f t="shared" si="17"/>
        <v>0</v>
      </c>
    </row>
    <row r="199" spans="1:25" ht="27" customHeight="1">
      <c r="A199" s="583"/>
      <c r="B199" s="583">
        <v>1001</v>
      </c>
      <c r="C199" s="581">
        <v>10</v>
      </c>
      <c r="D199" s="1137" t="s">
        <v>1064</v>
      </c>
      <c r="E199" s="1138" t="s">
        <v>1240</v>
      </c>
      <c r="F199" s="599"/>
      <c r="G199" s="599"/>
      <c r="H199" s="599"/>
      <c r="I199" s="599"/>
      <c r="J199" s="599"/>
      <c r="K199" s="599"/>
      <c r="L199" s="599"/>
      <c r="M199" s="599"/>
      <c r="N199" s="599"/>
      <c r="O199" s="599"/>
      <c r="P199" s="599"/>
      <c r="Q199" s="1096">
        <f t="shared" si="15"/>
        <v>0</v>
      </c>
      <c r="R199" s="599">
        <v>-166410000</v>
      </c>
      <c r="S199" s="1096">
        <f t="shared" si="13"/>
        <v>0</v>
      </c>
      <c r="T199" s="599">
        <f t="shared" si="13"/>
        <v>-166</v>
      </c>
      <c r="U199" s="620"/>
      <c r="V199" s="621"/>
      <c r="W199" s="1096">
        <f t="shared" si="14"/>
        <v>0</v>
      </c>
      <c r="X199" s="882">
        <f t="shared" si="16"/>
        <v>0</v>
      </c>
      <c r="Y199" s="910">
        <f t="shared" si="17"/>
        <v>0</v>
      </c>
    </row>
    <row r="200" spans="1:25" ht="27" customHeight="1">
      <c r="A200" s="583"/>
      <c r="B200" s="583">
        <v>406</v>
      </c>
      <c r="C200" s="581">
        <v>4</v>
      </c>
      <c r="D200" s="1137" t="s">
        <v>1061</v>
      </c>
      <c r="E200" s="1138" t="s">
        <v>1062</v>
      </c>
      <c r="F200" s="599">
        <v>537808263</v>
      </c>
      <c r="G200" s="599"/>
      <c r="H200" s="599"/>
      <c r="I200" s="599"/>
      <c r="J200" s="599"/>
      <c r="K200" s="599"/>
      <c r="L200" s="599"/>
      <c r="M200" s="599"/>
      <c r="N200" s="599"/>
      <c r="O200" s="599"/>
      <c r="P200" s="599"/>
      <c r="Q200" s="1096">
        <f t="shared" si="15"/>
        <v>537808263</v>
      </c>
      <c r="R200" s="599">
        <v>537808263</v>
      </c>
      <c r="S200" s="1096">
        <f t="shared" si="13"/>
        <v>538</v>
      </c>
      <c r="T200" s="599">
        <f t="shared" si="13"/>
        <v>538</v>
      </c>
      <c r="U200" s="620"/>
      <c r="V200" s="621"/>
      <c r="W200" s="1096">
        <f t="shared" si="14"/>
        <v>537808263</v>
      </c>
      <c r="X200" s="882">
        <f t="shared" si="16"/>
        <v>538</v>
      </c>
      <c r="Y200" s="910">
        <f t="shared" si="17"/>
        <v>0</v>
      </c>
    </row>
    <row r="201" spans="1:25" ht="27" customHeight="1">
      <c r="A201" s="583"/>
      <c r="B201" s="583">
        <v>1001</v>
      </c>
      <c r="C201" s="581">
        <v>10</v>
      </c>
      <c r="D201" s="1137" t="s">
        <v>657</v>
      </c>
      <c r="E201" s="1138" t="s">
        <v>658</v>
      </c>
      <c r="F201" s="599"/>
      <c r="G201" s="599"/>
      <c r="H201" s="599"/>
      <c r="I201" s="599"/>
      <c r="J201" s="599"/>
      <c r="K201" s="599"/>
      <c r="L201" s="599"/>
      <c r="M201" s="599"/>
      <c r="N201" s="599"/>
      <c r="O201" s="599"/>
      <c r="P201" s="599"/>
      <c r="Q201" s="1096">
        <f t="shared" si="15"/>
        <v>0</v>
      </c>
      <c r="R201" s="599">
        <v>0</v>
      </c>
      <c r="S201" s="1096">
        <f t="shared" si="13"/>
        <v>0</v>
      </c>
      <c r="T201" s="599">
        <f t="shared" si="13"/>
        <v>0</v>
      </c>
      <c r="U201" s="620"/>
      <c r="V201" s="621"/>
      <c r="W201" s="1096">
        <f t="shared" si="14"/>
        <v>0</v>
      </c>
      <c r="X201" s="882">
        <f t="shared" si="16"/>
        <v>0</v>
      </c>
      <c r="Y201" s="910">
        <f t="shared" si="17"/>
        <v>0</v>
      </c>
    </row>
    <row r="202" spans="1:25" ht="27" customHeight="1">
      <c r="A202" s="583"/>
      <c r="B202" s="583">
        <v>406</v>
      </c>
      <c r="C202" s="581">
        <v>4</v>
      </c>
      <c r="D202" s="1137" t="s">
        <v>272</v>
      </c>
      <c r="E202" s="1138" t="s">
        <v>970</v>
      </c>
      <c r="F202" s="599"/>
      <c r="G202" s="599"/>
      <c r="H202" s="599"/>
      <c r="I202" s="599"/>
      <c r="J202" s="599"/>
      <c r="K202" s="599"/>
      <c r="L202" s="599"/>
      <c r="M202" s="599"/>
      <c r="N202" s="599"/>
      <c r="O202" s="599"/>
      <c r="P202" s="599"/>
      <c r="Q202" s="1096">
        <f t="shared" si="15"/>
        <v>0</v>
      </c>
      <c r="R202" s="599">
        <v>0</v>
      </c>
      <c r="S202" s="1096">
        <f t="shared" ref="S202:T279" si="18">ROUND((Q202/1000000),0)</f>
        <v>0</v>
      </c>
      <c r="T202" s="599">
        <f t="shared" si="18"/>
        <v>0</v>
      </c>
      <c r="U202" s="620"/>
      <c r="V202" s="621"/>
      <c r="W202" s="1096">
        <f t="shared" si="14"/>
        <v>0</v>
      </c>
      <c r="X202" s="882">
        <f t="shared" si="16"/>
        <v>0</v>
      </c>
      <c r="Y202" s="910">
        <f t="shared" si="17"/>
        <v>0</v>
      </c>
    </row>
    <row r="203" spans="1:25" ht="27" customHeight="1">
      <c r="A203" s="583"/>
      <c r="B203" s="583">
        <v>406</v>
      </c>
      <c r="C203" s="581">
        <v>4</v>
      </c>
      <c r="D203" s="1137" t="s">
        <v>235</v>
      </c>
      <c r="E203" s="1138" t="s">
        <v>1063</v>
      </c>
      <c r="F203" s="599"/>
      <c r="G203" s="599"/>
      <c r="H203" s="599"/>
      <c r="I203" s="599"/>
      <c r="J203" s="599"/>
      <c r="K203" s="599"/>
      <c r="L203" s="599"/>
      <c r="M203" s="599"/>
      <c r="N203" s="599"/>
      <c r="O203" s="599"/>
      <c r="P203" s="599"/>
      <c r="Q203" s="1096">
        <f t="shared" si="15"/>
        <v>0</v>
      </c>
      <c r="R203" s="599">
        <v>0</v>
      </c>
      <c r="S203" s="1096">
        <f t="shared" si="18"/>
        <v>0</v>
      </c>
      <c r="T203" s="599">
        <f t="shared" si="18"/>
        <v>0</v>
      </c>
      <c r="U203" s="620"/>
      <c r="V203" s="621"/>
      <c r="W203" s="1096">
        <f t="shared" ref="W203:W280" si="19">Q203+V203-U203</f>
        <v>0</v>
      </c>
      <c r="X203" s="882">
        <f t="shared" si="16"/>
        <v>0</v>
      </c>
      <c r="Y203" s="910">
        <f t="shared" si="17"/>
        <v>0</v>
      </c>
    </row>
    <row r="204" spans="1:25" ht="27" customHeight="1">
      <c r="A204" s="583"/>
      <c r="B204" s="583">
        <v>1001</v>
      </c>
      <c r="C204" s="581">
        <v>10</v>
      </c>
      <c r="D204" s="1137" t="s">
        <v>237</v>
      </c>
      <c r="E204" s="1138" t="s">
        <v>1003</v>
      </c>
      <c r="F204" s="599"/>
      <c r="G204" s="599"/>
      <c r="H204" s="599"/>
      <c r="I204" s="599"/>
      <c r="J204" s="599"/>
      <c r="K204" s="599"/>
      <c r="L204" s="599"/>
      <c r="M204" s="599"/>
      <c r="N204" s="599"/>
      <c r="O204" s="599"/>
      <c r="P204" s="599"/>
      <c r="Q204" s="1096">
        <f t="shared" si="15"/>
        <v>0</v>
      </c>
      <c r="R204" s="599">
        <v>0</v>
      </c>
      <c r="S204" s="1096">
        <f t="shared" si="18"/>
        <v>0</v>
      </c>
      <c r="T204" s="599">
        <f t="shared" si="18"/>
        <v>0</v>
      </c>
      <c r="U204" s="620"/>
      <c r="V204" s="621"/>
      <c r="W204" s="1096">
        <f t="shared" si="19"/>
        <v>0</v>
      </c>
      <c r="X204" s="882">
        <f t="shared" si="16"/>
        <v>0</v>
      </c>
      <c r="Y204" s="910">
        <f t="shared" si="17"/>
        <v>0</v>
      </c>
    </row>
    <row r="205" spans="1:25" ht="27" customHeight="1">
      <c r="A205" s="583"/>
      <c r="B205" s="583">
        <v>406</v>
      </c>
      <c r="C205" s="581">
        <v>4</v>
      </c>
      <c r="D205" s="1137" t="s">
        <v>971</v>
      </c>
      <c r="E205" s="1138" t="s">
        <v>972</v>
      </c>
      <c r="F205" s="599">
        <v>815399793</v>
      </c>
      <c r="G205" s="599"/>
      <c r="H205" s="599"/>
      <c r="I205" s="599"/>
      <c r="J205" s="599"/>
      <c r="K205" s="599"/>
      <c r="L205" s="599"/>
      <c r="M205" s="599"/>
      <c r="N205" s="599"/>
      <c r="O205" s="599"/>
      <c r="P205" s="599"/>
      <c r="Q205" s="1096">
        <f t="shared" si="15"/>
        <v>815399793</v>
      </c>
      <c r="R205" s="599">
        <v>625347393</v>
      </c>
      <c r="S205" s="1096">
        <f t="shared" si="18"/>
        <v>815</v>
      </c>
      <c r="T205" s="599">
        <f t="shared" si="18"/>
        <v>625</v>
      </c>
      <c r="U205" s="620"/>
      <c r="V205" s="621"/>
      <c r="W205" s="1096">
        <f t="shared" si="19"/>
        <v>815399793</v>
      </c>
      <c r="X205" s="882">
        <f t="shared" si="16"/>
        <v>815</v>
      </c>
      <c r="Y205" s="910">
        <f t="shared" si="17"/>
        <v>0</v>
      </c>
    </row>
    <row r="206" spans="1:25" ht="27" customHeight="1">
      <c r="A206" s="583"/>
      <c r="B206" s="583">
        <v>406</v>
      </c>
      <c r="C206" s="581">
        <v>4</v>
      </c>
      <c r="D206" s="1137" t="s">
        <v>1267</v>
      </c>
      <c r="E206" s="1138" t="s">
        <v>1065</v>
      </c>
      <c r="F206" s="599"/>
      <c r="G206" s="599"/>
      <c r="H206" s="599"/>
      <c r="I206" s="599"/>
      <c r="J206" s="599"/>
      <c r="K206" s="599"/>
      <c r="L206" s="599"/>
      <c r="M206" s="599"/>
      <c r="N206" s="599"/>
      <c r="O206" s="599"/>
      <c r="P206" s="599"/>
      <c r="Q206" s="1096">
        <f t="shared" si="15"/>
        <v>0</v>
      </c>
      <c r="R206" s="599">
        <v>0</v>
      </c>
      <c r="S206" s="1096">
        <f t="shared" si="18"/>
        <v>0</v>
      </c>
      <c r="T206" s="599">
        <f t="shared" si="18"/>
        <v>0</v>
      </c>
      <c r="U206" s="620"/>
      <c r="V206" s="621"/>
      <c r="W206" s="1096">
        <f t="shared" si="19"/>
        <v>0</v>
      </c>
      <c r="X206" s="882">
        <f t="shared" si="16"/>
        <v>0</v>
      </c>
      <c r="Y206" s="910">
        <f t="shared" si="17"/>
        <v>0</v>
      </c>
    </row>
    <row r="207" spans="1:25" ht="27" customHeight="1">
      <c r="A207" s="583"/>
      <c r="B207" s="583">
        <v>406</v>
      </c>
      <c r="C207" s="581">
        <v>4</v>
      </c>
      <c r="D207" s="1137" t="s">
        <v>210</v>
      </c>
      <c r="E207" s="1138" t="s">
        <v>211</v>
      </c>
      <c r="F207" s="599">
        <v>554829926</v>
      </c>
      <c r="G207" s="599"/>
      <c r="H207" s="599"/>
      <c r="I207" s="599"/>
      <c r="J207" s="599"/>
      <c r="K207" s="599"/>
      <c r="L207" s="599"/>
      <c r="M207" s="599"/>
      <c r="N207" s="599"/>
      <c r="O207" s="599"/>
      <c r="P207" s="599"/>
      <c r="Q207" s="1096">
        <f t="shared" si="15"/>
        <v>554829926</v>
      </c>
      <c r="R207" s="599">
        <v>521475926</v>
      </c>
      <c r="S207" s="1096">
        <f t="shared" si="18"/>
        <v>555</v>
      </c>
      <c r="T207" s="599">
        <f t="shared" si="18"/>
        <v>521</v>
      </c>
      <c r="U207" s="620"/>
      <c r="V207" s="621"/>
      <c r="W207" s="1096">
        <f t="shared" si="19"/>
        <v>554829926</v>
      </c>
      <c r="X207" s="882">
        <f t="shared" si="16"/>
        <v>555</v>
      </c>
      <c r="Y207" s="910">
        <f t="shared" si="17"/>
        <v>0</v>
      </c>
    </row>
    <row r="208" spans="1:25" ht="27" customHeight="1">
      <c r="A208" s="583"/>
      <c r="B208" s="583">
        <v>406</v>
      </c>
      <c r="C208" s="581">
        <v>4</v>
      </c>
      <c r="D208" s="1137" t="s">
        <v>274</v>
      </c>
      <c r="E208" s="1138" t="s">
        <v>276</v>
      </c>
      <c r="F208" s="599"/>
      <c r="G208" s="599"/>
      <c r="H208" s="599"/>
      <c r="I208" s="599"/>
      <c r="J208" s="599"/>
      <c r="K208" s="599"/>
      <c r="L208" s="599"/>
      <c r="M208" s="599"/>
      <c r="N208" s="599"/>
      <c r="O208" s="599"/>
      <c r="P208" s="599"/>
      <c r="Q208" s="1096">
        <f t="shared" si="15"/>
        <v>0</v>
      </c>
      <c r="R208" s="599">
        <v>0</v>
      </c>
      <c r="S208" s="1096">
        <f t="shared" si="18"/>
        <v>0</v>
      </c>
      <c r="T208" s="599">
        <f t="shared" si="18"/>
        <v>0</v>
      </c>
      <c r="U208" s="620"/>
      <c r="V208" s="621"/>
      <c r="W208" s="1096">
        <f t="shared" si="19"/>
        <v>0</v>
      </c>
      <c r="X208" s="882">
        <f t="shared" si="16"/>
        <v>0</v>
      </c>
      <c r="Y208" s="910">
        <f t="shared" si="17"/>
        <v>0</v>
      </c>
    </row>
    <row r="209" spans="1:25" ht="27" customHeight="1">
      <c r="A209" s="583"/>
      <c r="B209" s="583">
        <v>406</v>
      </c>
      <c r="C209" s="581">
        <v>4</v>
      </c>
      <c r="D209" s="1137" t="s">
        <v>1031</v>
      </c>
      <c r="E209" s="1138" t="s">
        <v>1032</v>
      </c>
      <c r="F209" s="599"/>
      <c r="G209" s="599"/>
      <c r="H209" s="599"/>
      <c r="I209" s="599"/>
      <c r="J209" s="599"/>
      <c r="K209" s="599"/>
      <c r="L209" s="599"/>
      <c r="M209" s="599"/>
      <c r="N209" s="599"/>
      <c r="O209" s="599"/>
      <c r="P209" s="599"/>
      <c r="Q209" s="1096">
        <f t="shared" si="15"/>
        <v>0</v>
      </c>
      <c r="R209" s="599">
        <v>0</v>
      </c>
      <c r="S209" s="1096">
        <f t="shared" si="18"/>
        <v>0</v>
      </c>
      <c r="T209" s="599">
        <f t="shared" si="18"/>
        <v>0</v>
      </c>
      <c r="U209" s="620"/>
      <c r="V209" s="621"/>
      <c r="W209" s="1096">
        <f t="shared" si="19"/>
        <v>0</v>
      </c>
      <c r="X209" s="882">
        <f t="shared" si="16"/>
        <v>0</v>
      </c>
      <c r="Y209" s="910">
        <f t="shared" si="17"/>
        <v>0</v>
      </c>
    </row>
    <row r="210" spans="1:25" ht="27" customHeight="1">
      <c r="A210" s="583"/>
      <c r="B210" s="583">
        <v>406</v>
      </c>
      <c r="C210" s="581">
        <v>4</v>
      </c>
      <c r="D210" s="1137" t="s">
        <v>1005</v>
      </c>
      <c r="E210" s="1138" t="s">
        <v>841</v>
      </c>
      <c r="F210" s="599"/>
      <c r="G210" s="599"/>
      <c r="H210" s="599"/>
      <c r="I210" s="599"/>
      <c r="J210" s="599"/>
      <c r="K210" s="599"/>
      <c r="L210" s="599"/>
      <c r="M210" s="599"/>
      <c r="N210" s="599"/>
      <c r="O210" s="599"/>
      <c r="P210" s="599"/>
      <c r="Q210" s="1096">
        <f t="shared" si="15"/>
        <v>0</v>
      </c>
      <c r="R210" s="599">
        <v>0</v>
      </c>
      <c r="S210" s="1096">
        <f t="shared" si="18"/>
        <v>0</v>
      </c>
      <c r="T210" s="599">
        <f t="shared" si="18"/>
        <v>0</v>
      </c>
      <c r="U210" s="620"/>
      <c r="V210" s="621"/>
      <c r="W210" s="1096">
        <f t="shared" si="19"/>
        <v>0</v>
      </c>
      <c r="X210" s="882">
        <f t="shared" si="16"/>
        <v>0</v>
      </c>
      <c r="Y210" s="910">
        <f t="shared" si="17"/>
        <v>0</v>
      </c>
    </row>
    <row r="211" spans="1:25" ht="27" customHeight="1">
      <c r="A211" s="583"/>
      <c r="B211" s="583">
        <v>1001</v>
      </c>
      <c r="C211" s="581">
        <v>10</v>
      </c>
      <c r="D211" s="1137" t="s">
        <v>65</v>
      </c>
      <c r="E211" s="1138" t="s">
        <v>1337</v>
      </c>
      <c r="F211" s="599"/>
      <c r="G211" s="599"/>
      <c r="H211" s="599"/>
      <c r="I211" s="599"/>
      <c r="J211" s="599"/>
      <c r="K211" s="599"/>
      <c r="L211" s="599"/>
      <c r="M211" s="599"/>
      <c r="N211" s="599"/>
      <c r="O211" s="599"/>
      <c r="P211" s="599"/>
      <c r="Q211" s="1096">
        <f t="shared" si="15"/>
        <v>0</v>
      </c>
      <c r="R211" s="599">
        <v>0</v>
      </c>
      <c r="S211" s="1096">
        <f t="shared" si="18"/>
        <v>0</v>
      </c>
      <c r="T211" s="599">
        <f t="shared" si="18"/>
        <v>0</v>
      </c>
      <c r="U211" s="620"/>
      <c r="V211" s="621"/>
      <c r="W211" s="1096">
        <f t="shared" si="19"/>
        <v>0</v>
      </c>
      <c r="X211" s="882">
        <f t="shared" si="16"/>
        <v>0</v>
      </c>
      <c r="Y211" s="910">
        <f t="shared" si="17"/>
        <v>0</v>
      </c>
    </row>
    <row r="212" spans="1:25" ht="27" customHeight="1">
      <c r="A212" s="583"/>
      <c r="B212" s="583">
        <v>1001</v>
      </c>
      <c r="C212" s="581">
        <v>10</v>
      </c>
      <c r="D212" s="1137" t="s">
        <v>1066</v>
      </c>
      <c r="E212" s="1138" t="s">
        <v>1067</v>
      </c>
      <c r="F212" s="599"/>
      <c r="G212" s="599"/>
      <c r="H212" s="599"/>
      <c r="I212" s="599"/>
      <c r="J212" s="599"/>
      <c r="K212" s="599"/>
      <c r="L212" s="599"/>
      <c r="M212" s="599"/>
      <c r="N212" s="599"/>
      <c r="O212" s="599"/>
      <c r="P212" s="599"/>
      <c r="Q212" s="1096">
        <f t="shared" si="15"/>
        <v>0</v>
      </c>
      <c r="R212" s="599">
        <v>0</v>
      </c>
      <c r="S212" s="1096">
        <f t="shared" si="18"/>
        <v>0</v>
      </c>
      <c r="T212" s="599">
        <f t="shared" si="18"/>
        <v>0</v>
      </c>
      <c r="U212" s="620"/>
      <c r="V212" s="621"/>
      <c r="W212" s="1096">
        <f t="shared" si="19"/>
        <v>0</v>
      </c>
      <c r="X212" s="882">
        <f t="shared" si="16"/>
        <v>0</v>
      </c>
      <c r="Y212" s="910">
        <f t="shared" si="17"/>
        <v>0</v>
      </c>
    </row>
    <row r="213" spans="1:25" ht="27" customHeight="1">
      <c r="A213" s="583"/>
      <c r="B213" s="583">
        <v>406</v>
      </c>
      <c r="C213" s="581">
        <v>4</v>
      </c>
      <c r="D213" s="1137" t="s">
        <v>1068</v>
      </c>
      <c r="E213" s="1138" t="s">
        <v>1069</v>
      </c>
      <c r="F213" s="599"/>
      <c r="G213" s="599"/>
      <c r="H213" s="599"/>
      <c r="I213" s="599"/>
      <c r="J213" s="599"/>
      <c r="K213" s="599"/>
      <c r="L213" s="599"/>
      <c r="M213" s="599"/>
      <c r="N213" s="599"/>
      <c r="O213" s="599"/>
      <c r="P213" s="599"/>
      <c r="Q213" s="1096">
        <f t="shared" si="15"/>
        <v>0</v>
      </c>
      <c r="R213" s="599">
        <v>0</v>
      </c>
      <c r="S213" s="1096">
        <f t="shared" si="18"/>
        <v>0</v>
      </c>
      <c r="T213" s="599">
        <f t="shared" si="18"/>
        <v>0</v>
      </c>
      <c r="U213" s="620"/>
      <c r="V213" s="621"/>
      <c r="W213" s="1096">
        <f t="shared" si="19"/>
        <v>0</v>
      </c>
      <c r="X213" s="882">
        <f t="shared" si="16"/>
        <v>0</v>
      </c>
      <c r="Y213" s="910">
        <f t="shared" si="17"/>
        <v>0</v>
      </c>
    </row>
    <row r="214" spans="1:25" ht="27" customHeight="1">
      <c r="A214" s="583"/>
      <c r="B214" s="583">
        <v>406</v>
      </c>
      <c r="C214" s="581">
        <v>4</v>
      </c>
      <c r="D214" s="1137" t="s">
        <v>1070</v>
      </c>
      <c r="E214" s="1138" t="s">
        <v>1071</v>
      </c>
      <c r="F214" s="599">
        <v>257357100</v>
      </c>
      <c r="G214" s="599"/>
      <c r="H214" s="599"/>
      <c r="I214" s="599"/>
      <c r="J214" s="599"/>
      <c r="K214" s="599"/>
      <c r="L214" s="599"/>
      <c r="M214" s="599"/>
      <c r="N214" s="599"/>
      <c r="O214" s="599"/>
      <c r="P214" s="599"/>
      <c r="Q214" s="1096">
        <f t="shared" si="15"/>
        <v>257357100</v>
      </c>
      <c r="R214" s="599">
        <v>126060060</v>
      </c>
      <c r="S214" s="1096">
        <f t="shared" si="18"/>
        <v>257</v>
      </c>
      <c r="T214" s="599">
        <f t="shared" si="18"/>
        <v>126</v>
      </c>
      <c r="U214" s="620"/>
      <c r="V214" s="621"/>
      <c r="W214" s="1096">
        <f t="shared" si="19"/>
        <v>257357100</v>
      </c>
      <c r="X214" s="882">
        <f t="shared" si="16"/>
        <v>257</v>
      </c>
      <c r="Y214" s="910">
        <f t="shared" si="17"/>
        <v>0</v>
      </c>
    </row>
    <row r="215" spans="1:25" ht="27" customHeight="1">
      <c r="A215" s="583"/>
      <c r="B215" s="583">
        <v>1001</v>
      </c>
      <c r="C215" s="581">
        <v>10</v>
      </c>
      <c r="D215" s="1137" t="s">
        <v>1073</v>
      </c>
      <c r="E215" s="1138" t="s">
        <v>1072</v>
      </c>
      <c r="F215" s="599"/>
      <c r="G215" s="599"/>
      <c r="H215" s="599"/>
      <c r="I215" s="599"/>
      <c r="J215" s="599"/>
      <c r="K215" s="599"/>
      <c r="L215" s="599"/>
      <c r="M215" s="599"/>
      <c r="N215" s="599"/>
      <c r="O215" s="599"/>
      <c r="P215" s="599"/>
      <c r="Q215" s="1096">
        <f t="shared" si="15"/>
        <v>0</v>
      </c>
      <c r="R215" s="599">
        <v>0</v>
      </c>
      <c r="S215" s="1096">
        <f t="shared" si="18"/>
        <v>0</v>
      </c>
      <c r="T215" s="599">
        <f t="shared" si="18"/>
        <v>0</v>
      </c>
      <c r="U215" s="620"/>
      <c r="V215" s="621"/>
      <c r="W215" s="1096">
        <f t="shared" si="19"/>
        <v>0</v>
      </c>
      <c r="X215" s="882">
        <f t="shared" si="16"/>
        <v>0</v>
      </c>
      <c r="Y215" s="910">
        <f t="shared" si="17"/>
        <v>0</v>
      </c>
    </row>
    <row r="216" spans="1:25" ht="27" customHeight="1">
      <c r="A216" s="583"/>
      <c r="B216" s="583">
        <v>1001</v>
      </c>
      <c r="C216" s="581">
        <v>10</v>
      </c>
      <c r="D216" s="1137" t="s">
        <v>1733</v>
      </c>
      <c r="E216" s="1138" t="s">
        <v>1734</v>
      </c>
      <c r="F216" s="599">
        <v>-36038033</v>
      </c>
      <c r="G216" s="599"/>
      <c r="H216" s="599"/>
      <c r="I216" s="599"/>
      <c r="J216" s="599"/>
      <c r="K216" s="599">
        <v>-9027900</v>
      </c>
      <c r="L216" s="599"/>
      <c r="M216" s="599"/>
      <c r="N216" s="599"/>
      <c r="O216" s="599"/>
      <c r="P216" s="599"/>
      <c r="Q216" s="1096">
        <f t="shared" si="15"/>
        <v>-45065933</v>
      </c>
      <c r="R216" s="599">
        <v>0</v>
      </c>
      <c r="S216" s="1096">
        <f t="shared" si="18"/>
        <v>-45</v>
      </c>
      <c r="T216" s="599">
        <f t="shared" si="18"/>
        <v>0</v>
      </c>
      <c r="U216" s="620"/>
      <c r="V216" s="621"/>
      <c r="W216" s="1096">
        <f t="shared" si="19"/>
        <v>-45065933</v>
      </c>
      <c r="X216" s="882">
        <f t="shared" si="16"/>
        <v>-45</v>
      </c>
      <c r="Y216" s="910">
        <f t="shared" si="17"/>
        <v>0</v>
      </c>
    </row>
    <row r="217" spans="1:25" ht="27" customHeight="1">
      <c r="A217" s="583"/>
      <c r="B217" s="583">
        <v>406</v>
      </c>
      <c r="C217" s="581">
        <v>4</v>
      </c>
      <c r="D217" s="1137" t="s">
        <v>975</v>
      </c>
      <c r="E217" s="1138" t="s">
        <v>976</v>
      </c>
      <c r="F217" s="599">
        <v>381285567</v>
      </c>
      <c r="G217" s="599"/>
      <c r="H217" s="599"/>
      <c r="I217" s="599"/>
      <c r="J217" s="599"/>
      <c r="K217" s="599"/>
      <c r="L217" s="599"/>
      <c r="M217" s="599"/>
      <c r="N217" s="599"/>
      <c r="O217" s="599"/>
      <c r="P217" s="599"/>
      <c r="Q217" s="1096">
        <f t="shared" si="15"/>
        <v>381285567</v>
      </c>
      <c r="R217" s="599">
        <v>372652767</v>
      </c>
      <c r="S217" s="1096">
        <f>ROUND((Q217/1000000),0)</f>
        <v>381</v>
      </c>
      <c r="T217" s="599">
        <f t="shared" si="18"/>
        <v>373</v>
      </c>
      <c r="U217" s="620"/>
      <c r="V217" s="621"/>
      <c r="W217" s="1096">
        <f t="shared" si="19"/>
        <v>381285567</v>
      </c>
      <c r="X217" s="882">
        <f t="shared" si="16"/>
        <v>381</v>
      </c>
      <c r="Y217" s="910">
        <f t="shared" si="17"/>
        <v>0</v>
      </c>
    </row>
    <row r="218" spans="1:25" ht="27" customHeight="1">
      <c r="A218" s="583"/>
      <c r="B218" s="583">
        <v>1001</v>
      </c>
      <c r="C218" s="581">
        <v>10</v>
      </c>
      <c r="D218" s="1137" t="s">
        <v>977</v>
      </c>
      <c r="E218" s="1138" t="s">
        <v>978</v>
      </c>
      <c r="F218" s="599"/>
      <c r="G218" s="599"/>
      <c r="H218" s="599"/>
      <c r="I218" s="599"/>
      <c r="J218" s="599"/>
      <c r="K218" s="599"/>
      <c r="L218" s="599"/>
      <c r="M218" s="599"/>
      <c r="N218" s="599"/>
      <c r="O218" s="599"/>
      <c r="P218" s="599"/>
      <c r="Q218" s="1096">
        <f t="shared" si="15"/>
        <v>0</v>
      </c>
      <c r="R218" s="599">
        <v>0</v>
      </c>
      <c r="S218" s="1096">
        <f t="shared" si="18"/>
        <v>0</v>
      </c>
      <c r="T218" s="599">
        <f t="shared" si="18"/>
        <v>0</v>
      </c>
      <c r="U218" s="620"/>
      <c r="V218" s="621"/>
      <c r="W218" s="1096">
        <f t="shared" si="19"/>
        <v>0</v>
      </c>
      <c r="X218" s="882">
        <f t="shared" si="16"/>
        <v>0</v>
      </c>
      <c r="Y218" s="910">
        <f t="shared" si="17"/>
        <v>0</v>
      </c>
    </row>
    <row r="219" spans="1:25" ht="27" customHeight="1">
      <c r="A219" s="583"/>
      <c r="B219" s="583">
        <v>1001</v>
      </c>
      <c r="C219" s="581">
        <v>10</v>
      </c>
      <c r="D219" s="1137" t="s">
        <v>746</v>
      </c>
      <c r="E219" s="1138" t="s">
        <v>745</v>
      </c>
      <c r="F219" s="599"/>
      <c r="G219" s="599"/>
      <c r="H219" s="599"/>
      <c r="I219" s="599">
        <v>-103000000</v>
      </c>
      <c r="J219" s="599"/>
      <c r="K219" s="599"/>
      <c r="L219" s="599"/>
      <c r="M219" s="599"/>
      <c r="N219" s="599"/>
      <c r="O219" s="599"/>
      <c r="P219" s="599"/>
      <c r="Q219" s="1096">
        <f t="shared" si="15"/>
        <v>-103000000</v>
      </c>
      <c r="R219" s="599">
        <v>-80000000</v>
      </c>
      <c r="S219" s="1096">
        <f t="shared" si="18"/>
        <v>-103</v>
      </c>
      <c r="T219" s="599">
        <f t="shared" si="18"/>
        <v>-80</v>
      </c>
      <c r="U219" s="620"/>
      <c r="V219" s="621"/>
      <c r="W219" s="1096">
        <f t="shared" si="19"/>
        <v>-103000000</v>
      </c>
      <c r="X219" s="882">
        <f t="shared" si="16"/>
        <v>-103</v>
      </c>
      <c r="Y219" s="910">
        <f t="shared" si="17"/>
        <v>0</v>
      </c>
    </row>
    <row r="220" spans="1:25" ht="27" customHeight="1">
      <c r="A220" s="583"/>
      <c r="B220" s="583">
        <v>1001</v>
      </c>
      <c r="C220" s="581">
        <v>10</v>
      </c>
      <c r="D220" s="1137" t="s">
        <v>1735</v>
      </c>
      <c r="E220" s="1138" t="s">
        <v>1736</v>
      </c>
      <c r="F220" s="599">
        <v>-115601478</v>
      </c>
      <c r="G220" s="599"/>
      <c r="H220" s="599"/>
      <c r="I220" s="599"/>
      <c r="J220" s="599"/>
      <c r="K220" s="599"/>
      <c r="L220" s="599"/>
      <c r="M220" s="599"/>
      <c r="N220" s="599"/>
      <c r="O220" s="599"/>
      <c r="P220" s="599"/>
      <c r="Q220" s="1096">
        <f>SUM(F220:P220)</f>
        <v>-115601478</v>
      </c>
      <c r="R220" s="599">
        <v>0</v>
      </c>
      <c r="S220" s="1096">
        <f t="shared" si="18"/>
        <v>-116</v>
      </c>
      <c r="T220" s="599">
        <f t="shared" si="18"/>
        <v>0</v>
      </c>
      <c r="U220" s="620"/>
      <c r="V220" s="621"/>
      <c r="W220" s="1096">
        <f t="shared" si="19"/>
        <v>-115601478</v>
      </c>
      <c r="X220" s="882">
        <f t="shared" si="16"/>
        <v>-116</v>
      </c>
      <c r="Y220" s="910">
        <f t="shared" si="17"/>
        <v>0</v>
      </c>
    </row>
    <row r="221" spans="1:25" ht="27" customHeight="1">
      <c r="A221" s="583"/>
      <c r="B221" s="583">
        <v>1001</v>
      </c>
      <c r="C221" s="581">
        <v>10</v>
      </c>
      <c r="D221" s="1137" t="s">
        <v>979</v>
      </c>
      <c r="E221" s="1138" t="s">
        <v>980</v>
      </c>
      <c r="F221" s="599">
        <v>-9364000</v>
      </c>
      <c r="G221" s="599"/>
      <c r="H221" s="599"/>
      <c r="I221" s="599"/>
      <c r="J221" s="599"/>
      <c r="K221" s="599"/>
      <c r="L221" s="599"/>
      <c r="M221" s="599"/>
      <c r="N221" s="599"/>
      <c r="O221" s="599"/>
      <c r="P221" s="599"/>
      <c r="Q221" s="1096">
        <f t="shared" si="15"/>
        <v>-9364000</v>
      </c>
      <c r="R221" s="599">
        <v>-1498381836</v>
      </c>
      <c r="S221" s="1096">
        <f>ROUND((Q221/1000000),0)</f>
        <v>-9</v>
      </c>
      <c r="T221" s="599">
        <f t="shared" si="18"/>
        <v>-1498</v>
      </c>
      <c r="U221" s="620"/>
      <c r="V221" s="621"/>
      <c r="W221" s="1096">
        <f t="shared" si="19"/>
        <v>-9364000</v>
      </c>
      <c r="X221" s="882">
        <f t="shared" si="16"/>
        <v>-9</v>
      </c>
      <c r="Y221" s="910">
        <f t="shared" si="17"/>
        <v>0</v>
      </c>
    </row>
    <row r="222" spans="1:25" ht="27" customHeight="1">
      <c r="A222" s="583"/>
      <c r="B222" s="583">
        <v>1001</v>
      </c>
      <c r="C222" s="581">
        <v>10</v>
      </c>
      <c r="D222" s="1137" t="s">
        <v>275</v>
      </c>
      <c r="E222" s="1138" t="s">
        <v>844</v>
      </c>
      <c r="F222" s="599">
        <v>-1013652310</v>
      </c>
      <c r="G222" s="599">
        <v>-4601989</v>
      </c>
      <c r="H222" s="599"/>
      <c r="I222" s="599"/>
      <c r="J222" s="599"/>
      <c r="K222" s="599"/>
      <c r="L222" s="599"/>
      <c r="M222" s="599"/>
      <c r="N222" s="599"/>
      <c r="O222" s="599"/>
      <c r="P222" s="599"/>
      <c r="Q222" s="1096">
        <f t="shared" si="15"/>
        <v>-1018254299</v>
      </c>
      <c r="R222" s="599">
        <v>0</v>
      </c>
      <c r="S222" s="1096">
        <f t="shared" si="18"/>
        <v>-1018</v>
      </c>
      <c r="T222" s="599">
        <f t="shared" si="18"/>
        <v>0</v>
      </c>
      <c r="U222" s="620"/>
      <c r="V222" s="621"/>
      <c r="W222" s="1096">
        <f t="shared" si="19"/>
        <v>-1018254299</v>
      </c>
      <c r="X222" s="882">
        <f t="shared" si="16"/>
        <v>-1018</v>
      </c>
      <c r="Y222" s="910">
        <f t="shared" si="17"/>
        <v>0</v>
      </c>
    </row>
    <row r="223" spans="1:25" ht="27" customHeight="1">
      <c r="A223" s="583"/>
      <c r="B223" s="583">
        <v>406</v>
      </c>
      <c r="C223" s="581">
        <v>4</v>
      </c>
      <c r="D223" s="1137" t="s">
        <v>981</v>
      </c>
      <c r="E223" s="1138" t="s">
        <v>982</v>
      </c>
      <c r="F223" s="599"/>
      <c r="G223" s="599"/>
      <c r="H223" s="599"/>
      <c r="I223" s="599"/>
      <c r="J223" s="599"/>
      <c r="K223" s="599"/>
      <c r="L223" s="599"/>
      <c r="M223" s="599"/>
      <c r="N223" s="599"/>
      <c r="O223" s="599"/>
      <c r="P223" s="599"/>
      <c r="Q223" s="1096">
        <f t="shared" si="15"/>
        <v>0</v>
      </c>
      <c r="R223" s="599">
        <v>0</v>
      </c>
      <c r="S223" s="1096">
        <f t="shared" si="18"/>
        <v>0</v>
      </c>
      <c r="T223" s="599">
        <f t="shared" si="18"/>
        <v>0</v>
      </c>
      <c r="U223" s="620"/>
      <c r="V223" s="621"/>
      <c r="W223" s="1096">
        <f t="shared" si="19"/>
        <v>0</v>
      </c>
      <c r="X223" s="882">
        <f t="shared" si="16"/>
        <v>0</v>
      </c>
      <c r="Y223" s="910">
        <f t="shared" si="17"/>
        <v>0</v>
      </c>
    </row>
    <row r="224" spans="1:25" ht="27" customHeight="1">
      <c r="A224" s="583"/>
      <c r="B224" s="583">
        <v>406</v>
      </c>
      <c r="C224" s="581">
        <v>4</v>
      </c>
      <c r="D224" s="1137" t="s">
        <v>983</v>
      </c>
      <c r="E224" s="1138" t="s">
        <v>984</v>
      </c>
      <c r="F224" s="599"/>
      <c r="G224" s="599"/>
      <c r="H224" s="599"/>
      <c r="I224" s="599"/>
      <c r="J224" s="599"/>
      <c r="K224" s="599"/>
      <c r="L224" s="599"/>
      <c r="M224" s="599"/>
      <c r="N224" s="599"/>
      <c r="O224" s="599"/>
      <c r="P224" s="599"/>
      <c r="Q224" s="1096">
        <f t="shared" si="15"/>
        <v>0</v>
      </c>
      <c r="R224" s="599">
        <v>0</v>
      </c>
      <c r="S224" s="1096">
        <f t="shared" si="18"/>
        <v>0</v>
      </c>
      <c r="T224" s="599">
        <f t="shared" si="18"/>
        <v>0</v>
      </c>
      <c r="U224" s="620"/>
      <c r="V224" s="621"/>
      <c r="W224" s="1096">
        <f t="shared" si="19"/>
        <v>0</v>
      </c>
      <c r="X224" s="882">
        <f t="shared" si="16"/>
        <v>0</v>
      </c>
      <c r="Y224" s="910">
        <f t="shared" si="17"/>
        <v>0</v>
      </c>
    </row>
    <row r="225" spans="1:25" ht="27" customHeight="1">
      <c r="A225" s="583"/>
      <c r="B225" s="583">
        <v>406</v>
      </c>
      <c r="C225" s="581">
        <v>4</v>
      </c>
      <c r="D225" s="1137" t="s">
        <v>1338</v>
      </c>
      <c r="E225" s="1138" t="s">
        <v>1339</v>
      </c>
      <c r="F225" s="599">
        <v>3994000</v>
      </c>
      <c r="G225" s="599"/>
      <c r="H225" s="599"/>
      <c r="I225" s="599"/>
      <c r="J225" s="599"/>
      <c r="K225" s="599"/>
      <c r="L225" s="599"/>
      <c r="M225" s="599"/>
      <c r="N225" s="599"/>
      <c r="O225" s="599"/>
      <c r="P225" s="599"/>
      <c r="Q225" s="1096">
        <f t="shared" si="15"/>
        <v>3994000</v>
      </c>
      <c r="R225" s="599">
        <v>2543570</v>
      </c>
      <c r="S225" s="1096">
        <f t="shared" si="18"/>
        <v>4</v>
      </c>
      <c r="T225" s="599">
        <f t="shared" si="18"/>
        <v>3</v>
      </c>
      <c r="U225" s="620"/>
      <c r="V225" s="621"/>
      <c r="W225" s="1096">
        <f t="shared" si="19"/>
        <v>3994000</v>
      </c>
      <c r="X225" s="882">
        <f t="shared" si="16"/>
        <v>4</v>
      </c>
      <c r="Y225" s="910">
        <f t="shared" si="17"/>
        <v>0</v>
      </c>
    </row>
    <row r="226" spans="1:25" ht="27" customHeight="1">
      <c r="A226" s="583"/>
      <c r="B226" s="583">
        <v>1001</v>
      </c>
      <c r="C226" s="581">
        <v>10</v>
      </c>
      <c r="D226" s="1137" t="s">
        <v>1737</v>
      </c>
      <c r="E226" s="1138" t="s">
        <v>1738</v>
      </c>
      <c r="F226" s="599">
        <v>-127809476</v>
      </c>
      <c r="G226" s="599"/>
      <c r="H226" s="599"/>
      <c r="I226" s="599"/>
      <c r="J226" s="599"/>
      <c r="K226" s="599"/>
      <c r="L226" s="599"/>
      <c r="M226" s="599"/>
      <c r="N226" s="599"/>
      <c r="O226" s="599"/>
      <c r="P226" s="599"/>
      <c r="Q226" s="1096">
        <f>SUM(F226:P226)</f>
        <v>-127809476</v>
      </c>
      <c r="R226" s="599">
        <v>0</v>
      </c>
      <c r="S226" s="1096">
        <f t="shared" si="18"/>
        <v>-128</v>
      </c>
      <c r="T226" s="599">
        <f t="shared" si="18"/>
        <v>0</v>
      </c>
      <c r="U226" s="620"/>
      <c r="V226" s="621"/>
      <c r="W226" s="1096">
        <f t="shared" si="19"/>
        <v>-127809476</v>
      </c>
      <c r="X226" s="882">
        <f t="shared" si="16"/>
        <v>-128</v>
      </c>
      <c r="Y226" s="910">
        <f t="shared" si="17"/>
        <v>0</v>
      </c>
    </row>
    <row r="227" spans="1:25" ht="27" customHeight="1">
      <c r="A227" s="583"/>
      <c r="B227" s="583">
        <v>406</v>
      </c>
      <c r="C227" s="581">
        <v>4</v>
      </c>
      <c r="D227" s="1137" t="s">
        <v>985</v>
      </c>
      <c r="E227" s="1138" t="s">
        <v>986</v>
      </c>
      <c r="F227" s="599">
        <v>889270531</v>
      </c>
      <c r="G227" s="599"/>
      <c r="H227" s="599"/>
      <c r="I227" s="599"/>
      <c r="J227" s="599"/>
      <c r="K227" s="599"/>
      <c r="L227" s="599"/>
      <c r="M227" s="599"/>
      <c r="N227" s="599"/>
      <c r="O227" s="599"/>
      <c r="P227" s="599"/>
      <c r="Q227" s="1096">
        <f t="shared" si="15"/>
        <v>889270531</v>
      </c>
      <c r="R227" s="599">
        <v>0</v>
      </c>
      <c r="S227" s="1096">
        <f t="shared" si="18"/>
        <v>889</v>
      </c>
      <c r="T227" s="599">
        <f t="shared" si="18"/>
        <v>0</v>
      </c>
      <c r="U227" s="620"/>
      <c r="V227" s="621"/>
      <c r="W227" s="1096">
        <f t="shared" si="19"/>
        <v>889270531</v>
      </c>
      <c r="X227" s="882">
        <f t="shared" si="16"/>
        <v>889</v>
      </c>
      <c r="Y227" s="910">
        <f t="shared" si="17"/>
        <v>0</v>
      </c>
    </row>
    <row r="228" spans="1:25" ht="27" customHeight="1">
      <c r="A228" s="583"/>
      <c r="B228" s="583">
        <v>1001</v>
      </c>
      <c r="C228" s="581">
        <v>10</v>
      </c>
      <c r="D228" s="1137" t="s">
        <v>1074</v>
      </c>
      <c r="E228" s="1138" t="s">
        <v>1075</v>
      </c>
      <c r="F228" s="599"/>
      <c r="G228" s="599"/>
      <c r="H228" s="599"/>
      <c r="I228" s="599"/>
      <c r="J228" s="599"/>
      <c r="K228" s="599"/>
      <c r="L228" s="599"/>
      <c r="M228" s="599"/>
      <c r="N228" s="599"/>
      <c r="O228" s="599"/>
      <c r="P228" s="599"/>
      <c r="Q228" s="1096">
        <f t="shared" si="15"/>
        <v>0</v>
      </c>
      <c r="R228" s="599">
        <v>0</v>
      </c>
      <c r="S228" s="1096">
        <f t="shared" si="18"/>
        <v>0</v>
      </c>
      <c r="T228" s="599">
        <f t="shared" si="18"/>
        <v>0</v>
      </c>
      <c r="U228" s="620"/>
      <c r="V228" s="621"/>
      <c r="W228" s="1096">
        <f t="shared" si="19"/>
        <v>0</v>
      </c>
      <c r="X228" s="882">
        <f t="shared" si="16"/>
        <v>0</v>
      </c>
      <c r="Y228" s="910">
        <f t="shared" si="17"/>
        <v>0</v>
      </c>
    </row>
    <row r="229" spans="1:25" ht="27" customHeight="1">
      <c r="A229" s="583"/>
      <c r="B229" s="583">
        <v>1001</v>
      </c>
      <c r="C229" s="581">
        <v>10</v>
      </c>
      <c r="D229" s="1137" t="s">
        <v>1241</v>
      </c>
      <c r="E229" s="1138" t="s">
        <v>1242</v>
      </c>
      <c r="F229" s="599"/>
      <c r="G229" s="599">
        <v>-2255564</v>
      </c>
      <c r="H229" s="599"/>
      <c r="I229" s="599"/>
      <c r="J229" s="599"/>
      <c r="K229" s="599"/>
      <c r="L229" s="599"/>
      <c r="M229" s="599"/>
      <c r="N229" s="599"/>
      <c r="O229" s="599"/>
      <c r="P229" s="599"/>
      <c r="Q229" s="1096">
        <f t="shared" si="15"/>
        <v>-2255564</v>
      </c>
      <c r="R229" s="599">
        <v>0</v>
      </c>
      <c r="S229" s="1096">
        <f t="shared" si="18"/>
        <v>-2</v>
      </c>
      <c r="T229" s="599">
        <f t="shared" si="18"/>
        <v>0</v>
      </c>
      <c r="U229" s="620"/>
      <c r="V229" s="621"/>
      <c r="W229" s="1096">
        <f t="shared" si="19"/>
        <v>-2255564</v>
      </c>
      <c r="X229" s="882">
        <f t="shared" si="16"/>
        <v>-2</v>
      </c>
      <c r="Y229" s="910">
        <f t="shared" si="17"/>
        <v>0</v>
      </c>
    </row>
    <row r="230" spans="1:25" ht="27" customHeight="1">
      <c r="A230" s="583"/>
      <c r="B230" s="583">
        <v>406</v>
      </c>
      <c r="C230" s="581">
        <v>4</v>
      </c>
      <c r="D230" s="1137" t="s">
        <v>987</v>
      </c>
      <c r="E230" s="1138" t="s">
        <v>988</v>
      </c>
      <c r="F230" s="599">
        <v>712800</v>
      </c>
      <c r="G230" s="599"/>
      <c r="H230" s="599"/>
      <c r="I230" s="599"/>
      <c r="J230" s="599"/>
      <c r="K230" s="599"/>
      <c r="L230" s="599"/>
      <c r="M230" s="599"/>
      <c r="N230" s="599"/>
      <c r="O230" s="599"/>
      <c r="P230" s="599"/>
      <c r="Q230" s="1096">
        <f t="shared" si="15"/>
        <v>712800</v>
      </c>
      <c r="R230" s="599">
        <v>712800</v>
      </c>
      <c r="S230" s="1096">
        <f t="shared" si="18"/>
        <v>1</v>
      </c>
      <c r="T230" s="599">
        <f t="shared" si="18"/>
        <v>1</v>
      </c>
      <c r="U230" s="620"/>
      <c r="V230" s="621"/>
      <c r="W230" s="1096">
        <f t="shared" si="19"/>
        <v>712800</v>
      </c>
      <c r="X230" s="882">
        <f t="shared" si="16"/>
        <v>1</v>
      </c>
      <c r="Y230" s="910">
        <f t="shared" si="17"/>
        <v>0</v>
      </c>
    </row>
    <row r="231" spans="1:25" ht="27" customHeight="1">
      <c r="A231" s="583"/>
      <c r="B231" s="583">
        <v>1001</v>
      </c>
      <c r="C231" s="581">
        <v>10</v>
      </c>
      <c r="D231" s="1137" t="s">
        <v>1076</v>
      </c>
      <c r="E231" s="1138" t="s">
        <v>1077</v>
      </c>
      <c r="F231" s="599">
        <v>-3128838886</v>
      </c>
      <c r="G231" s="599"/>
      <c r="H231" s="599"/>
      <c r="I231" s="599"/>
      <c r="J231" s="599"/>
      <c r="K231" s="599"/>
      <c r="L231" s="599"/>
      <c r="M231" s="599"/>
      <c r="N231" s="599"/>
      <c r="O231" s="599"/>
      <c r="P231" s="599"/>
      <c r="Q231" s="1096">
        <f t="shared" si="15"/>
        <v>-3128838886</v>
      </c>
      <c r="R231" s="599">
        <v>-1607144239</v>
      </c>
      <c r="S231" s="1096">
        <f>ROUND((Q231/1000000),0)</f>
        <v>-3129</v>
      </c>
      <c r="T231" s="599">
        <f t="shared" si="18"/>
        <v>-1607</v>
      </c>
      <c r="U231" s="620"/>
      <c r="V231" s="621"/>
      <c r="W231" s="1096">
        <f t="shared" si="19"/>
        <v>-3128838886</v>
      </c>
      <c r="X231" s="882">
        <f t="shared" si="16"/>
        <v>-3129</v>
      </c>
      <c r="Y231" s="910">
        <f t="shared" si="17"/>
        <v>0</v>
      </c>
    </row>
    <row r="232" spans="1:25" ht="27" customHeight="1">
      <c r="A232" s="583"/>
      <c r="B232" s="583">
        <v>1001</v>
      </c>
      <c r="C232" s="581">
        <v>10</v>
      </c>
      <c r="D232" s="1137" t="s">
        <v>239</v>
      </c>
      <c r="E232" s="1138" t="s">
        <v>1642</v>
      </c>
      <c r="F232" s="599">
        <v>-391592728</v>
      </c>
      <c r="G232" s="599"/>
      <c r="H232" s="599"/>
      <c r="I232" s="599"/>
      <c r="J232" s="599"/>
      <c r="K232" s="599"/>
      <c r="L232" s="599"/>
      <c r="M232" s="599"/>
      <c r="N232" s="599"/>
      <c r="O232" s="599"/>
      <c r="P232" s="599"/>
      <c r="Q232" s="1096">
        <f t="shared" si="15"/>
        <v>-391592728</v>
      </c>
      <c r="R232" s="599">
        <v>-391592728</v>
      </c>
      <c r="S232" s="1096">
        <f>ROUND((Q232/1000000),0)</f>
        <v>-392</v>
      </c>
      <c r="T232" s="599">
        <f t="shared" si="18"/>
        <v>-392</v>
      </c>
      <c r="U232" s="620"/>
      <c r="V232" s="621"/>
      <c r="W232" s="1096">
        <f t="shared" si="19"/>
        <v>-391592728</v>
      </c>
      <c r="X232" s="882">
        <f t="shared" si="16"/>
        <v>-392</v>
      </c>
      <c r="Y232" s="910">
        <f t="shared" si="17"/>
        <v>0</v>
      </c>
    </row>
    <row r="233" spans="1:25" ht="27" customHeight="1">
      <c r="A233" s="583"/>
      <c r="B233" s="583">
        <v>1001</v>
      </c>
      <c r="C233" s="581">
        <v>10</v>
      </c>
      <c r="D233" s="1137" t="s">
        <v>1609</v>
      </c>
      <c r="E233" s="1138" t="s">
        <v>1610</v>
      </c>
      <c r="F233" s="599">
        <v>34839991</v>
      </c>
      <c r="G233" s="599"/>
      <c r="H233" s="599"/>
      <c r="I233" s="599"/>
      <c r="J233" s="599">
        <v>-102545281</v>
      </c>
      <c r="K233" s="599"/>
      <c r="L233" s="599"/>
      <c r="M233" s="599"/>
      <c r="N233" s="599"/>
      <c r="O233" s="599"/>
      <c r="P233" s="599"/>
      <c r="Q233" s="1096">
        <f t="shared" si="15"/>
        <v>-67705290</v>
      </c>
      <c r="R233" s="599">
        <v>-232942220</v>
      </c>
      <c r="S233" s="1096">
        <f>ROUND((Q233/1000000),0)</f>
        <v>-68</v>
      </c>
      <c r="T233" s="599">
        <f t="shared" si="18"/>
        <v>-233</v>
      </c>
      <c r="U233" s="620"/>
      <c r="V233" s="621"/>
      <c r="W233" s="1096">
        <f t="shared" si="19"/>
        <v>-67705290</v>
      </c>
      <c r="X233" s="882">
        <f t="shared" si="16"/>
        <v>-68</v>
      </c>
      <c r="Y233" s="910">
        <f t="shared" si="17"/>
        <v>0</v>
      </c>
    </row>
    <row r="234" spans="1:25" ht="27" customHeight="1">
      <c r="A234" s="583"/>
      <c r="B234" s="583">
        <v>1001</v>
      </c>
      <c r="C234" s="581">
        <v>10</v>
      </c>
      <c r="D234" s="1137" t="s">
        <v>1243</v>
      </c>
      <c r="E234" s="1138" t="s">
        <v>1244</v>
      </c>
      <c r="F234" s="599">
        <v>-3942158</v>
      </c>
      <c r="G234" s="599"/>
      <c r="H234" s="599"/>
      <c r="I234" s="599"/>
      <c r="J234" s="599"/>
      <c r="K234" s="599"/>
      <c r="L234" s="599"/>
      <c r="M234" s="599"/>
      <c r="N234" s="599"/>
      <c r="O234" s="599"/>
      <c r="P234" s="599"/>
      <c r="Q234" s="1096">
        <f t="shared" si="15"/>
        <v>-3942158</v>
      </c>
      <c r="R234" s="599">
        <v>-3942158</v>
      </c>
      <c r="S234" s="1096">
        <f t="shared" si="18"/>
        <v>-4</v>
      </c>
      <c r="T234" s="599">
        <f t="shared" si="18"/>
        <v>-4</v>
      </c>
      <c r="U234" s="620"/>
      <c r="V234" s="621"/>
      <c r="W234" s="1096">
        <f t="shared" si="19"/>
        <v>-3942158</v>
      </c>
      <c r="X234" s="882">
        <f t="shared" si="16"/>
        <v>-4</v>
      </c>
      <c r="Y234" s="910">
        <f t="shared" si="17"/>
        <v>0</v>
      </c>
    </row>
    <row r="235" spans="1:25" ht="27" customHeight="1">
      <c r="A235" s="583"/>
      <c r="B235" s="1203">
        <v>406</v>
      </c>
      <c r="C235" s="1131">
        <v>4</v>
      </c>
      <c r="D235" s="1137" t="s">
        <v>241</v>
      </c>
      <c r="E235" s="1138" t="s">
        <v>755</v>
      </c>
      <c r="F235" s="599">
        <v>22792553</v>
      </c>
      <c r="G235" s="599"/>
      <c r="H235" s="599"/>
      <c r="I235" s="599"/>
      <c r="J235" s="599"/>
      <c r="K235" s="599"/>
      <c r="L235" s="599"/>
      <c r="M235" s="599"/>
      <c r="N235" s="599"/>
      <c r="O235" s="599"/>
      <c r="P235" s="599"/>
      <c r="Q235" s="1096">
        <f t="shared" si="15"/>
        <v>22792553</v>
      </c>
      <c r="R235" s="599">
        <v>22792553</v>
      </c>
      <c r="S235" s="1096">
        <f t="shared" si="18"/>
        <v>23</v>
      </c>
      <c r="T235" s="599">
        <f t="shared" si="18"/>
        <v>23</v>
      </c>
      <c r="U235" s="620"/>
      <c r="V235" s="621"/>
      <c r="W235" s="1096">
        <f t="shared" si="19"/>
        <v>22792553</v>
      </c>
      <c r="X235" s="882">
        <f t="shared" si="16"/>
        <v>23</v>
      </c>
      <c r="Y235" s="910">
        <f t="shared" si="17"/>
        <v>0</v>
      </c>
    </row>
    <row r="236" spans="1:25" ht="27" customHeight="1">
      <c r="A236" s="583"/>
      <c r="B236" s="583">
        <v>406</v>
      </c>
      <c r="C236" s="581">
        <v>4</v>
      </c>
      <c r="D236" s="1137" t="s">
        <v>1246</v>
      </c>
      <c r="E236" s="1138" t="s">
        <v>1245</v>
      </c>
      <c r="F236" s="599">
        <v>42771997</v>
      </c>
      <c r="G236" s="599"/>
      <c r="H236" s="599"/>
      <c r="I236" s="599"/>
      <c r="J236" s="599"/>
      <c r="K236" s="599"/>
      <c r="L236" s="599"/>
      <c r="M236" s="599"/>
      <c r="N236" s="599"/>
      <c r="O236" s="599"/>
      <c r="P236" s="599"/>
      <c r="Q236" s="1096">
        <f t="shared" si="15"/>
        <v>42771997</v>
      </c>
      <c r="R236" s="599">
        <v>42771997</v>
      </c>
      <c r="S236" s="1096">
        <f t="shared" si="18"/>
        <v>43</v>
      </c>
      <c r="T236" s="599">
        <f t="shared" si="18"/>
        <v>43</v>
      </c>
      <c r="U236" s="620"/>
      <c r="V236" s="621"/>
      <c r="W236" s="1096">
        <f t="shared" si="19"/>
        <v>42771997</v>
      </c>
      <c r="X236" s="882">
        <f t="shared" si="16"/>
        <v>43</v>
      </c>
      <c r="Y236" s="910">
        <f t="shared" si="17"/>
        <v>0</v>
      </c>
    </row>
    <row r="237" spans="1:25" ht="27" customHeight="1">
      <c r="A237" s="583"/>
      <c r="B237" s="583">
        <v>1001</v>
      </c>
      <c r="C237" s="581">
        <v>10</v>
      </c>
      <c r="D237" s="1137" t="s">
        <v>491</v>
      </c>
      <c r="E237" s="1138" t="s">
        <v>659</v>
      </c>
      <c r="F237" s="599"/>
      <c r="G237" s="599"/>
      <c r="H237" s="599"/>
      <c r="I237" s="599"/>
      <c r="J237" s="599"/>
      <c r="K237" s="599"/>
      <c r="L237" s="599"/>
      <c r="M237" s="599"/>
      <c r="N237" s="599"/>
      <c r="O237" s="599"/>
      <c r="P237" s="599"/>
      <c r="Q237" s="1096">
        <f t="shared" si="15"/>
        <v>0</v>
      </c>
      <c r="R237" s="599">
        <v>-6530116</v>
      </c>
      <c r="S237" s="1096">
        <f>ROUND((Q237/1000000),0)</f>
        <v>0</v>
      </c>
      <c r="T237" s="599">
        <f t="shared" si="18"/>
        <v>-7</v>
      </c>
      <c r="U237" s="620"/>
      <c r="V237" s="621"/>
      <c r="W237" s="1096">
        <f t="shared" si="19"/>
        <v>0</v>
      </c>
      <c r="X237" s="882">
        <f t="shared" si="16"/>
        <v>0</v>
      </c>
      <c r="Y237" s="910">
        <f t="shared" si="17"/>
        <v>0</v>
      </c>
    </row>
    <row r="238" spans="1:25" ht="27" customHeight="1">
      <c r="A238" s="583"/>
      <c r="B238" s="1203">
        <v>406</v>
      </c>
      <c r="C238" s="1131">
        <v>4</v>
      </c>
      <c r="D238" s="1137" t="s">
        <v>1033</v>
      </c>
      <c r="E238" s="1138" t="s">
        <v>1034</v>
      </c>
      <c r="F238" s="599">
        <v>102015203</v>
      </c>
      <c r="G238" s="599"/>
      <c r="H238" s="599"/>
      <c r="I238" s="599"/>
      <c r="J238" s="599"/>
      <c r="K238" s="599"/>
      <c r="L238" s="599"/>
      <c r="M238" s="599"/>
      <c r="N238" s="599"/>
      <c r="O238" s="599"/>
      <c r="P238" s="599"/>
      <c r="Q238" s="1096">
        <f t="shared" si="15"/>
        <v>102015203</v>
      </c>
      <c r="R238" s="599">
        <v>-264407917</v>
      </c>
      <c r="S238" s="1096">
        <f t="shared" si="18"/>
        <v>102</v>
      </c>
      <c r="T238" s="599">
        <f t="shared" si="18"/>
        <v>-264</v>
      </c>
      <c r="U238" s="620"/>
      <c r="V238" s="621"/>
      <c r="W238" s="1096">
        <f t="shared" si="19"/>
        <v>102015203</v>
      </c>
      <c r="X238" s="882">
        <f t="shared" si="16"/>
        <v>102</v>
      </c>
      <c r="Y238" s="910">
        <f t="shared" si="17"/>
        <v>0</v>
      </c>
    </row>
    <row r="239" spans="1:25" ht="27" customHeight="1">
      <c r="A239" s="583"/>
      <c r="B239" s="583">
        <v>406</v>
      </c>
      <c r="C239" s="581">
        <v>4</v>
      </c>
      <c r="D239" s="1137" t="s">
        <v>660</v>
      </c>
      <c r="E239" s="1138" t="s">
        <v>661</v>
      </c>
      <c r="F239" s="599">
        <v>86400321</v>
      </c>
      <c r="G239" s="599"/>
      <c r="H239" s="599"/>
      <c r="I239" s="599"/>
      <c r="J239" s="599">
        <v>-52609873</v>
      </c>
      <c r="K239" s="599"/>
      <c r="L239" s="599"/>
      <c r="M239" s="599"/>
      <c r="N239" s="599"/>
      <c r="O239" s="599"/>
      <c r="P239" s="599"/>
      <c r="Q239" s="1096">
        <f t="shared" si="15"/>
        <v>33790448</v>
      </c>
      <c r="R239" s="599">
        <v>146589097</v>
      </c>
      <c r="S239" s="1096">
        <f t="shared" si="18"/>
        <v>34</v>
      </c>
      <c r="T239" s="599">
        <f t="shared" si="18"/>
        <v>147</v>
      </c>
      <c r="U239" s="620"/>
      <c r="V239" s="621"/>
      <c r="W239" s="1096">
        <f t="shared" si="19"/>
        <v>33790448</v>
      </c>
      <c r="X239" s="882">
        <f t="shared" si="16"/>
        <v>34</v>
      </c>
      <c r="Y239" s="910">
        <f t="shared" si="17"/>
        <v>0</v>
      </c>
    </row>
    <row r="240" spans="1:25" ht="27" customHeight="1">
      <c r="A240" s="583"/>
      <c r="B240" s="583">
        <v>1001</v>
      </c>
      <c r="C240" s="581">
        <v>10</v>
      </c>
      <c r="D240" s="1137" t="s">
        <v>1740</v>
      </c>
      <c r="E240" s="1138" t="s">
        <v>1739</v>
      </c>
      <c r="F240" s="599">
        <v>-801811985</v>
      </c>
      <c r="G240" s="599"/>
      <c r="H240" s="599">
        <v>-2774678</v>
      </c>
      <c r="I240" s="599"/>
      <c r="J240" s="599"/>
      <c r="K240" s="599"/>
      <c r="L240" s="599"/>
      <c r="M240" s="599"/>
      <c r="N240" s="599"/>
      <c r="O240" s="599"/>
      <c r="P240" s="599"/>
      <c r="Q240" s="1096">
        <f>SUM(F240:P240)</f>
        <v>-804586663</v>
      </c>
      <c r="R240" s="599">
        <v>0</v>
      </c>
      <c r="S240" s="1096">
        <f t="shared" si="18"/>
        <v>-805</v>
      </c>
      <c r="T240" s="599">
        <f t="shared" si="18"/>
        <v>0</v>
      </c>
      <c r="U240" s="620"/>
      <c r="V240" s="621"/>
      <c r="W240" s="1096">
        <f t="shared" si="19"/>
        <v>-804586663</v>
      </c>
      <c r="X240" s="882">
        <f t="shared" si="16"/>
        <v>-805</v>
      </c>
      <c r="Y240" s="910">
        <f t="shared" si="17"/>
        <v>0</v>
      </c>
    </row>
    <row r="241" spans="1:25" ht="27" customHeight="1">
      <c r="A241" s="583"/>
      <c r="B241" s="583">
        <v>1001</v>
      </c>
      <c r="C241" s="581">
        <v>10</v>
      </c>
      <c r="D241" s="1137" t="s">
        <v>888</v>
      </c>
      <c r="E241" s="1138" t="s">
        <v>887</v>
      </c>
      <c r="F241" s="599"/>
      <c r="G241" s="599"/>
      <c r="H241" s="599"/>
      <c r="I241" s="599"/>
      <c r="J241" s="599"/>
      <c r="K241" s="599"/>
      <c r="L241" s="599"/>
      <c r="M241" s="599"/>
      <c r="N241" s="599"/>
      <c r="O241" s="599"/>
      <c r="P241" s="599"/>
      <c r="Q241" s="1096">
        <f t="shared" si="15"/>
        <v>0</v>
      </c>
      <c r="R241" s="599">
        <v>0</v>
      </c>
      <c r="S241" s="1096">
        <f t="shared" si="18"/>
        <v>0</v>
      </c>
      <c r="T241" s="599">
        <f t="shared" si="18"/>
        <v>0</v>
      </c>
      <c r="U241" s="620"/>
      <c r="V241" s="621"/>
      <c r="W241" s="1096">
        <f t="shared" si="19"/>
        <v>0</v>
      </c>
      <c r="X241" s="882">
        <f t="shared" si="16"/>
        <v>0</v>
      </c>
      <c r="Y241" s="910">
        <f t="shared" si="17"/>
        <v>0</v>
      </c>
    </row>
    <row r="242" spans="1:25" ht="27" customHeight="1">
      <c r="A242" s="583"/>
      <c r="B242" s="583">
        <v>406</v>
      </c>
      <c r="C242" s="581">
        <v>4</v>
      </c>
      <c r="D242" s="1137" t="s">
        <v>493</v>
      </c>
      <c r="E242" s="1138" t="s">
        <v>891</v>
      </c>
      <c r="F242" s="599"/>
      <c r="G242" s="599"/>
      <c r="H242" s="599"/>
      <c r="I242" s="599"/>
      <c r="J242" s="599"/>
      <c r="K242" s="599"/>
      <c r="L242" s="599"/>
      <c r="M242" s="599"/>
      <c r="N242" s="599"/>
      <c r="O242" s="599"/>
      <c r="P242" s="599"/>
      <c r="Q242" s="1096">
        <f t="shared" si="15"/>
        <v>0</v>
      </c>
      <c r="R242" s="599">
        <v>0</v>
      </c>
      <c r="S242" s="1096">
        <f t="shared" si="18"/>
        <v>0</v>
      </c>
      <c r="T242" s="599">
        <f t="shared" si="18"/>
        <v>0</v>
      </c>
      <c r="U242" s="620"/>
      <c r="V242" s="621"/>
      <c r="W242" s="1096">
        <f t="shared" si="19"/>
        <v>0</v>
      </c>
      <c r="X242" s="882">
        <f t="shared" si="16"/>
        <v>0</v>
      </c>
      <c r="Y242" s="910">
        <f t="shared" si="17"/>
        <v>0</v>
      </c>
    </row>
    <row r="243" spans="1:25" ht="27" customHeight="1">
      <c r="A243" s="583"/>
      <c r="B243" s="583"/>
      <c r="C243" s="581">
        <v>4</v>
      </c>
      <c r="D243" s="1137" t="s">
        <v>842</v>
      </c>
      <c r="E243" s="1138" t="s">
        <v>1247</v>
      </c>
      <c r="F243" s="599"/>
      <c r="G243" s="599"/>
      <c r="H243" s="599"/>
      <c r="I243" s="599"/>
      <c r="J243" s="599"/>
      <c r="K243" s="599"/>
      <c r="L243" s="599"/>
      <c r="M243" s="599"/>
      <c r="N243" s="599"/>
      <c r="O243" s="599"/>
      <c r="P243" s="599"/>
      <c r="Q243" s="1096">
        <f t="shared" si="15"/>
        <v>0</v>
      </c>
      <c r="R243" s="599">
        <v>0</v>
      </c>
      <c r="S243" s="1096">
        <f t="shared" si="18"/>
        <v>0</v>
      </c>
      <c r="T243" s="599">
        <f t="shared" si="18"/>
        <v>0</v>
      </c>
      <c r="U243" s="620"/>
      <c r="V243" s="621"/>
      <c r="W243" s="1096">
        <f t="shared" si="19"/>
        <v>0</v>
      </c>
      <c r="X243" s="882">
        <f t="shared" si="16"/>
        <v>0</v>
      </c>
      <c r="Y243" s="910">
        <f t="shared" si="17"/>
        <v>0</v>
      </c>
    </row>
    <row r="244" spans="1:25" ht="27" customHeight="1">
      <c r="A244" s="583"/>
      <c r="B244" s="583">
        <v>406</v>
      </c>
      <c r="C244" s="581">
        <v>4</v>
      </c>
      <c r="D244" s="1137" t="s">
        <v>843</v>
      </c>
      <c r="E244" s="1138" t="s">
        <v>889</v>
      </c>
      <c r="F244" s="599"/>
      <c r="G244" s="599"/>
      <c r="H244" s="599"/>
      <c r="I244" s="599"/>
      <c r="J244" s="599"/>
      <c r="K244" s="599"/>
      <c r="L244" s="599"/>
      <c r="M244" s="599"/>
      <c r="N244" s="599"/>
      <c r="O244" s="599"/>
      <c r="P244" s="599"/>
      <c r="Q244" s="1096">
        <f t="shared" si="15"/>
        <v>0</v>
      </c>
      <c r="R244" s="599">
        <v>0</v>
      </c>
      <c r="S244" s="1096">
        <f t="shared" si="18"/>
        <v>0</v>
      </c>
      <c r="T244" s="599">
        <f t="shared" si="18"/>
        <v>0</v>
      </c>
      <c r="U244" s="620"/>
      <c r="V244" s="621"/>
      <c r="W244" s="1096">
        <f t="shared" si="19"/>
        <v>0</v>
      </c>
      <c r="X244" s="882">
        <f t="shared" si="16"/>
        <v>0</v>
      </c>
      <c r="Y244" s="910">
        <f t="shared" si="17"/>
        <v>0</v>
      </c>
    </row>
    <row r="245" spans="1:25" ht="27" customHeight="1">
      <c r="A245" s="583"/>
      <c r="B245" s="583">
        <v>406</v>
      </c>
      <c r="C245" s="581">
        <v>4</v>
      </c>
      <c r="D245" s="1137" t="s">
        <v>1078</v>
      </c>
      <c r="E245" s="1138" t="s">
        <v>1079</v>
      </c>
      <c r="F245" s="599"/>
      <c r="G245" s="599"/>
      <c r="H245" s="599"/>
      <c r="I245" s="599"/>
      <c r="J245" s="599"/>
      <c r="K245" s="599"/>
      <c r="L245" s="599"/>
      <c r="M245" s="599"/>
      <c r="N245" s="599"/>
      <c r="O245" s="599"/>
      <c r="P245" s="599"/>
      <c r="Q245" s="1096">
        <f t="shared" si="15"/>
        <v>0</v>
      </c>
      <c r="R245" s="599">
        <v>0</v>
      </c>
      <c r="S245" s="1096">
        <f t="shared" si="18"/>
        <v>0</v>
      </c>
      <c r="T245" s="599">
        <f t="shared" si="18"/>
        <v>0</v>
      </c>
      <c r="U245" s="620"/>
      <c r="V245" s="621"/>
      <c r="W245" s="1096">
        <f t="shared" si="19"/>
        <v>0</v>
      </c>
      <c r="X245" s="882">
        <f t="shared" si="16"/>
        <v>0</v>
      </c>
      <c r="Y245" s="910">
        <f t="shared" si="17"/>
        <v>0</v>
      </c>
    </row>
    <row r="246" spans="1:25" ht="27" customHeight="1">
      <c r="A246" s="583"/>
      <c r="B246" s="583">
        <v>1001</v>
      </c>
      <c r="C246" s="581">
        <v>10</v>
      </c>
      <c r="D246" s="1137" t="s">
        <v>1671</v>
      </c>
      <c r="E246" s="1138" t="s">
        <v>1672</v>
      </c>
      <c r="F246" s="599">
        <v>-113265040</v>
      </c>
      <c r="G246" s="599"/>
      <c r="H246" s="599"/>
      <c r="I246" s="599"/>
      <c r="J246" s="599"/>
      <c r="K246" s="599"/>
      <c r="L246" s="599"/>
      <c r="M246" s="599"/>
      <c r="N246" s="599"/>
      <c r="O246" s="599"/>
      <c r="P246" s="599"/>
      <c r="Q246" s="1096">
        <f t="shared" si="15"/>
        <v>-113265040</v>
      </c>
      <c r="R246" s="599">
        <v>-113265040</v>
      </c>
      <c r="S246" s="1096">
        <f t="shared" si="18"/>
        <v>-113</v>
      </c>
      <c r="T246" s="599">
        <f t="shared" si="18"/>
        <v>-113</v>
      </c>
      <c r="U246" s="620"/>
      <c r="V246" s="621"/>
      <c r="W246" s="1096">
        <f t="shared" si="19"/>
        <v>-113265040</v>
      </c>
      <c r="X246" s="882">
        <f t="shared" si="16"/>
        <v>-113</v>
      </c>
      <c r="Y246" s="910">
        <f t="shared" si="17"/>
        <v>0</v>
      </c>
    </row>
    <row r="247" spans="1:25" ht="27" customHeight="1">
      <c r="A247" s="583"/>
      <c r="B247" s="583">
        <v>406</v>
      </c>
      <c r="C247" s="581">
        <v>4</v>
      </c>
      <c r="D247" s="1137" t="s">
        <v>1080</v>
      </c>
      <c r="E247" s="1138" t="s">
        <v>1081</v>
      </c>
      <c r="F247" s="599"/>
      <c r="G247" s="599"/>
      <c r="H247" s="599"/>
      <c r="I247" s="599"/>
      <c r="J247" s="599"/>
      <c r="K247" s="599"/>
      <c r="L247" s="599"/>
      <c r="M247" s="599"/>
      <c r="N247" s="599"/>
      <c r="O247" s="599"/>
      <c r="P247" s="599"/>
      <c r="Q247" s="1096">
        <f t="shared" si="15"/>
        <v>0</v>
      </c>
      <c r="R247" s="599">
        <v>0</v>
      </c>
      <c r="S247" s="1096">
        <f t="shared" si="18"/>
        <v>0</v>
      </c>
      <c r="T247" s="599">
        <f t="shared" si="18"/>
        <v>0</v>
      </c>
      <c r="U247" s="620"/>
      <c r="V247" s="621"/>
      <c r="W247" s="1096">
        <f t="shared" si="19"/>
        <v>0</v>
      </c>
      <c r="X247" s="882">
        <f t="shared" si="16"/>
        <v>0</v>
      </c>
      <c r="Y247" s="910">
        <f t="shared" si="17"/>
        <v>0</v>
      </c>
    </row>
    <row r="248" spans="1:25" ht="27" customHeight="1">
      <c r="A248" s="583"/>
      <c r="B248" s="583">
        <v>406</v>
      </c>
      <c r="C248" s="581">
        <v>4</v>
      </c>
      <c r="D248" s="1137" t="s">
        <v>560</v>
      </c>
      <c r="E248" s="1138" t="s">
        <v>1181</v>
      </c>
      <c r="F248" s="599">
        <v>1</v>
      </c>
      <c r="G248" s="599"/>
      <c r="H248" s="599"/>
      <c r="I248" s="599"/>
      <c r="J248" s="599"/>
      <c r="K248" s="599"/>
      <c r="L248" s="599"/>
      <c r="M248" s="599"/>
      <c r="N248" s="599"/>
      <c r="O248" s="599"/>
      <c r="P248" s="599"/>
      <c r="Q248" s="1096">
        <f t="shared" si="15"/>
        <v>1</v>
      </c>
      <c r="R248" s="599">
        <v>1338356479</v>
      </c>
      <c r="S248" s="1096">
        <f t="shared" si="18"/>
        <v>0</v>
      </c>
      <c r="T248" s="599">
        <f t="shared" si="18"/>
        <v>1338</v>
      </c>
      <c r="U248" s="620"/>
      <c r="V248" s="621"/>
      <c r="W248" s="1096">
        <f t="shared" si="19"/>
        <v>1</v>
      </c>
      <c r="X248" s="882">
        <f t="shared" si="16"/>
        <v>0</v>
      </c>
      <c r="Y248" s="910">
        <f t="shared" si="17"/>
        <v>0</v>
      </c>
    </row>
    <row r="249" spans="1:25" ht="27" customHeight="1">
      <c r="A249" s="583"/>
      <c r="B249" s="583">
        <v>406</v>
      </c>
      <c r="C249" s="581">
        <v>4</v>
      </c>
      <c r="D249" s="1137" t="s">
        <v>1248</v>
      </c>
      <c r="E249" s="1138" t="s">
        <v>1249</v>
      </c>
      <c r="F249" s="599"/>
      <c r="G249" s="599"/>
      <c r="H249" s="599"/>
      <c r="I249" s="599"/>
      <c r="J249" s="599"/>
      <c r="K249" s="599"/>
      <c r="L249" s="599"/>
      <c r="M249" s="599"/>
      <c r="N249" s="599"/>
      <c r="O249" s="599"/>
      <c r="P249" s="599"/>
      <c r="Q249" s="1096">
        <f t="shared" si="15"/>
        <v>0</v>
      </c>
      <c r="R249" s="599">
        <v>0</v>
      </c>
      <c r="S249" s="1096">
        <f t="shared" si="18"/>
        <v>0</v>
      </c>
      <c r="T249" s="599">
        <f t="shared" si="18"/>
        <v>0</v>
      </c>
      <c r="U249" s="620"/>
      <c r="V249" s="621"/>
      <c r="W249" s="1096">
        <f t="shared" si="19"/>
        <v>0</v>
      </c>
      <c r="X249" s="882">
        <f t="shared" si="16"/>
        <v>0</v>
      </c>
      <c r="Y249" s="910">
        <f t="shared" si="17"/>
        <v>0</v>
      </c>
    </row>
    <row r="250" spans="1:25" ht="27" customHeight="1">
      <c r="A250" s="583"/>
      <c r="B250" s="583">
        <v>406</v>
      </c>
      <c r="C250" s="581">
        <v>4</v>
      </c>
      <c r="D250" s="1137" t="s">
        <v>662</v>
      </c>
      <c r="E250" s="1138" t="s">
        <v>989</v>
      </c>
      <c r="F250" s="599">
        <v>19791520043</v>
      </c>
      <c r="G250" s="599">
        <v>-41183814</v>
      </c>
      <c r="H250" s="599"/>
      <c r="I250" s="599"/>
      <c r="J250" s="599"/>
      <c r="K250" s="599"/>
      <c r="L250" s="599"/>
      <c r="M250" s="599"/>
      <c r="N250" s="599"/>
      <c r="O250" s="599"/>
      <c r="P250" s="599"/>
      <c r="Q250" s="1096">
        <f t="shared" si="15"/>
        <v>19750336229</v>
      </c>
      <c r="R250" s="599">
        <v>13235741789</v>
      </c>
      <c r="S250" s="1096">
        <f>ROUND((Q250/1000000),0)</f>
        <v>19750</v>
      </c>
      <c r="T250" s="599">
        <f t="shared" si="18"/>
        <v>13236</v>
      </c>
      <c r="U250" s="620"/>
      <c r="V250" s="621"/>
      <c r="W250" s="1096">
        <f t="shared" si="19"/>
        <v>19750336229</v>
      </c>
      <c r="X250" s="882">
        <f t="shared" si="16"/>
        <v>19750</v>
      </c>
      <c r="Y250" s="910">
        <f t="shared" si="17"/>
        <v>0</v>
      </c>
    </row>
    <row r="251" spans="1:25" ht="27" customHeight="1">
      <c r="A251" s="583"/>
      <c r="B251" s="583">
        <v>1018</v>
      </c>
      <c r="C251" s="581">
        <v>10</v>
      </c>
      <c r="D251" s="1137" t="s">
        <v>890</v>
      </c>
      <c r="E251" s="1138" t="s">
        <v>892</v>
      </c>
      <c r="F251" s="599"/>
      <c r="G251" s="599"/>
      <c r="H251" s="599"/>
      <c r="I251" s="599"/>
      <c r="J251" s="599"/>
      <c r="K251" s="599"/>
      <c r="L251" s="599"/>
      <c r="M251" s="599"/>
      <c r="N251" s="599"/>
      <c r="O251" s="599"/>
      <c r="P251" s="599"/>
      <c r="Q251" s="1096">
        <f t="shared" si="15"/>
        <v>0</v>
      </c>
      <c r="R251" s="599">
        <v>0</v>
      </c>
      <c r="S251" s="1096">
        <f t="shared" si="18"/>
        <v>0</v>
      </c>
      <c r="T251" s="599">
        <f t="shared" si="18"/>
        <v>0</v>
      </c>
      <c r="U251" s="620"/>
      <c r="V251" s="621"/>
      <c r="W251" s="1096">
        <f t="shared" si="19"/>
        <v>0</v>
      </c>
      <c r="X251" s="882">
        <f t="shared" si="16"/>
        <v>0</v>
      </c>
      <c r="Y251" s="910">
        <f t="shared" si="17"/>
        <v>0</v>
      </c>
    </row>
    <row r="252" spans="1:25" ht="27" customHeight="1">
      <c r="A252" s="583"/>
      <c r="B252" s="583">
        <v>1001</v>
      </c>
      <c r="C252" s="581">
        <v>10</v>
      </c>
      <c r="D252" s="1137" t="s">
        <v>116</v>
      </c>
      <c r="E252" s="1138" t="s">
        <v>1268</v>
      </c>
      <c r="F252" s="599">
        <v>-6000000</v>
      </c>
      <c r="G252" s="599"/>
      <c r="H252" s="599"/>
      <c r="I252" s="599"/>
      <c r="J252" s="599">
        <v>6000000</v>
      </c>
      <c r="K252" s="599"/>
      <c r="L252" s="599"/>
      <c r="M252" s="599"/>
      <c r="N252" s="599"/>
      <c r="O252" s="599"/>
      <c r="P252" s="599"/>
      <c r="Q252" s="1096">
        <f t="shared" si="15"/>
        <v>0</v>
      </c>
      <c r="R252" s="599">
        <v>0</v>
      </c>
      <c r="S252" s="1096">
        <f t="shared" si="18"/>
        <v>0</v>
      </c>
      <c r="T252" s="599">
        <f t="shared" si="18"/>
        <v>0</v>
      </c>
      <c r="U252" s="620"/>
      <c r="V252" s="621"/>
      <c r="W252" s="1096">
        <f t="shared" si="19"/>
        <v>0</v>
      </c>
      <c r="X252" s="882">
        <f t="shared" si="16"/>
        <v>0</v>
      </c>
      <c r="Y252" s="910">
        <f t="shared" si="17"/>
        <v>0</v>
      </c>
    </row>
    <row r="253" spans="1:25" ht="27" customHeight="1">
      <c r="A253" s="583"/>
      <c r="B253" s="583">
        <v>1001</v>
      </c>
      <c r="C253" s="581">
        <v>10</v>
      </c>
      <c r="D253" s="1137" t="s">
        <v>485</v>
      </c>
      <c r="E253" s="1138" t="s">
        <v>899</v>
      </c>
      <c r="F253" s="599">
        <v>-161817735</v>
      </c>
      <c r="G253" s="599"/>
      <c r="H253" s="599"/>
      <c r="I253" s="599"/>
      <c r="J253" s="599">
        <v>163347529</v>
      </c>
      <c r="K253" s="599"/>
      <c r="L253" s="599"/>
      <c r="M253" s="599"/>
      <c r="N253" s="599"/>
      <c r="O253" s="599"/>
      <c r="P253" s="599"/>
      <c r="Q253" s="1096">
        <f t="shared" si="15"/>
        <v>1529794</v>
      </c>
      <c r="R253" s="599">
        <v>0</v>
      </c>
      <c r="S253" s="1096">
        <f t="shared" si="18"/>
        <v>2</v>
      </c>
      <c r="T253" s="599">
        <f t="shared" si="18"/>
        <v>0</v>
      </c>
      <c r="U253" s="620"/>
      <c r="V253" s="621"/>
      <c r="W253" s="1096">
        <f t="shared" si="19"/>
        <v>1529794</v>
      </c>
      <c r="X253" s="882">
        <f t="shared" si="16"/>
        <v>2</v>
      </c>
      <c r="Y253" s="910">
        <f t="shared" si="17"/>
        <v>0</v>
      </c>
    </row>
    <row r="254" spans="1:25" ht="27" customHeight="1">
      <c r="A254" s="583"/>
      <c r="B254" s="583">
        <v>1001</v>
      </c>
      <c r="C254" s="581">
        <v>10</v>
      </c>
      <c r="D254" s="1137" t="s">
        <v>485</v>
      </c>
      <c r="E254" s="1138" t="s">
        <v>899</v>
      </c>
      <c r="F254" s="599"/>
      <c r="G254" s="599"/>
      <c r="H254" s="599"/>
      <c r="I254" s="599"/>
      <c r="J254" s="599"/>
      <c r="K254" s="599"/>
      <c r="L254" s="599"/>
      <c r="M254" s="599"/>
      <c r="N254" s="599"/>
      <c r="O254" s="599"/>
      <c r="P254" s="599"/>
      <c r="Q254" s="1096">
        <f t="shared" si="15"/>
        <v>0</v>
      </c>
      <c r="R254" s="599">
        <v>0</v>
      </c>
      <c r="S254" s="1096">
        <f t="shared" si="18"/>
        <v>0</v>
      </c>
      <c r="T254" s="599">
        <f t="shared" si="18"/>
        <v>0</v>
      </c>
      <c r="U254" s="620"/>
      <c r="V254" s="621"/>
      <c r="W254" s="1096">
        <f t="shared" si="19"/>
        <v>0</v>
      </c>
      <c r="X254" s="882">
        <f t="shared" si="16"/>
        <v>0</v>
      </c>
      <c r="Y254" s="910">
        <f t="shared" si="17"/>
        <v>0</v>
      </c>
    </row>
    <row r="255" spans="1:25" ht="27" customHeight="1">
      <c r="A255" s="583"/>
      <c r="B255" s="583">
        <v>1018</v>
      </c>
      <c r="C255" s="581">
        <v>10</v>
      </c>
      <c r="D255" s="1137" t="s">
        <v>846</v>
      </c>
      <c r="E255" s="1138" t="s">
        <v>900</v>
      </c>
      <c r="F255" s="599">
        <v>67373634</v>
      </c>
      <c r="G255" s="599"/>
      <c r="H255" s="599">
        <v>240000</v>
      </c>
      <c r="I255" s="599"/>
      <c r="J255" s="599"/>
      <c r="K255" s="599"/>
      <c r="L255" s="599"/>
      <c r="M255" s="599"/>
      <c r="N255" s="599"/>
      <c r="O255" s="599"/>
      <c r="P255" s="599"/>
      <c r="Q255" s="1096">
        <f t="shared" si="15"/>
        <v>67613634</v>
      </c>
      <c r="R255" s="599">
        <v>0</v>
      </c>
      <c r="S255" s="1096">
        <f t="shared" si="18"/>
        <v>68</v>
      </c>
      <c r="T255" s="599">
        <f t="shared" si="18"/>
        <v>0</v>
      </c>
      <c r="U255" s="620"/>
      <c r="V255" s="621"/>
      <c r="W255" s="1096">
        <f t="shared" si="19"/>
        <v>67613634</v>
      </c>
      <c r="X255" s="882">
        <f t="shared" si="16"/>
        <v>68</v>
      </c>
      <c r="Y255" s="910">
        <f t="shared" si="17"/>
        <v>0</v>
      </c>
    </row>
    <row r="256" spans="1:25" ht="27" customHeight="1">
      <c r="A256" s="583"/>
      <c r="B256" s="583">
        <v>1018</v>
      </c>
      <c r="C256" s="581">
        <v>10</v>
      </c>
      <c r="D256" s="1137" t="s">
        <v>893</v>
      </c>
      <c r="E256" s="1138" t="s">
        <v>1182</v>
      </c>
      <c r="F256" s="599">
        <v>-14766199</v>
      </c>
      <c r="G256" s="599"/>
      <c r="H256" s="599"/>
      <c r="I256" s="599"/>
      <c r="J256" s="599">
        <v>450000</v>
      </c>
      <c r="K256" s="599"/>
      <c r="L256" s="599"/>
      <c r="M256" s="599"/>
      <c r="N256" s="599"/>
      <c r="O256" s="599"/>
      <c r="P256" s="599"/>
      <c r="Q256" s="1096">
        <f t="shared" si="15"/>
        <v>-14316199</v>
      </c>
      <c r="R256" s="599">
        <v>-11796199</v>
      </c>
      <c r="S256" s="1096">
        <f t="shared" si="18"/>
        <v>-14</v>
      </c>
      <c r="T256" s="599">
        <f t="shared" si="18"/>
        <v>-12</v>
      </c>
      <c r="U256" s="620"/>
      <c r="V256" s="621"/>
      <c r="W256" s="1096">
        <f t="shared" si="19"/>
        <v>-14316199</v>
      </c>
      <c r="X256" s="882">
        <f t="shared" si="16"/>
        <v>-14</v>
      </c>
      <c r="Y256" s="910">
        <f t="shared" si="17"/>
        <v>0</v>
      </c>
    </row>
    <row r="257" spans="1:25" ht="27" customHeight="1">
      <c r="A257" s="583"/>
      <c r="B257" s="583">
        <v>1018</v>
      </c>
      <c r="C257" s="581">
        <v>10</v>
      </c>
      <c r="D257" s="1137" t="s">
        <v>1183</v>
      </c>
      <c r="E257" s="1138" t="s">
        <v>1184</v>
      </c>
      <c r="F257" s="599">
        <v>-240000</v>
      </c>
      <c r="G257" s="599"/>
      <c r="H257" s="599"/>
      <c r="I257" s="599"/>
      <c r="J257" s="599"/>
      <c r="K257" s="599"/>
      <c r="L257" s="599"/>
      <c r="M257" s="599"/>
      <c r="N257" s="599"/>
      <c r="O257" s="599"/>
      <c r="P257" s="599"/>
      <c r="Q257" s="1096">
        <f t="shared" si="15"/>
        <v>-240000</v>
      </c>
      <c r="R257" s="599">
        <v>0</v>
      </c>
      <c r="S257" s="1096">
        <f t="shared" si="18"/>
        <v>0</v>
      </c>
      <c r="T257" s="599">
        <f t="shared" si="18"/>
        <v>0</v>
      </c>
      <c r="U257" s="620"/>
      <c r="V257" s="621"/>
      <c r="W257" s="1096">
        <f t="shared" si="19"/>
        <v>-240000</v>
      </c>
      <c r="X257" s="882">
        <f t="shared" si="16"/>
        <v>0</v>
      </c>
      <c r="Y257" s="910">
        <f t="shared" si="17"/>
        <v>0</v>
      </c>
    </row>
    <row r="258" spans="1:25" ht="27" customHeight="1">
      <c r="A258" s="583"/>
      <c r="B258" s="583">
        <v>1018</v>
      </c>
      <c r="C258" s="581">
        <v>10</v>
      </c>
      <c r="D258" s="1137" t="s">
        <v>1185</v>
      </c>
      <c r="E258" s="1138" t="s">
        <v>1186</v>
      </c>
      <c r="F258" s="599">
        <v>-6460000</v>
      </c>
      <c r="G258" s="599"/>
      <c r="H258" s="599"/>
      <c r="I258" s="599"/>
      <c r="J258" s="599"/>
      <c r="K258" s="599"/>
      <c r="L258" s="599"/>
      <c r="M258" s="599"/>
      <c r="N258" s="599"/>
      <c r="O258" s="599"/>
      <c r="P258" s="599"/>
      <c r="Q258" s="1096">
        <f t="shared" si="15"/>
        <v>-6460000</v>
      </c>
      <c r="R258" s="599">
        <v>0</v>
      </c>
      <c r="S258" s="1096">
        <f t="shared" si="18"/>
        <v>-6</v>
      </c>
      <c r="T258" s="599">
        <f t="shared" si="18"/>
        <v>0</v>
      </c>
      <c r="U258" s="620"/>
      <c r="V258" s="621"/>
      <c r="W258" s="1096">
        <f t="shared" si="19"/>
        <v>-6460000</v>
      </c>
      <c r="X258" s="882">
        <f t="shared" si="16"/>
        <v>-6</v>
      </c>
      <c r="Y258" s="910">
        <f t="shared" si="17"/>
        <v>0</v>
      </c>
    </row>
    <row r="259" spans="1:25" ht="27" customHeight="1">
      <c r="A259" s="583"/>
      <c r="B259" s="583">
        <v>1018</v>
      </c>
      <c r="C259" s="581">
        <v>10</v>
      </c>
      <c r="D259" s="1137" t="s">
        <v>1187</v>
      </c>
      <c r="E259" s="1138" t="s">
        <v>1188</v>
      </c>
      <c r="F259" s="599">
        <v>330459</v>
      </c>
      <c r="G259" s="599"/>
      <c r="H259" s="599"/>
      <c r="I259" s="599"/>
      <c r="J259" s="599"/>
      <c r="K259" s="599"/>
      <c r="L259" s="599"/>
      <c r="M259" s="599"/>
      <c r="N259" s="599"/>
      <c r="O259" s="599"/>
      <c r="P259" s="599"/>
      <c r="Q259" s="1096">
        <f t="shared" si="15"/>
        <v>330459</v>
      </c>
      <c r="R259" s="599">
        <v>0</v>
      </c>
      <c r="S259" s="1096">
        <f t="shared" si="18"/>
        <v>0</v>
      </c>
      <c r="T259" s="599">
        <f t="shared" si="18"/>
        <v>0</v>
      </c>
      <c r="U259" s="620"/>
      <c r="V259" s="621"/>
      <c r="W259" s="1096">
        <f t="shared" si="19"/>
        <v>330459</v>
      </c>
      <c r="X259" s="882">
        <f t="shared" si="16"/>
        <v>0</v>
      </c>
      <c r="Y259" s="910">
        <f t="shared" si="17"/>
        <v>0</v>
      </c>
    </row>
    <row r="260" spans="1:25" ht="27" customHeight="1">
      <c r="A260" s="583"/>
      <c r="B260" s="583">
        <v>1018</v>
      </c>
      <c r="C260" s="581">
        <v>10</v>
      </c>
      <c r="D260" s="1137" t="s">
        <v>845</v>
      </c>
      <c r="E260" s="1138" t="s">
        <v>1189</v>
      </c>
      <c r="F260" s="599">
        <v>-360000</v>
      </c>
      <c r="G260" s="599"/>
      <c r="H260" s="599"/>
      <c r="I260" s="599"/>
      <c r="J260" s="599">
        <v>360000</v>
      </c>
      <c r="K260" s="599"/>
      <c r="L260" s="599"/>
      <c r="M260" s="599"/>
      <c r="N260" s="599"/>
      <c r="O260" s="599"/>
      <c r="P260" s="599"/>
      <c r="Q260" s="1096">
        <f t="shared" si="15"/>
        <v>0</v>
      </c>
      <c r="R260" s="599">
        <v>0</v>
      </c>
      <c r="S260" s="1096">
        <f t="shared" si="18"/>
        <v>0</v>
      </c>
      <c r="T260" s="599">
        <f t="shared" si="18"/>
        <v>0</v>
      </c>
      <c r="U260" s="620"/>
      <c r="V260" s="621"/>
      <c r="W260" s="1096">
        <f t="shared" si="19"/>
        <v>0</v>
      </c>
      <c r="X260" s="882">
        <f t="shared" si="16"/>
        <v>0</v>
      </c>
      <c r="Y260" s="910">
        <f t="shared" ref="Y260:Y323" si="20">S260-X260</f>
        <v>0</v>
      </c>
    </row>
    <row r="261" spans="1:25" ht="27" customHeight="1">
      <c r="A261" s="583"/>
      <c r="B261" s="583">
        <v>1018</v>
      </c>
      <c r="C261" s="581">
        <v>10</v>
      </c>
      <c r="D261" s="1137" t="s">
        <v>1250</v>
      </c>
      <c r="E261" s="1138" t="s">
        <v>1106</v>
      </c>
      <c r="F261" s="599">
        <v>-600000</v>
      </c>
      <c r="G261" s="599"/>
      <c r="H261" s="599"/>
      <c r="I261" s="599"/>
      <c r="J261" s="599"/>
      <c r="K261" s="599"/>
      <c r="L261" s="599"/>
      <c r="M261" s="599"/>
      <c r="N261" s="599"/>
      <c r="O261" s="599"/>
      <c r="P261" s="599"/>
      <c r="Q261" s="1096">
        <f t="shared" si="15"/>
        <v>-600000</v>
      </c>
      <c r="R261" s="599">
        <v>0</v>
      </c>
      <c r="S261" s="1096">
        <f t="shared" si="18"/>
        <v>-1</v>
      </c>
      <c r="T261" s="599">
        <f t="shared" si="18"/>
        <v>0</v>
      </c>
      <c r="U261" s="620"/>
      <c r="V261" s="621"/>
      <c r="W261" s="1096">
        <f t="shared" si="19"/>
        <v>-600000</v>
      </c>
      <c r="X261" s="882">
        <f t="shared" si="16"/>
        <v>-1</v>
      </c>
      <c r="Y261" s="910">
        <f t="shared" si="20"/>
        <v>0</v>
      </c>
    </row>
    <row r="262" spans="1:25" ht="27" customHeight="1">
      <c r="A262" s="583"/>
      <c r="B262" s="583">
        <v>401</v>
      </c>
      <c r="C262" s="581">
        <v>4</v>
      </c>
      <c r="D262" s="1137" t="s">
        <v>487</v>
      </c>
      <c r="E262" s="1138" t="s">
        <v>663</v>
      </c>
      <c r="F262" s="599"/>
      <c r="G262" s="599"/>
      <c r="H262" s="599"/>
      <c r="I262" s="599"/>
      <c r="J262" s="599"/>
      <c r="K262" s="599"/>
      <c r="L262" s="599"/>
      <c r="M262" s="599"/>
      <c r="N262" s="599"/>
      <c r="O262" s="599"/>
      <c r="P262" s="599"/>
      <c r="Q262" s="1096">
        <f t="shared" si="15"/>
        <v>0</v>
      </c>
      <c r="R262" s="599">
        <v>0</v>
      </c>
      <c r="S262" s="1096">
        <f t="shared" si="18"/>
        <v>0</v>
      </c>
      <c r="T262" s="599">
        <f t="shared" si="18"/>
        <v>0</v>
      </c>
      <c r="U262" s="620"/>
      <c r="V262" s="621"/>
      <c r="W262" s="1096">
        <f t="shared" si="19"/>
        <v>0</v>
      </c>
      <c r="X262" s="882">
        <f t="shared" si="16"/>
        <v>0</v>
      </c>
      <c r="Y262" s="910">
        <f t="shared" si="20"/>
        <v>0</v>
      </c>
    </row>
    <row r="263" spans="1:25" ht="27" customHeight="1">
      <c r="A263" s="583"/>
      <c r="B263" s="583">
        <v>401</v>
      </c>
      <c r="C263" s="581">
        <v>4</v>
      </c>
      <c r="D263" s="1137" t="s">
        <v>847</v>
      </c>
      <c r="E263" s="1138" t="s">
        <v>848</v>
      </c>
      <c r="F263" s="599"/>
      <c r="G263" s="599"/>
      <c r="H263" s="599"/>
      <c r="I263" s="599"/>
      <c r="J263" s="599"/>
      <c r="K263" s="599"/>
      <c r="L263" s="599"/>
      <c r="M263" s="599"/>
      <c r="N263" s="599"/>
      <c r="O263" s="599"/>
      <c r="P263" s="599"/>
      <c r="Q263" s="1096">
        <f t="shared" ref="Q263:Q327" si="21">SUM(F263:P263)</f>
        <v>0</v>
      </c>
      <c r="R263" s="599">
        <v>0</v>
      </c>
      <c r="S263" s="1096">
        <f t="shared" si="18"/>
        <v>0</v>
      </c>
      <c r="T263" s="599">
        <f t="shared" si="18"/>
        <v>0</v>
      </c>
      <c r="U263" s="620"/>
      <c r="V263" s="621"/>
      <c r="W263" s="1096">
        <f t="shared" si="19"/>
        <v>0</v>
      </c>
      <c r="X263" s="882">
        <f t="shared" si="16"/>
        <v>0</v>
      </c>
      <c r="Y263" s="910">
        <f t="shared" si="20"/>
        <v>0</v>
      </c>
    </row>
    <row r="264" spans="1:25" ht="27" customHeight="1">
      <c r="A264" s="583"/>
      <c r="B264" s="583">
        <v>1018</v>
      </c>
      <c r="C264" s="581">
        <v>10</v>
      </c>
      <c r="D264" s="1137" t="s">
        <v>1190</v>
      </c>
      <c r="E264" s="1138" t="s">
        <v>1191</v>
      </c>
      <c r="F264" s="599">
        <v>1400110</v>
      </c>
      <c r="G264" s="599">
        <v>-1420110</v>
      </c>
      <c r="H264" s="599"/>
      <c r="I264" s="599"/>
      <c r="J264" s="599"/>
      <c r="K264" s="599"/>
      <c r="L264" s="599"/>
      <c r="M264" s="599"/>
      <c r="N264" s="599"/>
      <c r="O264" s="599"/>
      <c r="P264" s="599"/>
      <c r="Q264" s="1096">
        <f t="shared" si="21"/>
        <v>-20000</v>
      </c>
      <c r="R264" s="599">
        <v>-335530700</v>
      </c>
      <c r="S264" s="1096">
        <f t="shared" si="18"/>
        <v>0</v>
      </c>
      <c r="T264" s="599">
        <f t="shared" si="18"/>
        <v>-336</v>
      </c>
      <c r="U264" s="620"/>
      <c r="V264" s="621"/>
      <c r="W264" s="1096">
        <f t="shared" si="19"/>
        <v>-20000</v>
      </c>
      <c r="X264" s="882">
        <f t="shared" ref="X264:X328" si="22">ROUND((W264/1000000),0)</f>
        <v>0</v>
      </c>
      <c r="Y264" s="910">
        <f t="shared" si="20"/>
        <v>0</v>
      </c>
    </row>
    <row r="265" spans="1:25" ht="27" customHeight="1">
      <c r="A265" s="583"/>
      <c r="B265" s="583">
        <v>1001</v>
      </c>
      <c r="C265" s="581">
        <v>10</v>
      </c>
      <c r="D265" s="1137" t="s">
        <v>1340</v>
      </c>
      <c r="E265" s="1138" t="s">
        <v>1341</v>
      </c>
      <c r="F265" s="599">
        <v>628028</v>
      </c>
      <c r="G265" s="599"/>
      <c r="H265" s="599">
        <v>495360</v>
      </c>
      <c r="I265" s="599"/>
      <c r="J265" s="599"/>
      <c r="K265" s="599"/>
      <c r="L265" s="599"/>
      <c r="M265" s="599"/>
      <c r="N265" s="599"/>
      <c r="O265" s="599"/>
      <c r="P265" s="599"/>
      <c r="Q265" s="1096">
        <f t="shared" si="21"/>
        <v>1123388</v>
      </c>
      <c r="R265" s="599">
        <v>-10386274</v>
      </c>
      <c r="S265" s="1096">
        <f t="shared" si="18"/>
        <v>1</v>
      </c>
      <c r="T265" s="599">
        <f t="shared" si="18"/>
        <v>-10</v>
      </c>
      <c r="U265" s="620"/>
      <c r="V265" s="621"/>
      <c r="W265" s="1096">
        <f t="shared" si="19"/>
        <v>1123388</v>
      </c>
      <c r="X265" s="882">
        <f t="shared" si="22"/>
        <v>1</v>
      </c>
      <c r="Y265" s="910">
        <f t="shared" si="20"/>
        <v>0</v>
      </c>
    </row>
    <row r="266" spans="1:25" ht="27" customHeight="1">
      <c r="A266" s="583"/>
      <c r="B266" s="583">
        <v>1001</v>
      </c>
      <c r="C266" s="581">
        <v>10</v>
      </c>
      <c r="D266" s="1137" t="s">
        <v>1579</v>
      </c>
      <c r="E266" s="1138" t="s">
        <v>1586</v>
      </c>
      <c r="F266" s="599">
        <v>-214975</v>
      </c>
      <c r="G266" s="599"/>
      <c r="H266" s="599">
        <v>54000</v>
      </c>
      <c r="I266" s="599"/>
      <c r="J266" s="599"/>
      <c r="K266" s="599"/>
      <c r="L266" s="599"/>
      <c r="M266" s="599"/>
      <c r="N266" s="599"/>
      <c r="O266" s="599"/>
      <c r="P266" s="599"/>
      <c r="Q266" s="1096">
        <f t="shared" si="21"/>
        <v>-160975</v>
      </c>
      <c r="R266" s="599">
        <v>-108000</v>
      </c>
      <c r="S266" s="1096">
        <f t="shared" si="18"/>
        <v>0</v>
      </c>
      <c r="T266" s="599">
        <f t="shared" si="18"/>
        <v>0</v>
      </c>
      <c r="U266" s="620"/>
      <c r="V266" s="621"/>
      <c r="W266" s="1096">
        <f t="shared" si="19"/>
        <v>-160975</v>
      </c>
      <c r="X266" s="882">
        <f t="shared" si="22"/>
        <v>0</v>
      </c>
      <c r="Y266" s="910">
        <f t="shared" si="20"/>
        <v>0</v>
      </c>
    </row>
    <row r="267" spans="1:25" ht="27" customHeight="1">
      <c r="A267" s="583"/>
      <c r="B267" s="583">
        <v>1001</v>
      </c>
      <c r="C267" s="581">
        <v>10</v>
      </c>
      <c r="D267" s="1137" t="s">
        <v>1580</v>
      </c>
      <c r="E267" s="1138" t="s">
        <v>1587</v>
      </c>
      <c r="F267" s="599">
        <v>14738</v>
      </c>
      <c r="G267" s="599"/>
      <c r="H267" s="599"/>
      <c r="I267" s="599"/>
      <c r="J267" s="599"/>
      <c r="K267" s="599"/>
      <c r="L267" s="599"/>
      <c r="M267" s="599"/>
      <c r="N267" s="599"/>
      <c r="O267" s="599"/>
      <c r="P267" s="599"/>
      <c r="Q267" s="1096">
        <f t="shared" si="21"/>
        <v>14738</v>
      </c>
      <c r="R267" s="599">
        <v>-660480</v>
      </c>
      <c r="S267" s="1096">
        <f t="shared" si="18"/>
        <v>0</v>
      </c>
      <c r="T267" s="599">
        <f t="shared" si="18"/>
        <v>-1</v>
      </c>
      <c r="U267" s="620"/>
      <c r="V267" s="621"/>
      <c r="W267" s="1096">
        <f t="shared" si="19"/>
        <v>14738</v>
      </c>
      <c r="X267" s="882">
        <f t="shared" si="22"/>
        <v>0</v>
      </c>
      <c r="Y267" s="910">
        <f t="shared" si="20"/>
        <v>0</v>
      </c>
    </row>
    <row r="268" spans="1:25" ht="27" customHeight="1">
      <c r="A268" s="583"/>
      <c r="B268" s="583">
        <v>1001</v>
      </c>
      <c r="C268" s="581">
        <v>10</v>
      </c>
      <c r="D268" s="1137" t="s">
        <v>1581</v>
      </c>
      <c r="E268" s="1138" t="s">
        <v>1588</v>
      </c>
      <c r="F268" s="599">
        <v>-253355</v>
      </c>
      <c r="G268" s="599"/>
      <c r="H268" s="599"/>
      <c r="I268" s="599"/>
      <c r="J268" s="599"/>
      <c r="K268" s="599"/>
      <c r="L268" s="599"/>
      <c r="M268" s="599"/>
      <c r="N268" s="599"/>
      <c r="O268" s="599"/>
      <c r="P268" s="599"/>
      <c r="Q268" s="1096">
        <f t="shared" si="21"/>
        <v>-253355</v>
      </c>
      <c r="R268" s="599">
        <v>-85000</v>
      </c>
      <c r="S268" s="1096">
        <f t="shared" si="18"/>
        <v>0</v>
      </c>
      <c r="T268" s="599">
        <f t="shared" si="18"/>
        <v>0</v>
      </c>
      <c r="U268" s="620"/>
      <c r="V268" s="621"/>
      <c r="W268" s="1096">
        <f t="shared" si="19"/>
        <v>-253355</v>
      </c>
      <c r="X268" s="882">
        <f t="shared" si="22"/>
        <v>0</v>
      </c>
      <c r="Y268" s="910">
        <f t="shared" si="20"/>
        <v>0</v>
      </c>
    </row>
    <row r="269" spans="1:25" ht="27" customHeight="1">
      <c r="A269" s="583"/>
      <c r="B269" s="583">
        <v>1001</v>
      </c>
      <c r="C269" s="581">
        <v>10</v>
      </c>
      <c r="D269" s="1137" t="s">
        <v>1582</v>
      </c>
      <c r="E269" s="1138" t="s">
        <v>1589</v>
      </c>
      <c r="F269" s="599">
        <v>1685087</v>
      </c>
      <c r="G269" s="599"/>
      <c r="H269" s="599"/>
      <c r="I269" s="599"/>
      <c r="J269" s="599"/>
      <c r="K269" s="599"/>
      <c r="L269" s="599"/>
      <c r="M269" s="599"/>
      <c r="N269" s="599"/>
      <c r="O269" s="599"/>
      <c r="P269" s="599"/>
      <c r="Q269" s="1096">
        <f t="shared" si="21"/>
        <v>1685087</v>
      </c>
      <c r="R269" s="599">
        <v>-15579411</v>
      </c>
      <c r="S269" s="1096">
        <f t="shared" si="18"/>
        <v>2</v>
      </c>
      <c r="T269" s="599">
        <f t="shared" si="18"/>
        <v>-16</v>
      </c>
      <c r="U269" s="620"/>
      <c r="V269" s="621"/>
      <c r="W269" s="1096">
        <f t="shared" si="19"/>
        <v>1685087</v>
      </c>
      <c r="X269" s="882">
        <f t="shared" si="22"/>
        <v>2</v>
      </c>
      <c r="Y269" s="910">
        <f t="shared" si="20"/>
        <v>0</v>
      </c>
    </row>
    <row r="270" spans="1:25" ht="27" customHeight="1">
      <c r="A270" s="583"/>
      <c r="B270" s="583">
        <v>1001</v>
      </c>
      <c r="C270" s="581">
        <v>10</v>
      </c>
      <c r="D270" s="1137" t="s">
        <v>1583</v>
      </c>
      <c r="E270" s="1138" t="s">
        <v>1590</v>
      </c>
      <c r="F270" s="599">
        <v>-643869</v>
      </c>
      <c r="G270" s="599"/>
      <c r="H270" s="599"/>
      <c r="I270" s="599"/>
      <c r="J270" s="599"/>
      <c r="K270" s="599"/>
      <c r="L270" s="599"/>
      <c r="M270" s="599"/>
      <c r="N270" s="599"/>
      <c r="O270" s="599"/>
      <c r="P270" s="599"/>
      <c r="Q270" s="1096">
        <f t="shared" si="21"/>
        <v>-643869</v>
      </c>
      <c r="R270" s="599">
        <v>-216000</v>
      </c>
      <c r="S270" s="1096">
        <f t="shared" si="18"/>
        <v>-1</v>
      </c>
      <c r="T270" s="599">
        <f t="shared" si="18"/>
        <v>0</v>
      </c>
      <c r="U270" s="620"/>
      <c r="V270" s="621"/>
      <c r="W270" s="1096">
        <f t="shared" si="19"/>
        <v>-643869</v>
      </c>
      <c r="X270" s="882">
        <f t="shared" si="22"/>
        <v>-1</v>
      </c>
      <c r="Y270" s="910">
        <f t="shared" si="20"/>
        <v>0</v>
      </c>
    </row>
    <row r="271" spans="1:25" ht="27" customHeight="1">
      <c r="A271" s="583"/>
      <c r="B271" s="583">
        <v>1001</v>
      </c>
      <c r="C271" s="581">
        <v>10</v>
      </c>
      <c r="D271" s="1137" t="s">
        <v>1584</v>
      </c>
      <c r="E271" s="1138" t="s">
        <v>1591</v>
      </c>
      <c r="F271" s="599">
        <v>29486</v>
      </c>
      <c r="G271" s="599"/>
      <c r="H271" s="599"/>
      <c r="I271" s="599"/>
      <c r="J271" s="599"/>
      <c r="K271" s="599"/>
      <c r="L271" s="599"/>
      <c r="M271" s="599"/>
      <c r="N271" s="599"/>
      <c r="O271" s="599"/>
      <c r="P271" s="599"/>
      <c r="Q271" s="1096">
        <f t="shared" si="21"/>
        <v>29486</v>
      </c>
      <c r="R271" s="599">
        <v>-1320960</v>
      </c>
      <c r="S271" s="1096">
        <f t="shared" si="18"/>
        <v>0</v>
      </c>
      <c r="T271" s="599">
        <f t="shared" si="18"/>
        <v>-1</v>
      </c>
      <c r="U271" s="620"/>
      <c r="V271" s="621"/>
      <c r="W271" s="1096">
        <f t="shared" si="19"/>
        <v>29486</v>
      </c>
      <c r="X271" s="882">
        <f t="shared" si="22"/>
        <v>0</v>
      </c>
      <c r="Y271" s="910">
        <f t="shared" si="20"/>
        <v>0</v>
      </c>
    </row>
    <row r="272" spans="1:25" ht="27" customHeight="1">
      <c r="A272" s="583"/>
      <c r="B272" s="583">
        <v>1001</v>
      </c>
      <c r="C272" s="581">
        <v>10</v>
      </c>
      <c r="D272" s="1137" t="s">
        <v>1585</v>
      </c>
      <c r="E272" s="1138" t="s">
        <v>1592</v>
      </c>
      <c r="F272" s="599">
        <v>-342789</v>
      </c>
      <c r="G272" s="599"/>
      <c r="H272" s="599"/>
      <c r="I272" s="599"/>
      <c r="J272" s="599"/>
      <c r="K272" s="599"/>
      <c r="L272" s="599"/>
      <c r="M272" s="599"/>
      <c r="N272" s="599"/>
      <c r="O272" s="599"/>
      <c r="P272" s="599"/>
      <c r="Q272" s="1096">
        <f t="shared" si="21"/>
        <v>-342789</v>
      </c>
      <c r="R272" s="599">
        <v>-115000</v>
      </c>
      <c r="S272" s="1096">
        <f t="shared" si="18"/>
        <v>0</v>
      </c>
      <c r="T272" s="599">
        <f t="shared" si="18"/>
        <v>0</v>
      </c>
      <c r="U272" s="620"/>
      <c r="V272" s="621"/>
      <c r="W272" s="1096">
        <f t="shared" si="19"/>
        <v>-342789</v>
      </c>
      <c r="X272" s="882">
        <f t="shared" si="22"/>
        <v>0</v>
      </c>
      <c r="Y272" s="910">
        <f t="shared" si="20"/>
        <v>0</v>
      </c>
    </row>
    <row r="273" spans="1:25" ht="27" customHeight="1">
      <c r="A273" s="583"/>
      <c r="B273" s="583">
        <v>406</v>
      </c>
      <c r="C273" s="581">
        <v>4</v>
      </c>
      <c r="D273" s="1137" t="s">
        <v>1192</v>
      </c>
      <c r="E273" s="1138" t="s">
        <v>1193</v>
      </c>
      <c r="F273" s="599">
        <v>3233832</v>
      </c>
      <c r="G273" s="599"/>
      <c r="H273" s="599"/>
      <c r="I273" s="599"/>
      <c r="J273" s="599"/>
      <c r="K273" s="599"/>
      <c r="L273" s="599"/>
      <c r="M273" s="599"/>
      <c r="N273" s="599"/>
      <c r="O273" s="599"/>
      <c r="P273" s="599"/>
      <c r="Q273" s="1096">
        <f t="shared" si="21"/>
        <v>3233832</v>
      </c>
      <c r="R273" s="599">
        <v>3233832</v>
      </c>
      <c r="S273" s="1096">
        <f t="shared" si="18"/>
        <v>3</v>
      </c>
      <c r="T273" s="599">
        <f t="shared" si="18"/>
        <v>3</v>
      </c>
      <c r="U273" s="620"/>
      <c r="V273" s="621"/>
      <c r="W273" s="1096">
        <f t="shared" si="19"/>
        <v>3233832</v>
      </c>
      <c r="X273" s="882">
        <f t="shared" si="22"/>
        <v>3</v>
      </c>
      <c r="Y273" s="910">
        <f t="shared" si="20"/>
        <v>0</v>
      </c>
    </row>
    <row r="274" spans="1:25" ht="27" customHeight="1">
      <c r="A274" s="583"/>
      <c r="B274" s="583">
        <v>1018</v>
      </c>
      <c r="C274" s="581">
        <v>10</v>
      </c>
      <c r="D274" s="1137" t="s">
        <v>990</v>
      </c>
      <c r="E274" s="1138" t="s">
        <v>991</v>
      </c>
      <c r="F274" s="599"/>
      <c r="G274" s="599"/>
      <c r="H274" s="599"/>
      <c r="I274" s="599"/>
      <c r="J274" s="599"/>
      <c r="K274" s="599"/>
      <c r="L274" s="599"/>
      <c r="M274" s="599"/>
      <c r="N274" s="599"/>
      <c r="O274" s="599"/>
      <c r="P274" s="599"/>
      <c r="Q274" s="1096">
        <f t="shared" si="21"/>
        <v>0</v>
      </c>
      <c r="R274" s="599">
        <v>0</v>
      </c>
      <c r="S274" s="1096">
        <f t="shared" si="18"/>
        <v>0</v>
      </c>
      <c r="T274" s="599">
        <f t="shared" si="18"/>
        <v>0</v>
      </c>
      <c r="U274" s="620"/>
      <c r="V274" s="621"/>
      <c r="W274" s="1096">
        <f t="shared" si="19"/>
        <v>0</v>
      </c>
      <c r="X274" s="882">
        <f t="shared" si="22"/>
        <v>0</v>
      </c>
      <c r="Y274" s="910">
        <f t="shared" si="20"/>
        <v>0</v>
      </c>
    </row>
    <row r="275" spans="1:25" ht="27" customHeight="1">
      <c r="A275" s="583"/>
      <c r="B275" s="583">
        <v>1018</v>
      </c>
      <c r="C275" s="581">
        <v>10</v>
      </c>
      <c r="D275" s="1137" t="s">
        <v>992</v>
      </c>
      <c r="E275" s="1138" t="s">
        <v>993</v>
      </c>
      <c r="F275" s="599">
        <v>-800000</v>
      </c>
      <c r="G275" s="599"/>
      <c r="H275" s="599"/>
      <c r="I275" s="599"/>
      <c r="J275" s="599"/>
      <c r="K275" s="599"/>
      <c r="L275" s="599"/>
      <c r="M275" s="599"/>
      <c r="N275" s="599"/>
      <c r="O275" s="599"/>
      <c r="P275" s="599"/>
      <c r="Q275" s="1096">
        <f t="shared" si="21"/>
        <v>-800000</v>
      </c>
      <c r="R275" s="599">
        <v>0</v>
      </c>
      <c r="S275" s="1096">
        <f t="shared" si="18"/>
        <v>-1</v>
      </c>
      <c r="T275" s="599">
        <f t="shared" si="18"/>
        <v>0</v>
      </c>
      <c r="U275" s="620"/>
      <c r="V275" s="621"/>
      <c r="W275" s="1096">
        <f t="shared" si="19"/>
        <v>-800000</v>
      </c>
      <c r="X275" s="882">
        <f t="shared" si="22"/>
        <v>-1</v>
      </c>
      <c r="Y275" s="910">
        <f t="shared" si="20"/>
        <v>0</v>
      </c>
    </row>
    <row r="276" spans="1:25" ht="27" customHeight="1">
      <c r="A276" s="583"/>
      <c r="B276" s="583">
        <v>1018</v>
      </c>
      <c r="C276" s="581">
        <v>10</v>
      </c>
      <c r="D276" s="1137" t="s">
        <v>277</v>
      </c>
      <c r="E276" s="1138" t="s">
        <v>278</v>
      </c>
      <c r="F276" s="599"/>
      <c r="G276" s="599"/>
      <c r="H276" s="599"/>
      <c r="I276" s="599"/>
      <c r="J276" s="599"/>
      <c r="K276" s="599"/>
      <c r="L276" s="599"/>
      <c r="M276" s="599"/>
      <c r="N276" s="599"/>
      <c r="O276" s="599"/>
      <c r="P276" s="599"/>
      <c r="Q276" s="1096">
        <f t="shared" si="21"/>
        <v>0</v>
      </c>
      <c r="R276" s="599">
        <v>0</v>
      </c>
      <c r="S276" s="1096">
        <f t="shared" si="18"/>
        <v>0</v>
      </c>
      <c r="T276" s="599">
        <f t="shared" si="18"/>
        <v>0</v>
      </c>
      <c r="U276" s="620"/>
      <c r="V276" s="621"/>
      <c r="W276" s="1096">
        <f t="shared" si="19"/>
        <v>0</v>
      </c>
      <c r="X276" s="882">
        <f t="shared" si="22"/>
        <v>0</v>
      </c>
      <c r="Y276" s="910">
        <f t="shared" si="20"/>
        <v>0</v>
      </c>
    </row>
    <row r="277" spans="1:25" ht="27" customHeight="1">
      <c r="A277" s="583"/>
      <c r="B277" s="583">
        <v>1018</v>
      </c>
      <c r="C277" s="581">
        <v>10</v>
      </c>
      <c r="D277" s="1137" t="s">
        <v>994</v>
      </c>
      <c r="E277" s="1138" t="s">
        <v>995</v>
      </c>
      <c r="F277" s="599">
        <v>-200000</v>
      </c>
      <c r="G277" s="599"/>
      <c r="H277" s="599"/>
      <c r="I277" s="599"/>
      <c r="J277" s="599"/>
      <c r="K277" s="599"/>
      <c r="L277" s="599"/>
      <c r="M277" s="599"/>
      <c r="N277" s="599"/>
      <c r="O277" s="599"/>
      <c r="P277" s="599"/>
      <c r="Q277" s="1096">
        <f t="shared" si="21"/>
        <v>-200000</v>
      </c>
      <c r="R277" s="599">
        <v>0</v>
      </c>
      <c r="S277" s="1096">
        <f t="shared" si="18"/>
        <v>0</v>
      </c>
      <c r="T277" s="599">
        <f t="shared" si="18"/>
        <v>0</v>
      </c>
      <c r="U277" s="620"/>
      <c r="V277" s="621"/>
      <c r="W277" s="1096">
        <f t="shared" si="19"/>
        <v>-200000</v>
      </c>
      <c r="X277" s="882">
        <f t="shared" si="22"/>
        <v>0</v>
      </c>
      <c r="Y277" s="910">
        <f t="shared" si="20"/>
        <v>0</v>
      </c>
    </row>
    <row r="278" spans="1:25" ht="27" customHeight="1">
      <c r="A278" s="583"/>
      <c r="B278" s="583">
        <v>1018</v>
      </c>
      <c r="C278" s="581">
        <v>10</v>
      </c>
      <c r="D278" s="1137" t="s">
        <v>996</v>
      </c>
      <c r="E278" s="1138" t="s">
        <v>997</v>
      </c>
      <c r="F278" s="599"/>
      <c r="G278" s="599"/>
      <c r="H278" s="599"/>
      <c r="I278" s="599"/>
      <c r="J278" s="599"/>
      <c r="K278" s="599"/>
      <c r="L278" s="599"/>
      <c r="M278" s="599"/>
      <c r="N278" s="599"/>
      <c r="O278" s="599"/>
      <c r="P278" s="599"/>
      <c r="Q278" s="1096">
        <f t="shared" si="21"/>
        <v>0</v>
      </c>
      <c r="R278" s="599">
        <v>0</v>
      </c>
      <c r="S278" s="1096">
        <f t="shared" si="18"/>
        <v>0</v>
      </c>
      <c r="T278" s="599">
        <f t="shared" si="18"/>
        <v>0</v>
      </c>
      <c r="U278" s="620"/>
      <c r="V278" s="621"/>
      <c r="W278" s="1096">
        <f t="shared" si="19"/>
        <v>0</v>
      </c>
      <c r="X278" s="882">
        <f t="shared" si="22"/>
        <v>0</v>
      </c>
      <c r="Y278" s="910">
        <f t="shared" si="20"/>
        <v>0</v>
      </c>
    </row>
    <row r="279" spans="1:25" ht="27" customHeight="1">
      <c r="A279" s="583"/>
      <c r="B279" s="583">
        <v>406</v>
      </c>
      <c r="C279" s="581">
        <v>4</v>
      </c>
      <c r="D279" s="1137" t="s">
        <v>1107</v>
      </c>
      <c r="E279" s="1138" t="s">
        <v>1342</v>
      </c>
      <c r="F279" s="599"/>
      <c r="G279" s="599"/>
      <c r="H279" s="599"/>
      <c r="I279" s="599"/>
      <c r="J279" s="599"/>
      <c r="K279" s="599"/>
      <c r="L279" s="599"/>
      <c r="M279" s="599"/>
      <c r="N279" s="599"/>
      <c r="O279" s="599"/>
      <c r="P279" s="599"/>
      <c r="Q279" s="1096">
        <f t="shared" si="21"/>
        <v>0</v>
      </c>
      <c r="R279" s="599">
        <v>0</v>
      </c>
      <c r="S279" s="1096">
        <f t="shared" si="18"/>
        <v>0</v>
      </c>
      <c r="T279" s="599">
        <f t="shared" si="18"/>
        <v>0</v>
      </c>
      <c r="U279" s="620"/>
      <c r="V279" s="621"/>
      <c r="W279" s="1096">
        <f t="shared" si="19"/>
        <v>0</v>
      </c>
      <c r="X279" s="882">
        <f t="shared" si="22"/>
        <v>0</v>
      </c>
      <c r="Y279" s="910">
        <f t="shared" si="20"/>
        <v>0</v>
      </c>
    </row>
    <row r="280" spans="1:25" ht="27" customHeight="1">
      <c r="A280" s="583"/>
      <c r="B280" s="583">
        <v>1018</v>
      </c>
      <c r="C280" s="581">
        <v>10</v>
      </c>
      <c r="D280" s="1137" t="s">
        <v>1382</v>
      </c>
      <c r="E280" s="1138" t="s">
        <v>1383</v>
      </c>
      <c r="F280" s="599"/>
      <c r="G280" s="599"/>
      <c r="H280" s="599"/>
      <c r="I280" s="599"/>
      <c r="J280" s="599"/>
      <c r="K280" s="599"/>
      <c r="L280" s="599"/>
      <c r="M280" s="599"/>
      <c r="N280" s="599"/>
      <c r="O280" s="599"/>
      <c r="P280" s="599"/>
      <c r="Q280" s="1096">
        <f t="shared" si="21"/>
        <v>0</v>
      </c>
      <c r="R280" s="599">
        <v>0</v>
      </c>
      <c r="S280" s="1096">
        <f t="shared" ref="S280:T353" si="23">ROUND((Q280/1000000),0)</f>
        <v>0</v>
      </c>
      <c r="T280" s="599">
        <f t="shared" si="23"/>
        <v>0</v>
      </c>
      <c r="U280" s="620"/>
      <c r="V280" s="621"/>
      <c r="W280" s="1096">
        <f t="shared" si="19"/>
        <v>0</v>
      </c>
      <c r="X280" s="882">
        <f t="shared" si="22"/>
        <v>0</v>
      </c>
      <c r="Y280" s="910">
        <f t="shared" si="20"/>
        <v>0</v>
      </c>
    </row>
    <row r="281" spans="1:25" ht="27" customHeight="1">
      <c r="A281" s="583"/>
      <c r="B281" s="583">
        <v>1018</v>
      </c>
      <c r="C281" s="581">
        <v>10</v>
      </c>
      <c r="D281" s="1137" t="s">
        <v>1194</v>
      </c>
      <c r="E281" s="1138" t="s">
        <v>1195</v>
      </c>
      <c r="F281" s="599">
        <v>-2910000</v>
      </c>
      <c r="G281" s="599"/>
      <c r="H281" s="599"/>
      <c r="I281" s="599"/>
      <c r="J281" s="599"/>
      <c r="K281" s="599"/>
      <c r="L281" s="599"/>
      <c r="M281" s="599"/>
      <c r="N281" s="599"/>
      <c r="O281" s="599"/>
      <c r="P281" s="599"/>
      <c r="Q281" s="1096">
        <f t="shared" si="21"/>
        <v>-2910000</v>
      </c>
      <c r="R281" s="599">
        <v>-1890000</v>
      </c>
      <c r="S281" s="1096">
        <f t="shared" si="23"/>
        <v>-3</v>
      </c>
      <c r="T281" s="599">
        <f t="shared" si="23"/>
        <v>-2</v>
      </c>
      <c r="U281" s="620"/>
      <c r="V281" s="621"/>
      <c r="W281" s="1096">
        <f t="shared" ref="W281:W354" si="24">Q281+V281-U281</f>
        <v>-2910000</v>
      </c>
      <c r="X281" s="882">
        <f t="shared" si="22"/>
        <v>-3</v>
      </c>
      <c r="Y281" s="910">
        <f t="shared" si="20"/>
        <v>0</v>
      </c>
    </row>
    <row r="282" spans="1:25" ht="27" customHeight="1">
      <c r="A282" s="583"/>
      <c r="B282" s="583">
        <v>1001</v>
      </c>
      <c r="C282" s="581">
        <v>10</v>
      </c>
      <c r="D282" s="1137" t="s">
        <v>1343</v>
      </c>
      <c r="E282" s="1138" t="s">
        <v>1344</v>
      </c>
      <c r="F282" s="599">
        <v>-50740000</v>
      </c>
      <c r="G282" s="599"/>
      <c r="H282" s="599"/>
      <c r="I282" s="599"/>
      <c r="J282" s="599"/>
      <c r="K282" s="599"/>
      <c r="L282" s="599"/>
      <c r="M282" s="599"/>
      <c r="N282" s="599"/>
      <c r="O282" s="599"/>
      <c r="P282" s="599"/>
      <c r="Q282" s="1096">
        <f t="shared" si="21"/>
        <v>-50740000</v>
      </c>
      <c r="R282" s="599">
        <v>-62640000</v>
      </c>
      <c r="S282" s="1096">
        <f t="shared" si="23"/>
        <v>-51</v>
      </c>
      <c r="T282" s="599">
        <f t="shared" si="23"/>
        <v>-63</v>
      </c>
      <c r="U282" s="620"/>
      <c r="V282" s="621"/>
      <c r="W282" s="1096">
        <f t="shared" si="24"/>
        <v>-50740000</v>
      </c>
      <c r="X282" s="882">
        <f t="shared" si="22"/>
        <v>-51</v>
      </c>
      <c r="Y282" s="910">
        <f t="shared" si="20"/>
        <v>0</v>
      </c>
    </row>
    <row r="283" spans="1:25" ht="27" customHeight="1">
      <c r="A283" s="583"/>
      <c r="B283" s="583">
        <v>1018</v>
      </c>
      <c r="C283" s="581">
        <v>10</v>
      </c>
      <c r="D283" s="1137" t="s">
        <v>753</v>
      </c>
      <c r="E283" s="1138" t="s">
        <v>998</v>
      </c>
      <c r="F283" s="599"/>
      <c r="G283" s="599"/>
      <c r="H283" s="599"/>
      <c r="I283" s="599"/>
      <c r="J283" s="599"/>
      <c r="K283" s="599"/>
      <c r="L283" s="599"/>
      <c r="M283" s="599"/>
      <c r="N283" s="599"/>
      <c r="O283" s="599"/>
      <c r="P283" s="599"/>
      <c r="Q283" s="1096">
        <f t="shared" si="21"/>
        <v>0</v>
      </c>
      <c r="R283" s="599">
        <v>0</v>
      </c>
      <c r="S283" s="1096">
        <f t="shared" si="23"/>
        <v>0</v>
      </c>
      <c r="T283" s="599">
        <f t="shared" si="23"/>
        <v>0</v>
      </c>
      <c r="U283" s="620"/>
      <c r="V283" s="621"/>
      <c r="W283" s="1096">
        <f t="shared" si="24"/>
        <v>0</v>
      </c>
      <c r="X283" s="882">
        <f t="shared" si="22"/>
        <v>0</v>
      </c>
      <c r="Y283" s="910">
        <f t="shared" si="20"/>
        <v>0</v>
      </c>
    </row>
    <row r="284" spans="1:25" ht="27" customHeight="1">
      <c r="A284" s="583"/>
      <c r="B284" s="583">
        <v>1018</v>
      </c>
      <c r="C284" s="581">
        <v>10</v>
      </c>
      <c r="D284" s="1137" t="s">
        <v>665</v>
      </c>
      <c r="E284" s="1138" t="s">
        <v>664</v>
      </c>
      <c r="F284" s="599"/>
      <c r="G284" s="599"/>
      <c r="H284" s="599"/>
      <c r="I284" s="599"/>
      <c r="J284" s="599"/>
      <c r="K284" s="599"/>
      <c r="L284" s="599"/>
      <c r="M284" s="599"/>
      <c r="N284" s="599"/>
      <c r="O284" s="599"/>
      <c r="P284" s="599"/>
      <c r="Q284" s="1096">
        <f t="shared" si="21"/>
        <v>0</v>
      </c>
      <c r="R284" s="599">
        <v>-23730000</v>
      </c>
      <c r="S284" s="1096">
        <f t="shared" si="23"/>
        <v>0</v>
      </c>
      <c r="T284" s="599">
        <f t="shared" si="23"/>
        <v>-24</v>
      </c>
      <c r="U284" s="620"/>
      <c r="V284" s="621"/>
      <c r="W284" s="1096">
        <f t="shared" si="24"/>
        <v>0</v>
      </c>
      <c r="X284" s="882">
        <f t="shared" si="22"/>
        <v>0</v>
      </c>
      <c r="Y284" s="910">
        <f t="shared" si="20"/>
        <v>0</v>
      </c>
    </row>
    <row r="285" spans="1:25" ht="27" customHeight="1">
      <c r="A285" s="583"/>
      <c r="B285" s="583">
        <v>406</v>
      </c>
      <c r="C285" s="581">
        <v>4</v>
      </c>
      <c r="D285" s="1137" t="s">
        <v>489</v>
      </c>
      <c r="E285" s="1138" t="s">
        <v>855</v>
      </c>
      <c r="F285" s="599">
        <v>71320783</v>
      </c>
      <c r="G285" s="599"/>
      <c r="H285" s="599"/>
      <c r="I285" s="599"/>
      <c r="J285" s="599"/>
      <c r="K285" s="599"/>
      <c r="L285" s="599"/>
      <c r="M285" s="599"/>
      <c r="N285" s="599"/>
      <c r="O285" s="599"/>
      <c r="P285" s="599"/>
      <c r="Q285" s="1096">
        <f t="shared" si="21"/>
        <v>71320783</v>
      </c>
      <c r="R285" s="599">
        <v>71320783</v>
      </c>
      <c r="S285" s="1096">
        <f t="shared" si="23"/>
        <v>71</v>
      </c>
      <c r="T285" s="599">
        <f t="shared" si="23"/>
        <v>71</v>
      </c>
      <c r="U285" s="620"/>
      <c r="V285" s="621"/>
      <c r="W285" s="1096">
        <f t="shared" si="24"/>
        <v>71320783</v>
      </c>
      <c r="X285" s="882">
        <f t="shared" si="22"/>
        <v>71</v>
      </c>
      <c r="Y285" s="910">
        <f t="shared" si="20"/>
        <v>0</v>
      </c>
    </row>
    <row r="286" spans="1:25" ht="27" customHeight="1">
      <c r="A286" s="583"/>
      <c r="B286" s="583">
        <v>406</v>
      </c>
      <c r="C286" s="581">
        <v>4</v>
      </c>
      <c r="D286" s="1137" t="s">
        <v>293</v>
      </c>
      <c r="E286" s="1138" t="s">
        <v>467</v>
      </c>
      <c r="F286" s="599">
        <v>1718974151</v>
      </c>
      <c r="G286" s="599">
        <v>292500000</v>
      </c>
      <c r="H286" s="599"/>
      <c r="I286" s="599"/>
      <c r="J286" s="599"/>
      <c r="K286" s="599"/>
      <c r="L286" s="599"/>
      <c r="M286" s="599"/>
      <c r="N286" s="599"/>
      <c r="O286" s="599"/>
      <c r="P286" s="599"/>
      <c r="Q286" s="1096">
        <f t="shared" si="21"/>
        <v>2011474151</v>
      </c>
      <c r="R286" s="599">
        <v>1718974151</v>
      </c>
      <c r="S286" s="1096">
        <f t="shared" si="23"/>
        <v>2011</v>
      </c>
      <c r="T286" s="599">
        <f t="shared" si="23"/>
        <v>1719</v>
      </c>
      <c r="U286" s="620"/>
      <c r="V286" s="621"/>
      <c r="W286" s="1096">
        <f t="shared" si="24"/>
        <v>2011474151</v>
      </c>
      <c r="X286" s="882">
        <f t="shared" si="22"/>
        <v>2011</v>
      </c>
      <c r="Y286" s="910">
        <f t="shared" si="20"/>
        <v>0</v>
      </c>
    </row>
    <row r="287" spans="1:25" ht="27" customHeight="1">
      <c r="A287" s="583">
        <v>3214</v>
      </c>
      <c r="B287" s="583">
        <v>408</v>
      </c>
      <c r="C287" s="581">
        <v>4</v>
      </c>
      <c r="D287" s="1137" t="s">
        <v>293</v>
      </c>
      <c r="E287" s="1138" t="s">
        <v>1457</v>
      </c>
      <c r="F287" s="599"/>
      <c r="G287" s="599"/>
      <c r="H287" s="599"/>
      <c r="I287" s="599"/>
      <c r="J287" s="599">
        <v>296023641455</v>
      </c>
      <c r="K287" s="599"/>
      <c r="L287" s="599"/>
      <c r="M287" s="599"/>
      <c r="N287" s="599">
        <v>-2429884902</v>
      </c>
      <c r="O287" s="599"/>
      <c r="P287" s="599"/>
      <c r="Q287" s="1096">
        <f t="shared" si="21"/>
        <v>293593756553</v>
      </c>
      <c r="R287" s="599">
        <v>521425405869</v>
      </c>
      <c r="S287" s="1096">
        <f t="shared" si="23"/>
        <v>293594</v>
      </c>
      <c r="T287" s="599">
        <f t="shared" si="23"/>
        <v>521425</v>
      </c>
      <c r="U287" s="620"/>
      <c r="V287" s="621"/>
      <c r="W287" s="1096">
        <f t="shared" si="24"/>
        <v>293593756553</v>
      </c>
      <c r="X287" s="882">
        <f t="shared" si="22"/>
        <v>293594</v>
      </c>
      <c r="Y287" s="910">
        <f t="shared" si="20"/>
        <v>0</v>
      </c>
    </row>
    <row r="288" spans="1:25" ht="27" customHeight="1">
      <c r="A288" s="583"/>
      <c r="B288" s="583">
        <v>1018</v>
      </c>
      <c r="C288" s="1131">
        <v>10</v>
      </c>
      <c r="D288" s="1137" t="s">
        <v>296</v>
      </c>
      <c r="E288" s="1138" t="s">
        <v>1593</v>
      </c>
      <c r="F288" s="599">
        <v>-3779387012</v>
      </c>
      <c r="G288" s="599">
        <v>-3251437135</v>
      </c>
      <c r="H288" s="599"/>
      <c r="I288" s="599"/>
      <c r="J288" s="599"/>
      <c r="K288" s="599"/>
      <c r="L288" s="599"/>
      <c r="M288" s="599"/>
      <c r="N288" s="599"/>
      <c r="O288" s="599"/>
      <c r="P288" s="599"/>
      <c r="Q288" s="1096">
        <f t="shared" si="21"/>
        <v>-7030824147</v>
      </c>
      <c r="R288" s="599">
        <v>-4229974651</v>
      </c>
      <c r="S288" s="1096">
        <f t="shared" si="23"/>
        <v>-7031</v>
      </c>
      <c r="T288" s="599">
        <f t="shared" si="23"/>
        <v>-4230</v>
      </c>
      <c r="U288" s="620"/>
      <c r="V288" s="621"/>
      <c r="W288" s="1096">
        <f t="shared" si="24"/>
        <v>-7030824147</v>
      </c>
      <c r="X288" s="882">
        <f t="shared" si="22"/>
        <v>-7031</v>
      </c>
      <c r="Y288" s="910">
        <f t="shared" si="20"/>
        <v>0</v>
      </c>
    </row>
    <row r="289" spans="1:25" ht="27" customHeight="1">
      <c r="A289" s="583"/>
      <c r="B289" s="583">
        <v>1018</v>
      </c>
      <c r="C289" s="581">
        <v>10</v>
      </c>
      <c r="D289" s="1137" t="s">
        <v>298</v>
      </c>
      <c r="E289" s="1138" t="s">
        <v>1594</v>
      </c>
      <c r="F289" s="599">
        <v>-131562773250</v>
      </c>
      <c r="G289" s="599"/>
      <c r="H289" s="599"/>
      <c r="I289" s="599"/>
      <c r="J289" s="599"/>
      <c r="K289" s="599"/>
      <c r="L289" s="599"/>
      <c r="M289" s="599"/>
      <c r="N289" s="599"/>
      <c r="O289" s="599"/>
      <c r="P289" s="599"/>
      <c r="Q289" s="1096">
        <f t="shared" si="21"/>
        <v>-131562773250</v>
      </c>
      <c r="R289" s="599">
        <v>-51266792675</v>
      </c>
      <c r="S289" s="1096">
        <f t="shared" si="23"/>
        <v>-131563</v>
      </c>
      <c r="T289" s="599">
        <f t="shared" si="23"/>
        <v>-51267</v>
      </c>
      <c r="U289" s="620"/>
      <c r="V289" s="621"/>
      <c r="W289" s="1096">
        <f t="shared" si="24"/>
        <v>-131562773250</v>
      </c>
      <c r="X289" s="882">
        <f t="shared" si="22"/>
        <v>-131563</v>
      </c>
      <c r="Y289" s="910">
        <f t="shared" si="20"/>
        <v>0</v>
      </c>
    </row>
    <row r="290" spans="1:25" ht="27" customHeight="1">
      <c r="A290" s="583"/>
      <c r="B290" s="583">
        <v>1018</v>
      </c>
      <c r="C290" s="1131">
        <v>10</v>
      </c>
      <c r="D290" s="1137" t="s">
        <v>79</v>
      </c>
      <c r="E290" s="1138" t="s">
        <v>1595</v>
      </c>
      <c r="F290" s="599">
        <v>-46264913854</v>
      </c>
      <c r="G290" s="599">
        <v>-1904588497</v>
      </c>
      <c r="H290" s="599">
        <v>3</v>
      </c>
      <c r="I290" s="599"/>
      <c r="J290" s="599"/>
      <c r="K290" s="599"/>
      <c r="L290" s="599"/>
      <c r="M290" s="599"/>
      <c r="N290" s="599"/>
      <c r="O290" s="599"/>
      <c r="P290" s="599"/>
      <c r="Q290" s="1096">
        <f t="shared" si="21"/>
        <v>-48169502348</v>
      </c>
      <c r="R290" s="599">
        <v>-25901173710</v>
      </c>
      <c r="S290" s="1096">
        <f t="shared" si="23"/>
        <v>-48170</v>
      </c>
      <c r="T290" s="599">
        <f t="shared" si="23"/>
        <v>-25901</v>
      </c>
      <c r="U290" s="620"/>
      <c r="V290" s="621"/>
      <c r="W290" s="1096">
        <f t="shared" si="24"/>
        <v>-48169502348</v>
      </c>
      <c r="X290" s="882">
        <f t="shared" si="22"/>
        <v>-48170</v>
      </c>
      <c r="Y290" s="910">
        <f t="shared" si="20"/>
        <v>0</v>
      </c>
    </row>
    <row r="291" spans="1:25" ht="27" customHeight="1">
      <c r="A291" s="583"/>
      <c r="B291" s="583">
        <v>1018</v>
      </c>
      <c r="C291" s="581">
        <v>10</v>
      </c>
      <c r="D291" s="1137" t="s">
        <v>443</v>
      </c>
      <c r="E291" s="1138" t="s">
        <v>1596</v>
      </c>
      <c r="F291" s="599">
        <v>-70258489292</v>
      </c>
      <c r="G291" s="599">
        <v>3290475960</v>
      </c>
      <c r="H291" s="599">
        <v>6</v>
      </c>
      <c r="I291" s="599"/>
      <c r="J291" s="599"/>
      <c r="K291" s="599"/>
      <c r="L291" s="599"/>
      <c r="M291" s="599"/>
      <c r="N291" s="599"/>
      <c r="O291" s="599"/>
      <c r="P291" s="599"/>
      <c r="Q291" s="1096">
        <f t="shared" si="21"/>
        <v>-66968013326</v>
      </c>
      <c r="R291" s="599">
        <v>-47482226549</v>
      </c>
      <c r="S291" s="1096">
        <f t="shared" si="23"/>
        <v>-66968</v>
      </c>
      <c r="T291" s="599">
        <f t="shared" si="23"/>
        <v>-47482</v>
      </c>
      <c r="U291" s="620"/>
      <c r="V291" s="621"/>
      <c r="W291" s="1096">
        <f t="shared" si="24"/>
        <v>-66968013326</v>
      </c>
      <c r="X291" s="882">
        <f t="shared" si="22"/>
        <v>-66968</v>
      </c>
      <c r="Y291" s="910">
        <f t="shared" si="20"/>
        <v>0</v>
      </c>
    </row>
    <row r="292" spans="1:25" ht="27" customHeight="1">
      <c r="A292" s="583"/>
      <c r="B292" s="583">
        <v>1018</v>
      </c>
      <c r="C292" s="1131">
        <v>10</v>
      </c>
      <c r="D292" s="1137" t="s">
        <v>445</v>
      </c>
      <c r="E292" s="1138" t="s">
        <v>1597</v>
      </c>
      <c r="F292" s="599">
        <v>-15800659041</v>
      </c>
      <c r="G292" s="599">
        <v>1878897195</v>
      </c>
      <c r="H292" s="599"/>
      <c r="I292" s="599"/>
      <c r="J292" s="599"/>
      <c r="K292" s="599"/>
      <c r="L292" s="599"/>
      <c r="M292" s="599"/>
      <c r="N292" s="599"/>
      <c r="O292" s="599"/>
      <c r="P292" s="599"/>
      <c r="Q292" s="1096">
        <f t="shared" si="21"/>
        <v>-13921761846</v>
      </c>
      <c r="R292" s="599">
        <v>-1776377053</v>
      </c>
      <c r="S292" s="1096">
        <f t="shared" si="23"/>
        <v>-13922</v>
      </c>
      <c r="T292" s="599">
        <f t="shared" si="23"/>
        <v>-1776</v>
      </c>
      <c r="U292" s="620"/>
      <c r="V292" s="621"/>
      <c r="W292" s="1096">
        <f t="shared" si="24"/>
        <v>-13921761846</v>
      </c>
      <c r="X292" s="882">
        <f t="shared" si="22"/>
        <v>-13922</v>
      </c>
      <c r="Y292" s="910">
        <f t="shared" si="20"/>
        <v>0</v>
      </c>
    </row>
    <row r="293" spans="1:25" ht="27" customHeight="1">
      <c r="A293" s="583"/>
      <c r="B293" s="583">
        <v>1018</v>
      </c>
      <c r="C293" s="581">
        <v>10</v>
      </c>
      <c r="D293" s="1137" t="s">
        <v>449</v>
      </c>
      <c r="E293" s="1138" t="s">
        <v>1650</v>
      </c>
      <c r="F293" s="599"/>
      <c r="G293" s="599"/>
      <c r="H293" s="599"/>
      <c r="I293" s="599"/>
      <c r="J293" s="599"/>
      <c r="K293" s="599"/>
      <c r="L293" s="599"/>
      <c r="M293" s="599"/>
      <c r="N293" s="599"/>
      <c r="O293" s="599"/>
      <c r="P293" s="599"/>
      <c r="Q293" s="1096">
        <f t="shared" si="21"/>
        <v>0</v>
      </c>
      <c r="R293" s="599">
        <v>-102800277</v>
      </c>
      <c r="S293" s="1096">
        <f t="shared" si="23"/>
        <v>0</v>
      </c>
      <c r="T293" s="599">
        <f t="shared" si="23"/>
        <v>-103</v>
      </c>
      <c r="U293" s="620"/>
      <c r="V293" s="621"/>
      <c r="W293" s="1096">
        <f t="shared" si="24"/>
        <v>0</v>
      </c>
      <c r="X293" s="882">
        <f t="shared" si="22"/>
        <v>0</v>
      </c>
      <c r="Y293" s="910">
        <f t="shared" si="20"/>
        <v>0</v>
      </c>
    </row>
    <row r="294" spans="1:25" ht="27" customHeight="1">
      <c r="A294" s="583"/>
      <c r="B294" s="583">
        <v>1018</v>
      </c>
      <c r="C294" s="581">
        <v>10</v>
      </c>
      <c r="D294" s="1137" t="s">
        <v>450</v>
      </c>
      <c r="E294" s="1138" t="s">
        <v>1012</v>
      </c>
      <c r="F294" s="599"/>
      <c r="G294" s="599"/>
      <c r="H294" s="599"/>
      <c r="I294" s="599"/>
      <c r="J294" s="599"/>
      <c r="K294" s="599"/>
      <c r="L294" s="599"/>
      <c r="M294" s="599"/>
      <c r="N294" s="599"/>
      <c r="O294" s="599"/>
      <c r="P294" s="599"/>
      <c r="Q294" s="1096">
        <f t="shared" si="21"/>
        <v>0</v>
      </c>
      <c r="R294" s="599">
        <v>-560437038</v>
      </c>
      <c r="S294" s="1096">
        <f>ROUND((Q294/1000000),0)</f>
        <v>0</v>
      </c>
      <c r="T294" s="599">
        <f>ROUND((R294/1000000),0)</f>
        <v>-560</v>
      </c>
      <c r="U294" s="620"/>
      <c r="V294" s="621"/>
      <c r="W294" s="1096">
        <f>Q294+V294-U294</f>
        <v>0</v>
      </c>
      <c r="X294" s="882">
        <f t="shared" si="22"/>
        <v>0</v>
      </c>
      <c r="Y294" s="910">
        <f t="shared" si="20"/>
        <v>0</v>
      </c>
    </row>
    <row r="295" spans="1:25" ht="27" customHeight="1">
      <c r="A295" s="583"/>
      <c r="B295" s="583">
        <v>501</v>
      </c>
      <c r="C295" s="581">
        <v>5</v>
      </c>
      <c r="D295" s="1137" t="s">
        <v>452</v>
      </c>
      <c r="E295" s="1138" t="s">
        <v>1651</v>
      </c>
      <c r="F295" s="599"/>
      <c r="G295" s="599"/>
      <c r="H295" s="599"/>
      <c r="I295" s="599"/>
      <c r="J295" s="599"/>
      <c r="K295" s="599"/>
      <c r="L295" s="599"/>
      <c r="M295" s="599"/>
      <c r="N295" s="599"/>
      <c r="O295" s="599"/>
      <c r="P295" s="599"/>
      <c r="Q295" s="1096">
        <f t="shared" si="21"/>
        <v>0</v>
      </c>
      <c r="R295" s="599">
        <v>0</v>
      </c>
      <c r="S295" s="1096">
        <f t="shared" si="23"/>
        <v>0</v>
      </c>
      <c r="T295" s="599">
        <f t="shared" si="23"/>
        <v>0</v>
      </c>
      <c r="U295" s="620"/>
      <c r="V295" s="621"/>
      <c r="W295" s="1096">
        <f t="shared" si="24"/>
        <v>0</v>
      </c>
      <c r="X295" s="882">
        <f t="shared" si="22"/>
        <v>0</v>
      </c>
      <c r="Y295" s="910">
        <f t="shared" si="20"/>
        <v>0</v>
      </c>
    </row>
    <row r="296" spans="1:25" ht="27" customHeight="1">
      <c r="A296" s="583"/>
      <c r="B296" s="583">
        <v>908</v>
      </c>
      <c r="C296" s="581">
        <v>9</v>
      </c>
      <c r="D296" s="1137" t="s">
        <v>454</v>
      </c>
      <c r="E296" s="1138" t="s">
        <v>1013</v>
      </c>
      <c r="F296" s="599"/>
      <c r="G296" s="599"/>
      <c r="H296" s="599"/>
      <c r="I296" s="599"/>
      <c r="J296" s="599"/>
      <c r="K296" s="599"/>
      <c r="L296" s="599"/>
      <c r="M296" s="599"/>
      <c r="N296" s="599"/>
      <c r="O296" s="599"/>
      <c r="P296" s="599"/>
      <c r="Q296" s="1096">
        <f t="shared" si="21"/>
        <v>0</v>
      </c>
      <c r="R296" s="599">
        <v>38485800</v>
      </c>
      <c r="S296" s="1096">
        <f>ROUND((Q296/1000000),0)</f>
        <v>0</v>
      </c>
      <c r="T296" s="599">
        <f>ROUND((R296/1000000),0)</f>
        <v>38</v>
      </c>
      <c r="U296" s="620"/>
      <c r="V296" s="621"/>
      <c r="W296" s="1096">
        <f>Q296+V296-U296</f>
        <v>0</v>
      </c>
      <c r="X296" s="882">
        <f t="shared" si="22"/>
        <v>0</v>
      </c>
      <c r="Y296" s="910">
        <f t="shared" si="20"/>
        <v>0</v>
      </c>
    </row>
    <row r="297" spans="1:25" ht="27" customHeight="1">
      <c r="A297" s="583"/>
      <c r="B297" s="583">
        <v>501</v>
      </c>
      <c r="C297" s="581">
        <v>5</v>
      </c>
      <c r="D297" s="1137" t="s">
        <v>460</v>
      </c>
      <c r="E297" s="1138" t="s">
        <v>758</v>
      </c>
      <c r="F297" s="599">
        <v>2717465101817</v>
      </c>
      <c r="G297" s="599">
        <v>-3924655633</v>
      </c>
      <c r="H297" s="599"/>
      <c r="I297" s="599"/>
      <c r="J297" s="599"/>
      <c r="K297" s="599"/>
      <c r="L297" s="599"/>
      <c r="M297" s="599"/>
      <c r="N297" s="599"/>
      <c r="O297" s="599"/>
      <c r="P297" s="599"/>
      <c r="Q297" s="1096">
        <f t="shared" si="21"/>
        <v>2713540446184</v>
      </c>
      <c r="R297" s="599">
        <v>2338131540805</v>
      </c>
      <c r="S297" s="1096">
        <f>ROUND((Q297/1000000),0)</f>
        <v>2713540</v>
      </c>
      <c r="T297" s="599">
        <f t="shared" si="23"/>
        <v>2338132</v>
      </c>
      <c r="U297" s="620"/>
      <c r="V297" s="621"/>
      <c r="W297" s="1096">
        <f t="shared" si="24"/>
        <v>2713540446184</v>
      </c>
      <c r="X297" s="882">
        <f t="shared" si="22"/>
        <v>2713540</v>
      </c>
      <c r="Y297" s="910">
        <f t="shared" si="20"/>
        <v>0</v>
      </c>
    </row>
    <row r="298" spans="1:25" ht="27" customHeight="1">
      <c r="A298" s="583"/>
      <c r="B298" s="583">
        <v>501</v>
      </c>
      <c r="C298" s="581">
        <v>5</v>
      </c>
      <c r="D298" s="1137" t="s">
        <v>460</v>
      </c>
      <c r="E298" s="1138" t="s">
        <v>759</v>
      </c>
      <c r="F298" s="599"/>
      <c r="G298" s="599"/>
      <c r="H298" s="599"/>
      <c r="I298" s="599"/>
      <c r="J298" s="599"/>
      <c r="K298" s="599"/>
      <c r="L298" s="599"/>
      <c r="M298" s="599"/>
      <c r="N298" s="599"/>
      <c r="O298" s="599"/>
      <c r="P298" s="599"/>
      <c r="Q298" s="1096">
        <f t="shared" si="21"/>
        <v>0</v>
      </c>
      <c r="R298" s="599">
        <v>0</v>
      </c>
      <c r="S298" s="1096">
        <f t="shared" si="23"/>
        <v>0</v>
      </c>
      <c r="T298" s="599">
        <f t="shared" si="23"/>
        <v>0</v>
      </c>
      <c r="U298" s="620"/>
      <c r="V298" s="621"/>
      <c r="W298" s="1096">
        <f t="shared" si="24"/>
        <v>0</v>
      </c>
      <c r="X298" s="882">
        <f t="shared" si="22"/>
        <v>0</v>
      </c>
      <c r="Y298" s="910">
        <f t="shared" si="20"/>
        <v>0</v>
      </c>
    </row>
    <row r="299" spans="1:25" ht="27" customHeight="1">
      <c r="A299" s="583"/>
      <c r="B299" s="583">
        <v>503</v>
      </c>
      <c r="C299" s="581">
        <v>5</v>
      </c>
      <c r="D299" s="1137" t="s">
        <v>460</v>
      </c>
      <c r="E299" s="1138" t="s">
        <v>760</v>
      </c>
      <c r="F299" s="599"/>
      <c r="G299" s="599"/>
      <c r="H299" s="599"/>
      <c r="I299" s="599"/>
      <c r="J299" s="599"/>
      <c r="K299" s="599"/>
      <c r="L299" s="599"/>
      <c r="M299" s="599"/>
      <c r="N299" s="599"/>
      <c r="O299" s="599"/>
      <c r="P299" s="599"/>
      <c r="Q299" s="1096">
        <f t="shared" si="21"/>
        <v>0</v>
      </c>
      <c r="R299" s="599">
        <v>0</v>
      </c>
      <c r="S299" s="1096">
        <f t="shared" si="23"/>
        <v>0</v>
      </c>
      <c r="T299" s="599">
        <f t="shared" si="23"/>
        <v>0</v>
      </c>
      <c r="U299" s="620"/>
      <c r="V299" s="621"/>
      <c r="W299" s="1096">
        <f t="shared" si="24"/>
        <v>0</v>
      </c>
      <c r="X299" s="882">
        <f t="shared" si="22"/>
        <v>0</v>
      </c>
      <c r="Y299" s="910">
        <f t="shared" si="20"/>
        <v>0</v>
      </c>
    </row>
    <row r="300" spans="1:25" ht="27" customHeight="1">
      <c r="A300" s="583"/>
      <c r="B300" s="583">
        <v>908</v>
      </c>
      <c r="C300" s="581">
        <v>9</v>
      </c>
      <c r="D300" s="1137" t="s">
        <v>462</v>
      </c>
      <c r="E300" s="1138" t="s">
        <v>463</v>
      </c>
      <c r="F300" s="599">
        <v>526013368482</v>
      </c>
      <c r="G300" s="599">
        <v>-41746404</v>
      </c>
      <c r="H300" s="599"/>
      <c r="I300" s="599"/>
      <c r="J300" s="599">
        <v>-418580306902</v>
      </c>
      <c r="K300" s="599">
        <v>140842661129</v>
      </c>
      <c r="L300" s="599">
        <f>-34333179-92874000000</f>
        <v>-92908333179</v>
      </c>
      <c r="M300" s="599">
        <v>92874000000</v>
      </c>
      <c r="N300" s="599">
        <f>-139080572622</f>
        <v>-139080572622</v>
      </c>
      <c r="O300" s="599"/>
      <c r="P300" s="599"/>
      <c r="Q300" s="1096">
        <f t="shared" si="21"/>
        <v>109119070504</v>
      </c>
      <c r="R300" s="599">
        <v>95405606218</v>
      </c>
      <c r="S300" s="1096">
        <f t="shared" si="23"/>
        <v>109119</v>
      </c>
      <c r="T300" s="599">
        <f t="shared" si="23"/>
        <v>95406</v>
      </c>
      <c r="U300" s="620"/>
      <c r="V300" s="621"/>
      <c r="W300" s="1096">
        <f t="shared" si="24"/>
        <v>109119070504</v>
      </c>
      <c r="X300" s="882">
        <f t="shared" si="22"/>
        <v>109119</v>
      </c>
      <c r="Y300" s="910">
        <f t="shared" si="20"/>
        <v>0</v>
      </c>
    </row>
    <row r="301" spans="1:25" ht="27" customHeight="1">
      <c r="A301" s="583"/>
      <c r="B301" s="583">
        <v>506</v>
      </c>
      <c r="C301" s="581">
        <v>5</v>
      </c>
      <c r="D301" s="1137" t="s">
        <v>163</v>
      </c>
      <c r="E301" s="1138" t="s">
        <v>1599</v>
      </c>
      <c r="F301" s="599">
        <v>141871774</v>
      </c>
      <c r="G301" s="599">
        <v>73155279</v>
      </c>
      <c r="H301" s="599"/>
      <c r="I301" s="599"/>
      <c r="J301" s="599"/>
      <c r="K301" s="599"/>
      <c r="L301" s="599"/>
      <c r="M301" s="599"/>
      <c r="N301" s="599"/>
      <c r="O301" s="599"/>
      <c r="P301" s="599"/>
      <c r="Q301" s="1096">
        <f t="shared" si="21"/>
        <v>215027053</v>
      </c>
      <c r="R301" s="599">
        <v>263279216</v>
      </c>
      <c r="S301" s="1096">
        <f t="shared" si="23"/>
        <v>215</v>
      </c>
      <c r="T301" s="599">
        <f t="shared" si="23"/>
        <v>263</v>
      </c>
      <c r="U301" s="620"/>
      <c r="V301" s="621"/>
      <c r="W301" s="1096">
        <f t="shared" si="24"/>
        <v>215027053</v>
      </c>
      <c r="X301" s="882">
        <f t="shared" si="22"/>
        <v>215</v>
      </c>
      <c r="Y301" s="910">
        <f t="shared" si="20"/>
        <v>0</v>
      </c>
    </row>
    <row r="302" spans="1:25" ht="27" customHeight="1">
      <c r="A302" s="583"/>
      <c r="B302" s="583">
        <v>506</v>
      </c>
      <c r="C302" s="581">
        <v>5</v>
      </c>
      <c r="D302" s="1137" t="s">
        <v>165</v>
      </c>
      <c r="E302" s="1138" t="s">
        <v>1600</v>
      </c>
      <c r="F302" s="599">
        <v>19108887220</v>
      </c>
      <c r="G302" s="599">
        <v>12381891405</v>
      </c>
      <c r="H302" s="599"/>
      <c r="I302" s="599"/>
      <c r="J302" s="599"/>
      <c r="K302" s="599"/>
      <c r="L302" s="599"/>
      <c r="M302" s="599"/>
      <c r="N302" s="599"/>
      <c r="O302" s="599"/>
      <c r="P302" s="599"/>
      <c r="Q302" s="1096">
        <f t="shared" si="21"/>
        <v>31490778625</v>
      </c>
      <c r="R302" s="599">
        <v>11438759484</v>
      </c>
      <c r="S302" s="1096">
        <f t="shared" si="23"/>
        <v>31491</v>
      </c>
      <c r="T302" s="599">
        <f t="shared" si="23"/>
        <v>11439</v>
      </c>
      <c r="U302" s="620"/>
      <c r="V302" s="621"/>
      <c r="W302" s="1096">
        <f t="shared" si="24"/>
        <v>31490778625</v>
      </c>
      <c r="X302" s="882">
        <f t="shared" si="22"/>
        <v>31491</v>
      </c>
      <c r="Y302" s="910">
        <f t="shared" si="20"/>
        <v>0</v>
      </c>
    </row>
    <row r="303" spans="1:25" ht="27" customHeight="1">
      <c r="A303" s="583"/>
      <c r="B303" s="583">
        <v>506</v>
      </c>
      <c r="C303" s="581">
        <v>5</v>
      </c>
      <c r="D303" s="1137" t="s">
        <v>1598</v>
      </c>
      <c r="E303" s="1138" t="s">
        <v>1601</v>
      </c>
      <c r="F303" s="599">
        <v>695428702</v>
      </c>
      <c r="G303" s="599"/>
      <c r="H303" s="599"/>
      <c r="I303" s="599"/>
      <c r="J303" s="599"/>
      <c r="K303" s="599"/>
      <c r="L303" s="599"/>
      <c r="M303" s="599"/>
      <c r="N303" s="599"/>
      <c r="O303" s="599"/>
      <c r="P303" s="599"/>
      <c r="Q303" s="1096">
        <f t="shared" si="21"/>
        <v>695428702</v>
      </c>
      <c r="R303" s="599">
        <v>725129990</v>
      </c>
      <c r="S303" s="1096">
        <f t="shared" si="23"/>
        <v>695</v>
      </c>
      <c r="T303" s="599">
        <f t="shared" si="23"/>
        <v>725</v>
      </c>
      <c r="U303" s="620"/>
      <c r="V303" s="621"/>
      <c r="W303" s="1096">
        <f t="shared" si="24"/>
        <v>695428702</v>
      </c>
      <c r="X303" s="882">
        <f t="shared" si="22"/>
        <v>695</v>
      </c>
      <c r="Y303" s="910">
        <f t="shared" si="20"/>
        <v>0</v>
      </c>
    </row>
    <row r="304" spans="1:25" ht="27" customHeight="1">
      <c r="A304" s="583"/>
      <c r="B304" s="583">
        <v>1018</v>
      </c>
      <c r="C304" s="581">
        <v>10</v>
      </c>
      <c r="D304" s="1137" t="s">
        <v>395</v>
      </c>
      <c r="E304" s="1138" t="s">
        <v>1652</v>
      </c>
      <c r="F304" s="599">
        <v>-2188306276</v>
      </c>
      <c r="G304" s="599"/>
      <c r="H304" s="599">
        <v>-3082500</v>
      </c>
      <c r="I304" s="599"/>
      <c r="J304" s="599"/>
      <c r="K304" s="599"/>
      <c r="L304" s="599"/>
      <c r="M304" s="599"/>
      <c r="N304" s="599"/>
      <c r="O304" s="599"/>
      <c r="P304" s="599"/>
      <c r="Q304" s="1096">
        <f t="shared" si="21"/>
        <v>-2191388776</v>
      </c>
      <c r="R304" s="599">
        <v>-13417500</v>
      </c>
      <c r="S304" s="1096">
        <f t="shared" si="23"/>
        <v>-2191</v>
      </c>
      <c r="T304" s="599">
        <f t="shared" si="23"/>
        <v>-13</v>
      </c>
      <c r="U304" s="620"/>
      <c r="V304" s="621"/>
      <c r="W304" s="1096">
        <f t="shared" si="24"/>
        <v>-2191388776</v>
      </c>
      <c r="X304" s="882">
        <f t="shared" si="22"/>
        <v>-2191</v>
      </c>
      <c r="Y304" s="910">
        <f t="shared" si="20"/>
        <v>0</v>
      </c>
    </row>
    <row r="305" spans="1:25" ht="27" customHeight="1">
      <c r="A305" s="583"/>
      <c r="B305" s="583">
        <v>506</v>
      </c>
      <c r="C305" s="581">
        <v>5</v>
      </c>
      <c r="D305" s="1137" t="s">
        <v>1007</v>
      </c>
      <c r="E305" s="1138" t="s">
        <v>1008</v>
      </c>
      <c r="F305" s="599">
        <v>60399836</v>
      </c>
      <c r="G305" s="599">
        <v>-60400011</v>
      </c>
      <c r="H305" s="599"/>
      <c r="I305" s="599"/>
      <c r="J305" s="599"/>
      <c r="K305" s="599"/>
      <c r="L305" s="599"/>
      <c r="M305" s="599"/>
      <c r="N305" s="599"/>
      <c r="O305" s="599"/>
      <c r="P305" s="599"/>
      <c r="Q305" s="1096">
        <f t="shared" si="21"/>
        <v>-175</v>
      </c>
      <c r="R305" s="599">
        <v>60399902</v>
      </c>
      <c r="S305" s="1096">
        <f t="shared" si="23"/>
        <v>0</v>
      </c>
      <c r="T305" s="599">
        <f t="shared" si="23"/>
        <v>60</v>
      </c>
      <c r="U305" s="620"/>
      <c r="V305" s="621"/>
      <c r="W305" s="1096">
        <f t="shared" si="24"/>
        <v>-175</v>
      </c>
      <c r="X305" s="882">
        <f t="shared" si="22"/>
        <v>0</v>
      </c>
      <c r="Y305" s="910">
        <f t="shared" si="20"/>
        <v>0</v>
      </c>
    </row>
    <row r="306" spans="1:25" ht="27" customHeight="1">
      <c r="A306" s="583"/>
      <c r="B306" s="583">
        <v>1018</v>
      </c>
      <c r="C306" s="581">
        <v>10</v>
      </c>
      <c r="D306" s="1137" t="s">
        <v>167</v>
      </c>
      <c r="E306" s="1138" t="s">
        <v>1027</v>
      </c>
      <c r="F306" s="599">
        <v>-125543265</v>
      </c>
      <c r="G306" s="599"/>
      <c r="H306" s="599"/>
      <c r="I306" s="599"/>
      <c r="J306" s="599"/>
      <c r="K306" s="599"/>
      <c r="L306" s="599"/>
      <c r="M306" s="599"/>
      <c r="N306" s="599"/>
      <c r="O306" s="599"/>
      <c r="P306" s="599"/>
      <c r="Q306" s="1096">
        <f t="shared" si="21"/>
        <v>-125543265</v>
      </c>
      <c r="R306" s="599">
        <v>-125543265</v>
      </c>
      <c r="S306" s="1096">
        <f t="shared" si="23"/>
        <v>-126</v>
      </c>
      <c r="T306" s="599">
        <f t="shared" si="23"/>
        <v>-126</v>
      </c>
      <c r="U306" s="620"/>
      <c r="V306" s="621"/>
      <c r="W306" s="1096">
        <f t="shared" si="24"/>
        <v>-125543265</v>
      </c>
      <c r="X306" s="882">
        <f t="shared" si="22"/>
        <v>-126</v>
      </c>
      <c r="Y306" s="910">
        <f t="shared" si="20"/>
        <v>0</v>
      </c>
    </row>
    <row r="307" spans="1:25" ht="27" customHeight="1">
      <c r="A307" s="583"/>
      <c r="B307" s="583">
        <v>506</v>
      </c>
      <c r="C307" s="581">
        <v>5</v>
      </c>
      <c r="D307" s="1137" t="s">
        <v>1009</v>
      </c>
      <c r="E307" s="1138" t="s">
        <v>1008</v>
      </c>
      <c r="F307" s="599">
        <v>3644964817</v>
      </c>
      <c r="G307" s="599"/>
      <c r="H307" s="599"/>
      <c r="I307" s="599"/>
      <c r="J307" s="599"/>
      <c r="K307" s="599"/>
      <c r="L307" s="599"/>
      <c r="M307" s="599"/>
      <c r="N307" s="599"/>
      <c r="O307" s="599"/>
      <c r="P307" s="599"/>
      <c r="Q307" s="1096">
        <f t="shared" si="21"/>
        <v>3644964817</v>
      </c>
      <c r="R307" s="599">
        <v>545876737</v>
      </c>
      <c r="S307" s="1096">
        <f t="shared" si="23"/>
        <v>3645</v>
      </c>
      <c r="T307" s="599">
        <f t="shared" si="23"/>
        <v>546</v>
      </c>
      <c r="U307" s="620"/>
      <c r="V307" s="621"/>
      <c r="W307" s="1096">
        <f t="shared" si="24"/>
        <v>3644964817</v>
      </c>
      <c r="X307" s="882">
        <f t="shared" si="22"/>
        <v>3645</v>
      </c>
      <c r="Y307" s="910">
        <f t="shared" si="20"/>
        <v>0</v>
      </c>
    </row>
    <row r="308" spans="1:25" ht="27" customHeight="1">
      <c r="A308" s="583"/>
      <c r="B308" s="583">
        <v>506</v>
      </c>
      <c r="C308" s="581">
        <v>5</v>
      </c>
      <c r="D308" s="1137" t="s">
        <v>1024</v>
      </c>
      <c r="E308" s="1138" t="s">
        <v>1025</v>
      </c>
      <c r="F308" s="599">
        <v>2000</v>
      </c>
      <c r="G308" s="599"/>
      <c r="H308" s="599"/>
      <c r="I308" s="599"/>
      <c r="J308" s="599"/>
      <c r="K308" s="599"/>
      <c r="L308" s="599"/>
      <c r="M308" s="599"/>
      <c r="N308" s="599"/>
      <c r="O308" s="599"/>
      <c r="P308" s="599"/>
      <c r="Q308" s="1096">
        <f t="shared" si="21"/>
        <v>2000</v>
      </c>
      <c r="R308" s="599">
        <v>2000</v>
      </c>
      <c r="S308" s="1096">
        <f t="shared" si="23"/>
        <v>0</v>
      </c>
      <c r="T308" s="599">
        <f t="shared" si="23"/>
        <v>0</v>
      </c>
      <c r="U308" s="620"/>
      <c r="V308" s="621"/>
      <c r="W308" s="1096">
        <f t="shared" si="24"/>
        <v>2000</v>
      </c>
      <c r="X308" s="882">
        <f t="shared" si="22"/>
        <v>0</v>
      </c>
      <c r="Y308" s="910">
        <f t="shared" si="20"/>
        <v>0</v>
      </c>
    </row>
    <row r="309" spans="1:25" ht="27" customHeight="1">
      <c r="A309" s="583"/>
      <c r="B309" s="583">
        <v>506</v>
      </c>
      <c r="C309" s="581">
        <v>5</v>
      </c>
      <c r="D309" s="1137" t="s">
        <v>282</v>
      </c>
      <c r="E309" s="1138" t="s">
        <v>283</v>
      </c>
      <c r="F309" s="599">
        <v>320955123</v>
      </c>
      <c r="G309" s="599"/>
      <c r="H309" s="599"/>
      <c r="I309" s="599"/>
      <c r="J309" s="599"/>
      <c r="K309" s="599"/>
      <c r="L309" s="599"/>
      <c r="M309" s="599"/>
      <c r="N309" s="599"/>
      <c r="O309" s="599"/>
      <c r="P309" s="599"/>
      <c r="Q309" s="1096">
        <f t="shared" si="21"/>
        <v>320955123</v>
      </c>
      <c r="R309" s="599">
        <v>861775263</v>
      </c>
      <c r="S309" s="1096">
        <f t="shared" si="23"/>
        <v>321</v>
      </c>
      <c r="T309" s="599">
        <f t="shared" si="23"/>
        <v>862</v>
      </c>
      <c r="U309" s="620"/>
      <c r="V309" s="621"/>
      <c r="W309" s="1096">
        <f t="shared" si="24"/>
        <v>320955123</v>
      </c>
      <c r="X309" s="882">
        <f t="shared" si="22"/>
        <v>321</v>
      </c>
      <c r="Y309" s="910">
        <f t="shared" si="20"/>
        <v>0</v>
      </c>
    </row>
    <row r="310" spans="1:25" ht="27" customHeight="1">
      <c r="A310" s="583"/>
      <c r="B310" s="583">
        <v>506</v>
      </c>
      <c r="C310" s="581">
        <v>5</v>
      </c>
      <c r="D310" s="1137" t="s">
        <v>76</v>
      </c>
      <c r="E310" s="1138" t="s">
        <v>77</v>
      </c>
      <c r="F310" s="599">
        <v>916433</v>
      </c>
      <c r="G310" s="599"/>
      <c r="H310" s="599"/>
      <c r="I310" s="599"/>
      <c r="J310" s="599"/>
      <c r="K310" s="599"/>
      <c r="L310" s="599"/>
      <c r="M310" s="599"/>
      <c r="N310" s="599"/>
      <c r="O310" s="599"/>
      <c r="P310" s="599"/>
      <c r="Q310" s="1096">
        <f t="shared" si="21"/>
        <v>916433</v>
      </c>
      <c r="R310" s="599">
        <v>130232068</v>
      </c>
      <c r="S310" s="1096">
        <f t="shared" si="23"/>
        <v>1</v>
      </c>
      <c r="T310" s="599">
        <f t="shared" si="23"/>
        <v>130</v>
      </c>
      <c r="U310" s="620"/>
      <c r="V310" s="621"/>
      <c r="W310" s="1096">
        <f t="shared" si="24"/>
        <v>916433</v>
      </c>
      <c r="X310" s="882">
        <f t="shared" si="22"/>
        <v>1</v>
      </c>
      <c r="Y310" s="910">
        <f t="shared" si="20"/>
        <v>0</v>
      </c>
    </row>
    <row r="311" spans="1:25" ht="27" customHeight="1">
      <c r="A311" s="583"/>
      <c r="B311" s="583">
        <v>506</v>
      </c>
      <c r="C311" s="581">
        <v>5</v>
      </c>
      <c r="D311" s="1137" t="s">
        <v>1741</v>
      </c>
      <c r="E311" s="1138" t="s">
        <v>77</v>
      </c>
      <c r="F311" s="599">
        <v>19320</v>
      </c>
      <c r="G311" s="599"/>
      <c r="H311" s="599"/>
      <c r="I311" s="599"/>
      <c r="J311" s="599"/>
      <c r="K311" s="599"/>
      <c r="L311" s="599"/>
      <c r="M311" s="599"/>
      <c r="N311" s="599"/>
      <c r="O311" s="599"/>
      <c r="P311" s="599"/>
      <c r="Q311" s="1096">
        <f>SUM(F311:P311)</f>
        <v>19320</v>
      </c>
      <c r="R311" s="599">
        <v>0</v>
      </c>
      <c r="S311" s="1096">
        <f t="shared" si="23"/>
        <v>0</v>
      </c>
      <c r="T311" s="599">
        <f t="shared" si="23"/>
        <v>0</v>
      </c>
      <c r="U311" s="620"/>
      <c r="V311" s="621"/>
      <c r="W311" s="1096">
        <f t="shared" si="24"/>
        <v>19320</v>
      </c>
      <c r="X311" s="882">
        <f t="shared" si="22"/>
        <v>0</v>
      </c>
      <c r="Y311" s="910">
        <f t="shared" si="20"/>
        <v>0</v>
      </c>
    </row>
    <row r="312" spans="1:25" ht="27" customHeight="1">
      <c r="A312" s="583"/>
      <c r="B312" s="583">
        <v>1018</v>
      </c>
      <c r="C312" s="581">
        <v>10</v>
      </c>
      <c r="D312" s="1137" t="s">
        <v>464</v>
      </c>
      <c r="E312" s="1138" t="s">
        <v>311</v>
      </c>
      <c r="F312" s="599">
        <v>-703496819</v>
      </c>
      <c r="G312" s="599">
        <v>-447</v>
      </c>
      <c r="H312" s="599"/>
      <c r="I312" s="599"/>
      <c r="J312" s="599"/>
      <c r="K312" s="599"/>
      <c r="L312" s="599"/>
      <c r="M312" s="599"/>
      <c r="N312" s="599"/>
      <c r="O312" s="599"/>
      <c r="P312" s="599"/>
      <c r="Q312" s="1096">
        <f t="shared" si="21"/>
        <v>-703497266</v>
      </c>
      <c r="R312" s="599">
        <v>-716725263</v>
      </c>
      <c r="S312" s="1096">
        <f t="shared" si="23"/>
        <v>-703</v>
      </c>
      <c r="T312" s="599">
        <f t="shared" si="23"/>
        <v>-717</v>
      </c>
      <c r="U312" s="620"/>
      <c r="V312" s="621"/>
      <c r="W312" s="1096">
        <f t="shared" si="24"/>
        <v>-703497266</v>
      </c>
      <c r="X312" s="882">
        <f t="shared" si="22"/>
        <v>-703</v>
      </c>
      <c r="Y312" s="910">
        <f t="shared" si="20"/>
        <v>0</v>
      </c>
    </row>
    <row r="313" spans="1:25" ht="27" customHeight="1">
      <c r="A313" s="583"/>
      <c r="B313" s="583">
        <v>506</v>
      </c>
      <c r="C313" s="581">
        <v>5</v>
      </c>
      <c r="D313" s="1137" t="s">
        <v>1602</v>
      </c>
      <c r="E313" s="1138" t="s">
        <v>1603</v>
      </c>
      <c r="F313" s="599">
        <v>109610776</v>
      </c>
      <c r="G313" s="599"/>
      <c r="H313" s="599"/>
      <c r="I313" s="599"/>
      <c r="J313" s="599"/>
      <c r="K313" s="599"/>
      <c r="L313" s="599"/>
      <c r="M313" s="599"/>
      <c r="N313" s="599"/>
      <c r="O313" s="599"/>
      <c r="P313" s="599"/>
      <c r="Q313" s="1096">
        <f t="shared" si="21"/>
        <v>109610776</v>
      </c>
      <c r="R313" s="599">
        <v>68413817</v>
      </c>
      <c r="S313" s="1096">
        <f t="shared" si="23"/>
        <v>110</v>
      </c>
      <c r="T313" s="599">
        <f t="shared" si="23"/>
        <v>68</v>
      </c>
      <c r="U313" s="620"/>
      <c r="V313" s="621"/>
      <c r="W313" s="1096">
        <f t="shared" si="24"/>
        <v>109610776</v>
      </c>
      <c r="X313" s="882">
        <f t="shared" si="22"/>
        <v>110</v>
      </c>
      <c r="Y313" s="910">
        <f t="shared" si="20"/>
        <v>0</v>
      </c>
    </row>
    <row r="314" spans="1:25" ht="27" customHeight="1">
      <c r="A314" s="583"/>
      <c r="B314" s="583">
        <v>506</v>
      </c>
      <c r="C314" s="581">
        <v>5</v>
      </c>
      <c r="D314" s="1137" t="s">
        <v>594</v>
      </c>
      <c r="E314" s="1138" t="s">
        <v>314</v>
      </c>
      <c r="F314" s="599"/>
      <c r="G314" s="599"/>
      <c r="H314" s="599"/>
      <c r="I314" s="599"/>
      <c r="J314" s="599"/>
      <c r="K314" s="599"/>
      <c r="L314" s="599"/>
      <c r="M314" s="599"/>
      <c r="N314" s="599"/>
      <c r="O314" s="599"/>
      <c r="P314" s="599"/>
      <c r="Q314" s="1096">
        <f t="shared" si="21"/>
        <v>0</v>
      </c>
      <c r="R314" s="599">
        <v>302233</v>
      </c>
      <c r="S314" s="1096">
        <f t="shared" si="23"/>
        <v>0</v>
      </c>
      <c r="T314" s="599">
        <f t="shared" si="23"/>
        <v>0</v>
      </c>
      <c r="U314" s="620"/>
      <c r="V314" s="621"/>
      <c r="W314" s="1096">
        <f t="shared" si="24"/>
        <v>0</v>
      </c>
      <c r="X314" s="882">
        <f t="shared" si="22"/>
        <v>0</v>
      </c>
      <c r="Y314" s="910">
        <f t="shared" si="20"/>
        <v>0</v>
      </c>
    </row>
    <row r="315" spans="1:25" ht="27" customHeight="1">
      <c r="A315" s="583"/>
      <c r="B315" s="583">
        <v>906</v>
      </c>
      <c r="C315" s="581">
        <v>9</v>
      </c>
      <c r="D315" s="1137" t="s">
        <v>1604</v>
      </c>
      <c r="E315" s="1138" t="s">
        <v>1605</v>
      </c>
      <c r="F315" s="599"/>
      <c r="G315" s="599"/>
      <c r="H315" s="599"/>
      <c r="I315" s="599"/>
      <c r="J315" s="599"/>
      <c r="K315" s="599"/>
      <c r="L315" s="599"/>
      <c r="M315" s="599"/>
      <c r="N315" s="599"/>
      <c r="O315" s="599"/>
      <c r="P315" s="599"/>
      <c r="Q315" s="1096">
        <f t="shared" si="21"/>
        <v>0</v>
      </c>
      <c r="R315" s="599">
        <v>0</v>
      </c>
      <c r="S315" s="1096">
        <f t="shared" si="23"/>
        <v>0</v>
      </c>
      <c r="T315" s="599">
        <f t="shared" si="23"/>
        <v>0</v>
      </c>
      <c r="U315" s="620"/>
      <c r="V315" s="621"/>
      <c r="W315" s="1096">
        <f t="shared" si="24"/>
        <v>0</v>
      </c>
      <c r="X315" s="882">
        <f t="shared" si="22"/>
        <v>0</v>
      </c>
      <c r="Y315" s="910">
        <f t="shared" si="20"/>
        <v>0</v>
      </c>
    </row>
    <row r="316" spans="1:25" ht="27" customHeight="1">
      <c r="A316" s="583"/>
      <c r="B316" s="583"/>
      <c r="C316" s="581">
        <v>5</v>
      </c>
      <c r="D316" s="1137" t="s">
        <v>595</v>
      </c>
      <c r="E316" s="1138" t="s">
        <v>315</v>
      </c>
      <c r="F316" s="599"/>
      <c r="G316" s="599"/>
      <c r="H316" s="599"/>
      <c r="I316" s="599"/>
      <c r="J316" s="599"/>
      <c r="K316" s="599"/>
      <c r="L316" s="599"/>
      <c r="M316" s="599"/>
      <c r="N316" s="599"/>
      <c r="O316" s="599"/>
      <c r="P316" s="599"/>
      <c r="Q316" s="1096">
        <f t="shared" si="21"/>
        <v>0</v>
      </c>
      <c r="R316" s="599">
        <v>0</v>
      </c>
      <c r="S316" s="1096">
        <f t="shared" si="23"/>
        <v>0</v>
      </c>
      <c r="T316" s="599">
        <f t="shared" si="23"/>
        <v>0</v>
      </c>
      <c r="U316" s="620"/>
      <c r="V316" s="621"/>
      <c r="W316" s="1096">
        <f t="shared" si="24"/>
        <v>0</v>
      </c>
      <c r="X316" s="882">
        <f t="shared" si="22"/>
        <v>0</v>
      </c>
      <c r="Y316" s="910">
        <f t="shared" si="20"/>
        <v>0</v>
      </c>
    </row>
    <row r="317" spans="1:25" ht="27" customHeight="1">
      <c r="A317" s="583"/>
      <c r="B317" s="583">
        <v>506</v>
      </c>
      <c r="C317" s="581">
        <v>5</v>
      </c>
      <c r="D317" s="1137" t="s">
        <v>333</v>
      </c>
      <c r="E317" s="1138" t="s">
        <v>334</v>
      </c>
      <c r="F317" s="599">
        <v>-410393</v>
      </c>
      <c r="G317" s="599"/>
      <c r="H317" s="599"/>
      <c r="I317" s="599"/>
      <c r="J317" s="599"/>
      <c r="K317" s="599"/>
      <c r="L317" s="599"/>
      <c r="M317" s="599"/>
      <c r="N317" s="599"/>
      <c r="O317" s="599"/>
      <c r="P317" s="599"/>
      <c r="Q317" s="1096">
        <f t="shared" si="21"/>
        <v>-410393</v>
      </c>
      <c r="R317" s="599">
        <v>0</v>
      </c>
      <c r="S317" s="1096">
        <f t="shared" si="23"/>
        <v>0</v>
      </c>
      <c r="T317" s="599">
        <f t="shared" si="23"/>
        <v>0</v>
      </c>
      <c r="U317" s="620"/>
      <c r="V317" s="621"/>
      <c r="W317" s="1096">
        <f t="shared" si="24"/>
        <v>-410393</v>
      </c>
      <c r="X317" s="882">
        <f t="shared" si="22"/>
        <v>0</v>
      </c>
      <c r="Y317" s="910">
        <f t="shared" si="20"/>
        <v>0</v>
      </c>
    </row>
    <row r="318" spans="1:25" ht="27" customHeight="1">
      <c r="A318" s="583"/>
      <c r="B318" s="583">
        <v>501</v>
      </c>
      <c r="C318" s="581">
        <v>5</v>
      </c>
      <c r="D318" s="1137" t="s">
        <v>902</v>
      </c>
      <c r="E318" s="1138" t="s">
        <v>1030</v>
      </c>
      <c r="F318" s="599">
        <v>-238835576</v>
      </c>
      <c r="G318" s="599">
        <v>60400000</v>
      </c>
      <c r="H318" s="599"/>
      <c r="I318" s="599"/>
      <c r="J318" s="599"/>
      <c r="K318" s="599"/>
      <c r="L318" s="599"/>
      <c r="M318" s="599"/>
      <c r="N318" s="599"/>
      <c r="O318" s="599"/>
      <c r="P318" s="599"/>
      <c r="Q318" s="1096">
        <f t="shared" si="21"/>
        <v>-178435576</v>
      </c>
      <c r="R318" s="599">
        <v>0</v>
      </c>
      <c r="S318" s="1096">
        <f t="shared" si="23"/>
        <v>-178</v>
      </c>
      <c r="T318" s="599">
        <f t="shared" si="23"/>
        <v>0</v>
      </c>
      <c r="U318" s="620"/>
      <c r="V318" s="621"/>
      <c r="W318" s="1096">
        <f t="shared" si="24"/>
        <v>-178435576</v>
      </c>
      <c r="X318" s="882">
        <f t="shared" si="22"/>
        <v>-178</v>
      </c>
      <c r="Y318" s="910">
        <f t="shared" si="20"/>
        <v>0</v>
      </c>
    </row>
    <row r="319" spans="1:25" ht="27" customHeight="1">
      <c r="A319" s="583"/>
      <c r="B319" s="583"/>
      <c r="C319" s="581">
        <v>9</v>
      </c>
      <c r="D319" s="1137" t="s">
        <v>903</v>
      </c>
      <c r="E319" s="1138" t="s">
        <v>912</v>
      </c>
      <c r="F319" s="599"/>
      <c r="G319" s="599"/>
      <c r="H319" s="599"/>
      <c r="I319" s="599"/>
      <c r="J319" s="599"/>
      <c r="K319" s="599"/>
      <c r="L319" s="599"/>
      <c r="M319" s="599"/>
      <c r="N319" s="599"/>
      <c r="O319" s="599"/>
      <c r="P319" s="599"/>
      <c r="Q319" s="1096">
        <f t="shared" si="21"/>
        <v>0</v>
      </c>
      <c r="R319" s="599">
        <v>0</v>
      </c>
      <c r="S319" s="1096">
        <f t="shared" si="23"/>
        <v>0</v>
      </c>
      <c r="T319" s="599">
        <f t="shared" si="23"/>
        <v>0</v>
      </c>
      <c r="U319" s="620"/>
      <c r="V319" s="621"/>
      <c r="W319" s="1096">
        <f t="shared" si="24"/>
        <v>0</v>
      </c>
      <c r="X319" s="882">
        <f t="shared" si="22"/>
        <v>0</v>
      </c>
      <c r="Y319" s="910">
        <f t="shared" si="20"/>
        <v>0</v>
      </c>
    </row>
    <row r="320" spans="1:25" ht="27" customHeight="1">
      <c r="A320" s="583"/>
      <c r="B320" s="583">
        <v>506</v>
      </c>
      <c r="C320" s="581">
        <v>5</v>
      </c>
      <c r="D320" s="1137" t="s">
        <v>596</v>
      </c>
      <c r="E320" s="1138" t="s">
        <v>762</v>
      </c>
      <c r="F320" s="599">
        <v>32470269003</v>
      </c>
      <c r="G320" s="599"/>
      <c r="H320" s="599">
        <v>1025130310</v>
      </c>
      <c r="I320" s="599"/>
      <c r="J320" s="599">
        <v>-15297206</v>
      </c>
      <c r="K320" s="599"/>
      <c r="L320" s="599"/>
      <c r="M320" s="599"/>
      <c r="N320" s="599"/>
      <c r="O320" s="599"/>
      <c r="P320" s="599"/>
      <c r="Q320" s="1096">
        <f t="shared" si="21"/>
        <v>33480102107</v>
      </c>
      <c r="R320" s="599">
        <v>13336873947</v>
      </c>
      <c r="S320" s="1096">
        <f t="shared" si="23"/>
        <v>33480</v>
      </c>
      <c r="T320" s="599">
        <f t="shared" si="23"/>
        <v>13337</v>
      </c>
      <c r="U320" s="620"/>
      <c r="V320" s="621"/>
      <c r="W320" s="1096">
        <f t="shared" si="24"/>
        <v>33480102107</v>
      </c>
      <c r="X320" s="882">
        <f t="shared" si="22"/>
        <v>33480</v>
      </c>
      <c r="Y320" s="910">
        <f t="shared" si="20"/>
        <v>0</v>
      </c>
    </row>
    <row r="321" spans="1:25" ht="27" customHeight="1">
      <c r="A321" s="583">
        <v>3214</v>
      </c>
      <c r="B321" s="583">
        <v>907</v>
      </c>
      <c r="C321" s="581">
        <v>9</v>
      </c>
      <c r="D321" s="1137" t="s">
        <v>596</v>
      </c>
      <c r="E321" s="1138" t="s">
        <v>1458</v>
      </c>
      <c r="F321" s="599"/>
      <c r="G321" s="599"/>
      <c r="H321" s="599"/>
      <c r="I321" s="599"/>
      <c r="J321" s="599"/>
      <c r="K321" s="599"/>
      <c r="L321" s="599"/>
      <c r="M321" s="599"/>
      <c r="N321" s="599"/>
      <c r="O321" s="599"/>
      <c r="P321" s="599"/>
      <c r="Q321" s="1096">
        <f t="shared" si="21"/>
        <v>0</v>
      </c>
      <c r="R321" s="599">
        <v>0</v>
      </c>
      <c r="S321" s="1096">
        <f t="shared" si="23"/>
        <v>0</v>
      </c>
      <c r="T321" s="599">
        <f t="shared" si="23"/>
        <v>0</v>
      </c>
      <c r="U321" s="620"/>
      <c r="V321" s="621"/>
      <c r="W321" s="1096">
        <f t="shared" si="24"/>
        <v>0</v>
      </c>
      <c r="X321" s="882">
        <f t="shared" si="22"/>
        <v>0</v>
      </c>
      <c r="Y321" s="910">
        <f t="shared" si="20"/>
        <v>0</v>
      </c>
    </row>
    <row r="322" spans="1:25" ht="27" customHeight="1">
      <c r="A322" s="583"/>
      <c r="B322" s="583">
        <v>403</v>
      </c>
      <c r="C322" s="581">
        <v>4</v>
      </c>
      <c r="D322" s="1137" t="s">
        <v>1385</v>
      </c>
      <c r="E322" s="1138" t="s">
        <v>740</v>
      </c>
      <c r="F322" s="599"/>
      <c r="G322" s="599"/>
      <c r="H322" s="599"/>
      <c r="I322" s="599"/>
      <c r="J322" s="599"/>
      <c r="K322" s="599"/>
      <c r="L322" s="599"/>
      <c r="M322" s="599"/>
      <c r="N322" s="599"/>
      <c r="O322" s="599"/>
      <c r="P322" s="599"/>
      <c r="Q322" s="1096">
        <f t="shared" si="21"/>
        <v>0</v>
      </c>
      <c r="R322" s="599">
        <v>0</v>
      </c>
      <c r="S322" s="1096">
        <f t="shared" si="23"/>
        <v>0</v>
      </c>
      <c r="T322" s="599">
        <f t="shared" si="23"/>
        <v>0</v>
      </c>
      <c r="U322" s="620"/>
      <c r="V322" s="621"/>
      <c r="W322" s="1096">
        <f t="shared" si="24"/>
        <v>0</v>
      </c>
      <c r="X322" s="882">
        <f t="shared" si="22"/>
        <v>0</v>
      </c>
      <c r="Y322" s="910">
        <f t="shared" si="20"/>
        <v>0</v>
      </c>
    </row>
    <row r="323" spans="1:25" ht="27" customHeight="1">
      <c r="A323" s="583"/>
      <c r="B323" s="583">
        <v>607</v>
      </c>
      <c r="C323" s="581">
        <v>6</v>
      </c>
      <c r="D323" s="1137" t="s">
        <v>1384</v>
      </c>
      <c r="E323" s="1138" t="s">
        <v>1401</v>
      </c>
      <c r="F323" s="599">
        <v>19568661550</v>
      </c>
      <c r="G323" s="599"/>
      <c r="H323" s="599"/>
      <c r="I323" s="599"/>
      <c r="J323" s="599">
        <v>1329038616</v>
      </c>
      <c r="K323" s="599">
        <v>7653430247</v>
      </c>
      <c r="L323" s="599"/>
      <c r="M323" s="599"/>
      <c r="N323" s="599"/>
      <c r="O323" s="599"/>
      <c r="P323" s="599"/>
      <c r="Q323" s="1096">
        <f t="shared" si="21"/>
        <v>28551130413</v>
      </c>
      <c r="R323" s="599">
        <v>4392074898</v>
      </c>
      <c r="S323" s="1096">
        <f t="shared" si="23"/>
        <v>28551</v>
      </c>
      <c r="T323" s="599">
        <f t="shared" si="23"/>
        <v>4392</v>
      </c>
      <c r="U323" s="620"/>
      <c r="V323" s="621"/>
      <c r="W323" s="1096">
        <f t="shared" si="24"/>
        <v>28551130413</v>
      </c>
      <c r="X323" s="882">
        <f t="shared" si="22"/>
        <v>28551</v>
      </c>
      <c r="Y323" s="910">
        <f t="shared" si="20"/>
        <v>0</v>
      </c>
    </row>
    <row r="324" spans="1:25" ht="27" customHeight="1">
      <c r="A324" s="583"/>
      <c r="B324" s="583">
        <v>607</v>
      </c>
      <c r="C324" s="581">
        <v>6</v>
      </c>
      <c r="D324" s="1137" t="s">
        <v>319</v>
      </c>
      <c r="E324" s="1138" t="s">
        <v>1035</v>
      </c>
      <c r="F324" s="599"/>
      <c r="G324" s="599"/>
      <c r="H324" s="599"/>
      <c r="I324" s="599"/>
      <c r="J324" s="599"/>
      <c r="K324" s="599"/>
      <c r="L324" s="599"/>
      <c r="M324" s="599"/>
      <c r="N324" s="599"/>
      <c r="O324" s="599"/>
      <c r="P324" s="599"/>
      <c r="Q324" s="1096">
        <f t="shared" si="21"/>
        <v>0</v>
      </c>
      <c r="R324" s="599">
        <v>0</v>
      </c>
      <c r="S324" s="1096">
        <f t="shared" si="23"/>
        <v>0</v>
      </c>
      <c r="T324" s="599">
        <f t="shared" si="23"/>
        <v>0</v>
      </c>
      <c r="U324" s="620"/>
      <c r="V324" s="621"/>
      <c r="W324" s="1096">
        <f t="shared" si="24"/>
        <v>0</v>
      </c>
      <c r="X324" s="882">
        <f t="shared" si="22"/>
        <v>0</v>
      </c>
      <c r="Y324" s="910">
        <f t="shared" ref="Y324:Y387" si="25">S324-X324</f>
        <v>0</v>
      </c>
    </row>
    <row r="325" spans="1:25" ht="27" customHeight="1">
      <c r="A325" s="583"/>
      <c r="B325" s="583">
        <v>1018</v>
      </c>
      <c r="C325" s="581">
        <v>10</v>
      </c>
      <c r="D325" s="1137" t="s">
        <v>321</v>
      </c>
      <c r="E325" s="1138" t="s">
        <v>1656</v>
      </c>
      <c r="F325" s="599">
        <v>-20867948725</v>
      </c>
      <c r="G325" s="599">
        <v>380500000</v>
      </c>
      <c r="H325" s="599">
        <v>6699361883</v>
      </c>
      <c r="I325" s="599">
        <v>-3611949600</v>
      </c>
      <c r="J325" s="599"/>
      <c r="K325" s="599">
        <v>-8982468863</v>
      </c>
      <c r="L325" s="599"/>
      <c r="M325" s="599"/>
      <c r="N325" s="599"/>
      <c r="O325" s="599"/>
      <c r="P325" s="599"/>
      <c r="Q325" s="1096">
        <f t="shared" si="21"/>
        <v>-26382505305</v>
      </c>
      <c r="R325" s="599">
        <v>3613440000</v>
      </c>
      <c r="S325" s="1096">
        <f t="shared" si="23"/>
        <v>-26383</v>
      </c>
      <c r="T325" s="599">
        <f t="shared" si="23"/>
        <v>3613</v>
      </c>
      <c r="U325" s="620"/>
      <c r="V325" s="621"/>
      <c r="W325" s="1096">
        <f t="shared" si="24"/>
        <v>-26382505305</v>
      </c>
      <c r="X325" s="882">
        <f t="shared" si="22"/>
        <v>-26383</v>
      </c>
      <c r="Y325" s="910">
        <f t="shared" si="25"/>
        <v>0</v>
      </c>
    </row>
    <row r="326" spans="1:25" ht="27" customHeight="1">
      <c r="A326" s="583"/>
      <c r="B326" s="583">
        <v>403</v>
      </c>
      <c r="C326" s="581">
        <v>4</v>
      </c>
      <c r="D326" s="1137" t="s">
        <v>323</v>
      </c>
      <c r="E326" s="1138" t="s">
        <v>1036</v>
      </c>
      <c r="F326" s="599"/>
      <c r="G326" s="599"/>
      <c r="H326" s="599"/>
      <c r="I326" s="599"/>
      <c r="J326" s="599"/>
      <c r="K326" s="599"/>
      <c r="L326" s="599"/>
      <c r="M326" s="599"/>
      <c r="N326" s="599"/>
      <c r="O326" s="599"/>
      <c r="P326" s="599"/>
      <c r="Q326" s="1096">
        <f t="shared" si="21"/>
        <v>0</v>
      </c>
      <c r="R326" s="599">
        <v>0</v>
      </c>
      <c r="S326" s="1096">
        <f t="shared" si="23"/>
        <v>0</v>
      </c>
      <c r="T326" s="599">
        <f t="shared" si="23"/>
        <v>0</v>
      </c>
      <c r="U326" s="620"/>
      <c r="V326" s="621"/>
      <c r="W326" s="1096">
        <f t="shared" si="24"/>
        <v>0</v>
      </c>
      <c r="X326" s="882">
        <f t="shared" si="22"/>
        <v>0</v>
      </c>
      <c r="Y326" s="910">
        <f t="shared" si="25"/>
        <v>0</v>
      </c>
    </row>
    <row r="327" spans="1:25" ht="27" customHeight="1">
      <c r="A327" s="583">
        <v>11</v>
      </c>
      <c r="B327" s="583">
        <v>907</v>
      </c>
      <c r="C327" s="581">
        <v>9</v>
      </c>
      <c r="D327" s="1137" t="s">
        <v>323</v>
      </c>
      <c r="E327" s="1138" t="s">
        <v>1037</v>
      </c>
      <c r="F327" s="599">
        <v>82319205560</v>
      </c>
      <c r="G327" s="599"/>
      <c r="H327" s="599"/>
      <c r="I327" s="599"/>
      <c r="J327" s="599">
        <v>90358283476</v>
      </c>
      <c r="K327" s="599">
        <v>-172677489036</v>
      </c>
      <c r="L327" s="599"/>
      <c r="M327" s="599"/>
      <c r="N327" s="599"/>
      <c r="O327" s="599"/>
      <c r="P327" s="599"/>
      <c r="Q327" s="1096">
        <f t="shared" si="21"/>
        <v>0</v>
      </c>
      <c r="R327" s="599">
        <v>0</v>
      </c>
      <c r="S327" s="1096">
        <f t="shared" si="23"/>
        <v>0</v>
      </c>
      <c r="T327" s="599">
        <f t="shared" si="23"/>
        <v>0</v>
      </c>
      <c r="U327" s="620"/>
      <c r="V327" s="621"/>
      <c r="W327" s="1096">
        <f t="shared" si="24"/>
        <v>0</v>
      </c>
      <c r="X327" s="882">
        <f t="shared" si="22"/>
        <v>0</v>
      </c>
      <c r="Y327" s="910">
        <f t="shared" si="25"/>
        <v>0</v>
      </c>
    </row>
    <row r="328" spans="1:25" ht="27" customHeight="1">
      <c r="A328" s="583">
        <v>11</v>
      </c>
      <c r="B328" s="583">
        <v>907</v>
      </c>
      <c r="C328" s="581">
        <v>9</v>
      </c>
      <c r="D328" s="1137" t="s">
        <v>325</v>
      </c>
      <c r="E328" s="1138" t="s">
        <v>1038</v>
      </c>
      <c r="F328" s="599">
        <v>182542724834</v>
      </c>
      <c r="G328" s="599">
        <v>-1169653344</v>
      </c>
      <c r="H328" s="599">
        <v>9477077177</v>
      </c>
      <c r="I328" s="599"/>
      <c r="J328" s="599">
        <v>-224014015190</v>
      </c>
      <c r="K328" s="599">
        <v>33163866523</v>
      </c>
      <c r="L328" s="599"/>
      <c r="M328" s="599"/>
      <c r="N328" s="599"/>
      <c r="O328" s="599"/>
      <c r="P328" s="599"/>
      <c r="Q328" s="1096">
        <f t="shared" ref="Q328:Q391" si="26">SUM(F328:P328)</f>
        <v>0</v>
      </c>
      <c r="R328" s="599">
        <v>98821463977</v>
      </c>
      <c r="S328" s="1096">
        <f t="shared" si="23"/>
        <v>0</v>
      </c>
      <c r="T328" s="599">
        <f t="shared" si="23"/>
        <v>98821</v>
      </c>
      <c r="U328" s="620"/>
      <c r="V328" s="621"/>
      <c r="W328" s="1096">
        <f t="shared" si="24"/>
        <v>0</v>
      </c>
      <c r="X328" s="882">
        <f t="shared" si="22"/>
        <v>0</v>
      </c>
      <c r="Y328" s="910">
        <f t="shared" si="25"/>
        <v>0</v>
      </c>
    </row>
    <row r="329" spans="1:25" ht="27" customHeight="1">
      <c r="A329" s="583"/>
      <c r="B329" s="583">
        <v>906</v>
      </c>
      <c r="C329" s="581">
        <v>9</v>
      </c>
      <c r="D329" s="1137" t="s">
        <v>751</v>
      </c>
      <c r="E329" s="1138" t="s">
        <v>752</v>
      </c>
      <c r="F329" s="599"/>
      <c r="G329" s="599"/>
      <c r="H329" s="599"/>
      <c r="I329" s="599"/>
      <c r="J329" s="599"/>
      <c r="K329" s="599"/>
      <c r="L329" s="599"/>
      <c r="M329" s="599"/>
      <c r="N329" s="599"/>
      <c r="O329" s="599"/>
      <c r="P329" s="599"/>
      <c r="Q329" s="1096">
        <f t="shared" si="26"/>
        <v>0</v>
      </c>
      <c r="R329" s="599">
        <v>0</v>
      </c>
      <c r="S329" s="1096">
        <f t="shared" si="23"/>
        <v>0</v>
      </c>
      <c r="T329" s="599">
        <f t="shared" si="23"/>
        <v>0</v>
      </c>
      <c r="U329" s="620"/>
      <c r="V329" s="621"/>
      <c r="W329" s="1096">
        <f t="shared" si="24"/>
        <v>0</v>
      </c>
      <c r="X329" s="882">
        <f t="shared" ref="X329:X393" si="27">ROUND((W329/1000000),0)</f>
        <v>0</v>
      </c>
      <c r="Y329" s="910">
        <f t="shared" si="25"/>
        <v>0</v>
      </c>
    </row>
    <row r="330" spans="1:25" ht="27" customHeight="1">
      <c r="A330" s="583"/>
      <c r="B330" s="583">
        <v>907</v>
      </c>
      <c r="C330" s="581">
        <v>9</v>
      </c>
      <c r="D330" s="1137" t="s">
        <v>751</v>
      </c>
      <c r="E330" s="1138" t="s">
        <v>752</v>
      </c>
      <c r="F330" s="599"/>
      <c r="G330" s="599"/>
      <c r="H330" s="599"/>
      <c r="I330" s="599"/>
      <c r="J330" s="599"/>
      <c r="K330" s="599"/>
      <c r="L330" s="599"/>
      <c r="M330" s="599"/>
      <c r="N330" s="599"/>
      <c r="O330" s="599"/>
      <c r="P330" s="599"/>
      <c r="Q330" s="1096">
        <f t="shared" si="26"/>
        <v>0</v>
      </c>
      <c r="R330" s="599">
        <v>0</v>
      </c>
      <c r="S330" s="1096">
        <f t="shared" si="23"/>
        <v>0</v>
      </c>
      <c r="T330" s="599">
        <f t="shared" si="23"/>
        <v>0</v>
      </c>
      <c r="U330" s="620"/>
      <c r="V330" s="621"/>
      <c r="W330" s="1096">
        <f t="shared" si="24"/>
        <v>0</v>
      </c>
      <c r="X330" s="882">
        <f t="shared" si="27"/>
        <v>0</v>
      </c>
      <c r="Y330" s="910">
        <f t="shared" si="25"/>
        <v>0</v>
      </c>
    </row>
    <row r="331" spans="1:25" ht="27" customHeight="1">
      <c r="A331" s="583"/>
      <c r="B331" s="583">
        <v>601</v>
      </c>
      <c r="C331" s="581">
        <v>6</v>
      </c>
      <c r="D331" s="1137" t="s">
        <v>750</v>
      </c>
      <c r="E331" s="1138" t="s">
        <v>752</v>
      </c>
      <c r="F331" s="599"/>
      <c r="G331" s="599"/>
      <c r="H331" s="599"/>
      <c r="I331" s="599"/>
      <c r="J331" s="599"/>
      <c r="K331" s="599"/>
      <c r="L331" s="599"/>
      <c r="M331" s="599"/>
      <c r="N331" s="599"/>
      <c r="O331" s="599"/>
      <c r="P331" s="599"/>
      <c r="Q331" s="1096">
        <f t="shared" si="26"/>
        <v>0</v>
      </c>
      <c r="R331" s="599">
        <v>0</v>
      </c>
      <c r="S331" s="1096">
        <f t="shared" si="23"/>
        <v>0</v>
      </c>
      <c r="T331" s="599">
        <f t="shared" si="23"/>
        <v>0</v>
      </c>
      <c r="U331" s="620"/>
      <c r="V331" s="621"/>
      <c r="W331" s="1096">
        <f t="shared" si="24"/>
        <v>0</v>
      </c>
      <c r="X331" s="882">
        <f t="shared" si="27"/>
        <v>0</v>
      </c>
      <c r="Y331" s="910">
        <f t="shared" si="25"/>
        <v>0</v>
      </c>
    </row>
    <row r="332" spans="1:25" ht="27" customHeight="1">
      <c r="A332" s="583"/>
      <c r="B332" s="583">
        <v>302</v>
      </c>
      <c r="C332" s="581">
        <v>3</v>
      </c>
      <c r="D332" s="1137" t="s">
        <v>750</v>
      </c>
      <c r="E332" s="1138" t="s">
        <v>752</v>
      </c>
      <c r="F332" s="599"/>
      <c r="G332" s="599"/>
      <c r="H332" s="599"/>
      <c r="I332" s="599"/>
      <c r="J332" s="599"/>
      <c r="K332" s="599"/>
      <c r="L332" s="599"/>
      <c r="M332" s="599"/>
      <c r="N332" s="599"/>
      <c r="O332" s="599"/>
      <c r="P332" s="599"/>
      <c r="Q332" s="1096">
        <f t="shared" si="26"/>
        <v>0</v>
      </c>
      <c r="R332" s="599">
        <v>0</v>
      </c>
      <c r="S332" s="1096">
        <f t="shared" si="23"/>
        <v>0</v>
      </c>
      <c r="T332" s="599">
        <f t="shared" si="23"/>
        <v>0</v>
      </c>
      <c r="U332" s="620"/>
      <c r="V332" s="621"/>
      <c r="W332" s="1096">
        <f t="shared" si="24"/>
        <v>0</v>
      </c>
      <c r="X332" s="882">
        <f t="shared" si="27"/>
        <v>0</v>
      </c>
      <c r="Y332" s="910">
        <f t="shared" si="25"/>
        <v>0</v>
      </c>
    </row>
    <row r="333" spans="1:25" ht="27" customHeight="1">
      <c r="A333" s="583"/>
      <c r="B333" s="583"/>
      <c r="C333" s="581">
        <v>12</v>
      </c>
      <c r="D333" s="1137" t="s">
        <v>327</v>
      </c>
      <c r="E333" s="1138" t="s">
        <v>328</v>
      </c>
      <c r="F333" s="599">
        <v>-12000000000000</v>
      </c>
      <c r="G333" s="599"/>
      <c r="H333" s="599"/>
      <c r="I333" s="599"/>
      <c r="J333" s="599"/>
      <c r="K333" s="599"/>
      <c r="L333" s="599"/>
      <c r="M333" s="599"/>
      <c r="N333" s="599"/>
      <c r="O333" s="599"/>
      <c r="P333" s="599"/>
      <c r="Q333" s="1096">
        <f t="shared" si="26"/>
        <v>-12000000000000</v>
      </c>
      <c r="R333" s="599">
        <v>-12000000000000</v>
      </c>
      <c r="S333" s="1096">
        <f t="shared" si="23"/>
        <v>-12000000</v>
      </c>
      <c r="T333" s="599">
        <f t="shared" si="23"/>
        <v>-12000000</v>
      </c>
      <c r="U333" s="620"/>
      <c r="V333" s="621"/>
      <c r="W333" s="1096">
        <f t="shared" si="24"/>
        <v>-12000000000000</v>
      </c>
      <c r="X333" s="882">
        <f t="shared" si="27"/>
        <v>-12000000</v>
      </c>
      <c r="Y333" s="910">
        <f t="shared" si="25"/>
        <v>0</v>
      </c>
    </row>
    <row r="334" spans="1:25" ht="27" customHeight="1">
      <c r="A334" s="583"/>
      <c r="B334" s="583">
        <v>10040</v>
      </c>
      <c r="C334" s="581">
        <v>4</v>
      </c>
      <c r="D334" s="1137" t="s">
        <v>1345</v>
      </c>
      <c r="E334" s="1138" t="s">
        <v>1346</v>
      </c>
      <c r="F334" s="599"/>
      <c r="G334" s="599"/>
      <c r="H334" s="599"/>
      <c r="I334" s="599"/>
      <c r="J334" s="599"/>
      <c r="K334" s="599"/>
      <c r="L334" s="599"/>
      <c r="M334" s="599"/>
      <c r="N334" s="599"/>
      <c r="O334" s="599"/>
      <c r="P334" s="599"/>
      <c r="Q334" s="1096">
        <f t="shared" si="26"/>
        <v>0</v>
      </c>
      <c r="R334" s="599">
        <v>0</v>
      </c>
      <c r="S334" s="1096">
        <f t="shared" si="23"/>
        <v>0</v>
      </c>
      <c r="T334" s="599">
        <f t="shared" si="23"/>
        <v>0</v>
      </c>
      <c r="U334" s="620"/>
      <c r="V334" s="621"/>
      <c r="W334" s="1096">
        <f t="shared" si="24"/>
        <v>0</v>
      </c>
      <c r="X334" s="882">
        <f t="shared" si="27"/>
        <v>0</v>
      </c>
      <c r="Y334" s="910">
        <f t="shared" si="25"/>
        <v>0</v>
      </c>
    </row>
    <row r="335" spans="1:25" ht="27" customHeight="1">
      <c r="A335" s="583"/>
      <c r="B335" s="583">
        <v>1401</v>
      </c>
      <c r="C335" s="581">
        <v>13</v>
      </c>
      <c r="D335" s="1137" t="s">
        <v>329</v>
      </c>
      <c r="E335" s="1138" t="s">
        <v>330</v>
      </c>
      <c r="F335" s="599">
        <v>-500000</v>
      </c>
      <c r="G335" s="599"/>
      <c r="H335" s="599"/>
      <c r="I335" s="599"/>
      <c r="J335" s="599"/>
      <c r="K335" s="599"/>
      <c r="L335" s="599"/>
      <c r="M335" s="599"/>
      <c r="N335" s="599"/>
      <c r="O335" s="599"/>
      <c r="P335" s="599"/>
      <c r="Q335" s="1096">
        <f t="shared" si="26"/>
        <v>-500000</v>
      </c>
      <c r="R335" s="599">
        <v>-500000</v>
      </c>
      <c r="S335" s="1096">
        <f t="shared" si="23"/>
        <v>-1</v>
      </c>
      <c r="T335" s="599">
        <f t="shared" si="23"/>
        <v>-1</v>
      </c>
      <c r="U335" s="620"/>
      <c r="V335" s="621"/>
      <c r="W335" s="1096">
        <f t="shared" si="24"/>
        <v>-500000</v>
      </c>
      <c r="X335" s="882">
        <f t="shared" si="27"/>
        <v>-1</v>
      </c>
      <c r="Y335" s="910">
        <f t="shared" si="25"/>
        <v>0</v>
      </c>
    </row>
    <row r="336" spans="1:25" ht="27" customHeight="1">
      <c r="A336" s="583"/>
      <c r="B336" s="583">
        <v>1402</v>
      </c>
      <c r="C336" s="581">
        <v>13</v>
      </c>
      <c r="D336" s="1137" t="s">
        <v>331</v>
      </c>
      <c r="E336" s="1138" t="s">
        <v>332</v>
      </c>
      <c r="F336" s="599">
        <v>-2735500000</v>
      </c>
      <c r="G336" s="599"/>
      <c r="H336" s="599"/>
      <c r="I336" s="599"/>
      <c r="J336" s="599"/>
      <c r="K336" s="599"/>
      <c r="L336" s="599"/>
      <c r="M336" s="599"/>
      <c r="N336" s="599"/>
      <c r="O336" s="599"/>
      <c r="P336" s="599"/>
      <c r="Q336" s="1096">
        <f t="shared" si="26"/>
        <v>-2735500000</v>
      </c>
      <c r="R336" s="599">
        <v>-2735500000</v>
      </c>
      <c r="S336" s="1096">
        <f t="shared" si="23"/>
        <v>-2736</v>
      </c>
      <c r="T336" s="599">
        <f t="shared" si="23"/>
        <v>-2736</v>
      </c>
      <c r="U336" s="620"/>
      <c r="V336" s="621"/>
      <c r="W336" s="1096">
        <f t="shared" si="24"/>
        <v>-2735500000</v>
      </c>
      <c r="X336" s="882">
        <f t="shared" si="27"/>
        <v>-2736</v>
      </c>
      <c r="Y336" s="910">
        <f t="shared" si="25"/>
        <v>0</v>
      </c>
    </row>
    <row r="337" spans="1:25" ht="27" customHeight="1">
      <c r="A337" s="583"/>
      <c r="B337" s="583">
        <v>406</v>
      </c>
      <c r="C337" s="581">
        <v>4</v>
      </c>
      <c r="D337" s="1137" t="s">
        <v>1211</v>
      </c>
      <c r="E337" s="1138" t="s">
        <v>1165</v>
      </c>
      <c r="F337" s="599"/>
      <c r="G337" s="599"/>
      <c r="H337" s="599"/>
      <c r="I337" s="599"/>
      <c r="J337" s="599"/>
      <c r="K337" s="599"/>
      <c r="L337" s="599"/>
      <c r="M337" s="599"/>
      <c r="N337" s="599"/>
      <c r="O337" s="599"/>
      <c r="P337" s="599"/>
      <c r="Q337" s="1096">
        <f t="shared" si="26"/>
        <v>0</v>
      </c>
      <c r="R337" s="599">
        <v>0</v>
      </c>
      <c r="S337" s="1096">
        <f t="shared" si="23"/>
        <v>0</v>
      </c>
      <c r="T337" s="599">
        <f t="shared" si="23"/>
        <v>0</v>
      </c>
      <c r="U337" s="620"/>
      <c r="V337" s="621"/>
      <c r="W337" s="1096">
        <f t="shared" si="24"/>
        <v>0</v>
      </c>
      <c r="X337" s="882">
        <f t="shared" si="27"/>
        <v>0</v>
      </c>
      <c r="Y337" s="910">
        <f t="shared" si="25"/>
        <v>0</v>
      </c>
    </row>
    <row r="338" spans="1:25" ht="27" customHeight="1">
      <c r="A338" s="583"/>
      <c r="B338" s="583">
        <v>901</v>
      </c>
      <c r="C338" s="581">
        <v>9</v>
      </c>
      <c r="D338" s="1137" t="s">
        <v>112</v>
      </c>
      <c r="E338" s="1138" t="s">
        <v>113</v>
      </c>
      <c r="F338" s="599">
        <v>2178360659596</v>
      </c>
      <c r="G338" s="599"/>
      <c r="H338" s="599">
        <v>129596715326</v>
      </c>
      <c r="I338" s="599"/>
      <c r="J338" s="599">
        <v>3614896250</v>
      </c>
      <c r="K338" s="599"/>
      <c r="L338" s="599"/>
      <c r="M338" s="599"/>
      <c r="N338" s="599"/>
      <c r="O338" s="599"/>
      <c r="P338" s="599"/>
      <c r="Q338" s="1096">
        <f t="shared" si="26"/>
        <v>2311572271172</v>
      </c>
      <c r="R338" s="599">
        <v>2161542801496</v>
      </c>
      <c r="S338" s="1096">
        <f t="shared" si="23"/>
        <v>2311572</v>
      </c>
      <c r="T338" s="599">
        <f t="shared" si="23"/>
        <v>2161543</v>
      </c>
      <c r="U338" s="620"/>
      <c r="V338" s="621"/>
      <c r="W338" s="1096">
        <f t="shared" si="24"/>
        <v>2311572271172</v>
      </c>
      <c r="X338" s="882">
        <f t="shared" si="27"/>
        <v>2311572</v>
      </c>
      <c r="Y338" s="910">
        <f t="shared" si="25"/>
        <v>0</v>
      </c>
    </row>
    <row r="339" spans="1:25" ht="27" customHeight="1">
      <c r="A339" s="583"/>
      <c r="B339" s="583">
        <v>902</v>
      </c>
      <c r="C339" s="581">
        <v>9</v>
      </c>
      <c r="D339" s="1137" t="s">
        <v>114</v>
      </c>
      <c r="E339" s="1138" t="s">
        <v>921</v>
      </c>
      <c r="F339" s="599">
        <v>30124621893061</v>
      </c>
      <c r="G339" s="599">
        <v>35104602664</v>
      </c>
      <c r="H339" s="599">
        <v>840243870436</v>
      </c>
      <c r="I339" s="599">
        <v>56011623645</v>
      </c>
      <c r="J339" s="599"/>
      <c r="K339" s="599"/>
      <c r="L339" s="599"/>
      <c r="M339" s="599"/>
      <c r="N339" s="599"/>
      <c r="O339" s="599"/>
      <c r="P339" s="599"/>
      <c r="Q339" s="1096">
        <f t="shared" si="26"/>
        <v>31055981989806</v>
      </c>
      <c r="R339" s="599">
        <v>29871357326135</v>
      </c>
      <c r="S339" s="1096">
        <f>ROUND((Q339/1000000),0)</f>
        <v>31055982</v>
      </c>
      <c r="T339" s="599">
        <f t="shared" si="23"/>
        <v>29871357</v>
      </c>
      <c r="U339" s="620"/>
      <c r="V339" s="621"/>
      <c r="W339" s="1096">
        <f t="shared" si="24"/>
        <v>31055981989806</v>
      </c>
      <c r="X339" s="882">
        <f t="shared" si="27"/>
        <v>31055982</v>
      </c>
      <c r="Y339" s="910">
        <f t="shared" si="25"/>
        <v>0</v>
      </c>
    </row>
    <row r="340" spans="1:25" ht="27" customHeight="1">
      <c r="A340" s="583"/>
      <c r="B340" s="583">
        <v>902</v>
      </c>
      <c r="C340" s="581">
        <v>9</v>
      </c>
      <c r="D340" s="1137" t="s">
        <v>1666</v>
      </c>
      <c r="E340" s="1138" t="s">
        <v>1645</v>
      </c>
      <c r="F340" s="599"/>
      <c r="G340" s="599"/>
      <c r="H340" s="599"/>
      <c r="I340" s="599"/>
      <c r="J340" s="599"/>
      <c r="K340" s="599"/>
      <c r="L340" s="599"/>
      <c r="M340" s="599"/>
      <c r="N340" s="599"/>
      <c r="O340" s="599"/>
      <c r="P340" s="599"/>
      <c r="Q340" s="1096">
        <f t="shared" si="26"/>
        <v>0</v>
      </c>
      <c r="R340" s="599">
        <v>0</v>
      </c>
      <c r="S340" s="1096">
        <f t="shared" si="23"/>
        <v>0</v>
      </c>
      <c r="T340" s="599">
        <f t="shared" si="23"/>
        <v>0</v>
      </c>
      <c r="U340" s="620"/>
      <c r="V340" s="621"/>
      <c r="W340" s="1096">
        <f t="shared" si="24"/>
        <v>0</v>
      </c>
      <c r="X340" s="882">
        <f t="shared" si="27"/>
        <v>0</v>
      </c>
      <c r="Y340" s="910">
        <f t="shared" si="25"/>
        <v>0</v>
      </c>
    </row>
    <row r="341" spans="1:25" ht="27" customHeight="1">
      <c r="A341" s="583"/>
      <c r="B341" s="583"/>
      <c r="C341" s="581">
        <v>8</v>
      </c>
      <c r="D341" s="1137" t="s">
        <v>667</v>
      </c>
      <c r="E341" s="1138" t="s">
        <v>666</v>
      </c>
      <c r="F341" s="599">
        <v>8557763010</v>
      </c>
      <c r="G341" s="599"/>
      <c r="H341" s="599"/>
      <c r="I341" s="599"/>
      <c r="J341" s="599"/>
      <c r="K341" s="599"/>
      <c r="L341" s="599"/>
      <c r="M341" s="599"/>
      <c r="N341" s="599"/>
      <c r="O341" s="599"/>
      <c r="P341" s="599"/>
      <c r="Q341" s="1096">
        <f t="shared" si="26"/>
        <v>8557763010</v>
      </c>
      <c r="R341" s="599">
        <v>8557763010</v>
      </c>
      <c r="S341" s="1096">
        <f t="shared" si="23"/>
        <v>8558</v>
      </c>
      <c r="T341" s="599">
        <f t="shared" si="23"/>
        <v>8558</v>
      </c>
      <c r="U341" s="620"/>
      <c r="V341" s="621"/>
      <c r="W341" s="1096">
        <f t="shared" si="24"/>
        <v>8557763010</v>
      </c>
      <c r="X341" s="882">
        <f t="shared" si="27"/>
        <v>8558</v>
      </c>
      <c r="Y341" s="910">
        <f t="shared" si="25"/>
        <v>0</v>
      </c>
    </row>
    <row r="342" spans="1:25" ht="27" customHeight="1">
      <c r="A342" s="583"/>
      <c r="B342" s="583">
        <v>903</v>
      </c>
      <c r="C342" s="581">
        <v>9</v>
      </c>
      <c r="D342" s="1137" t="s">
        <v>105</v>
      </c>
      <c r="E342" s="1138" t="s">
        <v>914</v>
      </c>
      <c r="F342" s="599">
        <v>1167462128586</v>
      </c>
      <c r="G342" s="599"/>
      <c r="H342" s="599"/>
      <c r="I342" s="599">
        <v>107158252481</v>
      </c>
      <c r="J342" s="599"/>
      <c r="K342" s="599">
        <v>-40158691</v>
      </c>
      <c r="L342" s="599"/>
      <c r="M342" s="599"/>
      <c r="N342" s="599"/>
      <c r="O342" s="599"/>
      <c r="P342" s="599"/>
      <c r="Q342" s="1096">
        <f t="shared" si="26"/>
        <v>1274580222376</v>
      </c>
      <c r="R342" s="599">
        <v>1170578607678</v>
      </c>
      <c r="S342" s="1096">
        <f t="shared" si="23"/>
        <v>1274580</v>
      </c>
      <c r="T342" s="599">
        <f t="shared" si="23"/>
        <v>1170579</v>
      </c>
      <c r="U342" s="620"/>
      <c r="V342" s="621"/>
      <c r="W342" s="1096">
        <f t="shared" si="24"/>
        <v>1274580222376</v>
      </c>
      <c r="X342" s="882">
        <f t="shared" si="27"/>
        <v>1274580</v>
      </c>
      <c r="Y342" s="910">
        <f t="shared" si="25"/>
        <v>0</v>
      </c>
    </row>
    <row r="343" spans="1:25" ht="27" customHeight="1">
      <c r="A343" s="583"/>
      <c r="B343" s="583">
        <v>903</v>
      </c>
      <c r="C343" s="581">
        <v>9</v>
      </c>
      <c r="D343" s="1137" t="s">
        <v>1108</v>
      </c>
      <c r="E343" s="1138" t="s">
        <v>1109</v>
      </c>
      <c r="F343" s="599">
        <v>90931334883</v>
      </c>
      <c r="G343" s="599">
        <v>9956711197</v>
      </c>
      <c r="H343" s="599">
        <v>3759666067</v>
      </c>
      <c r="I343" s="599">
        <v>-104647712147</v>
      </c>
      <c r="J343" s="599"/>
      <c r="K343" s="599"/>
      <c r="L343" s="599"/>
      <c r="M343" s="599"/>
      <c r="N343" s="599"/>
      <c r="O343" s="599"/>
      <c r="P343" s="599"/>
      <c r="Q343" s="1096">
        <f t="shared" si="26"/>
        <v>0</v>
      </c>
      <c r="R343" s="599">
        <v>0</v>
      </c>
      <c r="S343" s="1096">
        <f t="shared" si="23"/>
        <v>0</v>
      </c>
      <c r="T343" s="599">
        <f t="shared" si="23"/>
        <v>0</v>
      </c>
      <c r="U343" s="620"/>
      <c r="V343" s="621"/>
      <c r="W343" s="1096">
        <f t="shared" si="24"/>
        <v>0</v>
      </c>
      <c r="X343" s="882">
        <f t="shared" si="27"/>
        <v>0</v>
      </c>
      <c r="Y343" s="910">
        <f t="shared" si="25"/>
        <v>0</v>
      </c>
    </row>
    <row r="344" spans="1:25" ht="27" customHeight="1">
      <c r="A344" s="583"/>
      <c r="B344" s="583">
        <v>903</v>
      </c>
      <c r="C344" s="581">
        <v>9</v>
      </c>
      <c r="D344" s="1137" t="s">
        <v>1110</v>
      </c>
      <c r="E344" s="1138" t="s">
        <v>1111</v>
      </c>
      <c r="F344" s="599">
        <v>-5083316691</v>
      </c>
      <c r="G344" s="599">
        <v>-45871049</v>
      </c>
      <c r="H344" s="599">
        <v>-2160000</v>
      </c>
      <c r="I344" s="599">
        <v>5131347740</v>
      </c>
      <c r="J344" s="599"/>
      <c r="K344" s="599"/>
      <c r="L344" s="599"/>
      <c r="M344" s="599"/>
      <c r="N344" s="599"/>
      <c r="O344" s="599"/>
      <c r="P344" s="599"/>
      <c r="Q344" s="1096">
        <f t="shared" si="26"/>
        <v>0</v>
      </c>
      <c r="R344" s="599">
        <v>0</v>
      </c>
      <c r="S344" s="1096">
        <f t="shared" si="23"/>
        <v>0</v>
      </c>
      <c r="T344" s="599">
        <f t="shared" si="23"/>
        <v>0</v>
      </c>
      <c r="U344" s="620"/>
      <c r="V344" s="621"/>
      <c r="W344" s="1096">
        <f t="shared" si="24"/>
        <v>0</v>
      </c>
      <c r="X344" s="882">
        <f t="shared" si="27"/>
        <v>0</v>
      </c>
      <c r="Y344" s="910">
        <f t="shared" si="25"/>
        <v>0</v>
      </c>
    </row>
    <row r="345" spans="1:25" ht="27" customHeight="1">
      <c r="A345" s="583"/>
      <c r="B345" s="583">
        <v>903</v>
      </c>
      <c r="C345" s="581">
        <v>9</v>
      </c>
      <c r="D345" s="1137" t="s">
        <v>1612</v>
      </c>
      <c r="E345" s="1138" t="s">
        <v>1112</v>
      </c>
      <c r="F345" s="599"/>
      <c r="G345" s="599"/>
      <c r="H345" s="599"/>
      <c r="I345" s="599"/>
      <c r="J345" s="599"/>
      <c r="K345" s="599"/>
      <c r="L345" s="599"/>
      <c r="M345" s="599"/>
      <c r="N345" s="599"/>
      <c r="O345" s="599"/>
      <c r="P345" s="599"/>
      <c r="Q345" s="1096">
        <f t="shared" si="26"/>
        <v>0</v>
      </c>
      <c r="R345" s="599">
        <v>0</v>
      </c>
      <c r="S345" s="1096">
        <f t="shared" si="23"/>
        <v>0</v>
      </c>
      <c r="T345" s="599">
        <f t="shared" si="23"/>
        <v>0</v>
      </c>
      <c r="U345" s="620"/>
      <c r="V345" s="621"/>
      <c r="W345" s="1096">
        <f t="shared" si="24"/>
        <v>0</v>
      </c>
      <c r="X345" s="882">
        <f t="shared" si="27"/>
        <v>0</v>
      </c>
      <c r="Y345" s="910">
        <f t="shared" si="25"/>
        <v>0</v>
      </c>
    </row>
    <row r="346" spans="1:25" ht="27" customHeight="1">
      <c r="A346" s="583"/>
      <c r="B346" s="583">
        <v>905</v>
      </c>
      <c r="C346" s="581">
        <v>9</v>
      </c>
      <c r="D346" s="1137" t="s">
        <v>107</v>
      </c>
      <c r="E346" s="1138" t="s">
        <v>918</v>
      </c>
      <c r="F346" s="599">
        <v>636111125296</v>
      </c>
      <c r="G346" s="599"/>
      <c r="H346" s="599"/>
      <c r="I346" s="599">
        <v>10254548127</v>
      </c>
      <c r="J346" s="599"/>
      <c r="K346" s="599">
        <v>-531093766</v>
      </c>
      <c r="L346" s="599"/>
      <c r="M346" s="599"/>
      <c r="N346" s="599"/>
      <c r="O346" s="599"/>
      <c r="P346" s="599"/>
      <c r="Q346" s="1096">
        <f t="shared" si="26"/>
        <v>645834579657</v>
      </c>
      <c r="R346" s="599">
        <v>636111125296</v>
      </c>
      <c r="S346" s="1096">
        <f>ROUND((Q346/1000000),0)</f>
        <v>645835</v>
      </c>
      <c r="T346" s="599">
        <f t="shared" si="23"/>
        <v>636111</v>
      </c>
      <c r="U346" s="620"/>
      <c r="V346" s="621"/>
      <c r="W346" s="1096">
        <f t="shared" si="24"/>
        <v>645834579657</v>
      </c>
      <c r="X346" s="882">
        <f t="shared" si="27"/>
        <v>645835</v>
      </c>
      <c r="Y346" s="910">
        <f t="shared" si="25"/>
        <v>0</v>
      </c>
    </row>
    <row r="347" spans="1:25" ht="27" customHeight="1">
      <c r="A347" s="583"/>
      <c r="B347" s="583">
        <v>905</v>
      </c>
      <c r="C347" s="581">
        <v>9</v>
      </c>
      <c r="D347" s="1137" t="s">
        <v>1113</v>
      </c>
      <c r="E347" s="1138" t="s">
        <v>1114</v>
      </c>
      <c r="F347" s="599">
        <v>6293072650</v>
      </c>
      <c r="G347" s="599">
        <v>3402749000</v>
      </c>
      <c r="H347" s="599">
        <v>5378300309</v>
      </c>
      <c r="I347" s="599">
        <v>-15074121959</v>
      </c>
      <c r="J347" s="599"/>
      <c r="K347" s="599"/>
      <c r="L347" s="599"/>
      <c r="M347" s="599"/>
      <c r="N347" s="599"/>
      <c r="O347" s="599"/>
      <c r="P347" s="599"/>
      <c r="Q347" s="1096">
        <f t="shared" si="26"/>
        <v>0</v>
      </c>
      <c r="R347" s="599">
        <v>0</v>
      </c>
      <c r="S347" s="1096">
        <f t="shared" si="23"/>
        <v>0</v>
      </c>
      <c r="T347" s="599">
        <f t="shared" si="23"/>
        <v>0</v>
      </c>
      <c r="U347" s="620"/>
      <c r="V347" s="621"/>
      <c r="W347" s="1096">
        <f t="shared" si="24"/>
        <v>0</v>
      </c>
      <c r="X347" s="882">
        <f t="shared" si="27"/>
        <v>0</v>
      </c>
      <c r="Y347" s="910">
        <f t="shared" si="25"/>
        <v>0</v>
      </c>
    </row>
    <row r="348" spans="1:25" ht="27" customHeight="1">
      <c r="A348" s="583"/>
      <c r="B348" s="583">
        <v>905</v>
      </c>
      <c r="C348" s="581">
        <v>9</v>
      </c>
      <c r="D348" s="1137" t="s">
        <v>1116</v>
      </c>
      <c r="E348" s="1138" t="s">
        <v>1115</v>
      </c>
      <c r="F348" s="599">
        <v>-5305155232</v>
      </c>
      <c r="G348" s="599"/>
      <c r="H348" s="599"/>
      <c r="I348" s="599">
        <v>5305155232</v>
      </c>
      <c r="J348" s="599"/>
      <c r="K348" s="599"/>
      <c r="L348" s="599"/>
      <c r="M348" s="599"/>
      <c r="N348" s="599"/>
      <c r="O348" s="599"/>
      <c r="P348" s="599"/>
      <c r="Q348" s="1096">
        <f t="shared" si="26"/>
        <v>0</v>
      </c>
      <c r="R348" s="599">
        <v>0</v>
      </c>
      <c r="S348" s="1096">
        <f t="shared" si="23"/>
        <v>0</v>
      </c>
      <c r="T348" s="599">
        <f t="shared" si="23"/>
        <v>0</v>
      </c>
      <c r="U348" s="620"/>
      <c r="V348" s="621"/>
      <c r="W348" s="1096">
        <f t="shared" si="24"/>
        <v>0</v>
      </c>
      <c r="X348" s="882">
        <f t="shared" si="27"/>
        <v>0</v>
      </c>
      <c r="Y348" s="910">
        <f t="shared" si="25"/>
        <v>0</v>
      </c>
    </row>
    <row r="349" spans="1:25" ht="27" customHeight="1">
      <c r="A349" s="583"/>
      <c r="B349" s="583"/>
      <c r="C349" s="581">
        <v>9</v>
      </c>
      <c r="D349" s="1137" t="s">
        <v>1018</v>
      </c>
      <c r="E349" s="1138" t="s">
        <v>1019</v>
      </c>
      <c r="F349" s="599"/>
      <c r="G349" s="599"/>
      <c r="H349" s="599"/>
      <c r="I349" s="599"/>
      <c r="J349" s="599"/>
      <c r="K349" s="599"/>
      <c r="L349" s="599"/>
      <c r="M349" s="599"/>
      <c r="N349" s="599"/>
      <c r="O349" s="599"/>
      <c r="P349" s="599"/>
      <c r="Q349" s="1096">
        <f t="shared" si="26"/>
        <v>0</v>
      </c>
      <c r="R349" s="599">
        <v>0</v>
      </c>
      <c r="S349" s="1096">
        <f t="shared" si="23"/>
        <v>0</v>
      </c>
      <c r="T349" s="599">
        <f t="shared" si="23"/>
        <v>0</v>
      </c>
      <c r="U349" s="620"/>
      <c r="V349" s="621"/>
      <c r="W349" s="1096">
        <f t="shared" si="24"/>
        <v>0</v>
      </c>
      <c r="X349" s="882">
        <f t="shared" si="27"/>
        <v>0</v>
      </c>
      <c r="Y349" s="910">
        <f t="shared" si="25"/>
        <v>0</v>
      </c>
    </row>
    <row r="350" spans="1:25" ht="27" customHeight="1">
      <c r="A350" s="583"/>
      <c r="B350" s="583"/>
      <c r="C350" s="581">
        <v>9</v>
      </c>
      <c r="D350" s="1137" t="s">
        <v>1198</v>
      </c>
      <c r="E350" s="1138" t="s">
        <v>1199</v>
      </c>
      <c r="F350" s="599"/>
      <c r="G350" s="599"/>
      <c r="H350" s="599"/>
      <c r="I350" s="599"/>
      <c r="J350" s="599"/>
      <c r="K350" s="599"/>
      <c r="L350" s="599"/>
      <c r="M350" s="599"/>
      <c r="N350" s="599"/>
      <c r="O350" s="599"/>
      <c r="P350" s="599"/>
      <c r="Q350" s="1096">
        <f t="shared" si="26"/>
        <v>0</v>
      </c>
      <c r="R350" s="599">
        <v>0</v>
      </c>
      <c r="S350" s="1096">
        <f t="shared" si="23"/>
        <v>0</v>
      </c>
      <c r="T350" s="599">
        <f t="shared" si="23"/>
        <v>0</v>
      </c>
      <c r="U350" s="620"/>
      <c r="V350" s="621"/>
      <c r="W350" s="1096">
        <f t="shared" si="24"/>
        <v>0</v>
      </c>
      <c r="X350" s="882">
        <f t="shared" si="27"/>
        <v>0</v>
      </c>
      <c r="Y350" s="910">
        <f t="shared" si="25"/>
        <v>0</v>
      </c>
    </row>
    <row r="351" spans="1:25" ht="27" customHeight="1">
      <c r="A351" s="583"/>
      <c r="B351" s="583">
        <v>904</v>
      </c>
      <c r="C351" s="581">
        <v>9</v>
      </c>
      <c r="D351" s="1137" t="s">
        <v>149</v>
      </c>
      <c r="E351" s="1138" t="s">
        <v>916</v>
      </c>
      <c r="F351" s="599">
        <v>321543820079</v>
      </c>
      <c r="G351" s="599"/>
      <c r="H351" s="599">
        <v>-465345743</v>
      </c>
      <c r="I351" s="599">
        <v>48875321313</v>
      </c>
      <c r="J351" s="599">
        <v>135000000</v>
      </c>
      <c r="K351" s="599">
        <v>-15000000</v>
      </c>
      <c r="L351" s="599"/>
      <c r="M351" s="599"/>
      <c r="N351" s="599"/>
      <c r="O351" s="599"/>
      <c r="P351" s="599"/>
      <c r="Q351" s="1096">
        <f t="shared" si="26"/>
        <v>370073795649</v>
      </c>
      <c r="R351" s="599">
        <v>321543820079</v>
      </c>
      <c r="S351" s="1096">
        <f t="shared" si="23"/>
        <v>370074</v>
      </c>
      <c r="T351" s="599">
        <f t="shared" si="23"/>
        <v>321544</v>
      </c>
      <c r="U351" s="620"/>
      <c r="V351" s="621"/>
      <c r="W351" s="1096">
        <f t="shared" si="24"/>
        <v>370073795649</v>
      </c>
      <c r="X351" s="882">
        <f t="shared" si="27"/>
        <v>370074</v>
      </c>
      <c r="Y351" s="910">
        <f t="shared" si="25"/>
        <v>0</v>
      </c>
    </row>
    <row r="352" spans="1:25" ht="27" customHeight="1">
      <c r="A352" s="583"/>
      <c r="B352" s="583">
        <v>904</v>
      </c>
      <c r="C352" s="581">
        <v>9</v>
      </c>
      <c r="D352" s="1137" t="s">
        <v>1117</v>
      </c>
      <c r="E352" s="1138" t="s">
        <v>1120</v>
      </c>
      <c r="F352" s="599">
        <v>27281005394</v>
      </c>
      <c r="G352" s="599">
        <v>19666337576</v>
      </c>
      <c r="H352" s="599">
        <v>1489212000</v>
      </c>
      <c r="I352" s="599">
        <v>-48436554970</v>
      </c>
      <c r="J352" s="599"/>
      <c r="K352" s="599"/>
      <c r="L352" s="599"/>
      <c r="M352" s="599"/>
      <c r="N352" s="599"/>
      <c r="O352" s="599"/>
      <c r="P352" s="599"/>
      <c r="Q352" s="1096">
        <f t="shared" si="26"/>
        <v>0</v>
      </c>
      <c r="R352" s="599">
        <v>0</v>
      </c>
      <c r="S352" s="1096">
        <f t="shared" si="23"/>
        <v>0</v>
      </c>
      <c r="T352" s="599">
        <f t="shared" si="23"/>
        <v>0</v>
      </c>
      <c r="U352" s="620"/>
      <c r="V352" s="621"/>
      <c r="W352" s="1096">
        <f t="shared" si="24"/>
        <v>0</v>
      </c>
      <c r="X352" s="882">
        <f t="shared" si="27"/>
        <v>0</v>
      </c>
      <c r="Y352" s="910">
        <f t="shared" si="25"/>
        <v>0</v>
      </c>
    </row>
    <row r="353" spans="1:25" ht="27" customHeight="1">
      <c r="A353" s="583"/>
      <c r="B353" s="583">
        <v>904</v>
      </c>
      <c r="C353" s="581">
        <v>9</v>
      </c>
      <c r="D353" s="1137" t="s">
        <v>1118</v>
      </c>
      <c r="E353" s="1138" t="s">
        <v>1121</v>
      </c>
      <c r="F353" s="599">
        <v>-906419953</v>
      </c>
      <c r="G353" s="599">
        <v>0</v>
      </c>
      <c r="H353" s="599"/>
      <c r="I353" s="599">
        <v>906419953</v>
      </c>
      <c r="J353" s="599"/>
      <c r="K353" s="599"/>
      <c r="L353" s="599"/>
      <c r="M353" s="599"/>
      <c r="N353" s="599"/>
      <c r="O353" s="599"/>
      <c r="P353" s="599"/>
      <c r="Q353" s="1096">
        <f t="shared" si="26"/>
        <v>0</v>
      </c>
      <c r="R353" s="599">
        <v>0</v>
      </c>
      <c r="S353" s="1096">
        <f t="shared" si="23"/>
        <v>0</v>
      </c>
      <c r="T353" s="599">
        <f t="shared" si="23"/>
        <v>0</v>
      </c>
      <c r="U353" s="620"/>
      <c r="V353" s="621"/>
      <c r="W353" s="1096">
        <f t="shared" si="24"/>
        <v>0</v>
      </c>
      <c r="X353" s="882">
        <f t="shared" si="27"/>
        <v>0</v>
      </c>
      <c r="Y353" s="910">
        <f t="shared" si="25"/>
        <v>0</v>
      </c>
    </row>
    <row r="354" spans="1:25" ht="27" customHeight="1">
      <c r="A354" s="583"/>
      <c r="B354" s="583">
        <v>904</v>
      </c>
      <c r="C354" s="581">
        <v>9</v>
      </c>
      <c r="D354" s="1137" t="s">
        <v>1119</v>
      </c>
      <c r="E354" s="1138" t="s">
        <v>1122</v>
      </c>
      <c r="F354" s="599"/>
      <c r="G354" s="599"/>
      <c r="H354" s="599"/>
      <c r="I354" s="599"/>
      <c r="J354" s="599"/>
      <c r="K354" s="599"/>
      <c r="L354" s="599"/>
      <c r="M354" s="599"/>
      <c r="N354" s="599"/>
      <c r="O354" s="599"/>
      <c r="P354" s="599"/>
      <c r="Q354" s="1096">
        <f t="shared" si="26"/>
        <v>0</v>
      </c>
      <c r="R354" s="599">
        <v>0</v>
      </c>
      <c r="S354" s="1096">
        <f t="shared" ref="S354:T399" si="28">ROUND((Q354/1000000),0)</f>
        <v>0</v>
      </c>
      <c r="T354" s="599">
        <f t="shared" si="28"/>
        <v>0</v>
      </c>
      <c r="U354" s="620"/>
      <c r="V354" s="621"/>
      <c r="W354" s="1096">
        <f t="shared" si="24"/>
        <v>0</v>
      </c>
      <c r="X354" s="882">
        <f t="shared" si="27"/>
        <v>0</v>
      </c>
      <c r="Y354" s="910">
        <f t="shared" si="25"/>
        <v>0</v>
      </c>
    </row>
    <row r="355" spans="1:25" ht="27" customHeight="1">
      <c r="A355" s="583"/>
      <c r="B355" s="583"/>
      <c r="C355" s="581">
        <v>9</v>
      </c>
      <c r="D355" s="1137" t="s">
        <v>1020</v>
      </c>
      <c r="E355" s="1138" t="s">
        <v>1021</v>
      </c>
      <c r="F355" s="599">
        <v>1436100945</v>
      </c>
      <c r="G355" s="599">
        <v>630182446</v>
      </c>
      <c r="H355" s="599">
        <v>-2066283391</v>
      </c>
      <c r="I355" s="599"/>
      <c r="J355" s="599"/>
      <c r="K355" s="599"/>
      <c r="L355" s="599"/>
      <c r="M355" s="599"/>
      <c r="N355" s="599"/>
      <c r="O355" s="599"/>
      <c r="P355" s="599"/>
      <c r="Q355" s="1096">
        <f t="shared" si="26"/>
        <v>0</v>
      </c>
      <c r="R355" s="599">
        <v>0</v>
      </c>
      <c r="S355" s="1096">
        <f t="shared" si="28"/>
        <v>0</v>
      </c>
      <c r="T355" s="599">
        <f t="shared" si="28"/>
        <v>0</v>
      </c>
      <c r="U355" s="620"/>
      <c r="V355" s="621"/>
      <c r="W355" s="1096">
        <f t="shared" ref="W355:W421" si="29">Q355+V355-U355</f>
        <v>0</v>
      </c>
      <c r="X355" s="882">
        <f t="shared" si="27"/>
        <v>0</v>
      </c>
      <c r="Y355" s="910">
        <f t="shared" si="25"/>
        <v>0</v>
      </c>
    </row>
    <row r="356" spans="1:25" ht="27" customHeight="1">
      <c r="A356" s="583"/>
      <c r="B356" s="583">
        <v>902</v>
      </c>
      <c r="C356" s="581">
        <v>9</v>
      </c>
      <c r="D356" s="1137" t="s">
        <v>1010</v>
      </c>
      <c r="E356" s="1138" t="s">
        <v>1011</v>
      </c>
      <c r="F356" s="599">
        <v>-1723867932536</v>
      </c>
      <c r="G356" s="599">
        <v>-11146263206</v>
      </c>
      <c r="H356" s="599">
        <v>-9402940833</v>
      </c>
      <c r="I356" s="599">
        <v>1744417136575</v>
      </c>
      <c r="J356" s="599"/>
      <c r="K356" s="599"/>
      <c r="L356" s="599"/>
      <c r="M356" s="599"/>
      <c r="N356" s="599"/>
      <c r="O356" s="599"/>
      <c r="P356" s="599"/>
      <c r="Q356" s="1096">
        <f t="shared" si="26"/>
        <v>0</v>
      </c>
      <c r="R356" s="599">
        <v>0</v>
      </c>
      <c r="S356" s="1096">
        <f t="shared" si="28"/>
        <v>0</v>
      </c>
      <c r="T356" s="599">
        <f t="shared" si="28"/>
        <v>0</v>
      </c>
      <c r="U356" s="620"/>
      <c r="V356" s="621"/>
      <c r="W356" s="1096">
        <f t="shared" si="29"/>
        <v>0</v>
      </c>
      <c r="X356" s="882">
        <f t="shared" si="27"/>
        <v>0</v>
      </c>
      <c r="Y356" s="910">
        <f t="shared" si="25"/>
        <v>0</v>
      </c>
    </row>
    <row r="357" spans="1:25" ht="27" customHeight="1">
      <c r="A357" s="583"/>
      <c r="B357" s="583"/>
      <c r="C357" s="581">
        <v>9</v>
      </c>
      <c r="D357" s="1137" t="s">
        <v>1667</v>
      </c>
      <c r="E357" s="1138" t="s">
        <v>1252</v>
      </c>
      <c r="F357" s="599"/>
      <c r="G357" s="599"/>
      <c r="H357" s="599"/>
      <c r="I357" s="599"/>
      <c r="J357" s="599"/>
      <c r="K357" s="599"/>
      <c r="L357" s="599"/>
      <c r="M357" s="599"/>
      <c r="N357" s="599"/>
      <c r="O357" s="599"/>
      <c r="P357" s="599"/>
      <c r="Q357" s="1096">
        <f t="shared" si="26"/>
        <v>0</v>
      </c>
      <c r="R357" s="599">
        <v>0</v>
      </c>
      <c r="S357" s="1096">
        <f t="shared" si="28"/>
        <v>0</v>
      </c>
      <c r="T357" s="599">
        <f t="shared" si="28"/>
        <v>0</v>
      </c>
      <c r="U357" s="620"/>
      <c r="V357" s="621"/>
      <c r="W357" s="1096">
        <f t="shared" si="29"/>
        <v>0</v>
      </c>
      <c r="X357" s="882">
        <f t="shared" si="27"/>
        <v>0</v>
      </c>
      <c r="Y357" s="910">
        <f t="shared" si="25"/>
        <v>0</v>
      </c>
    </row>
    <row r="358" spans="1:25" ht="27" customHeight="1">
      <c r="A358" s="583"/>
      <c r="B358" s="583"/>
      <c r="C358" s="581">
        <v>9</v>
      </c>
      <c r="D358" s="1137" t="s">
        <v>1253</v>
      </c>
      <c r="E358" s="1138" t="s">
        <v>1252</v>
      </c>
      <c r="F358" s="599">
        <v>-3065148</v>
      </c>
      <c r="G358" s="599"/>
      <c r="H358" s="599"/>
      <c r="I358" s="599">
        <v>3065148</v>
      </c>
      <c r="J358" s="599"/>
      <c r="K358" s="599"/>
      <c r="L358" s="599"/>
      <c r="M358" s="599"/>
      <c r="N358" s="599"/>
      <c r="O358" s="599"/>
      <c r="P358" s="599"/>
      <c r="Q358" s="1096">
        <f t="shared" si="26"/>
        <v>0</v>
      </c>
      <c r="R358" s="599">
        <v>0</v>
      </c>
      <c r="S358" s="1096">
        <f t="shared" si="28"/>
        <v>0</v>
      </c>
      <c r="T358" s="599">
        <f t="shared" si="28"/>
        <v>0</v>
      </c>
      <c r="U358" s="620"/>
      <c r="V358" s="621"/>
      <c r="W358" s="1096">
        <f t="shared" si="29"/>
        <v>0</v>
      </c>
      <c r="X358" s="882">
        <f t="shared" si="27"/>
        <v>0</v>
      </c>
      <c r="Y358" s="910">
        <f t="shared" si="25"/>
        <v>0</v>
      </c>
    </row>
    <row r="359" spans="1:25" ht="27" customHeight="1">
      <c r="A359" s="583"/>
      <c r="B359" s="583">
        <v>902</v>
      </c>
      <c r="C359" s="581">
        <v>9</v>
      </c>
      <c r="D359" s="1137" t="s">
        <v>1123</v>
      </c>
      <c r="E359" s="1138" t="s">
        <v>1124</v>
      </c>
      <c r="F359" s="599">
        <v>-52636830546</v>
      </c>
      <c r="G359" s="599"/>
      <c r="H359" s="599">
        <v>-58096113372</v>
      </c>
      <c r="I359" s="599">
        <v>110732943918</v>
      </c>
      <c r="J359" s="599"/>
      <c r="K359" s="599"/>
      <c r="L359" s="599"/>
      <c r="M359" s="599"/>
      <c r="N359" s="599"/>
      <c r="O359" s="599"/>
      <c r="P359" s="599"/>
      <c r="Q359" s="1096">
        <f t="shared" si="26"/>
        <v>0</v>
      </c>
      <c r="R359" s="599">
        <v>0</v>
      </c>
      <c r="S359" s="1096">
        <f t="shared" si="28"/>
        <v>0</v>
      </c>
      <c r="T359" s="599">
        <f t="shared" si="28"/>
        <v>0</v>
      </c>
      <c r="U359" s="620"/>
      <c r="V359" s="621"/>
      <c r="W359" s="1096">
        <f t="shared" si="29"/>
        <v>0</v>
      </c>
      <c r="X359" s="882">
        <f t="shared" si="27"/>
        <v>0</v>
      </c>
      <c r="Y359" s="910">
        <f t="shared" si="25"/>
        <v>0</v>
      </c>
    </row>
    <row r="360" spans="1:25" ht="27" customHeight="1">
      <c r="A360" s="583"/>
      <c r="B360" s="583"/>
      <c r="C360" s="581">
        <v>9</v>
      </c>
      <c r="D360" s="1137" t="s">
        <v>1254</v>
      </c>
      <c r="E360" s="1138" t="s">
        <v>1255</v>
      </c>
      <c r="F360" s="599"/>
      <c r="G360" s="599"/>
      <c r="H360" s="599"/>
      <c r="I360" s="599"/>
      <c r="J360" s="599"/>
      <c r="K360" s="599"/>
      <c r="L360" s="599"/>
      <c r="M360" s="599"/>
      <c r="N360" s="599"/>
      <c r="O360" s="599"/>
      <c r="P360" s="599"/>
      <c r="Q360" s="1096">
        <f t="shared" si="26"/>
        <v>0</v>
      </c>
      <c r="R360" s="599">
        <v>0</v>
      </c>
      <c r="S360" s="1096">
        <f t="shared" si="28"/>
        <v>0</v>
      </c>
      <c r="T360" s="599">
        <f t="shared" si="28"/>
        <v>0</v>
      </c>
      <c r="U360" s="620"/>
      <c r="V360" s="621"/>
      <c r="W360" s="1096">
        <f t="shared" si="29"/>
        <v>0</v>
      </c>
      <c r="X360" s="882">
        <f t="shared" si="27"/>
        <v>0</v>
      </c>
      <c r="Y360" s="910">
        <f t="shared" si="25"/>
        <v>0</v>
      </c>
    </row>
    <row r="361" spans="1:25" ht="27" customHeight="1">
      <c r="A361" s="583"/>
      <c r="B361" s="583">
        <v>902</v>
      </c>
      <c r="C361" s="581">
        <v>9</v>
      </c>
      <c r="D361" s="1137" t="s">
        <v>1125</v>
      </c>
      <c r="E361" s="1138" t="s">
        <v>1126</v>
      </c>
      <c r="F361" s="599">
        <v>-44459263583</v>
      </c>
      <c r="G361" s="599">
        <v>-219363014</v>
      </c>
      <c r="H361" s="599">
        <v>-234342017</v>
      </c>
      <c r="I361" s="599">
        <v>44912968614</v>
      </c>
      <c r="J361" s="599"/>
      <c r="K361" s="599"/>
      <c r="L361" s="599"/>
      <c r="M361" s="599"/>
      <c r="N361" s="599"/>
      <c r="O361" s="599"/>
      <c r="P361" s="599"/>
      <c r="Q361" s="1096">
        <f t="shared" si="26"/>
        <v>0</v>
      </c>
      <c r="R361" s="599">
        <v>0</v>
      </c>
      <c r="S361" s="1096">
        <f t="shared" si="28"/>
        <v>0</v>
      </c>
      <c r="T361" s="599">
        <f t="shared" si="28"/>
        <v>0</v>
      </c>
      <c r="U361" s="620"/>
      <c r="V361" s="621"/>
      <c r="W361" s="1096">
        <f t="shared" si="29"/>
        <v>0</v>
      </c>
      <c r="X361" s="882">
        <f t="shared" si="27"/>
        <v>0</v>
      </c>
      <c r="Y361" s="910">
        <f t="shared" si="25"/>
        <v>0</v>
      </c>
    </row>
    <row r="362" spans="1:25" ht="27" customHeight="1">
      <c r="A362" s="583"/>
      <c r="B362" s="583"/>
      <c r="C362" s="581">
        <v>9</v>
      </c>
      <c r="D362" s="1137" t="s">
        <v>1200</v>
      </c>
      <c r="E362" s="1138" t="s">
        <v>1201</v>
      </c>
      <c r="F362" s="599"/>
      <c r="G362" s="599"/>
      <c r="H362" s="599"/>
      <c r="I362" s="599"/>
      <c r="J362" s="599"/>
      <c r="K362" s="599"/>
      <c r="L362" s="599"/>
      <c r="M362" s="599"/>
      <c r="N362" s="599"/>
      <c r="O362" s="599"/>
      <c r="P362" s="599"/>
      <c r="Q362" s="1096">
        <f t="shared" si="26"/>
        <v>0</v>
      </c>
      <c r="R362" s="599">
        <v>0</v>
      </c>
      <c r="S362" s="1096">
        <f t="shared" si="28"/>
        <v>0</v>
      </c>
      <c r="T362" s="599">
        <f t="shared" si="28"/>
        <v>0</v>
      </c>
      <c r="U362" s="620"/>
      <c r="V362" s="621"/>
      <c r="W362" s="1096">
        <f t="shared" si="29"/>
        <v>0</v>
      </c>
      <c r="X362" s="882">
        <f t="shared" si="27"/>
        <v>0</v>
      </c>
      <c r="Y362" s="910">
        <f t="shared" si="25"/>
        <v>0</v>
      </c>
    </row>
    <row r="363" spans="1:25" ht="27" customHeight="1">
      <c r="A363" s="583"/>
      <c r="B363" s="583">
        <v>902</v>
      </c>
      <c r="C363" s="581">
        <v>9</v>
      </c>
      <c r="D363" s="1137" t="s">
        <v>151</v>
      </c>
      <c r="E363" s="1138" t="s">
        <v>915</v>
      </c>
      <c r="F363" s="599">
        <v>-20292975593684</v>
      </c>
      <c r="G363" s="599"/>
      <c r="H363" s="599">
        <v>-15660926</v>
      </c>
      <c r="I363" s="599">
        <v>-1474728602024</v>
      </c>
      <c r="J363" s="599"/>
      <c r="K363" s="599"/>
      <c r="L363" s="599"/>
      <c r="M363" s="599"/>
      <c r="N363" s="599"/>
      <c r="O363" s="599"/>
      <c r="P363" s="599"/>
      <c r="Q363" s="1096">
        <f t="shared" si="26"/>
        <v>-21767719856634</v>
      </c>
      <c r="R363" s="599">
        <v>-20302184535016</v>
      </c>
      <c r="S363" s="1096">
        <f>ROUND((Q363/1000000),0)</f>
        <v>-21767720</v>
      </c>
      <c r="T363" s="599">
        <f t="shared" si="28"/>
        <v>-20302185</v>
      </c>
      <c r="U363" s="620"/>
      <c r="V363" s="621"/>
      <c r="W363" s="1096">
        <f t="shared" si="29"/>
        <v>-21767719856634</v>
      </c>
      <c r="X363" s="882">
        <f t="shared" si="27"/>
        <v>-21767720</v>
      </c>
      <c r="Y363" s="910">
        <f t="shared" si="25"/>
        <v>0</v>
      </c>
    </row>
    <row r="364" spans="1:25" ht="27" customHeight="1">
      <c r="A364" s="583"/>
      <c r="B364" s="583"/>
      <c r="C364" s="581">
        <v>9</v>
      </c>
      <c r="D364" s="1137" t="s">
        <v>1256</v>
      </c>
      <c r="E364" s="1138" t="s">
        <v>1257</v>
      </c>
      <c r="F364" s="599"/>
      <c r="G364" s="599"/>
      <c r="H364" s="599"/>
      <c r="I364" s="599"/>
      <c r="J364" s="599"/>
      <c r="K364" s="599"/>
      <c r="L364" s="599"/>
      <c r="M364" s="599"/>
      <c r="N364" s="599"/>
      <c r="O364" s="599"/>
      <c r="P364" s="599"/>
      <c r="Q364" s="1096">
        <f t="shared" si="26"/>
        <v>0</v>
      </c>
      <c r="R364" s="599">
        <v>0</v>
      </c>
      <c r="S364" s="1096">
        <f t="shared" si="28"/>
        <v>0</v>
      </c>
      <c r="T364" s="599">
        <f t="shared" si="28"/>
        <v>0</v>
      </c>
      <c r="U364" s="620"/>
      <c r="V364" s="621"/>
      <c r="W364" s="1096">
        <f t="shared" si="29"/>
        <v>0</v>
      </c>
      <c r="X364" s="882">
        <f t="shared" si="27"/>
        <v>0</v>
      </c>
      <c r="Y364" s="910">
        <f t="shared" si="25"/>
        <v>0</v>
      </c>
    </row>
    <row r="365" spans="1:25" ht="27" customHeight="1">
      <c r="A365" s="583"/>
      <c r="B365" s="583">
        <v>902</v>
      </c>
      <c r="C365" s="581">
        <v>9</v>
      </c>
      <c r="D365" s="1137" t="s">
        <v>1127</v>
      </c>
      <c r="E365" s="1138" t="s">
        <v>1128</v>
      </c>
      <c r="F365" s="599">
        <v>-8322279007</v>
      </c>
      <c r="G365" s="599"/>
      <c r="H365" s="599"/>
      <c r="I365" s="599">
        <v>8322279007</v>
      </c>
      <c r="J365" s="599"/>
      <c r="K365" s="599"/>
      <c r="L365" s="599"/>
      <c r="M365" s="599"/>
      <c r="N365" s="599"/>
      <c r="O365" s="599"/>
      <c r="P365" s="599"/>
      <c r="Q365" s="1096">
        <f t="shared" si="26"/>
        <v>0</v>
      </c>
      <c r="R365" s="599">
        <v>0</v>
      </c>
      <c r="S365" s="1096">
        <f t="shared" si="28"/>
        <v>0</v>
      </c>
      <c r="T365" s="599">
        <f t="shared" si="28"/>
        <v>0</v>
      </c>
      <c r="U365" s="620"/>
      <c r="V365" s="621"/>
      <c r="W365" s="1096">
        <f t="shared" si="29"/>
        <v>0</v>
      </c>
      <c r="X365" s="882">
        <f t="shared" si="27"/>
        <v>0</v>
      </c>
      <c r="Y365" s="910">
        <f t="shared" si="25"/>
        <v>0</v>
      </c>
    </row>
    <row r="366" spans="1:25" ht="27" customHeight="1">
      <c r="A366" s="583"/>
      <c r="B366" s="583">
        <v>903</v>
      </c>
      <c r="C366" s="581">
        <v>9</v>
      </c>
      <c r="D366" s="1137" t="s">
        <v>509</v>
      </c>
      <c r="E366" s="1138" t="s">
        <v>922</v>
      </c>
      <c r="F366" s="599">
        <v>-674076924248</v>
      </c>
      <c r="G366" s="599"/>
      <c r="H366" s="599">
        <v>15660926</v>
      </c>
      <c r="I366" s="599">
        <v>-85978636747</v>
      </c>
      <c r="J366" s="599"/>
      <c r="K366" s="599">
        <v>39832093</v>
      </c>
      <c r="L366" s="599"/>
      <c r="M366" s="599"/>
      <c r="N366" s="599"/>
      <c r="O366" s="599"/>
      <c r="P366" s="599"/>
      <c r="Q366" s="1096">
        <f t="shared" si="26"/>
        <v>-760000067976</v>
      </c>
      <c r="R366" s="599">
        <v>-674076924248</v>
      </c>
      <c r="S366" s="1096">
        <f t="shared" si="28"/>
        <v>-760000</v>
      </c>
      <c r="T366" s="599">
        <f t="shared" si="28"/>
        <v>-674077</v>
      </c>
      <c r="U366" s="620"/>
      <c r="V366" s="621"/>
      <c r="W366" s="1096">
        <f t="shared" si="29"/>
        <v>-760000067976</v>
      </c>
      <c r="X366" s="882">
        <f t="shared" si="27"/>
        <v>-760000</v>
      </c>
      <c r="Y366" s="910">
        <f t="shared" si="25"/>
        <v>0</v>
      </c>
    </row>
    <row r="367" spans="1:25" ht="27" customHeight="1">
      <c r="A367" s="583"/>
      <c r="B367" s="583">
        <v>903</v>
      </c>
      <c r="C367" s="581">
        <v>9</v>
      </c>
      <c r="D367" s="1137" t="s">
        <v>1129</v>
      </c>
      <c r="E367" s="1138" t="s">
        <v>1134</v>
      </c>
      <c r="F367" s="599">
        <v>-92165699205</v>
      </c>
      <c r="G367" s="599">
        <v>-1319247131</v>
      </c>
      <c r="H367" s="599">
        <v>-184641114</v>
      </c>
      <c r="I367" s="599">
        <v>93669587450</v>
      </c>
      <c r="J367" s="599"/>
      <c r="K367" s="599"/>
      <c r="L367" s="599"/>
      <c r="M367" s="599"/>
      <c r="N367" s="599"/>
      <c r="O367" s="599"/>
      <c r="P367" s="599"/>
      <c r="Q367" s="1096">
        <f t="shared" si="26"/>
        <v>0</v>
      </c>
      <c r="R367" s="599">
        <v>0</v>
      </c>
      <c r="S367" s="1096">
        <f t="shared" si="28"/>
        <v>0</v>
      </c>
      <c r="T367" s="599">
        <f t="shared" si="28"/>
        <v>0</v>
      </c>
      <c r="U367" s="620"/>
      <c r="V367" s="621"/>
      <c r="W367" s="1096">
        <f t="shared" si="29"/>
        <v>0</v>
      </c>
      <c r="X367" s="882">
        <f t="shared" si="27"/>
        <v>0</v>
      </c>
      <c r="Y367" s="910">
        <f t="shared" si="25"/>
        <v>0</v>
      </c>
    </row>
    <row r="368" spans="1:25" ht="27" customHeight="1">
      <c r="A368" s="583"/>
      <c r="B368" s="583">
        <v>903</v>
      </c>
      <c r="C368" s="581">
        <v>9</v>
      </c>
      <c r="D368" s="1137" t="s">
        <v>1130</v>
      </c>
      <c r="E368" s="1138" t="s">
        <v>1132</v>
      </c>
      <c r="F368" s="599">
        <v>4900686036</v>
      </c>
      <c r="G368" s="599">
        <v>36736049</v>
      </c>
      <c r="H368" s="599">
        <v>1548000</v>
      </c>
      <c r="I368" s="599">
        <v>-4938970085</v>
      </c>
      <c r="J368" s="599"/>
      <c r="K368" s="599"/>
      <c r="L368" s="599"/>
      <c r="M368" s="599"/>
      <c r="N368" s="599"/>
      <c r="O368" s="599"/>
      <c r="P368" s="599"/>
      <c r="Q368" s="1096">
        <f t="shared" si="26"/>
        <v>0</v>
      </c>
      <c r="R368" s="599">
        <v>0</v>
      </c>
      <c r="S368" s="1096">
        <f t="shared" si="28"/>
        <v>0</v>
      </c>
      <c r="T368" s="599">
        <f t="shared" si="28"/>
        <v>0</v>
      </c>
      <c r="U368" s="620"/>
      <c r="V368" s="621"/>
      <c r="W368" s="1096">
        <f t="shared" si="29"/>
        <v>0</v>
      </c>
      <c r="X368" s="882">
        <f t="shared" si="27"/>
        <v>0</v>
      </c>
      <c r="Y368" s="910">
        <f t="shared" si="25"/>
        <v>0</v>
      </c>
    </row>
    <row r="369" spans="1:25" ht="27" customHeight="1">
      <c r="A369" s="583"/>
      <c r="B369" s="583"/>
      <c r="C369" s="581">
        <v>9</v>
      </c>
      <c r="D369" s="1137" t="s">
        <v>1131</v>
      </c>
      <c r="E369" s="1138" t="s">
        <v>1133</v>
      </c>
      <c r="F369" s="599"/>
      <c r="G369" s="599"/>
      <c r="H369" s="599"/>
      <c r="I369" s="599"/>
      <c r="J369" s="599"/>
      <c r="K369" s="599"/>
      <c r="L369" s="599"/>
      <c r="M369" s="599"/>
      <c r="N369" s="599"/>
      <c r="O369" s="599"/>
      <c r="P369" s="599"/>
      <c r="Q369" s="1096">
        <f t="shared" si="26"/>
        <v>0</v>
      </c>
      <c r="R369" s="599">
        <v>0</v>
      </c>
      <c r="S369" s="1096">
        <f t="shared" si="28"/>
        <v>0</v>
      </c>
      <c r="T369" s="599">
        <f t="shared" si="28"/>
        <v>0</v>
      </c>
      <c r="U369" s="620"/>
      <c r="V369" s="621"/>
      <c r="W369" s="1096">
        <f t="shared" si="29"/>
        <v>0</v>
      </c>
      <c r="X369" s="882">
        <f t="shared" si="27"/>
        <v>0</v>
      </c>
      <c r="Y369" s="910">
        <f t="shared" si="25"/>
        <v>0</v>
      </c>
    </row>
    <row r="370" spans="1:25" ht="27" customHeight="1">
      <c r="A370" s="583"/>
      <c r="B370" s="583">
        <v>905</v>
      </c>
      <c r="C370" s="581">
        <v>9</v>
      </c>
      <c r="D370" s="1137" t="s">
        <v>287</v>
      </c>
      <c r="E370" s="1138" t="s">
        <v>919</v>
      </c>
      <c r="F370" s="599">
        <v>-484792774685</v>
      </c>
      <c r="G370" s="599"/>
      <c r="H370" s="599"/>
      <c r="I370" s="599">
        <v>-35769780247</v>
      </c>
      <c r="J370" s="599"/>
      <c r="K370" s="599">
        <v>531093766</v>
      </c>
      <c r="L370" s="599"/>
      <c r="M370" s="599"/>
      <c r="N370" s="599"/>
      <c r="O370" s="599"/>
      <c r="P370" s="599"/>
      <c r="Q370" s="1096">
        <f t="shared" si="26"/>
        <v>-520031461166</v>
      </c>
      <c r="R370" s="599">
        <v>-484792774685</v>
      </c>
      <c r="S370" s="1096">
        <f t="shared" si="28"/>
        <v>-520031</v>
      </c>
      <c r="T370" s="599">
        <f t="shared" si="28"/>
        <v>-484793</v>
      </c>
      <c r="U370" s="620"/>
      <c r="V370" s="621"/>
      <c r="W370" s="1096">
        <f t="shared" si="29"/>
        <v>-520031461166</v>
      </c>
      <c r="X370" s="882">
        <f t="shared" si="27"/>
        <v>-520031</v>
      </c>
      <c r="Y370" s="910">
        <f t="shared" si="25"/>
        <v>0</v>
      </c>
    </row>
    <row r="371" spans="1:25" ht="27" customHeight="1">
      <c r="A371" s="583"/>
      <c r="B371" s="583">
        <v>905</v>
      </c>
      <c r="C371" s="581">
        <v>9</v>
      </c>
      <c r="D371" s="1137" t="s">
        <v>1135</v>
      </c>
      <c r="E371" s="1138" t="s">
        <v>1137</v>
      </c>
      <c r="F371" s="599">
        <v>-43580504701</v>
      </c>
      <c r="G371" s="599">
        <v>-522629717</v>
      </c>
      <c r="H371" s="599">
        <v>-86265271</v>
      </c>
      <c r="I371" s="599">
        <v>44189399689</v>
      </c>
      <c r="J371" s="599"/>
      <c r="K371" s="599"/>
      <c r="L371" s="599"/>
      <c r="M371" s="599"/>
      <c r="N371" s="599"/>
      <c r="O371" s="599"/>
      <c r="P371" s="599"/>
      <c r="Q371" s="1096">
        <f t="shared" si="26"/>
        <v>0</v>
      </c>
      <c r="R371" s="599">
        <v>0</v>
      </c>
      <c r="S371" s="1096">
        <f t="shared" si="28"/>
        <v>0</v>
      </c>
      <c r="T371" s="599">
        <f t="shared" si="28"/>
        <v>0</v>
      </c>
      <c r="U371" s="620"/>
      <c r="V371" s="621"/>
      <c r="W371" s="1096">
        <f t="shared" si="29"/>
        <v>0</v>
      </c>
      <c r="X371" s="882">
        <f t="shared" si="27"/>
        <v>0</v>
      </c>
      <c r="Y371" s="910">
        <f t="shared" si="25"/>
        <v>0</v>
      </c>
    </row>
    <row r="372" spans="1:25" ht="27" customHeight="1">
      <c r="A372" s="583"/>
      <c r="B372" s="583">
        <v>905</v>
      </c>
      <c r="C372" s="581">
        <v>9</v>
      </c>
      <c r="D372" s="1137" t="s">
        <v>1136</v>
      </c>
      <c r="E372" s="1138" t="s">
        <v>1138</v>
      </c>
      <c r="F372" s="599">
        <v>5305155230</v>
      </c>
      <c r="G372" s="599"/>
      <c r="H372" s="599"/>
      <c r="I372" s="599">
        <v>-5305155230</v>
      </c>
      <c r="J372" s="599"/>
      <c r="K372" s="599"/>
      <c r="L372" s="599"/>
      <c r="M372" s="599"/>
      <c r="N372" s="599"/>
      <c r="O372" s="599"/>
      <c r="P372" s="599"/>
      <c r="Q372" s="1096">
        <f t="shared" si="26"/>
        <v>0</v>
      </c>
      <c r="R372" s="599">
        <v>0</v>
      </c>
      <c r="S372" s="1096">
        <f t="shared" si="28"/>
        <v>0</v>
      </c>
      <c r="T372" s="599">
        <f t="shared" si="28"/>
        <v>0</v>
      </c>
      <c r="U372" s="620"/>
      <c r="V372" s="621"/>
      <c r="W372" s="1096">
        <f t="shared" si="29"/>
        <v>0</v>
      </c>
      <c r="X372" s="882">
        <f t="shared" si="27"/>
        <v>0</v>
      </c>
      <c r="Y372" s="910">
        <f t="shared" si="25"/>
        <v>0</v>
      </c>
    </row>
    <row r="373" spans="1:25" ht="27" customHeight="1">
      <c r="A373" s="583"/>
      <c r="B373" s="583"/>
      <c r="C373" s="581">
        <v>9</v>
      </c>
      <c r="D373" s="1137" t="s">
        <v>1022</v>
      </c>
      <c r="E373" s="1138" t="s">
        <v>1023</v>
      </c>
      <c r="F373" s="599"/>
      <c r="G373" s="599"/>
      <c r="H373" s="599"/>
      <c r="I373" s="599"/>
      <c r="J373" s="599"/>
      <c r="K373" s="599"/>
      <c r="L373" s="599"/>
      <c r="M373" s="599"/>
      <c r="N373" s="599"/>
      <c r="O373" s="599"/>
      <c r="P373" s="599"/>
      <c r="Q373" s="1096">
        <f t="shared" si="26"/>
        <v>0</v>
      </c>
      <c r="R373" s="599">
        <v>0</v>
      </c>
      <c r="S373" s="1096">
        <f t="shared" si="28"/>
        <v>0</v>
      </c>
      <c r="T373" s="599">
        <f t="shared" si="28"/>
        <v>0</v>
      </c>
      <c r="U373" s="620"/>
      <c r="V373" s="621"/>
      <c r="W373" s="1096">
        <f t="shared" si="29"/>
        <v>0</v>
      </c>
      <c r="X373" s="882">
        <f t="shared" si="27"/>
        <v>0</v>
      </c>
      <c r="Y373" s="910">
        <f t="shared" si="25"/>
        <v>0</v>
      </c>
    </row>
    <row r="374" spans="1:25" ht="27" customHeight="1">
      <c r="A374" s="583"/>
      <c r="B374" s="583">
        <v>904</v>
      </c>
      <c r="C374" s="581">
        <v>9</v>
      </c>
      <c r="D374" s="1137" t="s">
        <v>289</v>
      </c>
      <c r="E374" s="1138" t="s">
        <v>917</v>
      </c>
      <c r="F374" s="599">
        <v>-209546263296</v>
      </c>
      <c r="G374" s="599"/>
      <c r="H374" s="599">
        <v>465345743</v>
      </c>
      <c r="I374" s="599">
        <v>-38084901592</v>
      </c>
      <c r="J374" s="599">
        <v>-5625000</v>
      </c>
      <c r="K374" s="599">
        <v>15000000</v>
      </c>
      <c r="L374" s="599"/>
      <c r="M374" s="599"/>
      <c r="N374" s="599"/>
      <c r="O374" s="599"/>
      <c r="P374" s="599"/>
      <c r="Q374" s="1096">
        <f t="shared" si="26"/>
        <v>-247156444145</v>
      </c>
      <c r="R374" s="599">
        <v>-209546263296</v>
      </c>
      <c r="S374" s="1096">
        <f t="shared" si="28"/>
        <v>-247156</v>
      </c>
      <c r="T374" s="599">
        <f t="shared" si="28"/>
        <v>-209546</v>
      </c>
      <c r="U374" s="620"/>
      <c r="V374" s="621"/>
      <c r="W374" s="1096">
        <f t="shared" si="29"/>
        <v>-247156444145</v>
      </c>
      <c r="X374" s="882">
        <f t="shared" si="27"/>
        <v>-247156</v>
      </c>
      <c r="Y374" s="910">
        <f t="shared" si="25"/>
        <v>0</v>
      </c>
    </row>
    <row r="375" spans="1:25" ht="27" customHeight="1">
      <c r="A375" s="583"/>
      <c r="B375" s="583">
        <v>904</v>
      </c>
      <c r="C375" s="581">
        <v>9</v>
      </c>
      <c r="D375" s="1137" t="s">
        <v>1139</v>
      </c>
      <c r="E375" s="1138" t="s">
        <v>1142</v>
      </c>
      <c r="F375" s="599">
        <v>-35349800090</v>
      </c>
      <c r="G375" s="599">
        <v>-3192324675</v>
      </c>
      <c r="H375" s="599">
        <v>-191279556</v>
      </c>
      <c r="I375" s="599">
        <v>38733404321</v>
      </c>
      <c r="J375" s="599"/>
      <c r="K375" s="599"/>
      <c r="L375" s="599"/>
      <c r="M375" s="599"/>
      <c r="N375" s="599"/>
      <c r="O375" s="599"/>
      <c r="P375" s="599"/>
      <c r="Q375" s="1096">
        <f t="shared" si="26"/>
        <v>0</v>
      </c>
      <c r="R375" s="599">
        <v>0</v>
      </c>
      <c r="S375" s="1096">
        <f t="shared" si="28"/>
        <v>0</v>
      </c>
      <c r="T375" s="599">
        <f t="shared" si="28"/>
        <v>0</v>
      </c>
      <c r="U375" s="620"/>
      <c r="V375" s="621"/>
      <c r="W375" s="1096">
        <f t="shared" si="29"/>
        <v>0</v>
      </c>
      <c r="X375" s="882">
        <f t="shared" si="27"/>
        <v>0</v>
      </c>
      <c r="Y375" s="910">
        <f t="shared" si="25"/>
        <v>0</v>
      </c>
    </row>
    <row r="376" spans="1:25" ht="27" customHeight="1">
      <c r="A376" s="583"/>
      <c r="B376" s="583">
        <v>904</v>
      </c>
      <c r="C376" s="581">
        <v>9</v>
      </c>
      <c r="D376" s="1137" t="s">
        <v>1140</v>
      </c>
      <c r="E376" s="1138" t="s">
        <v>1143</v>
      </c>
      <c r="F376" s="599">
        <v>829587532</v>
      </c>
      <c r="G376" s="599"/>
      <c r="H376" s="599"/>
      <c r="I376" s="599">
        <v>-829587532</v>
      </c>
      <c r="J376" s="599"/>
      <c r="K376" s="599"/>
      <c r="L376" s="599"/>
      <c r="M376" s="599"/>
      <c r="N376" s="599"/>
      <c r="O376" s="599"/>
      <c r="P376" s="599"/>
      <c r="Q376" s="1096">
        <f t="shared" si="26"/>
        <v>0</v>
      </c>
      <c r="R376" s="599">
        <v>0</v>
      </c>
      <c r="S376" s="1096">
        <f t="shared" si="28"/>
        <v>0</v>
      </c>
      <c r="T376" s="599">
        <f t="shared" si="28"/>
        <v>0</v>
      </c>
      <c r="U376" s="620"/>
      <c r="V376" s="621"/>
      <c r="W376" s="1096">
        <f t="shared" si="29"/>
        <v>0</v>
      </c>
      <c r="X376" s="882">
        <f t="shared" si="27"/>
        <v>0</v>
      </c>
      <c r="Y376" s="910">
        <f t="shared" si="25"/>
        <v>0</v>
      </c>
    </row>
    <row r="377" spans="1:25" ht="27" customHeight="1">
      <c r="A377" s="583"/>
      <c r="B377" s="583">
        <v>904</v>
      </c>
      <c r="C377" s="581">
        <v>9</v>
      </c>
      <c r="D377" s="1137" t="s">
        <v>1141</v>
      </c>
      <c r="E377" s="1138" t="s">
        <v>1144</v>
      </c>
      <c r="F377" s="599"/>
      <c r="G377" s="599"/>
      <c r="H377" s="599"/>
      <c r="I377" s="599"/>
      <c r="J377" s="599"/>
      <c r="K377" s="599"/>
      <c r="L377" s="599"/>
      <c r="M377" s="599"/>
      <c r="N377" s="599"/>
      <c r="O377" s="599"/>
      <c r="P377" s="599"/>
      <c r="Q377" s="1096">
        <f t="shared" si="26"/>
        <v>0</v>
      </c>
      <c r="R377" s="599">
        <v>0</v>
      </c>
      <c r="S377" s="1096">
        <f t="shared" si="28"/>
        <v>0</v>
      </c>
      <c r="T377" s="599">
        <f t="shared" si="28"/>
        <v>0</v>
      </c>
      <c r="U377" s="620"/>
      <c r="V377" s="621"/>
      <c r="W377" s="1096">
        <f t="shared" si="29"/>
        <v>0</v>
      </c>
      <c r="X377" s="882">
        <f t="shared" si="27"/>
        <v>0</v>
      </c>
      <c r="Y377" s="910">
        <f t="shared" si="25"/>
        <v>0</v>
      </c>
    </row>
    <row r="378" spans="1:25" ht="27" customHeight="1">
      <c r="A378" s="583"/>
      <c r="B378" s="583">
        <v>902</v>
      </c>
      <c r="C378" s="581">
        <v>9</v>
      </c>
      <c r="D378" s="1137" t="s">
        <v>1145</v>
      </c>
      <c r="E378" s="1138" t="s">
        <v>1147</v>
      </c>
      <c r="F378" s="599">
        <v>-5948283272</v>
      </c>
      <c r="G378" s="599"/>
      <c r="H378" s="599"/>
      <c r="I378" s="599">
        <v>5948283272</v>
      </c>
      <c r="J378" s="599"/>
      <c r="K378" s="599"/>
      <c r="L378" s="599"/>
      <c r="M378" s="599"/>
      <c r="N378" s="599"/>
      <c r="O378" s="599"/>
      <c r="P378" s="599"/>
      <c r="Q378" s="1096">
        <f t="shared" si="26"/>
        <v>0</v>
      </c>
      <c r="R378" s="599">
        <v>0</v>
      </c>
      <c r="S378" s="1096">
        <f t="shared" si="28"/>
        <v>0</v>
      </c>
      <c r="T378" s="599">
        <f t="shared" si="28"/>
        <v>0</v>
      </c>
      <c r="U378" s="620"/>
      <c r="V378" s="621"/>
      <c r="W378" s="1096">
        <f t="shared" si="29"/>
        <v>0</v>
      </c>
      <c r="X378" s="882">
        <f t="shared" si="27"/>
        <v>0</v>
      </c>
      <c r="Y378" s="910">
        <f t="shared" si="25"/>
        <v>0</v>
      </c>
    </row>
    <row r="379" spans="1:25" ht="27" customHeight="1">
      <c r="A379" s="583"/>
      <c r="B379" s="583">
        <v>902</v>
      </c>
      <c r="C379" s="581">
        <v>9</v>
      </c>
      <c r="D379" s="1137" t="s">
        <v>1146</v>
      </c>
      <c r="E379" s="1138" t="s">
        <v>1148</v>
      </c>
      <c r="F379" s="599">
        <v>-1158794832</v>
      </c>
      <c r="G379" s="599"/>
      <c r="H379" s="599"/>
      <c r="I379" s="599">
        <v>1158794832</v>
      </c>
      <c r="J379" s="599"/>
      <c r="K379" s="599"/>
      <c r="L379" s="599"/>
      <c r="M379" s="599"/>
      <c r="N379" s="599"/>
      <c r="O379" s="599"/>
      <c r="P379" s="599"/>
      <c r="Q379" s="1096">
        <f t="shared" si="26"/>
        <v>0</v>
      </c>
      <c r="R379" s="599">
        <v>0</v>
      </c>
      <c r="S379" s="1096">
        <f t="shared" si="28"/>
        <v>0</v>
      </c>
      <c r="T379" s="599">
        <f t="shared" si="28"/>
        <v>0</v>
      </c>
      <c r="U379" s="620"/>
      <c r="V379" s="621"/>
      <c r="W379" s="1096">
        <f t="shared" si="29"/>
        <v>0</v>
      </c>
      <c r="X379" s="882">
        <f t="shared" si="27"/>
        <v>0</v>
      </c>
      <c r="Y379" s="910">
        <f t="shared" si="25"/>
        <v>0</v>
      </c>
    </row>
    <row r="380" spans="1:25" ht="27" customHeight="1">
      <c r="A380" s="583"/>
      <c r="B380" s="583">
        <v>906</v>
      </c>
      <c r="C380" s="581">
        <v>9</v>
      </c>
      <c r="D380" s="1137" t="s">
        <v>771</v>
      </c>
      <c r="E380" s="1138" t="s">
        <v>773</v>
      </c>
      <c r="F380" s="599">
        <v>5650679411945</v>
      </c>
      <c r="G380" s="599">
        <v>21358877068</v>
      </c>
      <c r="H380" s="599">
        <v>-944328405254</v>
      </c>
      <c r="I380" s="599">
        <v>-65423759408</v>
      </c>
      <c r="J380" s="599">
        <v>-2111087732650</v>
      </c>
      <c r="K380" s="599">
        <f>-58225119505</f>
        <v>-58225119505</v>
      </c>
      <c r="L380" s="599">
        <v>92874000000</v>
      </c>
      <c r="M380" s="599">
        <v>-92874000000</v>
      </c>
      <c r="N380" s="599">
        <f>2634517227240-2541644857040-44043734674+22283416661</f>
        <v>71112052187</v>
      </c>
      <c r="O380" s="599"/>
      <c r="P380" s="599"/>
      <c r="Q380" s="1096">
        <f t="shared" si="26"/>
        <v>2564085324383</v>
      </c>
      <c r="R380" s="599">
        <v>2492462923261</v>
      </c>
      <c r="S380" s="1096">
        <f t="shared" si="28"/>
        <v>2564085</v>
      </c>
      <c r="T380" s="599">
        <f t="shared" si="28"/>
        <v>2492463</v>
      </c>
      <c r="U380" s="620"/>
      <c r="V380" s="621"/>
      <c r="W380" s="1096">
        <f t="shared" si="29"/>
        <v>2564085324383</v>
      </c>
      <c r="X380" s="882">
        <f t="shared" si="27"/>
        <v>2564085</v>
      </c>
      <c r="Y380" s="910">
        <f t="shared" si="25"/>
        <v>0</v>
      </c>
    </row>
    <row r="381" spans="1:25" ht="27" customHeight="1">
      <c r="A381" s="583"/>
      <c r="B381" s="583"/>
      <c r="C381" s="581">
        <v>9</v>
      </c>
      <c r="D381" s="1137" t="s">
        <v>1014</v>
      </c>
      <c r="E381" s="1138" t="s">
        <v>1015</v>
      </c>
      <c r="F381" s="599">
        <v>5926026174</v>
      </c>
      <c r="G381" s="599">
        <v>-5889326174</v>
      </c>
      <c r="H381" s="599">
        <v>-36700000</v>
      </c>
      <c r="I381" s="599"/>
      <c r="J381" s="599"/>
      <c r="K381" s="599"/>
      <c r="L381" s="599"/>
      <c r="M381" s="599"/>
      <c r="N381" s="599"/>
      <c r="O381" s="599"/>
      <c r="P381" s="599"/>
      <c r="Q381" s="1096">
        <f t="shared" si="26"/>
        <v>0</v>
      </c>
      <c r="R381" s="599">
        <v>0</v>
      </c>
      <c r="S381" s="1096">
        <f t="shared" si="28"/>
        <v>0</v>
      </c>
      <c r="T381" s="599">
        <f t="shared" si="28"/>
        <v>0</v>
      </c>
      <c r="U381" s="620"/>
      <c r="V381" s="621"/>
      <c r="W381" s="1096">
        <f t="shared" si="29"/>
        <v>0</v>
      </c>
      <c r="X381" s="882">
        <f t="shared" si="27"/>
        <v>0</v>
      </c>
      <c r="Y381" s="910">
        <f t="shared" si="25"/>
        <v>0</v>
      </c>
    </row>
    <row r="382" spans="1:25" ht="27" customHeight="1">
      <c r="A382" s="583"/>
      <c r="B382" s="583">
        <v>906</v>
      </c>
      <c r="C382" s="581">
        <v>9</v>
      </c>
      <c r="D382" s="1137" t="s">
        <v>772</v>
      </c>
      <c r="E382" s="1138" t="s">
        <v>774</v>
      </c>
      <c r="F382" s="599">
        <v>11998910000</v>
      </c>
      <c r="G382" s="599"/>
      <c r="H382" s="599"/>
      <c r="I382" s="599"/>
      <c r="J382" s="599"/>
      <c r="K382" s="599">
        <f>-9340000000-2658910000</f>
        <v>-11998910000</v>
      </c>
      <c r="L382" s="599"/>
      <c r="M382" s="599"/>
      <c r="N382" s="599"/>
      <c r="O382" s="599"/>
      <c r="P382" s="599"/>
      <c r="Q382" s="1096">
        <f t="shared" si="26"/>
        <v>0</v>
      </c>
      <c r="R382" s="599">
        <v>11998910000</v>
      </c>
      <c r="S382" s="1096">
        <f t="shared" si="28"/>
        <v>0</v>
      </c>
      <c r="T382" s="599">
        <f t="shared" si="28"/>
        <v>11999</v>
      </c>
      <c r="U382" s="620"/>
      <c r="V382" s="621"/>
      <c r="W382" s="1096">
        <f t="shared" si="29"/>
        <v>0</v>
      </c>
      <c r="X382" s="882">
        <f t="shared" si="27"/>
        <v>0</v>
      </c>
      <c r="Y382" s="910">
        <f t="shared" si="25"/>
        <v>0</v>
      </c>
    </row>
    <row r="383" spans="1:25" ht="27" customHeight="1">
      <c r="A383" s="583"/>
      <c r="B383" s="583"/>
      <c r="C383" s="581">
        <v>7</v>
      </c>
      <c r="D383" s="1137" t="s">
        <v>291</v>
      </c>
      <c r="E383" s="1138" t="s">
        <v>495</v>
      </c>
      <c r="F383" s="599">
        <v>47500000</v>
      </c>
      <c r="G383" s="599"/>
      <c r="H383" s="599"/>
      <c r="I383" s="599"/>
      <c r="J383" s="599"/>
      <c r="K383" s="599"/>
      <c r="L383" s="599"/>
      <c r="M383" s="599"/>
      <c r="N383" s="599"/>
      <c r="O383" s="599"/>
      <c r="P383" s="599"/>
      <c r="Q383" s="1096">
        <f t="shared" si="26"/>
        <v>47500000</v>
      </c>
      <c r="R383" s="599">
        <v>47500000</v>
      </c>
      <c r="S383" s="1096">
        <f t="shared" si="28"/>
        <v>48</v>
      </c>
      <c r="T383" s="599">
        <f t="shared" si="28"/>
        <v>48</v>
      </c>
      <c r="U383" s="620"/>
      <c r="V383" s="621"/>
      <c r="W383" s="1096">
        <f t="shared" si="29"/>
        <v>47500000</v>
      </c>
      <c r="X383" s="882">
        <f t="shared" si="27"/>
        <v>48</v>
      </c>
      <c r="Y383" s="910">
        <f t="shared" si="25"/>
        <v>0</v>
      </c>
    </row>
    <row r="384" spans="1:25" ht="27" customHeight="1">
      <c r="A384" s="583"/>
      <c r="B384" s="583">
        <v>421</v>
      </c>
      <c r="C384" s="581">
        <v>4</v>
      </c>
      <c r="D384" s="1137" t="s">
        <v>610</v>
      </c>
      <c r="E384" s="1138" t="s">
        <v>611</v>
      </c>
      <c r="F384" s="599">
        <v>20125875211</v>
      </c>
      <c r="G384" s="599"/>
      <c r="H384" s="599"/>
      <c r="I384" s="599"/>
      <c r="J384" s="599"/>
      <c r="K384" s="599"/>
      <c r="L384" s="599"/>
      <c r="M384" s="599"/>
      <c r="N384" s="599"/>
      <c r="O384" s="599"/>
      <c r="P384" s="599"/>
      <c r="Q384" s="1096">
        <f t="shared" si="26"/>
        <v>20125875211</v>
      </c>
      <c r="R384" s="599">
        <v>28318794679</v>
      </c>
      <c r="S384" s="1096">
        <f t="shared" si="28"/>
        <v>20126</v>
      </c>
      <c r="T384" s="599">
        <f t="shared" si="28"/>
        <v>28319</v>
      </c>
      <c r="U384" s="620"/>
      <c r="V384" s="621"/>
      <c r="W384" s="1096">
        <f t="shared" si="29"/>
        <v>20125875211</v>
      </c>
      <c r="X384" s="882">
        <f t="shared" si="27"/>
        <v>20126</v>
      </c>
      <c r="Y384" s="910">
        <f t="shared" si="25"/>
        <v>0</v>
      </c>
    </row>
    <row r="385" spans="1:25" ht="27" customHeight="1">
      <c r="A385" s="583"/>
      <c r="B385" s="583">
        <v>410</v>
      </c>
      <c r="C385" s="581">
        <v>4</v>
      </c>
      <c r="D385" s="1137" t="s">
        <v>610</v>
      </c>
      <c r="E385" s="1138" t="s">
        <v>611</v>
      </c>
      <c r="F385" s="599"/>
      <c r="G385" s="599"/>
      <c r="H385" s="599"/>
      <c r="I385" s="599"/>
      <c r="J385" s="599"/>
      <c r="K385" s="599"/>
      <c r="L385" s="599"/>
      <c r="M385" s="599"/>
      <c r="N385" s="599"/>
      <c r="O385" s="599"/>
      <c r="P385" s="599"/>
      <c r="Q385" s="1096">
        <f t="shared" si="26"/>
        <v>0</v>
      </c>
      <c r="R385" s="599">
        <v>0</v>
      </c>
      <c r="S385" s="1096">
        <f t="shared" si="28"/>
        <v>0</v>
      </c>
      <c r="T385" s="599">
        <f t="shared" si="28"/>
        <v>0</v>
      </c>
      <c r="U385" s="620"/>
      <c r="V385" s="621"/>
      <c r="W385" s="1096">
        <f t="shared" si="29"/>
        <v>0</v>
      </c>
      <c r="X385" s="882">
        <f t="shared" si="27"/>
        <v>0</v>
      </c>
      <c r="Y385" s="910">
        <f t="shared" si="25"/>
        <v>0</v>
      </c>
    </row>
    <row r="386" spans="1:25" ht="27" customHeight="1">
      <c r="A386" s="583"/>
      <c r="B386" s="583">
        <v>406</v>
      </c>
      <c r="C386" s="581">
        <v>4</v>
      </c>
      <c r="D386" s="1137" t="s">
        <v>894</v>
      </c>
      <c r="E386" s="1138" t="s">
        <v>895</v>
      </c>
      <c r="F386" s="599">
        <v>-11740275110</v>
      </c>
      <c r="G386" s="599"/>
      <c r="H386" s="599"/>
      <c r="I386" s="599">
        <v>11740275110</v>
      </c>
      <c r="J386" s="599"/>
      <c r="K386" s="599"/>
      <c r="L386" s="599"/>
      <c r="M386" s="599"/>
      <c r="N386" s="599"/>
      <c r="O386" s="599"/>
      <c r="P386" s="599"/>
      <c r="Q386" s="1096">
        <f t="shared" si="26"/>
        <v>0</v>
      </c>
      <c r="R386" s="599">
        <v>0</v>
      </c>
      <c r="S386" s="1096">
        <f t="shared" si="28"/>
        <v>0</v>
      </c>
      <c r="T386" s="599">
        <f t="shared" si="28"/>
        <v>0</v>
      </c>
      <c r="U386" s="620"/>
      <c r="V386" s="621"/>
      <c r="W386" s="1096">
        <f t="shared" si="29"/>
        <v>0</v>
      </c>
      <c r="X386" s="882">
        <f t="shared" si="27"/>
        <v>0</v>
      </c>
      <c r="Y386" s="910">
        <f t="shared" si="25"/>
        <v>0</v>
      </c>
    </row>
    <row r="387" spans="1:25" ht="27" customHeight="1">
      <c r="A387" s="583"/>
      <c r="B387" s="583">
        <v>506</v>
      </c>
      <c r="C387" s="581">
        <v>5</v>
      </c>
      <c r="D387" s="1137" t="s">
        <v>145</v>
      </c>
      <c r="E387" s="1138" t="s">
        <v>761</v>
      </c>
      <c r="F387" s="599">
        <v>214844387</v>
      </c>
      <c r="G387" s="599"/>
      <c r="H387" s="599"/>
      <c r="I387" s="599"/>
      <c r="J387" s="599"/>
      <c r="K387" s="599"/>
      <c r="L387" s="599"/>
      <c r="M387" s="599"/>
      <c r="N387" s="599"/>
      <c r="O387" s="599"/>
      <c r="P387" s="599"/>
      <c r="Q387" s="1096">
        <f t="shared" si="26"/>
        <v>214844387</v>
      </c>
      <c r="R387" s="599">
        <v>214844387</v>
      </c>
      <c r="S387" s="1096">
        <f t="shared" si="28"/>
        <v>215</v>
      </c>
      <c r="T387" s="599">
        <f t="shared" si="28"/>
        <v>215</v>
      </c>
      <c r="U387" s="620"/>
      <c r="V387" s="621"/>
      <c r="W387" s="1096">
        <f t="shared" si="29"/>
        <v>214844387</v>
      </c>
      <c r="X387" s="882">
        <f t="shared" si="27"/>
        <v>215</v>
      </c>
      <c r="Y387" s="910">
        <f t="shared" si="25"/>
        <v>0</v>
      </c>
    </row>
    <row r="388" spans="1:25" ht="27" customHeight="1">
      <c r="A388" s="583"/>
      <c r="B388" s="583">
        <v>504</v>
      </c>
      <c r="C388" s="581">
        <v>5</v>
      </c>
      <c r="D388" s="1137" t="s">
        <v>119</v>
      </c>
      <c r="E388" s="1138" t="s">
        <v>1149</v>
      </c>
      <c r="F388" s="599">
        <v>25201431000</v>
      </c>
      <c r="G388" s="599"/>
      <c r="H388" s="599"/>
      <c r="I388" s="599">
        <v>3263364000</v>
      </c>
      <c r="J388" s="599"/>
      <c r="K388" s="599">
        <v>30000000</v>
      </c>
      <c r="L388" s="599"/>
      <c r="M388" s="599"/>
      <c r="N388" s="599"/>
      <c r="O388" s="599"/>
      <c r="P388" s="599"/>
      <c r="Q388" s="1096">
        <f t="shared" si="26"/>
        <v>28494795000</v>
      </c>
      <c r="R388" s="599">
        <v>25201431000</v>
      </c>
      <c r="S388" s="1096">
        <f>ROUND((Q388/1000000),0)</f>
        <v>28495</v>
      </c>
      <c r="T388" s="599">
        <f t="shared" si="28"/>
        <v>25201</v>
      </c>
      <c r="U388" s="620"/>
      <c r="V388" s="621"/>
      <c r="W388" s="1096">
        <f t="shared" si="29"/>
        <v>28494795000</v>
      </c>
      <c r="X388" s="882">
        <f t="shared" si="27"/>
        <v>28495</v>
      </c>
      <c r="Y388" s="910">
        <f t="shared" ref="Y388:Y451" si="30">S388-X388</f>
        <v>0</v>
      </c>
    </row>
    <row r="389" spans="1:25" ht="27" customHeight="1">
      <c r="A389" s="583"/>
      <c r="B389" s="583">
        <v>1022</v>
      </c>
      <c r="C389" s="581">
        <v>4</v>
      </c>
      <c r="D389" s="1137" t="s">
        <v>121</v>
      </c>
      <c r="E389" s="1138" t="s">
        <v>1150</v>
      </c>
      <c r="F389" s="599"/>
      <c r="G389" s="599"/>
      <c r="H389" s="599"/>
      <c r="I389" s="599"/>
      <c r="J389" s="599"/>
      <c r="K389" s="599"/>
      <c r="L389" s="599"/>
      <c r="M389" s="599"/>
      <c r="N389" s="599"/>
      <c r="O389" s="599"/>
      <c r="P389" s="599"/>
      <c r="Q389" s="1096">
        <f t="shared" si="26"/>
        <v>0</v>
      </c>
      <c r="R389" s="599">
        <v>-482985882900</v>
      </c>
      <c r="S389" s="1096">
        <f>ROUND((Q389/1000000),0)</f>
        <v>0</v>
      </c>
      <c r="T389" s="599">
        <f t="shared" si="28"/>
        <v>-482986</v>
      </c>
      <c r="U389" s="620"/>
      <c r="V389" s="621"/>
      <c r="W389" s="1096">
        <f t="shared" si="29"/>
        <v>0</v>
      </c>
      <c r="X389" s="882">
        <f t="shared" si="27"/>
        <v>0</v>
      </c>
      <c r="Y389" s="910">
        <f t="shared" si="30"/>
        <v>0</v>
      </c>
    </row>
    <row r="390" spans="1:25" ht="27" customHeight="1">
      <c r="A390" s="583"/>
      <c r="B390" s="583">
        <v>505</v>
      </c>
      <c r="C390" s="581">
        <v>5</v>
      </c>
      <c r="D390" s="1137" t="s">
        <v>123</v>
      </c>
      <c r="E390" s="1138" t="s">
        <v>124</v>
      </c>
      <c r="F390" s="599">
        <v>28711352244</v>
      </c>
      <c r="G390" s="599">
        <v>-229688937</v>
      </c>
      <c r="H390" s="599"/>
      <c r="I390" s="599"/>
      <c r="J390" s="599"/>
      <c r="K390" s="599"/>
      <c r="L390" s="599"/>
      <c r="M390" s="599"/>
      <c r="N390" s="599"/>
      <c r="O390" s="599"/>
      <c r="P390" s="599"/>
      <c r="Q390" s="1096">
        <f t="shared" si="26"/>
        <v>28481663307</v>
      </c>
      <c r="R390" s="599">
        <v>1404891685</v>
      </c>
      <c r="S390" s="1096">
        <f t="shared" si="28"/>
        <v>28482</v>
      </c>
      <c r="T390" s="599">
        <f t="shared" si="28"/>
        <v>1405</v>
      </c>
      <c r="U390" s="620"/>
      <c r="V390" s="621"/>
      <c r="W390" s="1096">
        <f t="shared" si="29"/>
        <v>28481663307</v>
      </c>
      <c r="X390" s="882">
        <f t="shared" si="27"/>
        <v>28482</v>
      </c>
      <c r="Y390" s="910">
        <f t="shared" si="30"/>
        <v>0</v>
      </c>
    </row>
    <row r="391" spans="1:25" ht="27" customHeight="1">
      <c r="A391" s="583"/>
      <c r="B391" s="583"/>
      <c r="C391" s="581">
        <v>8</v>
      </c>
      <c r="D391" s="1137" t="s">
        <v>125</v>
      </c>
      <c r="E391" s="1138" t="s">
        <v>999</v>
      </c>
      <c r="F391" s="599">
        <v>67757910490</v>
      </c>
      <c r="G391" s="599">
        <v>5452800</v>
      </c>
      <c r="H391" s="599"/>
      <c r="I391" s="599"/>
      <c r="J391" s="599"/>
      <c r="K391" s="599"/>
      <c r="L391" s="599"/>
      <c r="M391" s="599"/>
      <c r="N391" s="599"/>
      <c r="O391" s="599"/>
      <c r="P391" s="599"/>
      <c r="Q391" s="1096">
        <f t="shared" si="26"/>
        <v>67763363290</v>
      </c>
      <c r="R391" s="599">
        <v>60808081047</v>
      </c>
      <c r="S391" s="1096">
        <f t="shared" si="28"/>
        <v>67763</v>
      </c>
      <c r="T391" s="599">
        <f t="shared" si="28"/>
        <v>60808</v>
      </c>
      <c r="U391" s="620"/>
      <c r="V391" s="621"/>
      <c r="W391" s="1096">
        <f t="shared" si="29"/>
        <v>67763363290</v>
      </c>
      <c r="X391" s="882">
        <f t="shared" si="27"/>
        <v>67763</v>
      </c>
      <c r="Y391" s="910">
        <f t="shared" si="30"/>
        <v>0</v>
      </c>
    </row>
    <row r="392" spans="1:25" ht="27" customHeight="1">
      <c r="A392" s="583"/>
      <c r="B392" s="583">
        <v>406</v>
      </c>
      <c r="C392" s="581">
        <v>4</v>
      </c>
      <c r="D392" s="1137" t="s">
        <v>63</v>
      </c>
      <c r="E392" s="1138" t="s">
        <v>559</v>
      </c>
      <c r="F392" s="599">
        <v>20026101779</v>
      </c>
      <c r="G392" s="599"/>
      <c r="H392" s="599"/>
      <c r="I392" s="599"/>
      <c r="J392" s="599"/>
      <c r="K392" s="599"/>
      <c r="L392" s="599"/>
      <c r="M392" s="599"/>
      <c r="N392" s="599"/>
      <c r="O392" s="599"/>
      <c r="P392" s="599"/>
      <c r="Q392" s="1096">
        <f t="shared" ref="Q392:Q457" si="31">SUM(F392:P392)</f>
        <v>20026101779</v>
      </c>
      <c r="R392" s="599">
        <v>19328166547</v>
      </c>
      <c r="S392" s="1096">
        <f t="shared" si="28"/>
        <v>20026</v>
      </c>
      <c r="T392" s="599">
        <f t="shared" si="28"/>
        <v>19328</v>
      </c>
      <c r="U392" s="620"/>
      <c r="V392" s="621"/>
      <c r="W392" s="1096">
        <f t="shared" si="29"/>
        <v>20026101779</v>
      </c>
      <c r="X392" s="882">
        <f t="shared" si="27"/>
        <v>20026</v>
      </c>
      <c r="Y392" s="910">
        <f t="shared" si="30"/>
        <v>0</v>
      </c>
    </row>
    <row r="393" spans="1:25" ht="27" customHeight="1">
      <c r="A393" s="583"/>
      <c r="B393" s="583">
        <v>606</v>
      </c>
      <c r="C393" s="581">
        <v>6</v>
      </c>
      <c r="D393" s="1137" t="s">
        <v>849</v>
      </c>
      <c r="E393" s="1138" t="s">
        <v>920</v>
      </c>
      <c r="F393" s="599">
        <v>7811858592</v>
      </c>
      <c r="G393" s="599">
        <v>9616532</v>
      </c>
      <c r="H393" s="599"/>
      <c r="I393" s="599"/>
      <c r="J393" s="599"/>
      <c r="K393" s="599"/>
      <c r="L393" s="599"/>
      <c r="M393" s="599"/>
      <c r="N393" s="599"/>
      <c r="O393" s="599"/>
      <c r="P393" s="599"/>
      <c r="Q393" s="1096">
        <f t="shared" si="31"/>
        <v>7821475124</v>
      </c>
      <c r="R393" s="599">
        <v>7134640431</v>
      </c>
      <c r="S393" s="1096">
        <f t="shared" si="28"/>
        <v>7821</v>
      </c>
      <c r="T393" s="599">
        <f t="shared" si="28"/>
        <v>7135</v>
      </c>
      <c r="U393" s="620"/>
      <c r="V393" s="621"/>
      <c r="W393" s="1096">
        <f t="shared" si="29"/>
        <v>7821475124</v>
      </c>
      <c r="X393" s="882">
        <f t="shared" si="27"/>
        <v>7821</v>
      </c>
      <c r="Y393" s="910">
        <f t="shared" si="30"/>
        <v>0</v>
      </c>
    </row>
    <row r="394" spans="1:25" ht="27" customHeight="1">
      <c r="A394" s="583"/>
      <c r="B394" s="583">
        <v>604</v>
      </c>
      <c r="C394" s="581">
        <v>6</v>
      </c>
      <c r="D394" s="1137" t="s">
        <v>69</v>
      </c>
      <c r="E394" s="1138" t="s">
        <v>70</v>
      </c>
      <c r="F394" s="599">
        <v>223324836</v>
      </c>
      <c r="G394" s="599"/>
      <c r="H394" s="599"/>
      <c r="I394" s="599"/>
      <c r="J394" s="599"/>
      <c r="K394" s="599"/>
      <c r="L394" s="599"/>
      <c r="M394" s="599"/>
      <c r="N394" s="599"/>
      <c r="O394" s="599"/>
      <c r="P394" s="599"/>
      <c r="Q394" s="1096">
        <f t="shared" si="31"/>
        <v>223324836</v>
      </c>
      <c r="R394" s="599">
        <v>218481346</v>
      </c>
      <c r="S394" s="1096">
        <f t="shared" si="28"/>
        <v>223</v>
      </c>
      <c r="T394" s="599">
        <f t="shared" si="28"/>
        <v>218</v>
      </c>
      <c r="U394" s="620"/>
      <c r="V394" s="621"/>
      <c r="W394" s="1096">
        <f t="shared" si="29"/>
        <v>223324836</v>
      </c>
      <c r="X394" s="882">
        <f t="shared" ref="X394:X468" si="32">ROUND((W394/1000000),0)</f>
        <v>223</v>
      </c>
      <c r="Y394" s="910">
        <f t="shared" si="30"/>
        <v>0</v>
      </c>
    </row>
    <row r="395" spans="1:25" ht="27" customHeight="1">
      <c r="A395" s="583"/>
      <c r="B395" s="583">
        <v>406</v>
      </c>
      <c r="C395" s="581">
        <v>4</v>
      </c>
      <c r="D395" s="1137" t="s">
        <v>1151</v>
      </c>
      <c r="E395" s="1138" t="s">
        <v>1152</v>
      </c>
      <c r="F395" s="599">
        <v>1348983865</v>
      </c>
      <c r="G395" s="599"/>
      <c r="H395" s="599"/>
      <c r="I395" s="599"/>
      <c r="J395" s="599"/>
      <c r="K395" s="599"/>
      <c r="L395" s="599"/>
      <c r="M395" s="599"/>
      <c r="N395" s="599"/>
      <c r="O395" s="599"/>
      <c r="P395" s="599"/>
      <c r="Q395" s="1096">
        <f t="shared" si="31"/>
        <v>1348983865</v>
      </c>
      <c r="R395" s="599">
        <v>30648243865</v>
      </c>
      <c r="S395" s="1096">
        <f>ROUND((Q395/1000000),0)</f>
        <v>1349</v>
      </c>
      <c r="T395" s="599">
        <f t="shared" si="28"/>
        <v>30648</v>
      </c>
      <c r="U395" s="620"/>
      <c r="V395" s="621"/>
      <c r="W395" s="1096">
        <f t="shared" si="29"/>
        <v>1348983865</v>
      </c>
      <c r="X395" s="882">
        <f t="shared" si="32"/>
        <v>1349</v>
      </c>
      <c r="Y395" s="910">
        <f t="shared" si="30"/>
        <v>0</v>
      </c>
    </row>
    <row r="396" spans="1:25" ht="27" customHeight="1">
      <c r="A396" s="583"/>
      <c r="B396" s="583">
        <v>907</v>
      </c>
      <c r="C396" s="581">
        <v>9</v>
      </c>
      <c r="D396" s="1137" t="s">
        <v>71</v>
      </c>
      <c r="E396" s="1138" t="s">
        <v>72</v>
      </c>
      <c r="F396" s="599">
        <f>96857954057-83150719566+83150719566</f>
        <v>96857954057</v>
      </c>
      <c r="G396" s="599">
        <v>-56162528221</v>
      </c>
      <c r="H396" s="599"/>
      <c r="I396" s="599"/>
      <c r="J396" s="599">
        <v>-40695425836</v>
      </c>
      <c r="K396" s="599"/>
      <c r="L396" s="599"/>
      <c r="M396" s="599"/>
      <c r="N396" s="599"/>
      <c r="O396" s="599"/>
      <c r="P396" s="599"/>
      <c r="Q396" s="1096">
        <f t="shared" si="31"/>
        <v>0</v>
      </c>
      <c r="R396" s="599">
        <v>83150719566</v>
      </c>
      <c r="S396" s="1096">
        <f t="shared" si="28"/>
        <v>0</v>
      </c>
      <c r="T396" s="599">
        <f t="shared" si="28"/>
        <v>83151</v>
      </c>
      <c r="U396" s="620"/>
      <c r="V396" s="621"/>
      <c r="W396" s="1096">
        <f t="shared" si="29"/>
        <v>0</v>
      </c>
      <c r="X396" s="882">
        <f t="shared" si="32"/>
        <v>0</v>
      </c>
      <c r="Y396" s="910">
        <f t="shared" si="30"/>
        <v>0</v>
      </c>
    </row>
    <row r="397" spans="1:25" ht="27" customHeight="1">
      <c r="A397" s="583">
        <v>3214</v>
      </c>
      <c r="B397" s="583">
        <v>907</v>
      </c>
      <c r="C397" s="581">
        <v>9</v>
      </c>
      <c r="D397" s="1137" t="s">
        <v>71</v>
      </c>
      <c r="E397" s="1138" t="s">
        <v>1459</v>
      </c>
      <c r="G397" s="599"/>
      <c r="H397" s="599"/>
      <c r="I397" s="599"/>
      <c r="J397" s="599">
        <f>21831258741+93299379574</f>
        <v>115130638315</v>
      </c>
      <c r="K397" s="599"/>
      <c r="L397" s="599"/>
      <c r="M397" s="599"/>
      <c r="N397" s="599">
        <v>-13652104197</v>
      </c>
      <c r="O397" s="599"/>
      <c r="P397" s="599"/>
      <c r="Q397" s="1096">
        <f t="shared" si="31"/>
        <v>101478534118</v>
      </c>
      <c r="R397" s="599">
        <v>55701684041</v>
      </c>
      <c r="S397" s="1096">
        <f t="shared" si="28"/>
        <v>101479</v>
      </c>
      <c r="T397" s="738">
        <f t="shared" si="28"/>
        <v>55702</v>
      </c>
      <c r="U397" s="620"/>
      <c r="V397" s="621"/>
      <c r="W397" s="1096">
        <f t="shared" si="29"/>
        <v>101478534118</v>
      </c>
      <c r="X397" s="882">
        <f t="shared" si="32"/>
        <v>101479</v>
      </c>
      <c r="Y397" s="910">
        <f t="shared" si="30"/>
        <v>0</v>
      </c>
    </row>
    <row r="398" spans="1:25" ht="27" customHeight="1">
      <c r="A398" s="583">
        <v>6587</v>
      </c>
      <c r="B398" s="583">
        <v>907</v>
      </c>
      <c r="C398" s="581">
        <v>9</v>
      </c>
      <c r="D398" s="1137" t="s">
        <v>71</v>
      </c>
      <c r="E398" s="1138" t="s">
        <v>1719</v>
      </c>
      <c r="F398" s="599"/>
      <c r="G398" s="599"/>
      <c r="H398" s="599"/>
      <c r="I398" s="599"/>
      <c r="J398" s="599"/>
      <c r="K398" s="599"/>
      <c r="L398" s="599"/>
      <c r="M398" s="599"/>
      <c r="N398" s="599"/>
      <c r="O398" s="599"/>
      <c r="P398" s="599"/>
      <c r="Q398" s="1096">
        <f>SUM(F398:P398)</f>
        <v>0</v>
      </c>
      <c r="R398" s="599">
        <v>-83150719566</v>
      </c>
      <c r="S398" s="1096">
        <f t="shared" si="28"/>
        <v>0</v>
      </c>
      <c r="T398" s="599">
        <f t="shared" si="28"/>
        <v>-83151</v>
      </c>
      <c r="U398" s="620"/>
      <c r="V398" s="621"/>
      <c r="W398" s="1096">
        <f t="shared" si="29"/>
        <v>0</v>
      </c>
      <c r="X398" s="882">
        <f t="shared" si="32"/>
        <v>0</v>
      </c>
      <c r="Y398" s="910">
        <f t="shared" si="30"/>
        <v>0</v>
      </c>
    </row>
    <row r="399" spans="1:25" ht="27" customHeight="1">
      <c r="A399" s="583"/>
      <c r="B399" s="583">
        <v>406</v>
      </c>
      <c r="C399" s="581">
        <v>4</v>
      </c>
      <c r="D399" s="1137" t="s">
        <v>73</v>
      </c>
      <c r="E399" s="1138" t="s">
        <v>74</v>
      </c>
      <c r="F399" s="599">
        <v>20133414434</v>
      </c>
      <c r="G399" s="599">
        <v>-1909418999</v>
      </c>
      <c r="H399" s="599">
        <v>-2582288537</v>
      </c>
      <c r="I399" s="599">
        <v>-85228100</v>
      </c>
      <c r="J399" s="599">
        <v>-3845000000</v>
      </c>
      <c r="K399" s="599"/>
      <c r="L399" s="599"/>
      <c r="M399" s="599"/>
      <c r="N399" s="599"/>
      <c r="O399" s="599"/>
      <c r="P399" s="599"/>
      <c r="Q399" s="1096">
        <f t="shared" si="31"/>
        <v>11711478798</v>
      </c>
      <c r="R399" s="599">
        <v>11729386384</v>
      </c>
      <c r="S399" s="1096">
        <f t="shared" si="28"/>
        <v>11711</v>
      </c>
      <c r="T399" s="599">
        <f t="shared" si="28"/>
        <v>11729</v>
      </c>
      <c r="U399" s="620"/>
      <c r="V399" s="621"/>
      <c r="W399" s="1096">
        <f t="shared" si="29"/>
        <v>11711478798</v>
      </c>
      <c r="X399" s="882">
        <f t="shared" si="32"/>
        <v>11711</v>
      </c>
      <c r="Y399" s="910">
        <f t="shared" si="30"/>
        <v>0</v>
      </c>
    </row>
    <row r="400" spans="1:25" ht="27" customHeight="1">
      <c r="A400" s="583"/>
      <c r="B400" s="583">
        <v>605</v>
      </c>
      <c r="C400" s="581">
        <v>6</v>
      </c>
      <c r="D400" s="1137" t="s">
        <v>1153</v>
      </c>
      <c r="E400" s="1138" t="s">
        <v>1154</v>
      </c>
      <c r="F400" s="599">
        <v>693739541469</v>
      </c>
      <c r="G400" s="599"/>
      <c r="H400" s="599">
        <v>19008307</v>
      </c>
      <c r="I400" s="599"/>
      <c r="J400" s="599">
        <f>57960900-46753700</f>
        <v>11207200</v>
      </c>
      <c r="K400" s="599"/>
      <c r="L400" s="599"/>
      <c r="M400" s="599"/>
      <c r="N400" s="599"/>
      <c r="O400" s="599"/>
      <c r="P400" s="599"/>
      <c r="Q400" s="1096">
        <f t="shared" si="31"/>
        <v>693769756976</v>
      </c>
      <c r="R400" s="599">
        <v>732169898345</v>
      </c>
      <c r="S400" s="1096">
        <f>ROUND((Q400/1000000),0)</f>
        <v>693770</v>
      </c>
      <c r="T400" s="599">
        <f>ROUND((R400/1000000),0)</f>
        <v>732170</v>
      </c>
      <c r="U400" s="620"/>
      <c r="V400" s="621"/>
      <c r="W400" s="1096">
        <f t="shared" si="29"/>
        <v>693769756976</v>
      </c>
      <c r="X400" s="882">
        <f t="shared" si="32"/>
        <v>693770</v>
      </c>
      <c r="Y400" s="910">
        <f t="shared" si="30"/>
        <v>0</v>
      </c>
    </row>
    <row r="401" spans="1:25" ht="27" customHeight="1">
      <c r="A401" s="583"/>
      <c r="B401" s="583">
        <v>406</v>
      </c>
      <c r="C401" s="581">
        <v>4</v>
      </c>
      <c r="D401" s="1137" t="s">
        <v>75</v>
      </c>
      <c r="E401" s="1138" t="s">
        <v>406</v>
      </c>
      <c r="F401" s="599">
        <v>7359182508</v>
      </c>
      <c r="G401" s="599">
        <v>-610116238</v>
      </c>
      <c r="H401" s="599"/>
      <c r="I401" s="599"/>
      <c r="J401" s="599"/>
      <c r="K401" s="599"/>
      <c r="L401" s="599"/>
      <c r="M401" s="599"/>
      <c r="N401" s="599"/>
      <c r="O401" s="599"/>
      <c r="P401" s="599"/>
      <c r="Q401" s="1096">
        <f t="shared" si="31"/>
        <v>6749066270</v>
      </c>
      <c r="R401" s="599">
        <v>17655938276</v>
      </c>
      <c r="S401" s="1096">
        <f t="shared" ref="S401:T437" si="33">ROUND((Q401/1000000),0)</f>
        <v>6749</v>
      </c>
      <c r="T401" s="599">
        <f t="shared" si="33"/>
        <v>17656</v>
      </c>
      <c r="U401" s="620"/>
      <c r="V401" s="621"/>
      <c r="W401" s="1096">
        <f t="shared" si="29"/>
        <v>6749066270</v>
      </c>
      <c r="X401" s="882">
        <f t="shared" si="32"/>
        <v>6749</v>
      </c>
      <c r="Y401" s="910">
        <f t="shared" si="30"/>
        <v>0</v>
      </c>
    </row>
    <row r="402" spans="1:25" ht="27" customHeight="1">
      <c r="A402" s="583"/>
      <c r="B402" s="583">
        <v>406</v>
      </c>
      <c r="C402" s="581">
        <v>4</v>
      </c>
      <c r="D402" s="1137" t="s">
        <v>407</v>
      </c>
      <c r="E402" s="1138" t="s">
        <v>408</v>
      </c>
      <c r="F402" s="599">
        <v>199100360</v>
      </c>
      <c r="G402" s="599"/>
      <c r="H402" s="599"/>
      <c r="I402" s="599"/>
      <c r="J402" s="599"/>
      <c r="K402" s="599"/>
      <c r="L402" s="599"/>
      <c r="M402" s="599"/>
      <c r="N402" s="599"/>
      <c r="O402" s="599"/>
      <c r="P402" s="599"/>
      <c r="Q402" s="1096">
        <f t="shared" si="31"/>
        <v>199100360</v>
      </c>
      <c r="R402" s="599">
        <v>199100360</v>
      </c>
      <c r="S402" s="1096">
        <f t="shared" si="33"/>
        <v>199</v>
      </c>
      <c r="T402" s="599">
        <f t="shared" si="33"/>
        <v>199</v>
      </c>
      <c r="U402" s="620"/>
      <c r="V402" s="621"/>
      <c r="W402" s="1096">
        <f t="shared" si="29"/>
        <v>199100360</v>
      </c>
      <c r="X402" s="882">
        <f t="shared" si="32"/>
        <v>199</v>
      </c>
      <c r="Y402" s="910">
        <f t="shared" si="30"/>
        <v>0</v>
      </c>
    </row>
    <row r="403" spans="1:25" ht="27" customHeight="1">
      <c r="A403" s="583"/>
      <c r="B403" s="583">
        <v>411</v>
      </c>
      <c r="C403" s="581">
        <v>4</v>
      </c>
      <c r="D403" s="1137" t="s">
        <v>409</v>
      </c>
      <c r="E403" s="1138" t="s">
        <v>410</v>
      </c>
      <c r="F403" s="599">
        <v>34803144697</v>
      </c>
      <c r="G403" s="599"/>
      <c r="H403" s="599">
        <v>-429173062</v>
      </c>
      <c r="I403" s="599"/>
      <c r="J403" s="599">
        <v>420000</v>
      </c>
      <c r="K403" s="599"/>
      <c r="L403" s="599"/>
      <c r="M403" s="599"/>
      <c r="N403" s="599"/>
      <c r="O403" s="599"/>
      <c r="P403" s="599"/>
      <c r="Q403" s="1096">
        <f t="shared" si="31"/>
        <v>34374391635</v>
      </c>
      <c r="R403" s="599">
        <v>108343408969</v>
      </c>
      <c r="S403" s="1096">
        <f t="shared" si="33"/>
        <v>34374</v>
      </c>
      <c r="T403" s="599">
        <f t="shared" si="33"/>
        <v>108343</v>
      </c>
      <c r="U403" s="620"/>
      <c r="V403" s="621"/>
      <c r="W403" s="1096">
        <f t="shared" si="29"/>
        <v>34374391635</v>
      </c>
      <c r="X403" s="882">
        <f t="shared" si="32"/>
        <v>34374</v>
      </c>
      <c r="Y403" s="910">
        <f t="shared" si="30"/>
        <v>0</v>
      </c>
    </row>
    <row r="404" spans="1:25" ht="27" customHeight="1">
      <c r="A404" s="583">
        <v>3214</v>
      </c>
      <c r="B404" s="583">
        <v>408</v>
      </c>
      <c r="C404" s="581">
        <v>4</v>
      </c>
      <c r="D404" s="1137" t="s">
        <v>409</v>
      </c>
      <c r="E404" s="1138" t="s">
        <v>1669</v>
      </c>
      <c r="F404" s="599"/>
      <c r="G404" s="599"/>
      <c r="H404" s="599"/>
      <c r="I404" s="599"/>
      <c r="J404" s="599"/>
      <c r="K404" s="599"/>
      <c r="L404" s="599"/>
      <c r="M404" s="599"/>
      <c r="N404" s="599"/>
      <c r="O404" s="599"/>
      <c r="P404" s="599"/>
      <c r="Q404" s="1096">
        <f t="shared" si="31"/>
        <v>0</v>
      </c>
      <c r="R404" s="599">
        <v>140701273587</v>
      </c>
      <c r="S404" s="1096">
        <f t="shared" si="33"/>
        <v>0</v>
      </c>
      <c r="T404" s="599">
        <f t="shared" si="33"/>
        <v>140701</v>
      </c>
      <c r="U404" s="620"/>
      <c r="V404" s="621"/>
      <c r="W404" s="1096">
        <f t="shared" si="29"/>
        <v>0</v>
      </c>
      <c r="X404" s="882">
        <f t="shared" si="32"/>
        <v>0</v>
      </c>
      <c r="Y404" s="910">
        <f t="shared" si="30"/>
        <v>0</v>
      </c>
    </row>
    <row r="405" spans="1:25" ht="27" customHeight="1">
      <c r="A405" s="583"/>
      <c r="B405" s="583">
        <v>907</v>
      </c>
      <c r="C405" s="581">
        <v>9</v>
      </c>
      <c r="D405" s="1137" t="s">
        <v>411</v>
      </c>
      <c r="E405" s="1138" t="s">
        <v>769</v>
      </c>
      <c r="F405" s="599">
        <f>363049887674</f>
        <v>363049887674</v>
      </c>
      <c r="G405" s="599">
        <v>-177922150</v>
      </c>
      <c r="H405" s="599">
        <v>-10547688057</v>
      </c>
      <c r="I405" s="599">
        <v>47122150</v>
      </c>
      <c r="J405" s="599">
        <f>1723882271834-1842910811576-308906189766+93299379574</f>
        <v>-334635349934</v>
      </c>
      <c r="K405" s="599">
        <f>9340000000+2658910000</f>
        <v>11998910000</v>
      </c>
      <c r="L405" s="599"/>
      <c r="M405" s="599"/>
      <c r="N405" s="599">
        <v>6208202422</v>
      </c>
      <c r="O405" s="599"/>
      <c r="P405" s="599"/>
      <c r="Q405" s="1096">
        <f t="shared" si="31"/>
        <v>35943162105</v>
      </c>
      <c r="R405" s="599">
        <v>144555738443</v>
      </c>
      <c r="S405" s="1096">
        <f t="shared" si="33"/>
        <v>35943</v>
      </c>
      <c r="T405" s="599">
        <f t="shared" si="33"/>
        <v>144556</v>
      </c>
      <c r="U405" s="620"/>
      <c r="V405" s="621"/>
      <c r="W405" s="1096">
        <f t="shared" si="29"/>
        <v>35943162105</v>
      </c>
      <c r="X405" s="882">
        <f t="shared" si="32"/>
        <v>35943</v>
      </c>
      <c r="Y405" s="910">
        <f t="shared" si="30"/>
        <v>0</v>
      </c>
    </row>
    <row r="406" spans="1:25" ht="27" customHeight="1">
      <c r="A406" s="583">
        <v>3214</v>
      </c>
      <c r="B406" s="583">
        <v>907</v>
      </c>
      <c r="C406" s="581">
        <v>9</v>
      </c>
      <c r="D406" s="1137" t="s">
        <v>411</v>
      </c>
      <c r="E406" s="1138" t="s">
        <v>1670</v>
      </c>
      <c r="G406" s="599"/>
      <c r="H406" s="599"/>
      <c r="I406" s="599"/>
      <c r="J406" s="599">
        <f>1842910811576-93299379574</f>
        <v>1749611432002</v>
      </c>
      <c r="K406" s="599"/>
      <c r="L406" s="599"/>
      <c r="M406" s="599"/>
      <c r="N406" s="599">
        <f>105082250011+71272562026</f>
        <v>176354812037</v>
      </c>
      <c r="O406" s="599"/>
      <c r="P406" s="599"/>
      <c r="Q406" s="1096">
        <f t="shared" si="31"/>
        <v>1925966244039</v>
      </c>
      <c r="R406" s="599">
        <v>148038750319</v>
      </c>
      <c r="S406" s="1096">
        <f t="shared" si="33"/>
        <v>1925966</v>
      </c>
      <c r="T406" s="738">
        <f t="shared" si="33"/>
        <v>148039</v>
      </c>
      <c r="U406" s="620"/>
      <c r="V406" s="621"/>
      <c r="W406" s="1096">
        <f t="shared" si="29"/>
        <v>1925966244039</v>
      </c>
      <c r="X406" s="882">
        <f t="shared" si="32"/>
        <v>1925966</v>
      </c>
      <c r="Y406" s="910">
        <f t="shared" si="30"/>
        <v>0</v>
      </c>
    </row>
    <row r="407" spans="1:25" ht="33.75" customHeight="1">
      <c r="A407" s="583">
        <v>6587</v>
      </c>
      <c r="B407" s="583">
        <v>907</v>
      </c>
      <c r="C407" s="581">
        <v>9</v>
      </c>
      <c r="D407" s="1137" t="s">
        <v>411</v>
      </c>
      <c r="E407" s="1139" t="s">
        <v>1674</v>
      </c>
      <c r="F407" s="599"/>
      <c r="G407" s="599"/>
      <c r="H407" s="599"/>
      <c r="I407" s="599"/>
      <c r="J407" s="599"/>
      <c r="K407" s="599"/>
      <c r="L407" s="599"/>
      <c r="M407" s="599"/>
      <c r="N407" s="599"/>
      <c r="O407" s="599"/>
      <c r="P407" s="599"/>
      <c r="Q407" s="1096">
        <f>SUM(F407:P407)</f>
        <v>0</v>
      </c>
      <c r="R407" s="599">
        <v>-118977872339</v>
      </c>
      <c r="S407" s="1096">
        <f t="shared" si="33"/>
        <v>0</v>
      </c>
      <c r="T407" s="599">
        <f t="shared" si="33"/>
        <v>-118978</v>
      </c>
      <c r="U407" s="620"/>
      <c r="V407" s="621"/>
      <c r="W407" s="1096">
        <f t="shared" si="29"/>
        <v>0</v>
      </c>
      <c r="X407" s="882">
        <f t="shared" si="32"/>
        <v>0</v>
      </c>
      <c r="Y407" s="910">
        <f t="shared" si="30"/>
        <v>0</v>
      </c>
    </row>
    <row r="408" spans="1:25" ht="27" customHeight="1">
      <c r="A408" s="583"/>
      <c r="B408" s="583">
        <v>603</v>
      </c>
      <c r="C408" s="581">
        <v>6</v>
      </c>
      <c r="D408" s="1137" t="s">
        <v>353</v>
      </c>
      <c r="E408" s="1138" t="s">
        <v>354</v>
      </c>
      <c r="F408" s="599">
        <v>33644097242</v>
      </c>
      <c r="G408" s="599">
        <v>9382650</v>
      </c>
      <c r="H408" s="599"/>
      <c r="I408" s="599"/>
      <c r="J408" s="599"/>
      <c r="K408" s="599"/>
      <c r="L408" s="599"/>
      <c r="M408" s="599"/>
      <c r="N408" s="599"/>
      <c r="O408" s="599"/>
      <c r="P408" s="599"/>
      <c r="Q408" s="1096">
        <f t="shared" si="31"/>
        <v>33653479892</v>
      </c>
      <c r="R408" s="599">
        <v>33840351343</v>
      </c>
      <c r="S408" s="1096">
        <f t="shared" si="33"/>
        <v>33653</v>
      </c>
      <c r="T408" s="599">
        <f t="shared" si="33"/>
        <v>33840</v>
      </c>
      <c r="U408" s="620"/>
      <c r="V408" s="621"/>
      <c r="W408" s="1096">
        <f t="shared" si="29"/>
        <v>33653479892</v>
      </c>
      <c r="X408" s="882">
        <f t="shared" si="32"/>
        <v>33653</v>
      </c>
      <c r="Y408" s="910">
        <f t="shared" si="30"/>
        <v>0</v>
      </c>
    </row>
    <row r="409" spans="1:25" ht="27" customHeight="1">
      <c r="A409" s="583"/>
      <c r="B409" s="583">
        <v>406</v>
      </c>
      <c r="C409" s="581">
        <v>4</v>
      </c>
      <c r="D409" s="1137" t="s">
        <v>355</v>
      </c>
      <c r="E409" s="1138" t="s">
        <v>356</v>
      </c>
      <c r="F409" s="599">
        <v>83549006</v>
      </c>
      <c r="G409" s="599"/>
      <c r="H409" s="599"/>
      <c r="I409" s="599"/>
      <c r="J409" s="599">
        <v>0</v>
      </c>
      <c r="K409" s="599"/>
      <c r="L409" s="599"/>
      <c r="M409" s="599"/>
      <c r="N409" s="599"/>
      <c r="O409" s="599"/>
      <c r="P409" s="599"/>
      <c r="Q409" s="1096">
        <f t="shared" si="31"/>
        <v>83549006</v>
      </c>
      <c r="R409" s="599">
        <v>81193775</v>
      </c>
      <c r="S409" s="1096">
        <f t="shared" si="33"/>
        <v>84</v>
      </c>
      <c r="T409" s="599">
        <f t="shared" si="33"/>
        <v>81</v>
      </c>
      <c r="U409" s="620"/>
      <c r="V409" s="621"/>
      <c r="W409" s="1096">
        <f t="shared" si="29"/>
        <v>83549006</v>
      </c>
      <c r="X409" s="882">
        <f t="shared" si="32"/>
        <v>84</v>
      </c>
      <c r="Y409" s="910">
        <f t="shared" si="30"/>
        <v>0</v>
      </c>
    </row>
    <row r="410" spans="1:25" ht="27" customHeight="1">
      <c r="A410" s="583">
        <v>3214</v>
      </c>
      <c r="B410" s="583">
        <v>1015</v>
      </c>
      <c r="C410" s="581">
        <v>10</v>
      </c>
      <c r="D410" s="1137" t="s">
        <v>355</v>
      </c>
      <c r="E410" s="1138" t="s">
        <v>1462</v>
      </c>
      <c r="F410" s="599"/>
      <c r="G410" s="599"/>
      <c r="H410" s="599"/>
      <c r="I410" s="599"/>
      <c r="J410" s="599">
        <v>-42738271</v>
      </c>
      <c r="K410" s="599"/>
      <c r="L410" s="599"/>
      <c r="M410" s="599"/>
      <c r="N410" s="599"/>
      <c r="O410" s="599"/>
      <c r="P410" s="599"/>
      <c r="Q410" s="1096">
        <f t="shared" si="31"/>
        <v>-42738271</v>
      </c>
      <c r="R410" s="599">
        <v>0</v>
      </c>
      <c r="S410" s="1096">
        <f t="shared" si="33"/>
        <v>-43</v>
      </c>
      <c r="T410" s="599">
        <f t="shared" si="33"/>
        <v>0</v>
      </c>
      <c r="U410" s="620"/>
      <c r="V410" s="621"/>
      <c r="W410" s="1096">
        <f t="shared" si="29"/>
        <v>-42738271</v>
      </c>
      <c r="X410" s="882">
        <f t="shared" si="32"/>
        <v>-43</v>
      </c>
      <c r="Y410" s="910">
        <f t="shared" si="30"/>
        <v>0</v>
      </c>
    </row>
    <row r="411" spans="1:25" ht="27" customHeight="1">
      <c r="A411" s="583"/>
      <c r="B411" s="583">
        <v>406</v>
      </c>
      <c r="C411" s="581">
        <v>4</v>
      </c>
      <c r="D411" s="1137" t="s">
        <v>1258</v>
      </c>
      <c r="E411" s="1138" t="s">
        <v>1259</v>
      </c>
      <c r="F411" s="599"/>
      <c r="G411" s="599"/>
      <c r="H411" s="599"/>
      <c r="I411" s="599"/>
      <c r="J411" s="599"/>
      <c r="K411" s="599"/>
      <c r="L411" s="599"/>
      <c r="M411" s="599"/>
      <c r="N411" s="599"/>
      <c r="O411" s="599"/>
      <c r="P411" s="599"/>
      <c r="Q411" s="1096">
        <f t="shared" si="31"/>
        <v>0</v>
      </c>
      <c r="R411" s="599">
        <v>0</v>
      </c>
      <c r="S411" s="1096">
        <f t="shared" si="33"/>
        <v>0</v>
      </c>
      <c r="T411" s="599">
        <f t="shared" si="33"/>
        <v>0</v>
      </c>
      <c r="U411" s="620"/>
      <c r="V411" s="621"/>
      <c r="W411" s="1096">
        <f t="shared" si="29"/>
        <v>0</v>
      </c>
      <c r="X411" s="882">
        <f t="shared" si="32"/>
        <v>0</v>
      </c>
      <c r="Y411" s="910">
        <f t="shared" si="30"/>
        <v>0</v>
      </c>
    </row>
    <row r="412" spans="1:25" ht="27" customHeight="1">
      <c r="A412" s="583"/>
      <c r="B412" s="583">
        <v>1015</v>
      </c>
      <c r="C412" s="581">
        <v>10</v>
      </c>
      <c r="D412" s="1137" t="s">
        <v>357</v>
      </c>
      <c r="E412" s="1138" t="s">
        <v>358</v>
      </c>
      <c r="F412" s="599">
        <v>-45006975</v>
      </c>
      <c r="G412" s="599">
        <v>-31219208</v>
      </c>
      <c r="H412" s="599">
        <v>-730158</v>
      </c>
      <c r="I412" s="599">
        <v>-1448379</v>
      </c>
      <c r="J412" s="599"/>
      <c r="K412" s="599"/>
      <c r="L412" s="599"/>
      <c r="M412" s="599"/>
      <c r="N412" s="599"/>
      <c r="O412" s="599"/>
      <c r="P412" s="599"/>
      <c r="Q412" s="1096">
        <f t="shared" si="31"/>
        <v>-78404720</v>
      </c>
      <c r="R412" s="599">
        <v>-1790648448</v>
      </c>
      <c r="S412" s="1096">
        <f t="shared" si="33"/>
        <v>-78</v>
      </c>
      <c r="T412" s="599">
        <f t="shared" si="33"/>
        <v>-1791</v>
      </c>
      <c r="U412" s="620"/>
      <c r="V412" s="621"/>
      <c r="W412" s="1096">
        <f t="shared" si="29"/>
        <v>-78404720</v>
      </c>
      <c r="X412" s="882">
        <f t="shared" si="32"/>
        <v>-78</v>
      </c>
      <c r="Y412" s="910">
        <f t="shared" si="30"/>
        <v>0</v>
      </c>
    </row>
    <row r="413" spans="1:25" ht="27" customHeight="1">
      <c r="A413" s="583"/>
      <c r="B413" s="583">
        <v>1015</v>
      </c>
      <c r="C413" s="581">
        <v>10</v>
      </c>
      <c r="D413" s="1137" t="s">
        <v>359</v>
      </c>
      <c r="E413" s="1138" t="s">
        <v>896</v>
      </c>
      <c r="F413" s="599"/>
      <c r="G413" s="599"/>
      <c r="H413" s="599"/>
      <c r="I413" s="599"/>
      <c r="J413" s="599"/>
      <c r="K413" s="599"/>
      <c r="L413" s="599"/>
      <c r="M413" s="599"/>
      <c r="N413" s="599"/>
      <c r="O413" s="599"/>
      <c r="P413" s="599"/>
      <c r="Q413" s="1096">
        <f t="shared" si="31"/>
        <v>0</v>
      </c>
      <c r="R413" s="599">
        <v>0</v>
      </c>
      <c r="S413" s="1096">
        <f t="shared" si="33"/>
        <v>0</v>
      </c>
      <c r="T413" s="599">
        <f t="shared" si="33"/>
        <v>0</v>
      </c>
      <c r="U413" s="620"/>
      <c r="V413" s="621"/>
      <c r="W413" s="1096">
        <f t="shared" si="29"/>
        <v>0</v>
      </c>
      <c r="X413" s="882">
        <f t="shared" si="32"/>
        <v>0</v>
      </c>
      <c r="Y413" s="910">
        <f t="shared" si="30"/>
        <v>0</v>
      </c>
    </row>
    <row r="414" spans="1:25" ht="27" customHeight="1">
      <c r="A414" s="583"/>
      <c r="B414" s="583">
        <v>1015</v>
      </c>
      <c r="C414" s="581">
        <v>10</v>
      </c>
      <c r="D414" s="1137" t="s">
        <v>598</v>
      </c>
      <c r="E414" s="1138" t="s">
        <v>850</v>
      </c>
      <c r="F414" s="599">
        <v>-97583</v>
      </c>
      <c r="G414" s="599"/>
      <c r="H414" s="599"/>
      <c r="I414" s="599"/>
      <c r="J414" s="599"/>
      <c r="K414" s="599"/>
      <c r="L414" s="599"/>
      <c r="M414" s="599"/>
      <c r="N414" s="599"/>
      <c r="O414" s="599"/>
      <c r="P414" s="599"/>
      <c r="Q414" s="1096">
        <f t="shared" si="31"/>
        <v>-97583</v>
      </c>
      <c r="R414" s="599">
        <v>-97583</v>
      </c>
      <c r="S414" s="1096">
        <f t="shared" si="33"/>
        <v>0</v>
      </c>
      <c r="T414" s="599">
        <f t="shared" si="33"/>
        <v>0</v>
      </c>
      <c r="U414" s="620"/>
      <c r="V414" s="621"/>
      <c r="W414" s="1096">
        <f t="shared" si="29"/>
        <v>-97583</v>
      </c>
      <c r="X414" s="882">
        <f t="shared" si="32"/>
        <v>0</v>
      </c>
      <c r="Y414" s="910">
        <f t="shared" si="30"/>
        <v>0</v>
      </c>
    </row>
    <row r="415" spans="1:25" ht="27" customHeight="1">
      <c r="A415" s="583"/>
      <c r="B415" s="583">
        <v>602</v>
      </c>
      <c r="C415" s="581">
        <v>6</v>
      </c>
      <c r="D415" s="1137" t="s">
        <v>600</v>
      </c>
      <c r="E415" s="1138" t="s">
        <v>601</v>
      </c>
      <c r="F415" s="599">
        <v>-33846000000</v>
      </c>
      <c r="G415" s="599"/>
      <c r="H415" s="599"/>
      <c r="I415" s="599"/>
      <c r="J415" s="599"/>
      <c r="K415" s="599"/>
      <c r="L415" s="599"/>
      <c r="M415" s="599"/>
      <c r="N415" s="599"/>
      <c r="O415" s="599"/>
      <c r="P415" s="599"/>
      <c r="Q415" s="1096">
        <f t="shared" si="31"/>
        <v>-33846000000</v>
      </c>
      <c r="R415" s="599">
        <v>-33846261999</v>
      </c>
      <c r="S415" s="1096">
        <f t="shared" si="33"/>
        <v>-33846</v>
      </c>
      <c r="T415" s="599">
        <f t="shared" si="33"/>
        <v>-33846</v>
      </c>
      <c r="U415" s="620"/>
      <c r="V415" s="738">
        <f>V500/4</f>
        <v>8270464946</v>
      </c>
      <c r="W415" s="1096">
        <f>Q415-V415+U415</f>
        <v>-42116464946</v>
      </c>
      <c r="X415" s="882">
        <f t="shared" si="32"/>
        <v>-42116</v>
      </c>
      <c r="Y415" s="910">
        <f t="shared" si="30"/>
        <v>8270</v>
      </c>
    </row>
    <row r="416" spans="1:25" ht="27" customHeight="1">
      <c r="A416" s="583"/>
      <c r="B416" s="583">
        <v>1015</v>
      </c>
      <c r="C416" s="581">
        <v>10</v>
      </c>
      <c r="D416" s="1137" t="s">
        <v>1264</v>
      </c>
      <c r="E416" s="1138" t="s">
        <v>1259</v>
      </c>
      <c r="F416" s="599"/>
      <c r="G416" s="599"/>
      <c r="H416" s="599"/>
      <c r="I416" s="599"/>
      <c r="J416" s="599"/>
      <c r="K416" s="599"/>
      <c r="L416" s="599"/>
      <c r="M416" s="599"/>
      <c r="N416" s="599"/>
      <c r="O416" s="599"/>
      <c r="P416" s="599"/>
      <c r="Q416" s="1096">
        <f t="shared" si="31"/>
        <v>0</v>
      </c>
      <c r="R416" s="599">
        <v>0</v>
      </c>
      <c r="S416" s="1096">
        <f t="shared" si="33"/>
        <v>0</v>
      </c>
      <c r="T416" s="599">
        <f t="shared" si="33"/>
        <v>0</v>
      </c>
      <c r="U416" s="620"/>
      <c r="V416" s="621"/>
      <c r="W416" s="1096">
        <f t="shared" si="29"/>
        <v>0</v>
      </c>
      <c r="X416" s="882">
        <f t="shared" si="32"/>
        <v>0</v>
      </c>
      <c r="Y416" s="910">
        <f t="shared" si="30"/>
        <v>0</v>
      </c>
    </row>
    <row r="417" spans="1:25" ht="27" customHeight="1">
      <c r="A417" s="583"/>
      <c r="B417" s="583">
        <v>406</v>
      </c>
      <c r="C417" s="581">
        <v>4</v>
      </c>
      <c r="D417" s="1137" t="s">
        <v>602</v>
      </c>
      <c r="E417" s="1138" t="s">
        <v>603</v>
      </c>
      <c r="F417" s="599">
        <v>267082190</v>
      </c>
      <c r="G417" s="599">
        <v>-39014116</v>
      </c>
      <c r="H417" s="599"/>
      <c r="I417" s="599"/>
      <c r="J417" s="599"/>
      <c r="K417" s="599"/>
      <c r="L417" s="599"/>
      <c r="M417" s="599"/>
      <c r="N417" s="599"/>
      <c r="O417" s="599"/>
      <c r="P417" s="599"/>
      <c r="Q417" s="1096">
        <f t="shared" si="31"/>
        <v>228068074</v>
      </c>
      <c r="R417" s="599">
        <v>-150489188</v>
      </c>
      <c r="S417" s="1096">
        <f t="shared" si="33"/>
        <v>228</v>
      </c>
      <c r="T417" s="599">
        <f t="shared" si="33"/>
        <v>-150</v>
      </c>
      <c r="U417" s="620"/>
      <c r="V417" s="621"/>
      <c r="W417" s="1096">
        <f t="shared" si="29"/>
        <v>228068074</v>
      </c>
      <c r="X417" s="882">
        <f t="shared" si="32"/>
        <v>228</v>
      </c>
      <c r="Y417" s="910">
        <f t="shared" si="30"/>
        <v>0</v>
      </c>
    </row>
    <row r="418" spans="1:25" ht="27" customHeight="1">
      <c r="A418" s="583"/>
      <c r="B418" s="583">
        <v>406</v>
      </c>
      <c r="C418" s="581">
        <v>4</v>
      </c>
      <c r="D418" s="1137" t="s">
        <v>668</v>
      </c>
      <c r="E418" s="1138" t="s">
        <v>669</v>
      </c>
      <c r="F418" s="599"/>
      <c r="G418" s="599"/>
      <c r="H418" s="599"/>
      <c r="I418" s="599"/>
      <c r="J418" s="599"/>
      <c r="K418" s="599"/>
      <c r="L418" s="599"/>
      <c r="M418" s="599"/>
      <c r="N418" s="599"/>
      <c r="O418" s="599"/>
      <c r="P418" s="599"/>
      <c r="Q418" s="1096">
        <f t="shared" si="31"/>
        <v>0</v>
      </c>
      <c r="R418" s="599">
        <v>0</v>
      </c>
      <c r="S418" s="1096">
        <f t="shared" si="33"/>
        <v>0</v>
      </c>
      <c r="T418" s="599">
        <f t="shared" si="33"/>
        <v>0</v>
      </c>
      <c r="U418" s="620"/>
      <c r="V418" s="621"/>
      <c r="W418" s="1096">
        <f t="shared" si="29"/>
        <v>0</v>
      </c>
      <c r="X418" s="882">
        <f t="shared" si="32"/>
        <v>0</v>
      </c>
      <c r="Y418" s="910">
        <f t="shared" si="30"/>
        <v>0</v>
      </c>
    </row>
    <row r="419" spans="1:25" ht="27" customHeight="1">
      <c r="A419" s="583"/>
      <c r="B419" s="583">
        <v>100201</v>
      </c>
      <c r="C419" s="581">
        <v>10</v>
      </c>
      <c r="D419" s="1137" t="s">
        <v>604</v>
      </c>
      <c r="E419" s="1138" t="s">
        <v>532</v>
      </c>
      <c r="F419" s="599"/>
      <c r="G419" s="599"/>
      <c r="H419" s="599"/>
      <c r="I419" s="599"/>
      <c r="J419" s="599"/>
      <c r="K419" s="599"/>
      <c r="L419" s="599"/>
      <c r="M419" s="599"/>
      <c r="N419" s="599"/>
      <c r="O419" s="599"/>
      <c r="P419" s="599"/>
      <c r="Q419" s="1096">
        <f t="shared" si="31"/>
        <v>0</v>
      </c>
      <c r="R419" s="599">
        <v>-1669572741463</v>
      </c>
      <c r="S419" s="1096">
        <f t="shared" si="33"/>
        <v>0</v>
      </c>
      <c r="T419" s="599">
        <f t="shared" si="33"/>
        <v>-1669573</v>
      </c>
      <c r="U419" s="620"/>
      <c r="V419" s="621"/>
      <c r="W419" s="1096">
        <f t="shared" si="29"/>
        <v>0</v>
      </c>
      <c r="X419" s="882">
        <f t="shared" si="32"/>
        <v>0</v>
      </c>
      <c r="Y419" s="910">
        <f t="shared" si="30"/>
        <v>0</v>
      </c>
    </row>
    <row r="420" spans="1:25" ht="27" customHeight="1">
      <c r="A420" s="583"/>
      <c r="B420" s="583">
        <v>1018</v>
      </c>
      <c r="C420" s="581">
        <v>10</v>
      </c>
      <c r="D420" s="1137" t="s">
        <v>605</v>
      </c>
      <c r="E420" s="1138" t="s">
        <v>227</v>
      </c>
      <c r="F420" s="599">
        <v>-480100350</v>
      </c>
      <c r="G420" s="599">
        <v>5433448</v>
      </c>
      <c r="H420" s="599"/>
      <c r="I420" s="599"/>
      <c r="J420" s="599"/>
      <c r="K420" s="599"/>
      <c r="L420" s="599"/>
      <c r="M420" s="599"/>
      <c r="N420" s="599"/>
      <c r="O420" s="599"/>
      <c r="P420" s="599"/>
      <c r="Q420" s="1096">
        <f t="shared" si="31"/>
        <v>-474666902</v>
      </c>
      <c r="R420" s="599">
        <v>-1024486022</v>
      </c>
      <c r="S420" s="1096">
        <f t="shared" si="33"/>
        <v>-475</v>
      </c>
      <c r="T420" s="599">
        <f t="shared" si="33"/>
        <v>-1024</v>
      </c>
      <c r="U420" s="620"/>
      <c r="V420" s="621"/>
      <c r="W420" s="1096">
        <f t="shared" si="29"/>
        <v>-474666902</v>
      </c>
      <c r="X420" s="882">
        <f t="shared" si="32"/>
        <v>-475</v>
      </c>
      <c r="Y420" s="910">
        <f t="shared" si="30"/>
        <v>0</v>
      </c>
    </row>
    <row r="421" spans="1:25" ht="27" customHeight="1">
      <c r="A421" s="583"/>
      <c r="B421" s="583">
        <v>1018</v>
      </c>
      <c r="C421" s="581">
        <v>10</v>
      </c>
      <c r="D421" s="1137" t="s">
        <v>1000</v>
      </c>
      <c r="E421" s="1138" t="s">
        <v>1001</v>
      </c>
      <c r="F421" s="599">
        <v>-3305292369</v>
      </c>
      <c r="G421" s="599">
        <v>3242394689</v>
      </c>
      <c r="H421" s="599"/>
      <c r="I421" s="599"/>
      <c r="J421" s="599">
        <v>0</v>
      </c>
      <c r="K421" s="599"/>
      <c r="L421" s="599"/>
      <c r="M421" s="599"/>
      <c r="N421" s="599"/>
      <c r="O421" s="599"/>
      <c r="P421" s="599"/>
      <c r="Q421" s="1096">
        <f t="shared" si="31"/>
        <v>-62897680</v>
      </c>
      <c r="R421" s="599">
        <v>-414891680</v>
      </c>
      <c r="S421" s="1096">
        <f t="shared" si="33"/>
        <v>-63</v>
      </c>
      <c r="T421" s="599">
        <f t="shared" si="33"/>
        <v>-415</v>
      </c>
      <c r="U421" s="620"/>
      <c r="V421" s="621"/>
      <c r="W421" s="1096">
        <f t="shared" si="29"/>
        <v>-62897680</v>
      </c>
      <c r="X421" s="882">
        <f t="shared" si="32"/>
        <v>-63</v>
      </c>
      <c r="Y421" s="910">
        <f t="shared" si="30"/>
        <v>0</v>
      </c>
    </row>
    <row r="422" spans="1:25" ht="27" customHeight="1">
      <c r="A422" s="583"/>
      <c r="B422" s="583">
        <v>1018</v>
      </c>
      <c r="C422" s="581">
        <v>10</v>
      </c>
      <c r="D422" s="1137" t="s">
        <v>515</v>
      </c>
      <c r="E422" s="1138" t="s">
        <v>516</v>
      </c>
      <c r="F422" s="599">
        <v>-362000000</v>
      </c>
      <c r="G422" s="599"/>
      <c r="H422" s="599"/>
      <c r="I422" s="599"/>
      <c r="J422" s="599"/>
      <c r="K422" s="599"/>
      <c r="L422" s="599"/>
      <c r="M422" s="599"/>
      <c r="N422" s="599"/>
      <c r="O422" s="599"/>
      <c r="P422" s="599"/>
      <c r="Q422" s="1096">
        <f t="shared" si="31"/>
        <v>-362000000</v>
      </c>
      <c r="R422" s="599">
        <v>-362000000</v>
      </c>
      <c r="S422" s="1096">
        <f t="shared" si="33"/>
        <v>-362</v>
      </c>
      <c r="T422" s="599">
        <f t="shared" si="33"/>
        <v>-362</v>
      </c>
      <c r="U422" s="620"/>
      <c r="V422" s="621"/>
      <c r="W422" s="1096">
        <f t="shared" ref="W422:W498" si="34">Q422+V422-U422</f>
        <v>-362000000</v>
      </c>
      <c r="X422" s="882">
        <f t="shared" si="32"/>
        <v>-362</v>
      </c>
      <c r="Y422" s="910">
        <f t="shared" si="30"/>
        <v>0</v>
      </c>
    </row>
    <row r="423" spans="1:25" ht="27" customHeight="1">
      <c r="A423" s="583"/>
      <c r="B423" s="583">
        <v>1018</v>
      </c>
      <c r="C423" s="581">
        <v>10</v>
      </c>
      <c r="D423" s="1137" t="s">
        <v>1347</v>
      </c>
      <c r="E423" s="1138" t="s">
        <v>1348</v>
      </c>
      <c r="F423" s="599"/>
      <c r="G423" s="599"/>
      <c r="H423" s="599"/>
      <c r="I423" s="599"/>
      <c r="J423" s="599"/>
      <c r="K423" s="599"/>
      <c r="L423" s="599"/>
      <c r="M423" s="599"/>
      <c r="N423" s="599"/>
      <c r="O423" s="599"/>
      <c r="P423" s="599"/>
      <c r="Q423" s="1096">
        <f t="shared" si="31"/>
        <v>0</v>
      </c>
      <c r="R423" s="599">
        <v>0</v>
      </c>
      <c r="S423" s="1096">
        <f t="shared" si="33"/>
        <v>0</v>
      </c>
      <c r="T423" s="599">
        <f t="shared" si="33"/>
        <v>0</v>
      </c>
      <c r="U423" s="620"/>
      <c r="V423" s="621"/>
      <c r="W423" s="1096">
        <f t="shared" si="34"/>
        <v>0</v>
      </c>
      <c r="X423" s="882">
        <f t="shared" si="32"/>
        <v>0</v>
      </c>
      <c r="Y423" s="910">
        <f t="shared" si="30"/>
        <v>0</v>
      </c>
    </row>
    <row r="424" spans="1:25" ht="27" customHeight="1">
      <c r="A424" s="583"/>
      <c r="B424" s="583">
        <v>1012</v>
      </c>
      <c r="C424" s="581">
        <v>10</v>
      </c>
      <c r="D424" s="1137" t="s">
        <v>18</v>
      </c>
      <c r="E424" s="1138" t="s">
        <v>228</v>
      </c>
      <c r="F424" s="599">
        <f>-3505858649985-F425-F426</f>
        <v>-1039798191051</v>
      </c>
      <c r="G424" s="599">
        <v>-150090389479</v>
      </c>
      <c r="H424" s="599">
        <v>-60008751797</v>
      </c>
      <c r="I424" s="599">
        <v>-134957247529</v>
      </c>
      <c r="J424" s="599">
        <v>1905984205</v>
      </c>
      <c r="K424" s="599"/>
      <c r="L424" s="599"/>
      <c r="M424" s="599"/>
      <c r="N424" s="599">
        <v>8650746810</v>
      </c>
      <c r="O424" s="599"/>
      <c r="P424" s="599"/>
      <c r="Q424" s="1096">
        <f t="shared" si="31"/>
        <v>-1374297848841</v>
      </c>
      <c r="R424" s="599">
        <v>-616937220354</v>
      </c>
      <c r="S424" s="1096">
        <f>ROUND((Q424/1000000),0)</f>
        <v>-1374298</v>
      </c>
      <c r="T424" s="599">
        <f t="shared" si="33"/>
        <v>-616937</v>
      </c>
      <c r="U424" s="620"/>
      <c r="V424" s="621"/>
      <c r="W424" s="1096">
        <f t="shared" si="34"/>
        <v>-1374297848841</v>
      </c>
      <c r="X424" s="882">
        <f t="shared" si="32"/>
        <v>-1374298</v>
      </c>
      <c r="Y424" s="910">
        <f t="shared" si="30"/>
        <v>0</v>
      </c>
    </row>
    <row r="425" spans="1:25" ht="27" customHeight="1">
      <c r="A425" s="583">
        <v>6587</v>
      </c>
      <c r="B425" s="583">
        <v>100201</v>
      </c>
      <c r="C425" s="581">
        <v>10</v>
      </c>
      <c r="D425" s="1137" t="s">
        <v>1692</v>
      </c>
      <c r="E425" s="1138" t="s">
        <v>228</v>
      </c>
      <c r="F425" s="599">
        <v>-550234211283</v>
      </c>
      <c r="G425" s="599"/>
      <c r="H425" s="599"/>
      <c r="I425" s="599"/>
      <c r="J425" s="599">
        <v>-774019105141</v>
      </c>
      <c r="K425" s="599"/>
      <c r="L425" s="599"/>
      <c r="M425" s="599"/>
      <c r="N425" s="599"/>
      <c r="O425" s="599"/>
      <c r="P425" s="599"/>
      <c r="Q425" s="1096">
        <f t="shared" si="31"/>
        <v>-1324253316424</v>
      </c>
      <c r="R425" s="599">
        <v>-534357106842</v>
      </c>
      <c r="S425" s="1096">
        <f>ROUND((Q425/1000000),0)</f>
        <v>-1324253</v>
      </c>
      <c r="T425" s="599">
        <f t="shared" si="33"/>
        <v>-534357</v>
      </c>
      <c r="U425" s="620"/>
      <c r="V425" s="621"/>
      <c r="W425" s="1096">
        <f t="shared" si="34"/>
        <v>-1324253316424</v>
      </c>
      <c r="X425" s="882">
        <f t="shared" si="32"/>
        <v>-1324253</v>
      </c>
      <c r="Y425" s="910">
        <f t="shared" si="30"/>
        <v>0</v>
      </c>
    </row>
    <row r="426" spans="1:25" ht="27" customHeight="1">
      <c r="A426" s="583">
        <v>6587</v>
      </c>
      <c r="B426" s="583">
        <v>100201</v>
      </c>
      <c r="C426" s="581">
        <v>10</v>
      </c>
      <c r="D426" s="1137" t="s">
        <v>1693</v>
      </c>
      <c r="E426" s="1138" t="s">
        <v>228</v>
      </c>
      <c r="F426" s="599">
        <v>-1915826247651</v>
      </c>
      <c r="G426" s="599"/>
      <c r="H426" s="599"/>
      <c r="I426" s="599"/>
      <c r="J426" s="599">
        <v>-607929392441</v>
      </c>
      <c r="K426" s="599"/>
      <c r="L426" s="599"/>
      <c r="M426" s="599"/>
      <c r="N426" s="599"/>
      <c r="O426" s="599"/>
      <c r="P426" s="599"/>
      <c r="Q426" s="1096">
        <f t="shared" si="31"/>
        <v>-2523755640092</v>
      </c>
      <c r="R426" s="599">
        <v>-1931703352092</v>
      </c>
      <c r="S426" s="1096">
        <f>ROUND((Q426/1000000),0)</f>
        <v>-2523756</v>
      </c>
      <c r="T426" s="599">
        <f t="shared" si="33"/>
        <v>-1931703</v>
      </c>
      <c r="U426" s="620"/>
      <c r="V426" s="621"/>
      <c r="W426" s="1096">
        <f t="shared" si="34"/>
        <v>-2523755640092</v>
      </c>
      <c r="X426" s="882">
        <f t="shared" si="32"/>
        <v>-2523756</v>
      </c>
      <c r="Y426" s="910">
        <f t="shared" si="30"/>
        <v>0</v>
      </c>
    </row>
    <row r="427" spans="1:25" ht="27" customHeight="1">
      <c r="A427" s="583">
        <v>6587</v>
      </c>
      <c r="B427" s="583">
        <v>100201</v>
      </c>
      <c r="C427" s="581">
        <v>10</v>
      </c>
      <c r="D427" s="1137" t="s">
        <v>1770</v>
      </c>
      <c r="E427" s="1138" t="s">
        <v>228</v>
      </c>
      <c r="G427" s="599"/>
      <c r="H427" s="599"/>
      <c r="I427" s="599"/>
      <c r="J427" s="599">
        <v>-20242612958</v>
      </c>
      <c r="K427" s="599"/>
      <c r="L427" s="599"/>
      <c r="M427" s="599"/>
      <c r="N427" s="599"/>
      <c r="O427" s="599"/>
      <c r="P427" s="599"/>
      <c r="Q427" s="1096">
        <f t="shared" si="31"/>
        <v>-20242612958</v>
      </c>
      <c r="R427" s="599"/>
      <c r="S427" s="1096">
        <f>ROUND((Q427/1000000),0)</f>
        <v>-20243</v>
      </c>
      <c r="T427" s="599">
        <f t="shared" si="33"/>
        <v>0</v>
      </c>
      <c r="U427" s="620"/>
      <c r="V427" s="621"/>
      <c r="W427" s="1096">
        <f t="shared" si="34"/>
        <v>-20242612958</v>
      </c>
      <c r="X427" s="882">
        <f t="shared" si="32"/>
        <v>-20243</v>
      </c>
      <c r="Y427" s="910">
        <f t="shared" si="30"/>
        <v>0</v>
      </c>
    </row>
    <row r="428" spans="1:25" ht="27" customHeight="1">
      <c r="A428" s="583">
        <v>3214</v>
      </c>
      <c r="B428" s="583">
        <v>100201</v>
      </c>
      <c r="C428" s="581">
        <v>10</v>
      </c>
      <c r="D428" s="1137" t="s">
        <v>18</v>
      </c>
      <c r="E428" s="1138" t="s">
        <v>228</v>
      </c>
      <c r="G428" s="599"/>
      <c r="H428" s="599"/>
      <c r="I428" s="599"/>
      <c r="J428" s="599">
        <v>-1681604898868</v>
      </c>
      <c r="K428" s="599"/>
      <c r="L428" s="599"/>
      <c r="M428" s="599"/>
      <c r="N428" s="599">
        <v>-1267144901</v>
      </c>
      <c r="O428" s="599"/>
      <c r="P428" s="599"/>
      <c r="Q428" s="1096">
        <f t="shared" si="31"/>
        <v>-1682872043769</v>
      </c>
      <c r="R428" s="599"/>
      <c r="S428" s="1096">
        <f>ROUND((Q428/1000000),0)</f>
        <v>-1682872</v>
      </c>
      <c r="T428" s="599">
        <f t="shared" si="33"/>
        <v>0</v>
      </c>
      <c r="U428" s="620"/>
      <c r="V428" s="621"/>
      <c r="W428" s="1096">
        <f t="shared" si="34"/>
        <v>-1682872043769</v>
      </c>
      <c r="X428" s="882">
        <f t="shared" si="32"/>
        <v>-1682872</v>
      </c>
      <c r="Y428" s="910">
        <f t="shared" si="30"/>
        <v>0</v>
      </c>
    </row>
    <row r="429" spans="1:25" ht="27" customHeight="1">
      <c r="A429" s="583"/>
      <c r="B429" s="583">
        <v>405</v>
      </c>
      <c r="C429" s="581">
        <v>4</v>
      </c>
      <c r="D429" s="1137" t="s">
        <v>201</v>
      </c>
      <c r="E429" s="1138" t="s">
        <v>1426</v>
      </c>
      <c r="F429" s="599">
        <v>373429001453</v>
      </c>
      <c r="G429" s="599">
        <v>-99753032500</v>
      </c>
      <c r="H429" s="599"/>
      <c r="I429" s="599"/>
      <c r="J429" s="599"/>
      <c r="K429" s="599"/>
      <c r="L429" s="599"/>
      <c r="M429" s="599"/>
      <c r="N429" s="599"/>
      <c r="O429" s="599"/>
      <c r="P429" s="599"/>
      <c r="Q429" s="1096">
        <f t="shared" si="31"/>
        <v>273675968953</v>
      </c>
      <c r="R429" s="599">
        <v>267175968953</v>
      </c>
      <c r="S429" s="1096">
        <f t="shared" si="33"/>
        <v>273676</v>
      </c>
      <c r="T429" s="599">
        <f t="shared" si="33"/>
        <v>267176</v>
      </c>
      <c r="U429" s="620"/>
      <c r="V429" s="738">
        <f>V415*2</f>
        <v>16540929892</v>
      </c>
      <c r="W429" s="1096">
        <f>Q429-V429+U429</f>
        <v>257135039061</v>
      </c>
      <c r="X429" s="882">
        <f t="shared" si="32"/>
        <v>257135</v>
      </c>
      <c r="Y429" s="910">
        <f t="shared" si="30"/>
        <v>16541</v>
      </c>
    </row>
    <row r="430" spans="1:25" ht="27" customHeight="1">
      <c r="A430" s="583"/>
      <c r="B430" s="583">
        <v>1401</v>
      </c>
      <c r="C430" s="581">
        <v>11</v>
      </c>
      <c r="D430" s="1137" t="s">
        <v>1166</v>
      </c>
      <c r="E430" s="1138" t="s">
        <v>1165</v>
      </c>
      <c r="F430" s="599"/>
      <c r="G430" s="599"/>
      <c r="H430" s="599"/>
      <c r="I430" s="599"/>
      <c r="J430" s="599"/>
      <c r="K430" s="599"/>
      <c r="L430" s="599"/>
      <c r="M430" s="599"/>
      <c r="N430" s="599"/>
      <c r="O430" s="599"/>
      <c r="P430" s="599"/>
      <c r="Q430" s="1096">
        <f t="shared" si="31"/>
        <v>0</v>
      </c>
      <c r="R430" s="599">
        <v>0</v>
      </c>
      <c r="S430" s="1096">
        <f t="shared" si="33"/>
        <v>0</v>
      </c>
      <c r="T430" s="599">
        <f t="shared" si="33"/>
        <v>0</v>
      </c>
      <c r="U430" s="620"/>
      <c r="V430" s="621"/>
      <c r="W430" s="1096">
        <f t="shared" si="34"/>
        <v>0</v>
      </c>
      <c r="X430" s="882">
        <f t="shared" si="32"/>
        <v>0</v>
      </c>
      <c r="Y430" s="910">
        <f t="shared" si="30"/>
        <v>0</v>
      </c>
    </row>
    <row r="431" spans="1:25" ht="27" customHeight="1">
      <c r="A431" s="583"/>
      <c r="B431" s="583">
        <v>406</v>
      </c>
      <c r="C431" s="581">
        <v>4</v>
      </c>
      <c r="D431" s="1137" t="s">
        <v>19</v>
      </c>
      <c r="E431" s="1138" t="s">
        <v>680</v>
      </c>
      <c r="F431" s="599"/>
      <c r="G431" s="599"/>
      <c r="H431" s="599"/>
      <c r="I431" s="599"/>
      <c r="J431" s="599"/>
      <c r="K431" s="599"/>
      <c r="L431" s="599"/>
      <c r="M431" s="599"/>
      <c r="N431" s="599"/>
      <c r="O431" s="599"/>
      <c r="P431" s="599"/>
      <c r="Q431" s="1096">
        <f t="shared" si="31"/>
        <v>0</v>
      </c>
      <c r="R431" s="599">
        <v>0</v>
      </c>
      <c r="S431" s="1096">
        <f t="shared" si="33"/>
        <v>0</v>
      </c>
      <c r="T431" s="599">
        <f t="shared" si="33"/>
        <v>0</v>
      </c>
      <c r="U431" s="620"/>
      <c r="V431" s="621"/>
      <c r="W431" s="1096">
        <f t="shared" si="34"/>
        <v>0</v>
      </c>
      <c r="X431" s="882">
        <f t="shared" si="32"/>
        <v>0</v>
      </c>
      <c r="Y431" s="910">
        <f t="shared" si="30"/>
        <v>0</v>
      </c>
    </row>
    <row r="432" spans="1:25" ht="27" customHeight="1">
      <c r="A432" s="583"/>
      <c r="B432" s="583"/>
      <c r="C432" s="581">
        <v>15</v>
      </c>
      <c r="D432" s="1137" t="s">
        <v>897</v>
      </c>
      <c r="E432" s="1138" t="s">
        <v>779</v>
      </c>
      <c r="F432" s="599"/>
      <c r="G432" s="599"/>
      <c r="H432" s="599"/>
      <c r="I432" s="599"/>
      <c r="J432" s="599"/>
      <c r="K432" s="599"/>
      <c r="L432" s="599"/>
      <c r="M432" s="599"/>
      <c r="N432" s="599"/>
      <c r="O432" s="599"/>
      <c r="P432" s="599"/>
      <c r="Q432" s="1096">
        <f t="shared" si="31"/>
        <v>0</v>
      </c>
      <c r="R432" s="599">
        <v>-59500000</v>
      </c>
      <c r="S432" s="1096">
        <f t="shared" si="33"/>
        <v>0</v>
      </c>
      <c r="T432" s="599">
        <f t="shared" si="33"/>
        <v>-60</v>
      </c>
      <c r="U432" s="620">
        <f>-Q432</f>
        <v>0</v>
      </c>
      <c r="V432" s="621">
        <v>0</v>
      </c>
      <c r="W432" s="1096">
        <f t="shared" si="34"/>
        <v>0</v>
      </c>
      <c r="X432" s="882">
        <f t="shared" si="32"/>
        <v>0</v>
      </c>
      <c r="Y432" s="910">
        <f t="shared" si="30"/>
        <v>0</v>
      </c>
    </row>
    <row r="433" spans="1:25" ht="27" customHeight="1">
      <c r="A433" s="583"/>
      <c r="B433" s="583">
        <v>1020</v>
      </c>
      <c r="C433" s="581">
        <v>10</v>
      </c>
      <c r="D433" s="1137" t="s">
        <v>1403</v>
      </c>
      <c r="E433" s="1138" t="s">
        <v>821</v>
      </c>
      <c r="F433" s="599">
        <f>-986417428575+782102483050</f>
        <v>-204314945525</v>
      </c>
      <c r="G433" s="599">
        <v>102543195971</v>
      </c>
      <c r="H433" s="599">
        <v>-71394943099</v>
      </c>
      <c r="I433" s="599"/>
      <c r="J433" s="599"/>
      <c r="K433" s="599"/>
      <c r="L433" s="599"/>
      <c r="M433" s="599"/>
      <c r="N433" s="599"/>
      <c r="O433" s="599"/>
      <c r="P433" s="599"/>
      <c r="Q433" s="1096">
        <f>SUM(F433:P433)</f>
        <v>-173166692653</v>
      </c>
      <c r="R433" s="599">
        <v>-149882709275</v>
      </c>
      <c r="S433" s="1096">
        <f t="shared" si="33"/>
        <v>-173167</v>
      </c>
      <c r="T433" s="599">
        <f t="shared" si="33"/>
        <v>-149883</v>
      </c>
      <c r="U433" s="620"/>
      <c r="V433" s="621"/>
      <c r="W433" s="1096">
        <f t="shared" si="34"/>
        <v>-173166692653</v>
      </c>
      <c r="X433" s="882">
        <f t="shared" si="32"/>
        <v>-173167</v>
      </c>
      <c r="Y433" s="910">
        <f t="shared" si="30"/>
        <v>0</v>
      </c>
    </row>
    <row r="434" spans="1:25" ht="27" customHeight="1">
      <c r="A434" s="583"/>
      <c r="B434" s="583">
        <v>1004</v>
      </c>
      <c r="C434" s="581">
        <v>10</v>
      </c>
      <c r="D434" s="1137" t="s">
        <v>1432</v>
      </c>
      <c r="E434" s="1138" t="s">
        <v>822</v>
      </c>
      <c r="F434" s="599">
        <v>-782102483050</v>
      </c>
      <c r="G434" s="599"/>
      <c r="H434" s="599"/>
      <c r="I434" s="599"/>
      <c r="J434" s="599"/>
      <c r="K434" s="599"/>
      <c r="L434" s="599"/>
      <c r="M434" s="599"/>
      <c r="N434" s="599"/>
      <c r="O434" s="599"/>
      <c r="P434" s="599"/>
      <c r="Q434" s="1096">
        <f t="shared" si="31"/>
        <v>-782102483050</v>
      </c>
      <c r="R434" s="599">
        <v>-742241844046</v>
      </c>
      <c r="S434" s="1096">
        <f t="shared" si="33"/>
        <v>-782102</v>
      </c>
      <c r="T434" s="599">
        <f t="shared" si="33"/>
        <v>-742242</v>
      </c>
      <c r="U434" s="620"/>
      <c r="V434" s="621"/>
      <c r="W434" s="1096">
        <f t="shared" si="34"/>
        <v>-782102483050</v>
      </c>
      <c r="X434" s="882">
        <f t="shared" si="32"/>
        <v>-782102</v>
      </c>
      <c r="Y434" s="910">
        <f t="shared" si="30"/>
        <v>0</v>
      </c>
    </row>
    <row r="435" spans="1:25" ht="27" customHeight="1">
      <c r="A435" s="583"/>
      <c r="B435" s="583">
        <v>1018</v>
      </c>
      <c r="C435" s="581">
        <v>10</v>
      </c>
      <c r="D435" s="1137" t="s">
        <v>764</v>
      </c>
      <c r="E435" s="1138" t="s">
        <v>824</v>
      </c>
      <c r="F435" s="599"/>
      <c r="G435" s="599"/>
      <c r="H435" s="599"/>
      <c r="I435" s="599"/>
      <c r="J435" s="599"/>
      <c r="K435" s="599"/>
      <c r="L435" s="599"/>
      <c r="M435" s="599"/>
      <c r="N435" s="599"/>
      <c r="O435" s="599"/>
      <c r="P435" s="599"/>
      <c r="Q435" s="1096">
        <f t="shared" si="31"/>
        <v>0</v>
      </c>
      <c r="R435" s="599">
        <v>0</v>
      </c>
      <c r="S435" s="1096">
        <f t="shared" si="33"/>
        <v>0</v>
      </c>
      <c r="T435" s="599">
        <f t="shared" si="33"/>
        <v>0</v>
      </c>
      <c r="U435" s="620"/>
      <c r="V435" s="621"/>
      <c r="W435" s="1096">
        <f t="shared" si="34"/>
        <v>0</v>
      </c>
      <c r="X435" s="882">
        <f t="shared" si="32"/>
        <v>0</v>
      </c>
      <c r="Y435" s="910">
        <f t="shared" si="30"/>
        <v>0</v>
      </c>
    </row>
    <row r="436" spans="1:25" ht="27" customHeight="1">
      <c r="A436" s="583"/>
      <c r="B436" s="583">
        <v>10040</v>
      </c>
      <c r="C436" s="581">
        <v>4</v>
      </c>
      <c r="D436" s="1137" t="s">
        <v>764</v>
      </c>
      <c r="E436" s="1138" t="s">
        <v>823</v>
      </c>
      <c r="F436" s="599"/>
      <c r="G436" s="599"/>
      <c r="H436" s="599"/>
      <c r="I436" s="599"/>
      <c r="J436" s="599"/>
      <c r="K436" s="599"/>
      <c r="L436" s="599"/>
      <c r="M436" s="599"/>
      <c r="N436" s="599"/>
      <c r="O436" s="599"/>
      <c r="P436" s="599"/>
      <c r="Q436" s="1096">
        <f t="shared" si="31"/>
        <v>0</v>
      </c>
      <c r="R436" s="599">
        <v>0</v>
      </c>
      <c r="S436" s="1096">
        <f t="shared" si="33"/>
        <v>0</v>
      </c>
      <c r="T436" s="599">
        <f t="shared" si="33"/>
        <v>0</v>
      </c>
      <c r="U436" s="620"/>
      <c r="V436" s="621"/>
      <c r="W436" s="1096">
        <f t="shared" si="34"/>
        <v>0</v>
      </c>
      <c r="X436" s="882">
        <f t="shared" si="32"/>
        <v>0</v>
      </c>
      <c r="Y436" s="910">
        <f t="shared" si="30"/>
        <v>0</v>
      </c>
    </row>
    <row r="437" spans="1:25" ht="27" customHeight="1">
      <c r="A437" s="583"/>
      <c r="B437" s="583">
        <v>1002</v>
      </c>
      <c r="C437" s="581">
        <v>10</v>
      </c>
      <c r="D437" s="1137" t="s">
        <v>21</v>
      </c>
      <c r="E437" s="1138" t="s">
        <v>22</v>
      </c>
      <c r="F437" s="599">
        <v>34998577</v>
      </c>
      <c r="G437" s="599">
        <v>-96005977105</v>
      </c>
      <c r="H437" s="599">
        <v>-77637543724</v>
      </c>
      <c r="I437" s="599">
        <v>-23474752700</v>
      </c>
      <c r="J437" s="599">
        <v>32567898145</v>
      </c>
      <c r="K437" s="599">
        <v>898737118</v>
      </c>
      <c r="L437" s="599">
        <f>3249015000+3027948000</f>
        <v>6276963000</v>
      </c>
      <c r="M437" s="599">
        <f>27000000000-246668491</f>
        <v>26753331509</v>
      </c>
      <c r="N437" s="599"/>
      <c r="O437" s="599"/>
      <c r="P437" s="599"/>
      <c r="Q437" s="1096">
        <f t="shared" si="31"/>
        <v>-130586345180</v>
      </c>
      <c r="R437" s="599">
        <v>-263344705547</v>
      </c>
      <c r="S437" s="1096">
        <f t="shared" si="33"/>
        <v>-130586</v>
      </c>
      <c r="T437" s="599">
        <f t="shared" si="33"/>
        <v>-263345</v>
      </c>
      <c r="U437" s="620"/>
      <c r="V437" s="621"/>
      <c r="W437" s="1096">
        <f t="shared" si="34"/>
        <v>-130586345180</v>
      </c>
      <c r="X437" s="882">
        <f t="shared" si="32"/>
        <v>-130586</v>
      </c>
      <c r="Y437" s="910">
        <f t="shared" si="30"/>
        <v>0</v>
      </c>
    </row>
    <row r="438" spans="1:25" ht="27" customHeight="1">
      <c r="A438" s="583"/>
      <c r="B438" s="583">
        <v>1013</v>
      </c>
      <c r="C438" s="581">
        <v>4</v>
      </c>
      <c r="D438" s="1137" t="s">
        <v>681</v>
      </c>
      <c r="E438" s="1138" t="s">
        <v>682</v>
      </c>
      <c r="F438" s="599">
        <v>332181665064</v>
      </c>
      <c r="G438" s="599">
        <v>7399732461</v>
      </c>
      <c r="H438" s="599">
        <v>3039932193</v>
      </c>
      <c r="I438" s="599">
        <v>3755514710</v>
      </c>
      <c r="J438" s="599">
        <v>518917241</v>
      </c>
      <c r="K438" s="599"/>
      <c r="L438" s="599">
        <v>376617780</v>
      </c>
      <c r="M438" s="599">
        <f>1688813567-133230</f>
        <v>1688680337</v>
      </c>
      <c r="N438" s="599">
        <v>167244191</v>
      </c>
      <c r="O438" s="599"/>
      <c r="P438" s="599"/>
      <c r="Q438" s="1096">
        <f t="shared" si="31"/>
        <v>349128303977</v>
      </c>
      <c r="R438" s="599">
        <v>405450374601</v>
      </c>
      <c r="S438" s="1096">
        <f t="shared" ref="S438:T474" si="35">ROUND((Q438/1000000),0)</f>
        <v>349128</v>
      </c>
      <c r="T438" s="599">
        <f t="shared" si="35"/>
        <v>405450</v>
      </c>
      <c r="U438" s="620"/>
      <c r="V438" s="621"/>
      <c r="W438" s="1096">
        <f t="shared" si="34"/>
        <v>349128303977</v>
      </c>
      <c r="X438" s="882">
        <f t="shared" si="32"/>
        <v>349128</v>
      </c>
      <c r="Y438" s="910">
        <f t="shared" si="30"/>
        <v>0</v>
      </c>
    </row>
    <row r="439" spans="1:25" ht="27" customHeight="1">
      <c r="A439" s="583"/>
      <c r="B439" s="583">
        <v>1013</v>
      </c>
      <c r="C439" s="581">
        <v>4</v>
      </c>
      <c r="D439" s="1137" t="s">
        <v>683</v>
      </c>
      <c r="E439" s="1138" t="s">
        <v>684</v>
      </c>
      <c r="F439" s="599">
        <v>166006193077</v>
      </c>
      <c r="G439" s="599">
        <v>3690387116</v>
      </c>
      <c r="H439" s="599">
        <v>1519954065</v>
      </c>
      <c r="I439" s="599">
        <v>1804851114</v>
      </c>
      <c r="J439" s="599">
        <v>259458609</v>
      </c>
      <c r="K439" s="599"/>
      <c r="L439" s="599">
        <v>188308890</v>
      </c>
      <c r="M439" s="599">
        <f>844406783-66615</f>
        <v>844340168</v>
      </c>
      <c r="N439" s="599">
        <v>83622095</v>
      </c>
      <c r="O439" s="599"/>
      <c r="P439" s="599"/>
      <c r="Q439" s="1096">
        <f t="shared" si="31"/>
        <v>174397115134</v>
      </c>
      <c r="R439" s="599">
        <v>201579751294</v>
      </c>
      <c r="S439" s="1096">
        <f t="shared" si="35"/>
        <v>174397</v>
      </c>
      <c r="T439" s="599">
        <f t="shared" si="35"/>
        <v>201580</v>
      </c>
      <c r="U439" s="620"/>
      <c r="V439" s="621"/>
      <c r="W439" s="1096">
        <f t="shared" si="34"/>
        <v>174397115134</v>
      </c>
      <c r="X439" s="882">
        <f t="shared" si="32"/>
        <v>174397</v>
      </c>
      <c r="Y439" s="910">
        <f t="shared" si="30"/>
        <v>0</v>
      </c>
    </row>
    <row r="440" spans="1:25" ht="27" customHeight="1">
      <c r="A440" s="583"/>
      <c r="B440" s="583">
        <v>1013</v>
      </c>
      <c r="C440" s="581">
        <v>4</v>
      </c>
      <c r="D440" s="1137" t="s">
        <v>685</v>
      </c>
      <c r="E440" s="1138" t="s">
        <v>688</v>
      </c>
      <c r="F440" s="599">
        <v>-30706445910</v>
      </c>
      <c r="G440" s="599">
        <v>-367803588</v>
      </c>
      <c r="H440" s="599">
        <v>-18594905</v>
      </c>
      <c r="I440" s="599">
        <v>-2040683846</v>
      </c>
      <c r="J440" s="599">
        <v>-197995</v>
      </c>
      <c r="K440" s="599">
        <v>6000</v>
      </c>
      <c r="L440" s="599"/>
      <c r="M440" s="599"/>
      <c r="N440" s="599"/>
      <c r="O440" s="599"/>
      <c r="P440" s="599"/>
      <c r="Q440" s="1096">
        <f t="shared" si="31"/>
        <v>-33133720244</v>
      </c>
      <c r="R440" s="599">
        <v>-210583802992</v>
      </c>
      <c r="S440" s="1096">
        <f t="shared" si="35"/>
        <v>-33134</v>
      </c>
      <c r="T440" s="599">
        <f t="shared" si="35"/>
        <v>-210584</v>
      </c>
      <c r="U440" s="620"/>
      <c r="V440" s="621"/>
      <c r="W440" s="1096">
        <f t="shared" si="34"/>
        <v>-33133720244</v>
      </c>
      <c r="X440" s="882">
        <f t="shared" si="32"/>
        <v>-33134</v>
      </c>
      <c r="Y440" s="910">
        <f t="shared" si="30"/>
        <v>0</v>
      </c>
    </row>
    <row r="441" spans="1:25" ht="27" customHeight="1">
      <c r="A441" s="583"/>
      <c r="B441" s="583">
        <v>1013</v>
      </c>
      <c r="C441" s="581">
        <v>4</v>
      </c>
      <c r="D441" s="1137" t="s">
        <v>686</v>
      </c>
      <c r="E441" s="1138" t="s">
        <v>689</v>
      </c>
      <c r="F441" s="599">
        <v>-15353222700</v>
      </c>
      <c r="G441" s="599">
        <v>-183901793</v>
      </c>
      <c r="H441" s="599">
        <v>-9297452</v>
      </c>
      <c r="I441" s="599">
        <v>-1020341921</v>
      </c>
      <c r="J441" s="599">
        <v>-98996</v>
      </c>
      <c r="K441" s="599">
        <v>3000</v>
      </c>
      <c r="L441" s="599"/>
      <c r="M441" s="599"/>
      <c r="N441" s="599"/>
      <c r="O441" s="599"/>
      <c r="P441" s="599"/>
      <c r="Q441" s="1096">
        <f t="shared" si="31"/>
        <v>-16566859862</v>
      </c>
      <c r="R441" s="599">
        <v>-392739387863</v>
      </c>
      <c r="S441" s="1096">
        <f t="shared" si="35"/>
        <v>-16567</v>
      </c>
      <c r="T441" s="599">
        <f t="shared" si="35"/>
        <v>-392739</v>
      </c>
      <c r="U441" s="620"/>
      <c r="V441" s="621"/>
      <c r="W441" s="1096">
        <f t="shared" si="34"/>
        <v>-16566859862</v>
      </c>
      <c r="X441" s="882">
        <f t="shared" si="32"/>
        <v>-16567</v>
      </c>
      <c r="Y441" s="910">
        <f t="shared" si="30"/>
        <v>0</v>
      </c>
    </row>
    <row r="442" spans="1:25" ht="27" customHeight="1">
      <c r="A442" s="583"/>
      <c r="B442" s="583">
        <v>1013</v>
      </c>
      <c r="C442" s="581">
        <v>4</v>
      </c>
      <c r="D442" s="1137" t="s">
        <v>687</v>
      </c>
      <c r="E442" s="1138" t="s">
        <v>691</v>
      </c>
      <c r="F442" s="599">
        <v>190935024136</v>
      </c>
      <c r="G442" s="599">
        <v>969366412</v>
      </c>
      <c r="H442" s="599">
        <v>795388206</v>
      </c>
      <c r="I442" s="599">
        <v>-34754186</v>
      </c>
      <c r="J442" s="599">
        <v>6626063621</v>
      </c>
      <c r="K442" s="599">
        <v>-1321536667</v>
      </c>
      <c r="L442" s="599"/>
      <c r="M442" s="599"/>
      <c r="N442" s="599"/>
      <c r="O442" s="599"/>
      <c r="P442" s="599"/>
      <c r="Q442" s="1096">
        <f t="shared" si="31"/>
        <v>197969551522</v>
      </c>
      <c r="R442" s="599">
        <v>59473361998</v>
      </c>
      <c r="S442" s="1096">
        <f t="shared" si="35"/>
        <v>197970</v>
      </c>
      <c r="T442" s="599">
        <f t="shared" si="35"/>
        <v>59473</v>
      </c>
      <c r="U442" s="620"/>
      <c r="V442" s="621"/>
      <c r="W442" s="1096">
        <f t="shared" si="34"/>
        <v>197969551522</v>
      </c>
      <c r="X442" s="882">
        <f t="shared" si="32"/>
        <v>197970</v>
      </c>
      <c r="Y442" s="910">
        <f t="shared" si="30"/>
        <v>0</v>
      </c>
    </row>
    <row r="443" spans="1:25" ht="27" customHeight="1">
      <c r="A443" s="583"/>
      <c r="B443" s="583">
        <v>1013</v>
      </c>
      <c r="C443" s="581">
        <v>4</v>
      </c>
      <c r="D443" s="1137" t="s">
        <v>690</v>
      </c>
      <c r="E443" s="1138" t="s">
        <v>692</v>
      </c>
      <c r="F443" s="599">
        <v>103743249821</v>
      </c>
      <c r="G443" s="599">
        <v>484683205</v>
      </c>
      <c r="H443" s="599">
        <v>397694103</v>
      </c>
      <c r="I443" s="599">
        <v>-17377093</v>
      </c>
      <c r="J443" s="599">
        <v>3313031807</v>
      </c>
      <c r="K443" s="599">
        <v>-660768333</v>
      </c>
      <c r="L443" s="599"/>
      <c r="M443" s="599"/>
      <c r="N443" s="599"/>
      <c r="O443" s="599"/>
      <c r="P443" s="599"/>
      <c r="Q443" s="1096">
        <f t="shared" si="31"/>
        <v>107260513510</v>
      </c>
      <c r="R443" s="599">
        <v>33318105312</v>
      </c>
      <c r="S443" s="1096">
        <f t="shared" si="35"/>
        <v>107261</v>
      </c>
      <c r="T443" s="599">
        <f t="shared" si="35"/>
        <v>33318</v>
      </c>
      <c r="U443" s="620"/>
      <c r="V443" s="621"/>
      <c r="W443" s="1096">
        <f t="shared" si="34"/>
        <v>107260513510</v>
      </c>
      <c r="X443" s="882">
        <f t="shared" si="32"/>
        <v>107261</v>
      </c>
      <c r="Y443" s="910">
        <f t="shared" si="30"/>
        <v>0</v>
      </c>
    </row>
    <row r="444" spans="1:25" ht="27" customHeight="1">
      <c r="A444" s="583"/>
      <c r="B444" s="583">
        <v>100201</v>
      </c>
      <c r="C444" s="581">
        <v>10</v>
      </c>
      <c r="D444" s="1137" t="s">
        <v>23</v>
      </c>
      <c r="E444" s="1138" t="s">
        <v>537</v>
      </c>
      <c r="F444" s="599">
        <v>267839696188</v>
      </c>
      <c r="G444" s="599"/>
      <c r="H444" s="599">
        <v>-307839696188</v>
      </c>
      <c r="I444" s="599">
        <v>40000000000</v>
      </c>
      <c r="J444" s="599"/>
      <c r="K444" s="599"/>
      <c r="L444" s="599"/>
      <c r="M444" s="599"/>
      <c r="N444" s="599"/>
      <c r="O444" s="599"/>
      <c r="P444" s="599"/>
      <c r="Q444" s="1096">
        <f t="shared" si="31"/>
        <v>0</v>
      </c>
      <c r="R444" s="599">
        <v>-1801432005024</v>
      </c>
      <c r="S444" s="1096">
        <f t="shared" si="35"/>
        <v>0</v>
      </c>
      <c r="T444" s="599">
        <f t="shared" si="35"/>
        <v>-1801432</v>
      </c>
      <c r="U444" s="620"/>
      <c r="V444" s="621"/>
      <c r="W444" s="1096">
        <f t="shared" si="34"/>
        <v>0</v>
      </c>
      <c r="X444" s="882">
        <f t="shared" si="32"/>
        <v>0</v>
      </c>
      <c r="Y444" s="910">
        <f t="shared" si="30"/>
        <v>0</v>
      </c>
    </row>
    <row r="445" spans="1:25" ht="27" customHeight="1">
      <c r="A445" s="583">
        <v>3214</v>
      </c>
      <c r="B445" s="583">
        <v>100201</v>
      </c>
      <c r="C445" s="581">
        <v>10</v>
      </c>
      <c r="D445" s="1137" t="s">
        <v>23</v>
      </c>
      <c r="E445" s="1138" t="s">
        <v>537</v>
      </c>
      <c r="F445" s="599"/>
      <c r="G445" s="599"/>
      <c r="H445" s="599"/>
      <c r="I445" s="599"/>
      <c r="J445" s="599"/>
      <c r="K445" s="599"/>
      <c r="L445" s="599"/>
      <c r="M445" s="599"/>
      <c r="N445" s="599"/>
      <c r="O445" s="599"/>
      <c r="P445" s="599"/>
      <c r="Q445" s="1096">
        <f t="shared" si="31"/>
        <v>0</v>
      </c>
      <c r="R445" s="599">
        <v>0</v>
      </c>
      <c r="S445" s="1096">
        <f t="shared" si="35"/>
        <v>0</v>
      </c>
      <c r="T445" s="599">
        <f t="shared" si="35"/>
        <v>0</v>
      </c>
      <c r="U445" s="620"/>
      <c r="V445" s="621"/>
      <c r="W445" s="1096">
        <f t="shared" si="34"/>
        <v>0</v>
      </c>
      <c r="X445" s="882">
        <f t="shared" si="32"/>
        <v>0</v>
      </c>
      <c r="Y445" s="910">
        <f t="shared" si="30"/>
        <v>0</v>
      </c>
    </row>
    <row r="446" spans="1:25" ht="27" customHeight="1">
      <c r="A446" s="583"/>
      <c r="B446" s="583">
        <v>100201</v>
      </c>
      <c r="C446" s="581">
        <v>10</v>
      </c>
      <c r="D446" s="1137" t="s">
        <v>1160</v>
      </c>
      <c r="E446" s="1138" t="s">
        <v>1161</v>
      </c>
      <c r="F446" s="599">
        <v>-141637671725</v>
      </c>
      <c r="G446" s="599"/>
      <c r="H446" s="599"/>
      <c r="I446" s="599"/>
      <c r="J446" s="599">
        <v>-46322521085</v>
      </c>
      <c r="K446" s="599"/>
      <c r="L446" s="599"/>
      <c r="M446" s="599"/>
      <c r="N446" s="599">
        <v>-22283416661</v>
      </c>
      <c r="O446" s="599"/>
      <c r="P446" s="599"/>
      <c r="Q446" s="1096">
        <f t="shared" si="31"/>
        <v>-210243609471</v>
      </c>
      <c r="R446" s="599">
        <v>-141637671725</v>
      </c>
      <c r="S446" s="1096">
        <f t="shared" si="35"/>
        <v>-210244</v>
      </c>
      <c r="T446" s="599">
        <f t="shared" si="35"/>
        <v>-141638</v>
      </c>
      <c r="U446" s="620"/>
      <c r="V446" s="621"/>
      <c r="W446" s="1096">
        <f t="shared" si="34"/>
        <v>-210243609471</v>
      </c>
      <c r="X446" s="882">
        <f t="shared" si="32"/>
        <v>-210244</v>
      </c>
      <c r="Y446" s="910">
        <f t="shared" si="30"/>
        <v>0</v>
      </c>
    </row>
    <row r="447" spans="1:25" ht="27" customHeight="1">
      <c r="A447" s="583"/>
      <c r="B447" s="583">
        <v>10040</v>
      </c>
      <c r="C447" s="581">
        <v>4</v>
      </c>
      <c r="D447" s="1137" t="s">
        <v>1196</v>
      </c>
      <c r="E447" s="1138" t="s">
        <v>1197</v>
      </c>
      <c r="F447" s="599"/>
      <c r="G447" s="599"/>
      <c r="H447" s="599"/>
      <c r="I447" s="599"/>
      <c r="J447" s="599"/>
      <c r="K447" s="599"/>
      <c r="L447" s="599"/>
      <c r="M447" s="599"/>
      <c r="N447" s="599"/>
      <c r="O447" s="599"/>
      <c r="P447" s="599"/>
      <c r="Q447" s="1096">
        <f t="shared" si="31"/>
        <v>0</v>
      </c>
      <c r="R447" s="599">
        <v>0</v>
      </c>
      <c r="S447" s="1096">
        <f t="shared" si="35"/>
        <v>0</v>
      </c>
      <c r="T447" s="599">
        <f t="shared" si="35"/>
        <v>0</v>
      </c>
      <c r="U447" s="620"/>
      <c r="V447" s="621"/>
      <c r="W447" s="1096">
        <f t="shared" si="34"/>
        <v>0</v>
      </c>
      <c r="X447" s="882">
        <f t="shared" si="32"/>
        <v>0</v>
      </c>
      <c r="Y447" s="910">
        <f t="shared" si="30"/>
        <v>0</v>
      </c>
    </row>
    <row r="448" spans="1:25" ht="27" customHeight="1">
      <c r="A448" s="583"/>
      <c r="B448" s="583">
        <v>100201</v>
      </c>
      <c r="C448" s="581">
        <v>10</v>
      </c>
      <c r="D448" s="1137" t="s">
        <v>1499</v>
      </c>
      <c r="E448" s="1138" t="s">
        <v>1523</v>
      </c>
      <c r="F448" s="599">
        <v>-5099062577630</v>
      </c>
      <c r="G448" s="599">
        <v>85293418933</v>
      </c>
      <c r="H448" s="599">
        <v>-10489433944</v>
      </c>
      <c r="I448" s="599"/>
      <c r="J448" s="599">
        <v>4848308638199</v>
      </c>
      <c r="K448" s="599"/>
      <c r="L448" s="599">
        <v>34333179</v>
      </c>
      <c r="M448" s="599">
        <f>-1199381559</f>
        <v>-1199381559</v>
      </c>
      <c r="N448" s="599">
        <f>2541644857040-2634517227240+132872370200</f>
        <v>40000000000</v>
      </c>
      <c r="O448" s="599"/>
      <c r="P448" s="599"/>
      <c r="Q448" s="1096">
        <f t="shared" si="31"/>
        <v>-137115002822</v>
      </c>
      <c r="R448" s="599">
        <v>-137115002822</v>
      </c>
      <c r="S448" s="1096">
        <f t="shared" si="35"/>
        <v>-137115</v>
      </c>
      <c r="T448" s="599">
        <f t="shared" si="35"/>
        <v>-137115</v>
      </c>
      <c r="U448" s="620"/>
      <c r="V448" s="621"/>
      <c r="W448" s="1096">
        <f t="shared" si="34"/>
        <v>-137115002822</v>
      </c>
      <c r="X448" s="882">
        <f t="shared" si="32"/>
        <v>-137115</v>
      </c>
      <c r="Y448" s="910">
        <f t="shared" si="30"/>
        <v>0</v>
      </c>
    </row>
    <row r="449" spans="1:25" ht="27" customHeight="1">
      <c r="A449" s="583">
        <v>3214</v>
      </c>
      <c r="B449" s="583">
        <v>100201</v>
      </c>
      <c r="C449" s="581">
        <v>10</v>
      </c>
      <c r="D449" s="1137" t="s">
        <v>1499</v>
      </c>
      <c r="E449" s="1138" t="s">
        <v>1523</v>
      </c>
      <c r="F449" s="599"/>
      <c r="G449" s="599"/>
      <c r="H449" s="599"/>
      <c r="I449" s="599"/>
      <c r="J449" s="599"/>
      <c r="K449" s="599"/>
      <c r="L449" s="599"/>
      <c r="M449" s="599"/>
      <c r="N449" s="599"/>
      <c r="O449" s="599"/>
      <c r="P449" s="599"/>
      <c r="Q449" s="1096">
        <f t="shared" si="31"/>
        <v>0</v>
      </c>
      <c r="R449" s="599">
        <v>0</v>
      </c>
      <c r="S449" s="1096">
        <f t="shared" si="35"/>
        <v>0</v>
      </c>
      <c r="T449" s="599">
        <f t="shared" si="35"/>
        <v>0</v>
      </c>
      <c r="U449" s="620"/>
      <c r="V449" s="621"/>
      <c r="W449" s="1096">
        <f t="shared" si="34"/>
        <v>0</v>
      </c>
      <c r="X449" s="882">
        <f t="shared" si="32"/>
        <v>0</v>
      </c>
      <c r="Y449" s="910">
        <f t="shared" si="30"/>
        <v>0</v>
      </c>
    </row>
    <row r="450" spans="1:25" ht="27" customHeight="1">
      <c r="A450" s="583">
        <v>3214</v>
      </c>
      <c r="B450" s="583">
        <v>100201</v>
      </c>
      <c r="C450" s="581">
        <v>10</v>
      </c>
      <c r="D450" s="1137" t="s">
        <v>538</v>
      </c>
      <c r="E450" s="1138" t="s">
        <v>1463</v>
      </c>
      <c r="F450" s="599"/>
      <c r="G450" s="599"/>
      <c r="H450" s="599"/>
      <c r="I450" s="599"/>
      <c r="J450" s="599"/>
      <c r="K450" s="599"/>
      <c r="L450" s="599"/>
      <c r="M450" s="599"/>
      <c r="N450" s="599"/>
      <c r="O450" s="599"/>
      <c r="P450" s="599"/>
      <c r="Q450" s="1096">
        <f t="shared" si="31"/>
        <v>0</v>
      </c>
      <c r="R450" s="599">
        <v>-24701405713</v>
      </c>
      <c r="S450" s="1096">
        <f t="shared" si="35"/>
        <v>0</v>
      </c>
      <c r="T450" s="599">
        <f t="shared" si="35"/>
        <v>-24701</v>
      </c>
      <c r="U450" s="620"/>
      <c r="V450" s="621"/>
      <c r="W450" s="1096">
        <f t="shared" si="34"/>
        <v>0</v>
      </c>
      <c r="X450" s="882">
        <f t="shared" si="32"/>
        <v>0</v>
      </c>
      <c r="Y450" s="910">
        <f t="shared" si="30"/>
        <v>0</v>
      </c>
    </row>
    <row r="451" spans="1:25" ht="27" customHeight="1">
      <c r="A451" s="583"/>
      <c r="B451" s="583">
        <v>1011</v>
      </c>
      <c r="C451" s="581">
        <v>10</v>
      </c>
      <c r="D451" s="1137" t="s">
        <v>540</v>
      </c>
      <c r="E451" s="1138" t="s">
        <v>229</v>
      </c>
      <c r="F451" s="599">
        <v>-3310891123</v>
      </c>
      <c r="G451" s="599">
        <v>2550825928</v>
      </c>
      <c r="H451" s="599"/>
      <c r="I451" s="599"/>
      <c r="J451" s="599"/>
      <c r="K451" s="599"/>
      <c r="L451" s="599"/>
      <c r="M451" s="599"/>
      <c r="N451" s="599"/>
      <c r="O451" s="599"/>
      <c r="P451" s="599"/>
      <c r="Q451" s="1096">
        <f t="shared" si="31"/>
        <v>-760065195</v>
      </c>
      <c r="R451" s="599">
        <v>-935641875</v>
      </c>
      <c r="S451" s="1096">
        <f t="shared" si="35"/>
        <v>-760</v>
      </c>
      <c r="T451" s="599">
        <f t="shared" si="35"/>
        <v>-936</v>
      </c>
      <c r="U451" s="620"/>
      <c r="V451" s="621"/>
      <c r="W451" s="1096">
        <f t="shared" si="34"/>
        <v>-760065195</v>
      </c>
      <c r="X451" s="882">
        <f t="shared" si="32"/>
        <v>-760</v>
      </c>
      <c r="Y451" s="910">
        <f t="shared" si="30"/>
        <v>0</v>
      </c>
    </row>
    <row r="452" spans="1:25" ht="27" customHeight="1">
      <c r="A452" s="583"/>
      <c r="B452" s="583">
        <v>1011</v>
      </c>
      <c r="C452" s="581">
        <v>10</v>
      </c>
      <c r="D452" s="1137" t="s">
        <v>1742</v>
      </c>
      <c r="E452" s="1138" t="s">
        <v>1743</v>
      </c>
      <c r="F452" s="599">
        <v>-6209237242</v>
      </c>
      <c r="G452" s="599">
        <v>6209237280</v>
      </c>
      <c r="H452" s="599"/>
      <c r="I452" s="599"/>
      <c r="J452" s="599"/>
      <c r="K452" s="599"/>
      <c r="L452" s="599"/>
      <c r="M452" s="599"/>
      <c r="N452" s="599"/>
      <c r="O452" s="599"/>
      <c r="P452" s="599"/>
      <c r="Q452" s="1096">
        <f>SUM(F452:P452)</f>
        <v>38</v>
      </c>
      <c r="R452" s="599">
        <v>0</v>
      </c>
      <c r="S452" s="1096">
        <f t="shared" si="35"/>
        <v>0</v>
      </c>
      <c r="T452" s="599">
        <f t="shared" si="35"/>
        <v>0</v>
      </c>
      <c r="U452" s="620"/>
      <c r="V452" s="621"/>
      <c r="W452" s="1096">
        <f t="shared" si="34"/>
        <v>38</v>
      </c>
      <c r="X452" s="882">
        <f t="shared" si="32"/>
        <v>0</v>
      </c>
      <c r="Y452" s="910">
        <f t="shared" ref="Y452:Y515" si="36">S452-X452</f>
        <v>0</v>
      </c>
    </row>
    <row r="453" spans="1:25" ht="27" customHeight="1">
      <c r="A453" s="583"/>
      <c r="B453" s="583">
        <v>1014</v>
      </c>
      <c r="C453" s="581">
        <v>10</v>
      </c>
      <c r="D453" s="1137" t="s">
        <v>541</v>
      </c>
      <c r="E453" s="1138" t="s">
        <v>693</v>
      </c>
      <c r="F453" s="599">
        <v>-30190920549</v>
      </c>
      <c r="G453" s="599">
        <v>-29752064618</v>
      </c>
      <c r="H453" s="599">
        <v>-39800568896</v>
      </c>
      <c r="I453" s="599">
        <v>86194059</v>
      </c>
      <c r="J453" s="599">
        <f>-5407314106-82248365357</f>
        <v>-87655679463</v>
      </c>
      <c r="K453" s="599"/>
      <c r="L453" s="599"/>
      <c r="M453" s="599"/>
      <c r="N453" s="599"/>
      <c r="O453" s="599"/>
      <c r="P453" s="599"/>
      <c r="Q453" s="1096">
        <f t="shared" si="31"/>
        <v>-187313039467</v>
      </c>
      <c r="R453" s="599">
        <v>-42860307173</v>
      </c>
      <c r="S453" s="1096">
        <f t="shared" si="35"/>
        <v>-187313</v>
      </c>
      <c r="T453" s="599">
        <f t="shared" si="35"/>
        <v>-42860</v>
      </c>
      <c r="U453" s="620"/>
      <c r="V453" s="621"/>
      <c r="W453" s="1096">
        <f t="shared" si="34"/>
        <v>-187313039467</v>
      </c>
      <c r="X453" s="882">
        <f t="shared" si="32"/>
        <v>-187313</v>
      </c>
      <c r="Y453" s="910">
        <f t="shared" si="36"/>
        <v>0</v>
      </c>
    </row>
    <row r="454" spans="1:25" ht="27" customHeight="1">
      <c r="A454" s="583">
        <v>3214</v>
      </c>
      <c r="B454" s="583">
        <v>1014</v>
      </c>
      <c r="C454" s="581">
        <v>10</v>
      </c>
      <c r="D454" s="1137" t="s">
        <v>541</v>
      </c>
      <c r="E454" s="1138" t="s">
        <v>1668</v>
      </c>
      <c r="F454" s="599"/>
      <c r="G454" s="599"/>
      <c r="H454" s="599"/>
      <c r="I454" s="599"/>
      <c r="J454" s="599">
        <v>82248365357</v>
      </c>
      <c r="K454" s="599"/>
      <c r="L454" s="599"/>
      <c r="M454" s="599"/>
      <c r="N454" s="599">
        <f>3053275247-850139519</f>
        <v>2203135728</v>
      </c>
      <c r="O454" s="599"/>
      <c r="P454" s="599"/>
      <c r="Q454" s="1096">
        <f t="shared" si="31"/>
        <v>84451501085</v>
      </c>
      <c r="R454" s="599">
        <v>-2197567397</v>
      </c>
      <c r="S454" s="1096">
        <f t="shared" si="35"/>
        <v>84452</v>
      </c>
      <c r="T454" s="599">
        <f t="shared" si="35"/>
        <v>-2198</v>
      </c>
      <c r="U454" s="620"/>
      <c r="V454" s="621"/>
      <c r="W454" s="1096">
        <f t="shared" si="34"/>
        <v>84451501085</v>
      </c>
      <c r="X454" s="882">
        <f t="shared" si="32"/>
        <v>84452</v>
      </c>
      <c r="Y454" s="910">
        <f t="shared" si="36"/>
        <v>0</v>
      </c>
    </row>
    <row r="455" spans="1:25" ht="27" customHeight="1">
      <c r="A455" s="583"/>
      <c r="B455" s="583">
        <v>1007</v>
      </c>
      <c r="C455" s="581">
        <v>10</v>
      </c>
      <c r="D455" s="1137" t="s">
        <v>543</v>
      </c>
      <c r="E455" s="1138" t="s">
        <v>544</v>
      </c>
      <c r="F455" s="599">
        <v>-120808982885</v>
      </c>
      <c r="G455" s="599">
        <v>-1457386955</v>
      </c>
      <c r="H455" s="599">
        <v>-5530658737</v>
      </c>
      <c r="I455" s="599">
        <v>198573231</v>
      </c>
      <c r="J455" s="599">
        <f>-479599764123+468295293362</f>
        <v>-11304470761</v>
      </c>
      <c r="K455" s="599"/>
      <c r="L455" s="599"/>
      <c r="M455" s="599"/>
      <c r="N455" s="599"/>
      <c r="O455" s="599"/>
      <c r="P455" s="599"/>
      <c r="Q455" s="1096">
        <f t="shared" si="31"/>
        <v>-138902926107</v>
      </c>
      <c r="R455" s="599">
        <v>-125544970783</v>
      </c>
      <c r="S455" s="1096">
        <f t="shared" si="35"/>
        <v>-138903</v>
      </c>
      <c r="T455" s="599">
        <f t="shared" si="35"/>
        <v>-125545</v>
      </c>
      <c r="U455" s="620"/>
      <c r="V455" s="621"/>
      <c r="W455" s="1096">
        <f t="shared" si="34"/>
        <v>-138902926107</v>
      </c>
      <c r="X455" s="882">
        <f t="shared" si="32"/>
        <v>-138903</v>
      </c>
      <c r="Y455" s="910">
        <f t="shared" si="36"/>
        <v>0</v>
      </c>
    </row>
    <row r="456" spans="1:25" ht="27" customHeight="1">
      <c r="A456" s="583">
        <v>3214</v>
      </c>
      <c r="B456" s="583">
        <v>1007</v>
      </c>
      <c r="C456" s="581">
        <v>10</v>
      </c>
      <c r="D456" s="1137" t="s">
        <v>543</v>
      </c>
      <c r="E456" s="1138" t="s">
        <v>1464</v>
      </c>
      <c r="F456" s="599"/>
      <c r="G456" s="599"/>
      <c r="H456" s="599"/>
      <c r="I456" s="599"/>
      <c r="J456" s="599">
        <v>-468295293362</v>
      </c>
      <c r="K456" s="599"/>
      <c r="L456" s="599"/>
      <c r="M456" s="599"/>
      <c r="N456" s="599">
        <v>-42655456917</v>
      </c>
      <c r="O456" s="599"/>
      <c r="P456" s="599"/>
      <c r="Q456" s="1096">
        <f t="shared" si="31"/>
        <v>-510950750279</v>
      </c>
      <c r="R456" s="599">
        <v>-365262092805</v>
      </c>
      <c r="S456" s="1096">
        <f t="shared" si="35"/>
        <v>-510951</v>
      </c>
      <c r="T456" s="599">
        <f t="shared" si="35"/>
        <v>-365262</v>
      </c>
      <c r="U456" s="620"/>
      <c r="V456" s="621"/>
      <c r="W456" s="1096">
        <f t="shared" si="34"/>
        <v>-510950750279</v>
      </c>
      <c r="X456" s="882">
        <f t="shared" si="32"/>
        <v>-510951</v>
      </c>
      <c r="Y456" s="910">
        <f t="shared" si="36"/>
        <v>0</v>
      </c>
    </row>
    <row r="457" spans="1:25" ht="27" customHeight="1">
      <c r="A457" s="583"/>
      <c r="B457" s="583">
        <v>1007</v>
      </c>
      <c r="C457" s="581">
        <v>10</v>
      </c>
      <c r="D457" s="1137" t="s">
        <v>545</v>
      </c>
      <c r="E457" s="1138" t="s">
        <v>510</v>
      </c>
      <c r="F457" s="599"/>
      <c r="G457" s="599"/>
      <c r="H457" s="599"/>
      <c r="I457" s="599"/>
      <c r="J457" s="599"/>
      <c r="K457" s="599"/>
      <c r="L457" s="599"/>
      <c r="M457" s="599"/>
      <c r="N457" s="599"/>
      <c r="O457" s="599"/>
      <c r="P457" s="599"/>
      <c r="Q457" s="1096">
        <f t="shared" si="31"/>
        <v>0</v>
      </c>
      <c r="R457" s="599">
        <v>0</v>
      </c>
      <c r="S457" s="1096">
        <f t="shared" si="35"/>
        <v>0</v>
      </c>
      <c r="T457" s="599">
        <f t="shared" si="35"/>
        <v>0</v>
      </c>
      <c r="U457" s="620"/>
      <c r="V457" s="621"/>
      <c r="W457" s="1096">
        <f t="shared" si="34"/>
        <v>0</v>
      </c>
      <c r="X457" s="882">
        <f t="shared" si="32"/>
        <v>0</v>
      </c>
      <c r="Y457" s="910">
        <f t="shared" si="36"/>
        <v>0</v>
      </c>
    </row>
    <row r="458" spans="1:25" ht="27" customHeight="1">
      <c r="A458" s="583"/>
      <c r="B458" s="583">
        <v>1008</v>
      </c>
      <c r="C458" s="581">
        <v>10</v>
      </c>
      <c r="D458" s="1137" t="s">
        <v>511</v>
      </c>
      <c r="E458" s="1138" t="s">
        <v>512</v>
      </c>
      <c r="F458" s="599"/>
      <c r="G458" s="599"/>
      <c r="H458" s="599"/>
      <c r="I458" s="599"/>
      <c r="J458" s="599"/>
      <c r="K458" s="599"/>
      <c r="L458" s="599"/>
      <c r="M458" s="599"/>
      <c r="N458" s="599"/>
      <c r="O458" s="599"/>
      <c r="P458" s="599"/>
      <c r="Q458" s="1096">
        <f t="shared" ref="Q458:Q525" si="37">SUM(F458:P458)</f>
        <v>0</v>
      </c>
      <c r="R458" s="599">
        <v>-1009421168</v>
      </c>
      <c r="S458" s="1096">
        <f t="shared" si="35"/>
        <v>0</v>
      </c>
      <c r="T458" s="599">
        <f t="shared" si="35"/>
        <v>-1009</v>
      </c>
      <c r="U458" s="620"/>
      <c r="V458" s="621"/>
      <c r="W458" s="1096">
        <f t="shared" si="34"/>
        <v>0</v>
      </c>
      <c r="X458" s="882">
        <f t="shared" si="32"/>
        <v>0</v>
      </c>
      <c r="Y458" s="910">
        <f t="shared" si="36"/>
        <v>0</v>
      </c>
    </row>
    <row r="459" spans="1:25" ht="27" customHeight="1">
      <c r="A459" s="583"/>
      <c r="B459" s="583">
        <v>1008</v>
      </c>
      <c r="C459" s="581">
        <v>10</v>
      </c>
      <c r="D459" s="1137" t="s">
        <v>513</v>
      </c>
      <c r="E459" s="1138" t="s">
        <v>279</v>
      </c>
      <c r="F459" s="599">
        <v>-65112085460</v>
      </c>
      <c r="G459" s="599">
        <v>-308337715</v>
      </c>
      <c r="H459" s="599">
        <v>-2611866912</v>
      </c>
      <c r="I459" s="599">
        <v>-139525599</v>
      </c>
      <c r="J459" s="599">
        <f>-221292087894+216652178357</f>
        <v>-4639909537</v>
      </c>
      <c r="K459" s="599"/>
      <c r="L459" s="599"/>
      <c r="M459" s="599"/>
      <c r="N459" s="599"/>
      <c r="O459" s="599"/>
      <c r="P459" s="599"/>
      <c r="Q459" s="1096">
        <f t="shared" si="37"/>
        <v>-72811725223</v>
      </c>
      <c r="R459" s="599">
        <v>-64319690398</v>
      </c>
      <c r="S459" s="1096">
        <f t="shared" si="35"/>
        <v>-72812</v>
      </c>
      <c r="T459" s="599">
        <f t="shared" si="35"/>
        <v>-64320</v>
      </c>
      <c r="U459" s="620"/>
      <c r="V459" s="621"/>
      <c r="W459" s="1096">
        <f t="shared" si="34"/>
        <v>-72811725223</v>
      </c>
      <c r="X459" s="882">
        <f t="shared" si="32"/>
        <v>-72812</v>
      </c>
      <c r="Y459" s="910">
        <f t="shared" si="36"/>
        <v>0</v>
      </c>
    </row>
    <row r="460" spans="1:25" ht="27" customHeight="1">
      <c r="A460" s="583">
        <v>3214</v>
      </c>
      <c r="B460" s="583">
        <v>1008</v>
      </c>
      <c r="C460" s="581">
        <v>10</v>
      </c>
      <c r="D460" s="1137" t="s">
        <v>513</v>
      </c>
      <c r="E460" s="1138" t="s">
        <v>1465</v>
      </c>
      <c r="F460" s="599"/>
      <c r="G460" s="599"/>
      <c r="H460" s="599"/>
      <c r="I460" s="599"/>
      <c r="J460" s="599">
        <v>-216652178357</v>
      </c>
      <c r="K460" s="599"/>
      <c r="L460" s="599"/>
      <c r="M460" s="599"/>
      <c r="N460" s="599"/>
      <c r="O460" s="599"/>
      <c r="P460" s="599"/>
      <c r="Q460" s="1096">
        <f t="shared" si="37"/>
        <v>-216652178357</v>
      </c>
      <c r="R460" s="599">
        <v>-129605015390</v>
      </c>
      <c r="S460" s="1096">
        <f t="shared" si="35"/>
        <v>-216652</v>
      </c>
      <c r="T460" s="599">
        <f t="shared" si="35"/>
        <v>-129605</v>
      </c>
      <c r="U460" s="620"/>
      <c r="V460" s="621"/>
      <c r="W460" s="1096">
        <f t="shared" si="34"/>
        <v>-216652178357</v>
      </c>
      <c r="X460" s="882">
        <f t="shared" si="32"/>
        <v>-216652</v>
      </c>
      <c r="Y460" s="910">
        <f t="shared" si="36"/>
        <v>0</v>
      </c>
    </row>
    <row r="461" spans="1:25" ht="27" customHeight="1">
      <c r="A461" s="583">
        <v>3214</v>
      </c>
      <c r="B461" s="583">
        <v>1007</v>
      </c>
      <c r="C461" s="581">
        <v>10</v>
      </c>
      <c r="D461" s="1137" t="s">
        <v>1764</v>
      </c>
      <c r="E461" s="1138" t="s">
        <v>1765</v>
      </c>
      <c r="F461" s="599"/>
      <c r="G461" s="599"/>
      <c r="H461" s="599"/>
      <c r="I461" s="599"/>
      <c r="J461" s="599">
        <v>-52711070866</v>
      </c>
      <c r="K461" s="599"/>
      <c r="L461" s="599"/>
      <c r="M461" s="599"/>
      <c r="N461" s="599">
        <v>-1722847166</v>
      </c>
      <c r="O461" s="599"/>
      <c r="P461" s="599"/>
      <c r="Q461" s="1096">
        <f t="shared" si="37"/>
        <v>-54433918032</v>
      </c>
      <c r="R461" s="599"/>
      <c r="S461" s="1096">
        <f t="shared" si="35"/>
        <v>-54434</v>
      </c>
      <c r="T461" s="599">
        <v>0</v>
      </c>
      <c r="U461" s="620"/>
      <c r="V461" s="621"/>
      <c r="W461" s="1096">
        <f t="shared" si="34"/>
        <v>-54433918032</v>
      </c>
      <c r="X461" s="882">
        <f t="shared" si="32"/>
        <v>-54434</v>
      </c>
      <c r="Y461" s="910">
        <f t="shared" si="36"/>
        <v>0</v>
      </c>
    </row>
    <row r="462" spans="1:25" ht="27" customHeight="1">
      <c r="A462" s="583"/>
      <c r="B462" s="583">
        <v>1007</v>
      </c>
      <c r="C462" s="581">
        <v>10</v>
      </c>
      <c r="D462" s="1137" t="s">
        <v>499</v>
      </c>
      <c r="E462" s="1138" t="s">
        <v>694</v>
      </c>
      <c r="F462" s="599">
        <v>-19364899367</v>
      </c>
      <c r="G462" s="599"/>
      <c r="H462" s="599">
        <v>-9629242</v>
      </c>
      <c r="I462" s="599"/>
      <c r="J462" s="599">
        <v>0</v>
      </c>
      <c r="K462" s="599"/>
      <c r="L462" s="599"/>
      <c r="M462" s="599"/>
      <c r="N462" s="599"/>
      <c r="O462" s="599"/>
      <c r="P462" s="599"/>
      <c r="Q462" s="1096">
        <f t="shared" si="37"/>
        <v>-19374528609</v>
      </c>
      <c r="R462" s="599">
        <v>-18138801613</v>
      </c>
      <c r="S462" s="1096">
        <f t="shared" si="35"/>
        <v>-19375</v>
      </c>
      <c r="T462" s="599">
        <f t="shared" si="35"/>
        <v>-18139</v>
      </c>
      <c r="U462" s="620"/>
      <c r="V462" s="621"/>
      <c r="W462" s="1096">
        <f t="shared" si="34"/>
        <v>-19374528609</v>
      </c>
      <c r="X462" s="882">
        <f t="shared" si="32"/>
        <v>-19375</v>
      </c>
      <c r="Y462" s="910">
        <f t="shared" si="36"/>
        <v>0</v>
      </c>
    </row>
    <row r="463" spans="1:25" ht="27" customHeight="1">
      <c r="A463" s="583">
        <v>3214</v>
      </c>
      <c r="B463" s="583">
        <v>1007</v>
      </c>
      <c r="C463" s="581">
        <v>10</v>
      </c>
      <c r="D463" s="1137" t="s">
        <v>499</v>
      </c>
      <c r="E463" s="1138" t="s">
        <v>1466</v>
      </c>
      <c r="F463" s="599"/>
      <c r="G463" s="599"/>
      <c r="H463" s="599"/>
      <c r="I463" s="599"/>
      <c r="J463" s="599">
        <v>-53587677852</v>
      </c>
      <c r="K463" s="599"/>
      <c r="L463" s="599"/>
      <c r="M463" s="599"/>
      <c r="N463" s="599"/>
      <c r="O463" s="599"/>
      <c r="P463" s="599"/>
      <c r="Q463" s="1096">
        <f t="shared" si="37"/>
        <v>-53587677852</v>
      </c>
      <c r="R463" s="599">
        <v>-69306189412</v>
      </c>
      <c r="S463" s="1096">
        <f t="shared" si="35"/>
        <v>-53588</v>
      </c>
      <c r="T463" s="599">
        <f t="shared" si="35"/>
        <v>-69306</v>
      </c>
      <c r="U463" s="620"/>
      <c r="V463" s="621"/>
      <c r="W463" s="1096">
        <f t="shared" si="34"/>
        <v>-53587677852</v>
      </c>
      <c r="X463" s="882">
        <f t="shared" si="32"/>
        <v>-53588</v>
      </c>
      <c r="Y463" s="910">
        <f t="shared" si="36"/>
        <v>0</v>
      </c>
    </row>
    <row r="464" spans="1:25" ht="27" customHeight="1">
      <c r="A464" s="583"/>
      <c r="B464" s="583">
        <v>1018</v>
      </c>
      <c r="C464" s="581">
        <v>10</v>
      </c>
      <c r="D464" s="1137" t="s">
        <v>501</v>
      </c>
      <c r="E464" s="1138" t="s">
        <v>695</v>
      </c>
      <c r="F464" s="599">
        <v>-454000000</v>
      </c>
      <c r="G464" s="599"/>
      <c r="H464" s="599"/>
      <c r="I464" s="599"/>
      <c r="J464" s="599"/>
      <c r="K464" s="599"/>
      <c r="L464" s="599"/>
      <c r="M464" s="599"/>
      <c r="N464" s="599"/>
      <c r="O464" s="599"/>
      <c r="P464" s="599"/>
      <c r="Q464" s="1096">
        <f t="shared" si="37"/>
        <v>-454000000</v>
      </c>
      <c r="R464" s="599">
        <v>-197900000</v>
      </c>
      <c r="S464" s="1096">
        <f t="shared" si="35"/>
        <v>-454</v>
      </c>
      <c r="T464" s="599">
        <f t="shared" si="35"/>
        <v>-198</v>
      </c>
      <c r="U464" s="620"/>
      <c r="V464" s="621"/>
      <c r="W464" s="1096">
        <f t="shared" si="34"/>
        <v>-454000000</v>
      </c>
      <c r="X464" s="882">
        <f t="shared" si="32"/>
        <v>-454</v>
      </c>
      <c r="Y464" s="910">
        <f t="shared" si="36"/>
        <v>0</v>
      </c>
    </row>
    <row r="465" spans="1:25" ht="27" customHeight="1">
      <c r="A465" s="583"/>
      <c r="B465" s="583">
        <v>1016</v>
      </c>
      <c r="C465" s="581">
        <v>10</v>
      </c>
      <c r="D465" s="1137" t="s">
        <v>503</v>
      </c>
      <c r="E465" s="1138" t="s">
        <v>504</v>
      </c>
      <c r="F465" s="599">
        <v>-94409496104</v>
      </c>
      <c r="G465" s="599">
        <v>654054041</v>
      </c>
      <c r="H465" s="599"/>
      <c r="I465" s="599">
        <v>-39740000000</v>
      </c>
      <c r="J465" s="599">
        <v>38971802941</v>
      </c>
      <c r="K465" s="599">
        <v>73403188</v>
      </c>
      <c r="L465" s="599"/>
      <c r="M465" s="599">
        <v>1199381559</v>
      </c>
      <c r="N465" s="599"/>
      <c r="O465" s="599"/>
      <c r="P465" s="599"/>
      <c r="Q465" s="1096">
        <f t="shared" si="37"/>
        <v>-93250854375</v>
      </c>
      <c r="R465" s="599">
        <v>-69948242961</v>
      </c>
      <c r="S465" s="1096">
        <f>ROUND((Q465/1000000),0)</f>
        <v>-93251</v>
      </c>
      <c r="T465" s="599">
        <f t="shared" si="35"/>
        <v>-69948</v>
      </c>
      <c r="U465" s="620"/>
      <c r="V465" s="621"/>
      <c r="W465" s="1096">
        <f t="shared" si="34"/>
        <v>-93250854375</v>
      </c>
      <c r="X465" s="882">
        <f t="shared" si="32"/>
        <v>-93251</v>
      </c>
      <c r="Y465" s="910">
        <f t="shared" si="36"/>
        <v>0</v>
      </c>
    </row>
    <row r="466" spans="1:25" ht="27" customHeight="1">
      <c r="A466" s="583"/>
      <c r="B466" s="583">
        <v>1017</v>
      </c>
      <c r="C466" s="581">
        <v>10</v>
      </c>
      <c r="D466" s="1137" t="s">
        <v>697</v>
      </c>
      <c r="E466" s="1138" t="s">
        <v>696</v>
      </c>
      <c r="F466" s="599">
        <v>-10286401402</v>
      </c>
      <c r="G466" s="599">
        <v>-91214820804</v>
      </c>
      <c r="H466" s="599">
        <v>-17235025291</v>
      </c>
      <c r="I466" s="599">
        <v>-41165859069</v>
      </c>
      <c r="J466" s="599">
        <v>-8101121037</v>
      </c>
      <c r="K466" s="599"/>
      <c r="L466" s="599"/>
      <c r="M466" s="599"/>
      <c r="N466" s="599"/>
      <c r="O466" s="599"/>
      <c r="P466" s="599"/>
      <c r="Q466" s="1096">
        <f t="shared" si="37"/>
        <v>-168003227603</v>
      </c>
      <c r="R466" s="599">
        <v>-77744182353</v>
      </c>
      <c r="S466" s="1096">
        <f>ROUND((Q466/1000000),0)</f>
        <v>-168003</v>
      </c>
      <c r="T466" s="599">
        <f t="shared" si="35"/>
        <v>-77744</v>
      </c>
      <c r="U466" s="620"/>
      <c r="V466" s="621"/>
      <c r="W466" s="1096">
        <f t="shared" si="34"/>
        <v>-168003227603</v>
      </c>
      <c r="X466" s="882">
        <f t="shared" si="32"/>
        <v>-168003</v>
      </c>
      <c r="Y466" s="910">
        <f t="shared" si="36"/>
        <v>0</v>
      </c>
    </row>
    <row r="467" spans="1:25" ht="27" customHeight="1">
      <c r="A467" s="583"/>
      <c r="B467" s="583">
        <v>1007</v>
      </c>
      <c r="C467" s="581">
        <v>10</v>
      </c>
      <c r="D467" s="1137" t="s">
        <v>505</v>
      </c>
      <c r="E467" s="1138" t="s">
        <v>506</v>
      </c>
      <c r="F467" s="599">
        <v>-86660971439</v>
      </c>
      <c r="G467" s="599">
        <v>-6959158110</v>
      </c>
      <c r="H467" s="599">
        <v>-18534352</v>
      </c>
      <c r="I467" s="599">
        <v>-25358240</v>
      </c>
      <c r="J467" s="599">
        <v>0</v>
      </c>
      <c r="K467" s="599"/>
      <c r="L467" s="599"/>
      <c r="M467" s="599"/>
      <c r="N467" s="599"/>
      <c r="O467" s="599"/>
      <c r="P467" s="599"/>
      <c r="Q467" s="1096">
        <f t="shared" si="37"/>
        <v>-93664022141</v>
      </c>
      <c r="R467" s="599">
        <v>-19694054222</v>
      </c>
      <c r="S467" s="1096">
        <f t="shared" si="35"/>
        <v>-93664</v>
      </c>
      <c r="T467" s="599">
        <f t="shared" si="35"/>
        <v>-19694</v>
      </c>
      <c r="U467" s="620"/>
      <c r="V467" s="621"/>
      <c r="W467" s="1096">
        <f t="shared" si="34"/>
        <v>-93664022141</v>
      </c>
      <c r="X467" s="882">
        <f t="shared" si="32"/>
        <v>-93664</v>
      </c>
      <c r="Y467" s="910">
        <f t="shared" si="36"/>
        <v>0</v>
      </c>
    </row>
    <row r="468" spans="1:25" ht="27" customHeight="1">
      <c r="A468" s="583">
        <v>3214</v>
      </c>
      <c r="B468" s="583">
        <v>1007</v>
      </c>
      <c r="C468" s="581">
        <v>10</v>
      </c>
      <c r="D468" s="1137" t="s">
        <v>507</v>
      </c>
      <c r="E468" s="1138" t="s">
        <v>185</v>
      </c>
      <c r="F468" s="599"/>
      <c r="G468" s="599"/>
      <c r="H468" s="599"/>
      <c r="I468" s="599"/>
      <c r="J468" s="599"/>
      <c r="K468" s="599"/>
      <c r="L468" s="599"/>
      <c r="M468" s="599"/>
      <c r="N468" s="599"/>
      <c r="O468" s="599"/>
      <c r="P468" s="599"/>
      <c r="Q468" s="1096">
        <f t="shared" si="37"/>
        <v>0</v>
      </c>
      <c r="R468" s="599">
        <v>0</v>
      </c>
      <c r="S468" s="1096">
        <f t="shared" si="35"/>
        <v>0</v>
      </c>
      <c r="T468" s="599">
        <f t="shared" si="35"/>
        <v>0</v>
      </c>
      <c r="U468" s="620"/>
      <c r="V468" s="621"/>
      <c r="W468" s="1096">
        <f t="shared" si="34"/>
        <v>0</v>
      </c>
      <c r="X468" s="882">
        <f t="shared" si="32"/>
        <v>0</v>
      </c>
      <c r="Y468" s="910">
        <f t="shared" si="36"/>
        <v>0</v>
      </c>
    </row>
    <row r="469" spans="1:25" ht="27" customHeight="1">
      <c r="A469" s="583"/>
      <c r="B469" s="583">
        <v>1010</v>
      </c>
      <c r="C469" s="581">
        <v>10</v>
      </c>
      <c r="D469" s="1137" t="s">
        <v>186</v>
      </c>
      <c r="E469" s="1138" t="s">
        <v>187</v>
      </c>
      <c r="F469" s="599"/>
      <c r="G469" s="599"/>
      <c r="H469" s="599"/>
      <c r="I469" s="599"/>
      <c r="J469" s="599"/>
      <c r="K469" s="599"/>
      <c r="L469" s="599"/>
      <c r="M469" s="599"/>
      <c r="N469" s="599"/>
      <c r="O469" s="599"/>
      <c r="P469" s="599"/>
      <c r="Q469" s="1096">
        <f t="shared" si="37"/>
        <v>0</v>
      </c>
      <c r="R469" s="599">
        <v>0</v>
      </c>
      <c r="S469" s="1096">
        <f t="shared" si="35"/>
        <v>0</v>
      </c>
      <c r="T469" s="599">
        <f t="shared" si="35"/>
        <v>0</v>
      </c>
      <c r="U469" s="620"/>
      <c r="V469" s="621"/>
      <c r="W469" s="1096">
        <f t="shared" si="34"/>
        <v>0</v>
      </c>
      <c r="X469" s="882">
        <f t="shared" ref="X469:X541" si="38">ROUND((W469/1000000),0)</f>
        <v>0</v>
      </c>
      <c r="Y469" s="910">
        <f t="shared" si="36"/>
        <v>0</v>
      </c>
    </row>
    <row r="470" spans="1:25" ht="27" customHeight="1">
      <c r="A470" s="583"/>
      <c r="B470" s="583">
        <v>1010</v>
      </c>
      <c r="C470" s="581">
        <v>10</v>
      </c>
      <c r="D470" s="1137" t="s">
        <v>188</v>
      </c>
      <c r="E470" s="1138" t="s">
        <v>749</v>
      </c>
      <c r="F470" s="599">
        <v>-73840383634</v>
      </c>
      <c r="G470" s="599">
        <v>-3633596537</v>
      </c>
      <c r="H470" s="599">
        <v>-36120275</v>
      </c>
      <c r="I470" s="599">
        <v>-45483820</v>
      </c>
      <c r="J470" s="599">
        <v>-3441330</v>
      </c>
      <c r="K470" s="599"/>
      <c r="L470" s="599"/>
      <c r="M470" s="599"/>
      <c r="N470" s="599"/>
      <c r="O470" s="599"/>
      <c r="P470" s="599"/>
      <c r="Q470" s="1096">
        <f t="shared" si="37"/>
        <v>-77559025596</v>
      </c>
      <c r="R470" s="599">
        <v>-84972838403</v>
      </c>
      <c r="S470" s="1096">
        <f t="shared" si="35"/>
        <v>-77559</v>
      </c>
      <c r="T470" s="599">
        <f t="shared" si="35"/>
        <v>-84973</v>
      </c>
      <c r="U470" s="620"/>
      <c r="V470" s="621"/>
      <c r="W470" s="1096">
        <f t="shared" si="34"/>
        <v>-77559025596</v>
      </c>
      <c r="X470" s="882">
        <f t="shared" si="38"/>
        <v>-77559</v>
      </c>
      <c r="Y470" s="910">
        <f t="shared" si="36"/>
        <v>0</v>
      </c>
    </row>
    <row r="471" spans="1:25" ht="27" customHeight="1">
      <c r="A471" s="583"/>
      <c r="B471" s="583">
        <v>1007</v>
      </c>
      <c r="C471" s="581">
        <v>10</v>
      </c>
      <c r="D471" s="1137" t="s">
        <v>190</v>
      </c>
      <c r="E471" s="1138" t="s">
        <v>191</v>
      </c>
      <c r="F471" s="599">
        <v>-5167199256</v>
      </c>
      <c r="G471" s="599">
        <v>-137065056</v>
      </c>
      <c r="H471" s="599">
        <v>9629242</v>
      </c>
      <c r="I471" s="599"/>
      <c r="J471" s="599"/>
      <c r="K471" s="599"/>
      <c r="L471" s="599"/>
      <c r="M471" s="599"/>
      <c r="N471" s="599"/>
      <c r="O471" s="599"/>
      <c r="P471" s="599"/>
      <c r="Q471" s="1096">
        <f t="shared" si="37"/>
        <v>-5294635070</v>
      </c>
      <c r="R471" s="599">
        <v>-11946518017</v>
      </c>
      <c r="S471" s="1096">
        <f t="shared" si="35"/>
        <v>-5295</v>
      </c>
      <c r="T471" s="599">
        <f t="shared" si="35"/>
        <v>-11947</v>
      </c>
      <c r="U471" s="620"/>
      <c r="V471" s="621"/>
      <c r="W471" s="1096">
        <f t="shared" si="34"/>
        <v>-5294635070</v>
      </c>
      <c r="X471" s="882">
        <f t="shared" si="38"/>
        <v>-5295</v>
      </c>
      <c r="Y471" s="910">
        <f t="shared" si="36"/>
        <v>0</v>
      </c>
    </row>
    <row r="472" spans="1:25" ht="27" customHeight="1">
      <c r="A472" s="583"/>
      <c r="B472" s="583">
        <v>1017</v>
      </c>
      <c r="C472" s="581">
        <v>10</v>
      </c>
      <c r="D472" s="1137" t="s">
        <v>192</v>
      </c>
      <c r="E472" s="1138" t="s">
        <v>25</v>
      </c>
      <c r="F472" s="599">
        <v>-343500000</v>
      </c>
      <c r="G472" s="599"/>
      <c r="H472" s="599"/>
      <c r="I472" s="599"/>
      <c r="J472" s="599"/>
      <c r="K472" s="599"/>
      <c r="L472" s="599"/>
      <c r="M472" s="599"/>
      <c r="N472" s="599"/>
      <c r="O472" s="599"/>
      <c r="P472" s="599"/>
      <c r="Q472" s="1096">
        <f t="shared" si="37"/>
        <v>-343500000</v>
      </c>
      <c r="R472" s="599">
        <v>-1828982200</v>
      </c>
      <c r="S472" s="1096">
        <f t="shared" si="35"/>
        <v>-344</v>
      </c>
      <c r="T472" s="599">
        <f t="shared" si="35"/>
        <v>-1829</v>
      </c>
      <c r="U472" s="620"/>
      <c r="V472" s="621"/>
      <c r="W472" s="1096">
        <f t="shared" si="34"/>
        <v>-343500000</v>
      </c>
      <c r="X472" s="882">
        <f t="shared" si="38"/>
        <v>-344</v>
      </c>
      <c r="Y472" s="910">
        <f t="shared" si="36"/>
        <v>0</v>
      </c>
    </row>
    <row r="473" spans="1:25" ht="27" customHeight="1">
      <c r="A473" s="583"/>
      <c r="B473" s="583">
        <v>302</v>
      </c>
      <c r="C473" s="581">
        <v>3</v>
      </c>
      <c r="D473" s="1137" t="s">
        <v>26</v>
      </c>
      <c r="E473" s="1138" t="s">
        <v>27</v>
      </c>
      <c r="F473" s="599">
        <v>1265332880</v>
      </c>
      <c r="G473" s="599">
        <v>-83623880</v>
      </c>
      <c r="H473" s="599"/>
      <c r="I473" s="599"/>
      <c r="J473" s="599"/>
      <c r="K473" s="599"/>
      <c r="L473" s="599"/>
      <c r="M473" s="599"/>
      <c r="N473" s="599">
        <v>3611000</v>
      </c>
      <c r="O473" s="599"/>
      <c r="P473" s="599"/>
      <c r="Q473" s="1096">
        <f t="shared" si="37"/>
        <v>1185320000</v>
      </c>
      <c r="R473" s="599">
        <v>1218359304</v>
      </c>
      <c r="S473" s="1096">
        <f t="shared" si="35"/>
        <v>1185</v>
      </c>
      <c r="T473" s="599">
        <f t="shared" si="35"/>
        <v>1218</v>
      </c>
      <c r="U473" s="620"/>
      <c r="V473" s="621"/>
      <c r="W473" s="1096">
        <f t="shared" si="34"/>
        <v>1185320000</v>
      </c>
      <c r="X473" s="882">
        <f t="shared" si="38"/>
        <v>1185</v>
      </c>
      <c r="Y473" s="910">
        <f t="shared" si="36"/>
        <v>0</v>
      </c>
    </row>
    <row r="474" spans="1:25" ht="27" customHeight="1">
      <c r="A474" s="583"/>
      <c r="B474" s="583">
        <v>302</v>
      </c>
      <c r="C474" s="581">
        <v>3</v>
      </c>
      <c r="D474" s="1137" t="s">
        <v>851</v>
      </c>
      <c r="E474" s="1138" t="s">
        <v>852</v>
      </c>
      <c r="F474" s="599"/>
      <c r="G474" s="599"/>
      <c r="H474" s="599"/>
      <c r="I474" s="599"/>
      <c r="J474" s="599"/>
      <c r="K474" s="599"/>
      <c r="L474" s="599"/>
      <c r="M474" s="599"/>
      <c r="N474" s="599"/>
      <c r="O474" s="599"/>
      <c r="P474" s="599"/>
      <c r="Q474" s="1096">
        <f t="shared" si="37"/>
        <v>0</v>
      </c>
      <c r="R474" s="599">
        <v>0</v>
      </c>
      <c r="S474" s="1096">
        <f t="shared" si="35"/>
        <v>0</v>
      </c>
      <c r="T474" s="599">
        <f t="shared" si="35"/>
        <v>0</v>
      </c>
      <c r="U474" s="620"/>
      <c r="V474" s="621"/>
      <c r="W474" s="1096">
        <f t="shared" si="34"/>
        <v>0</v>
      </c>
      <c r="X474" s="882">
        <f t="shared" si="38"/>
        <v>0</v>
      </c>
      <c r="Y474" s="910">
        <f t="shared" si="36"/>
        <v>0</v>
      </c>
    </row>
    <row r="475" spans="1:25" ht="27" customHeight="1">
      <c r="A475" s="583"/>
      <c r="B475" s="583">
        <v>303</v>
      </c>
      <c r="C475" s="581">
        <v>3</v>
      </c>
      <c r="D475" s="1137" t="s">
        <v>28</v>
      </c>
      <c r="E475" s="1138" t="s">
        <v>29</v>
      </c>
      <c r="F475" s="599">
        <v>-117537422745</v>
      </c>
      <c r="G475" s="599">
        <v>150078194474</v>
      </c>
      <c r="H475" s="599"/>
      <c r="I475" s="599"/>
      <c r="J475" s="599"/>
      <c r="K475" s="599"/>
      <c r="L475" s="599"/>
      <c r="M475" s="599"/>
      <c r="N475" s="599">
        <f>-9275493018+150493018*2-3611000</f>
        <v>-8978117982</v>
      </c>
      <c r="O475" s="599"/>
      <c r="P475" s="599"/>
      <c r="Q475" s="1096">
        <f t="shared" si="37"/>
        <v>23562653747</v>
      </c>
      <c r="R475" s="599">
        <v>8106171754</v>
      </c>
      <c r="S475" s="1096">
        <f t="shared" ref="S475:T511" si="39">ROUND((Q475/1000000),0)</f>
        <v>23563</v>
      </c>
      <c r="T475" s="599">
        <f t="shared" si="39"/>
        <v>8106</v>
      </c>
      <c r="U475" s="620"/>
      <c r="V475" s="621"/>
      <c r="W475" s="1096">
        <f t="shared" si="34"/>
        <v>23562653747</v>
      </c>
      <c r="X475" s="882">
        <f t="shared" si="38"/>
        <v>23563</v>
      </c>
      <c r="Y475" s="910">
        <f t="shared" si="36"/>
        <v>0</v>
      </c>
    </row>
    <row r="476" spans="1:25" ht="27" customHeight="1">
      <c r="A476" s="583"/>
      <c r="B476" s="583">
        <v>1018</v>
      </c>
      <c r="C476" s="581">
        <v>10</v>
      </c>
      <c r="D476" s="1137" t="s">
        <v>30</v>
      </c>
      <c r="E476" s="1138" t="s">
        <v>31</v>
      </c>
      <c r="F476" s="599"/>
      <c r="G476" s="599"/>
      <c r="H476" s="599"/>
      <c r="I476" s="599"/>
      <c r="J476" s="599"/>
      <c r="K476" s="599"/>
      <c r="L476" s="599"/>
      <c r="M476" s="599"/>
      <c r="N476" s="599"/>
      <c r="O476" s="599"/>
      <c r="P476" s="599"/>
      <c r="Q476" s="1096">
        <f t="shared" si="37"/>
        <v>0</v>
      </c>
      <c r="R476" s="599">
        <v>0</v>
      </c>
      <c r="S476" s="1096">
        <f t="shared" si="39"/>
        <v>0</v>
      </c>
      <c r="T476" s="599">
        <f t="shared" si="39"/>
        <v>0</v>
      </c>
      <c r="U476" s="620"/>
      <c r="V476" s="621"/>
      <c r="W476" s="1096">
        <f t="shared" si="34"/>
        <v>0</v>
      </c>
      <c r="X476" s="882">
        <f t="shared" si="38"/>
        <v>0</v>
      </c>
      <c r="Y476" s="910">
        <f t="shared" si="36"/>
        <v>0</v>
      </c>
    </row>
    <row r="477" spans="1:25" ht="27" customHeight="1">
      <c r="A477" s="583"/>
      <c r="B477" s="583">
        <v>303</v>
      </c>
      <c r="C477" s="581">
        <v>3</v>
      </c>
      <c r="D477" s="1137" t="s">
        <v>1155</v>
      </c>
      <c r="E477" s="1138" t="s">
        <v>1156</v>
      </c>
      <c r="F477" s="599">
        <v>116673058850</v>
      </c>
      <c r="G477" s="599">
        <v>-81129376659</v>
      </c>
      <c r="H477" s="599">
        <v>-27379600983</v>
      </c>
      <c r="I477" s="599"/>
      <c r="J477" s="599"/>
      <c r="K477" s="599"/>
      <c r="L477" s="599"/>
      <c r="M477" s="599"/>
      <c r="N477" s="599"/>
      <c r="O477" s="599"/>
      <c r="P477" s="599">
        <v>-8164081208</v>
      </c>
      <c r="Q477" s="1096">
        <f t="shared" si="37"/>
        <v>0</v>
      </c>
      <c r="R477" s="599">
        <v>0</v>
      </c>
      <c r="S477" s="1096">
        <f t="shared" si="39"/>
        <v>0</v>
      </c>
      <c r="T477" s="599">
        <f t="shared" si="39"/>
        <v>0</v>
      </c>
      <c r="U477" s="620"/>
      <c r="V477" s="621"/>
      <c r="W477" s="1096">
        <f t="shared" si="34"/>
        <v>0</v>
      </c>
      <c r="X477" s="882">
        <f t="shared" si="38"/>
        <v>0</v>
      </c>
      <c r="Y477" s="910">
        <f t="shared" si="36"/>
        <v>0</v>
      </c>
    </row>
    <row r="478" spans="1:25" ht="27" customHeight="1">
      <c r="A478" s="583"/>
      <c r="B478" s="583">
        <v>303</v>
      </c>
      <c r="C478" s="581">
        <v>3</v>
      </c>
      <c r="D478" s="1137" t="s">
        <v>1157</v>
      </c>
      <c r="E478" s="1138" t="s">
        <v>1156</v>
      </c>
      <c r="F478" s="599">
        <v>-116673058850</v>
      </c>
      <c r="G478" s="599">
        <v>81129376659</v>
      </c>
      <c r="H478" s="599">
        <v>27379600983</v>
      </c>
      <c r="I478" s="599"/>
      <c r="J478" s="599"/>
      <c r="K478" s="599"/>
      <c r="L478" s="599"/>
      <c r="M478" s="599"/>
      <c r="N478" s="599"/>
      <c r="O478" s="599"/>
      <c r="P478" s="599">
        <v>8164081208</v>
      </c>
      <c r="Q478" s="1096">
        <f t="shared" si="37"/>
        <v>0</v>
      </c>
      <c r="R478" s="599">
        <v>0</v>
      </c>
      <c r="S478" s="1096">
        <f t="shared" si="39"/>
        <v>0</v>
      </c>
      <c r="T478" s="599">
        <f t="shared" si="39"/>
        <v>0</v>
      </c>
      <c r="U478" s="620"/>
      <c r="V478" s="621"/>
      <c r="W478" s="1096">
        <f t="shared" si="34"/>
        <v>0</v>
      </c>
      <c r="X478" s="882">
        <f t="shared" si="38"/>
        <v>0</v>
      </c>
      <c r="Y478" s="910">
        <f t="shared" si="36"/>
        <v>0</v>
      </c>
    </row>
    <row r="479" spans="1:25" ht="27" customHeight="1">
      <c r="A479" s="583">
        <v>3214</v>
      </c>
      <c r="B479" s="583">
        <v>302</v>
      </c>
      <c r="C479" s="581">
        <v>3</v>
      </c>
      <c r="D479" s="1137" t="s">
        <v>776</v>
      </c>
      <c r="E479" s="1138" t="s">
        <v>1453</v>
      </c>
      <c r="F479" s="599"/>
      <c r="G479" s="599"/>
      <c r="H479" s="599"/>
      <c r="I479" s="599"/>
      <c r="J479" s="599"/>
      <c r="K479" s="599"/>
      <c r="L479" s="599"/>
      <c r="M479" s="599"/>
      <c r="N479" s="599"/>
      <c r="O479" s="599"/>
      <c r="P479" s="599"/>
      <c r="Q479" s="1096">
        <f t="shared" si="37"/>
        <v>0</v>
      </c>
      <c r="R479" s="599">
        <v>0</v>
      </c>
      <c r="S479" s="1096">
        <f t="shared" si="39"/>
        <v>0</v>
      </c>
      <c r="T479" s="599">
        <f t="shared" si="39"/>
        <v>0</v>
      </c>
      <c r="U479" s="620"/>
      <c r="V479" s="621"/>
      <c r="W479" s="1096">
        <f t="shared" si="34"/>
        <v>0</v>
      </c>
      <c r="X479" s="882">
        <f t="shared" si="38"/>
        <v>0</v>
      </c>
      <c r="Y479" s="910">
        <f t="shared" si="36"/>
        <v>0</v>
      </c>
    </row>
    <row r="480" spans="1:25" ht="27" customHeight="1">
      <c r="A480" s="583">
        <v>12</v>
      </c>
      <c r="B480" s="583">
        <v>907</v>
      </c>
      <c r="C480" s="581">
        <v>9</v>
      </c>
      <c r="D480" s="1137" t="s">
        <v>32</v>
      </c>
      <c r="E480" s="1138" t="s">
        <v>770</v>
      </c>
      <c r="F480" s="599">
        <v>7552883600</v>
      </c>
      <c r="G480" s="599"/>
      <c r="H480" s="599"/>
      <c r="I480" s="599"/>
      <c r="J480" s="599"/>
      <c r="K480" s="599"/>
      <c r="L480" s="599"/>
      <c r="M480" s="599"/>
      <c r="N480" s="599"/>
      <c r="O480" s="599"/>
      <c r="P480" s="599"/>
      <c r="Q480" s="1096">
        <f t="shared" si="37"/>
        <v>7552883600</v>
      </c>
      <c r="R480" s="599">
        <v>7552883600</v>
      </c>
      <c r="S480" s="1096">
        <f>ROUND((Q480/1000000),0)</f>
        <v>7553</v>
      </c>
      <c r="T480" s="599">
        <f t="shared" si="39"/>
        <v>7553</v>
      </c>
      <c r="U480" s="620"/>
      <c r="V480" s="621"/>
      <c r="W480" s="1096">
        <f t="shared" si="34"/>
        <v>7552883600</v>
      </c>
      <c r="X480" s="882">
        <f t="shared" si="38"/>
        <v>7553</v>
      </c>
      <c r="Y480" s="910">
        <f t="shared" si="36"/>
        <v>0</v>
      </c>
    </row>
    <row r="481" spans="1:25" ht="27" customHeight="1">
      <c r="A481" s="583">
        <v>3214</v>
      </c>
      <c r="B481" s="583">
        <v>909</v>
      </c>
      <c r="C481" s="581">
        <v>9</v>
      </c>
      <c r="D481" s="1137" t="s">
        <v>32</v>
      </c>
      <c r="E481" s="1138" t="s">
        <v>1467</v>
      </c>
      <c r="F481" s="599"/>
      <c r="G481" s="599"/>
      <c r="H481" s="599"/>
      <c r="I481" s="599"/>
      <c r="J481" s="599"/>
      <c r="K481" s="599"/>
      <c r="L481" s="599"/>
      <c r="M481" s="599"/>
      <c r="N481" s="599"/>
      <c r="O481" s="599"/>
      <c r="P481" s="599"/>
      <c r="Q481" s="1096">
        <f t="shared" si="37"/>
        <v>0</v>
      </c>
      <c r="R481" s="599">
        <v>0</v>
      </c>
      <c r="S481" s="1096">
        <f t="shared" si="39"/>
        <v>0</v>
      </c>
      <c r="T481" s="599">
        <f t="shared" si="39"/>
        <v>0</v>
      </c>
      <c r="U481" s="620"/>
      <c r="V481" s="621"/>
      <c r="W481" s="1096">
        <f t="shared" si="34"/>
        <v>0</v>
      </c>
      <c r="X481" s="882">
        <f t="shared" si="38"/>
        <v>0</v>
      </c>
      <c r="Y481" s="910">
        <f t="shared" si="36"/>
        <v>0</v>
      </c>
    </row>
    <row r="482" spans="1:25" ht="27" customHeight="1">
      <c r="A482" s="583"/>
      <c r="B482" s="583">
        <v>601</v>
      </c>
      <c r="C482" s="581">
        <v>6</v>
      </c>
      <c r="D482" s="1137" t="s">
        <v>34</v>
      </c>
      <c r="E482" s="1138" t="s">
        <v>35</v>
      </c>
      <c r="F482" s="599"/>
      <c r="G482" s="599"/>
      <c r="H482" s="599"/>
      <c r="I482" s="599"/>
      <c r="J482" s="599"/>
      <c r="K482" s="599"/>
      <c r="L482" s="599"/>
      <c r="M482" s="599"/>
      <c r="N482" s="599"/>
      <c r="O482" s="599"/>
      <c r="P482" s="599"/>
      <c r="Q482" s="1096">
        <f t="shared" si="37"/>
        <v>0</v>
      </c>
      <c r="R482" s="599">
        <v>0</v>
      </c>
      <c r="S482" s="1096">
        <f t="shared" si="39"/>
        <v>0</v>
      </c>
      <c r="T482" s="599">
        <f t="shared" si="39"/>
        <v>0</v>
      </c>
      <c r="U482" s="620"/>
      <c r="V482" s="621"/>
      <c r="W482" s="1096">
        <f t="shared" si="34"/>
        <v>0</v>
      </c>
      <c r="X482" s="882">
        <f t="shared" si="38"/>
        <v>0</v>
      </c>
      <c r="Y482" s="910">
        <f t="shared" si="36"/>
        <v>0</v>
      </c>
    </row>
    <row r="483" spans="1:25" ht="27" customHeight="1">
      <c r="A483" s="583"/>
      <c r="B483" s="583">
        <v>301</v>
      </c>
      <c r="C483" s="581">
        <v>3</v>
      </c>
      <c r="D483" s="1137" t="s">
        <v>36</v>
      </c>
      <c r="E483" s="1138" t="s">
        <v>37</v>
      </c>
      <c r="F483" s="599">
        <v>12210460244</v>
      </c>
      <c r="G483" s="599"/>
      <c r="H483" s="599"/>
      <c r="I483" s="599"/>
      <c r="J483" s="599"/>
      <c r="K483" s="599"/>
      <c r="L483" s="599"/>
      <c r="M483" s="599"/>
      <c r="N483" s="599"/>
      <c r="O483" s="599"/>
      <c r="P483" s="599"/>
      <c r="Q483" s="1096">
        <f t="shared" si="37"/>
        <v>12210460244</v>
      </c>
      <c r="R483" s="599">
        <v>37238940258</v>
      </c>
      <c r="S483" s="1096">
        <f t="shared" si="39"/>
        <v>12210</v>
      </c>
      <c r="T483" s="599">
        <f t="shared" si="39"/>
        <v>37239</v>
      </c>
      <c r="U483" s="620"/>
      <c r="V483" s="621"/>
      <c r="W483" s="1096">
        <f t="shared" si="34"/>
        <v>12210460244</v>
      </c>
      <c r="X483" s="882">
        <f t="shared" si="38"/>
        <v>12210</v>
      </c>
      <c r="Y483" s="910">
        <f t="shared" si="36"/>
        <v>0</v>
      </c>
    </row>
    <row r="484" spans="1:25" ht="27" customHeight="1">
      <c r="A484" s="583"/>
      <c r="B484" s="583">
        <v>301</v>
      </c>
      <c r="C484" s="581">
        <v>3</v>
      </c>
      <c r="D484" s="1137" t="s">
        <v>1744</v>
      </c>
      <c r="E484" s="1138" t="s">
        <v>1745</v>
      </c>
      <c r="F484" s="599">
        <v>103409014184</v>
      </c>
      <c r="G484" s="599"/>
      <c r="H484" s="599"/>
      <c r="I484" s="599"/>
      <c r="J484" s="599"/>
      <c r="K484" s="599"/>
      <c r="L484" s="599"/>
      <c r="M484" s="599"/>
      <c r="N484" s="599"/>
      <c r="O484" s="599"/>
      <c r="P484" s="599"/>
      <c r="Q484" s="1096">
        <f>SUM(F484:P484)</f>
        <v>103409014184</v>
      </c>
      <c r="R484" s="599">
        <v>0</v>
      </c>
      <c r="S484" s="1096">
        <f t="shared" si="39"/>
        <v>103409</v>
      </c>
      <c r="T484" s="599">
        <f t="shared" si="39"/>
        <v>0</v>
      </c>
      <c r="U484" s="620"/>
      <c r="V484" s="621"/>
      <c r="W484" s="1096">
        <f t="shared" si="34"/>
        <v>103409014184</v>
      </c>
      <c r="X484" s="882">
        <f t="shared" si="38"/>
        <v>103409</v>
      </c>
      <c r="Y484" s="910">
        <f t="shared" si="36"/>
        <v>0</v>
      </c>
    </row>
    <row r="485" spans="1:25" ht="27" customHeight="1">
      <c r="A485" s="583"/>
      <c r="B485" s="583">
        <v>301</v>
      </c>
      <c r="C485" s="581">
        <v>3</v>
      </c>
      <c r="D485" s="1137" t="s">
        <v>1746</v>
      </c>
      <c r="E485" s="1138" t="s">
        <v>1747</v>
      </c>
      <c r="F485" s="599">
        <v>-7439216579</v>
      </c>
      <c r="G485" s="599"/>
      <c r="H485" s="599"/>
      <c r="I485" s="599"/>
      <c r="J485" s="599"/>
      <c r="K485" s="599"/>
      <c r="L485" s="599"/>
      <c r="M485" s="599"/>
      <c r="N485" s="599">
        <f>9125000000</f>
        <v>9125000000</v>
      </c>
      <c r="O485" s="599"/>
      <c r="P485" s="599"/>
      <c r="Q485" s="1096">
        <f>SUM(F485:P485)</f>
        <v>1685783421</v>
      </c>
      <c r="R485" s="599">
        <v>0</v>
      </c>
      <c r="S485" s="1096">
        <f t="shared" si="39"/>
        <v>1686</v>
      </c>
      <c r="T485" s="599">
        <f t="shared" si="39"/>
        <v>0</v>
      </c>
      <c r="U485" s="620"/>
      <c r="V485" s="621"/>
      <c r="W485" s="1096">
        <f t="shared" si="34"/>
        <v>1685783421</v>
      </c>
      <c r="X485" s="882">
        <f t="shared" si="38"/>
        <v>1686</v>
      </c>
      <c r="Y485" s="910">
        <f t="shared" si="36"/>
        <v>0</v>
      </c>
    </row>
    <row r="486" spans="1:25" ht="27" customHeight="1">
      <c r="A486" s="583"/>
      <c r="B486" s="583">
        <v>301</v>
      </c>
      <c r="C486" s="581">
        <v>3</v>
      </c>
      <c r="D486" s="1137" t="s">
        <v>1637</v>
      </c>
      <c r="E486" s="1138" t="s">
        <v>37</v>
      </c>
      <c r="F486" s="599">
        <v>12726921992</v>
      </c>
      <c r="G486" s="599">
        <v>-3242404689</v>
      </c>
      <c r="H486" s="599"/>
      <c r="I486" s="599"/>
      <c r="J486" s="599"/>
      <c r="K486" s="599"/>
      <c r="L486" s="599"/>
      <c r="M486" s="599"/>
      <c r="N486" s="599"/>
      <c r="O486" s="599"/>
      <c r="P486" s="599"/>
      <c r="Q486" s="1096">
        <f t="shared" si="37"/>
        <v>9484517303</v>
      </c>
      <c r="R486" s="599">
        <v>153129463397</v>
      </c>
      <c r="S486" s="1096">
        <f>ROUND((Q486/1000000),0)</f>
        <v>9485</v>
      </c>
      <c r="T486" s="599">
        <f t="shared" si="39"/>
        <v>153129</v>
      </c>
      <c r="U486" s="620"/>
      <c r="V486" s="621"/>
      <c r="W486" s="1096">
        <f t="shared" si="34"/>
        <v>9484517303</v>
      </c>
      <c r="X486" s="882">
        <f t="shared" si="38"/>
        <v>9485</v>
      </c>
      <c r="Y486" s="910">
        <f t="shared" si="36"/>
        <v>0</v>
      </c>
    </row>
    <row r="487" spans="1:25" ht="27" customHeight="1">
      <c r="A487" s="583"/>
      <c r="B487" s="583">
        <v>301</v>
      </c>
      <c r="C487" s="581">
        <v>3</v>
      </c>
      <c r="D487" s="1137" t="s">
        <v>38</v>
      </c>
      <c r="E487" s="1138" t="s">
        <v>624</v>
      </c>
      <c r="F487" s="599"/>
      <c r="G487" s="599"/>
      <c r="H487" s="599"/>
      <c r="I487" s="599"/>
      <c r="J487" s="599"/>
      <c r="K487" s="599"/>
      <c r="L487" s="599"/>
      <c r="M487" s="599"/>
      <c r="N487" s="599"/>
      <c r="O487" s="599"/>
      <c r="P487" s="599"/>
      <c r="Q487" s="1096">
        <f t="shared" si="37"/>
        <v>0</v>
      </c>
      <c r="R487" s="599">
        <v>109111878158</v>
      </c>
      <c r="S487" s="1096">
        <f t="shared" si="39"/>
        <v>0</v>
      </c>
      <c r="T487" s="599">
        <f t="shared" si="39"/>
        <v>109112</v>
      </c>
      <c r="U487" s="620"/>
      <c r="V487" s="621"/>
      <c r="W487" s="1096">
        <f t="shared" si="34"/>
        <v>0</v>
      </c>
      <c r="X487" s="882">
        <f t="shared" si="38"/>
        <v>0</v>
      </c>
      <c r="Y487" s="910">
        <f t="shared" si="36"/>
        <v>0</v>
      </c>
    </row>
    <row r="488" spans="1:25" ht="27" customHeight="1">
      <c r="A488" s="583"/>
      <c r="B488" s="583"/>
      <c r="C488" s="581">
        <v>15</v>
      </c>
      <c r="D488" s="1137" t="s">
        <v>734</v>
      </c>
      <c r="E488" s="1138" t="s">
        <v>736</v>
      </c>
      <c r="F488" s="599">
        <v>13313136120383</v>
      </c>
      <c r="G488" s="599">
        <v>656533253391</v>
      </c>
      <c r="H488" s="599">
        <v>457796419608</v>
      </c>
      <c r="I488" s="599">
        <v>-154312205219</v>
      </c>
      <c r="J488" s="599">
        <v>21878017201</v>
      </c>
      <c r="K488" s="599">
        <f>-29673403+3546000000+58225119505</f>
        <v>61741446102</v>
      </c>
      <c r="L488" s="599"/>
      <c r="M488" s="599">
        <v>246012626255</v>
      </c>
      <c r="N488" s="599">
        <f>-150493018+2835066347</f>
        <v>2684573329</v>
      </c>
      <c r="O488" s="599"/>
      <c r="P488" s="599"/>
      <c r="Q488" s="1096">
        <f>SUM(F488:P488)+310000000</f>
        <v>14605780251050</v>
      </c>
      <c r="R488" s="599">
        <v>13251238829683</v>
      </c>
      <c r="S488" s="1096">
        <f t="shared" si="39"/>
        <v>14605780</v>
      </c>
      <c r="T488" s="599">
        <f t="shared" si="39"/>
        <v>13251239</v>
      </c>
      <c r="U488" s="620"/>
      <c r="V488" s="620">
        <f>Q488</f>
        <v>14605780251050</v>
      </c>
      <c r="W488" s="1096">
        <f>Q488-V488+U488</f>
        <v>0</v>
      </c>
      <c r="X488" s="882">
        <f t="shared" si="38"/>
        <v>0</v>
      </c>
      <c r="Y488" s="910">
        <f t="shared" si="36"/>
        <v>14605780</v>
      </c>
    </row>
    <row r="489" spans="1:25" ht="27" customHeight="1">
      <c r="A489" s="583"/>
      <c r="B489" s="583"/>
      <c r="C489" s="581">
        <v>15</v>
      </c>
      <c r="D489" s="1137" t="s">
        <v>1748</v>
      </c>
      <c r="E489" s="1138" t="s">
        <v>1749</v>
      </c>
      <c r="F489" s="599"/>
      <c r="G489" s="599"/>
      <c r="H489" s="738">
        <v>310000000</v>
      </c>
      <c r="I489" s="599"/>
      <c r="J489" s="599"/>
      <c r="K489" s="599"/>
      <c r="L489" s="599"/>
      <c r="M489" s="599"/>
      <c r="N489" s="599"/>
      <c r="O489" s="599"/>
      <c r="P489" s="599"/>
      <c r="Q489" s="1096">
        <v>0</v>
      </c>
      <c r="R489" s="599"/>
      <c r="S489" s="1096"/>
      <c r="T489" s="599"/>
      <c r="U489" s="620"/>
      <c r="V489" s="620"/>
      <c r="W489" s="1096"/>
      <c r="X489" s="882"/>
      <c r="Y489" s="910">
        <f t="shared" si="36"/>
        <v>0</v>
      </c>
    </row>
    <row r="490" spans="1:25" ht="27" customHeight="1">
      <c r="A490" s="583"/>
      <c r="B490" s="583">
        <v>205</v>
      </c>
      <c r="C490" s="581">
        <v>17</v>
      </c>
      <c r="D490" s="1137" t="s">
        <v>735</v>
      </c>
      <c r="E490" s="1138" t="s">
        <v>904</v>
      </c>
      <c r="F490" s="599">
        <v>1306902523881</v>
      </c>
      <c r="G490" s="599">
        <v>1031279480</v>
      </c>
      <c r="H490" s="599">
        <v>45928820133</v>
      </c>
      <c r="I490" s="599">
        <v>-51054497571</v>
      </c>
      <c r="J490" s="599">
        <v>-16463075326</v>
      </c>
      <c r="K490" s="599"/>
      <c r="L490" s="599">
        <v>-974747055956</v>
      </c>
      <c r="M490" s="599"/>
      <c r="N490" s="599"/>
      <c r="O490" s="599"/>
      <c r="P490" s="599"/>
      <c r="Q490" s="1096">
        <f t="shared" si="37"/>
        <v>311597994641</v>
      </c>
      <c r="R490" s="599">
        <v>-1344142843076</v>
      </c>
      <c r="S490" s="1096">
        <f t="shared" si="39"/>
        <v>311598</v>
      </c>
      <c r="T490" s="599">
        <f t="shared" si="39"/>
        <v>-1344143</v>
      </c>
      <c r="U490" s="620">
        <v>0</v>
      </c>
      <c r="V490" s="620">
        <f>Q490</f>
        <v>311597994641</v>
      </c>
      <c r="W490" s="1096">
        <f>Q490-V490+U490</f>
        <v>0</v>
      </c>
      <c r="X490" s="882">
        <f t="shared" si="38"/>
        <v>0</v>
      </c>
      <c r="Y490" s="910">
        <f t="shared" si="36"/>
        <v>311598</v>
      </c>
    </row>
    <row r="491" spans="1:25" ht="27" customHeight="1">
      <c r="A491" s="583"/>
      <c r="B491" s="583">
        <v>202</v>
      </c>
      <c r="C491" s="581">
        <v>16</v>
      </c>
      <c r="D491" s="1137" t="s">
        <v>906</v>
      </c>
      <c r="E491" s="1138" t="s">
        <v>905</v>
      </c>
      <c r="F491" s="599">
        <v>-28833550327</v>
      </c>
      <c r="G491" s="599">
        <v>-385142638</v>
      </c>
      <c r="H491" s="599">
        <v>-151221512</v>
      </c>
      <c r="I491" s="599"/>
      <c r="J491" s="599"/>
      <c r="K491" s="599"/>
      <c r="L491" s="599"/>
      <c r="M491" s="599"/>
      <c r="N491" s="599"/>
      <c r="O491" s="599"/>
      <c r="P491" s="599"/>
      <c r="Q491" s="1096">
        <f t="shared" si="37"/>
        <v>-29369914477</v>
      </c>
      <c r="R491" s="599">
        <v>-49315905056</v>
      </c>
      <c r="S491" s="1096">
        <f t="shared" si="39"/>
        <v>-29370</v>
      </c>
      <c r="T491" s="599">
        <f t="shared" si="39"/>
        <v>-49316</v>
      </c>
      <c r="U491" s="620">
        <f>-Q491</f>
        <v>29369914477</v>
      </c>
      <c r="V491" s="620"/>
      <c r="W491" s="1096">
        <f>Q491-V491+U491</f>
        <v>0</v>
      </c>
      <c r="X491" s="882">
        <f t="shared" si="38"/>
        <v>0</v>
      </c>
      <c r="Y491" s="910">
        <f t="shared" si="36"/>
        <v>-29370</v>
      </c>
    </row>
    <row r="492" spans="1:25" ht="27" customHeight="1">
      <c r="A492" s="583">
        <v>7</v>
      </c>
      <c r="B492" s="583">
        <v>10040</v>
      </c>
      <c r="C492" s="581">
        <v>4</v>
      </c>
      <c r="D492" s="1137" t="s">
        <v>608</v>
      </c>
      <c r="E492" s="1138" t="s">
        <v>609</v>
      </c>
      <c r="F492" s="599">
        <v>-15745580676048</v>
      </c>
      <c r="G492" s="599">
        <v>-343143862126</v>
      </c>
      <c r="H492" s="599">
        <v>133235535868</v>
      </c>
      <c r="I492" s="599">
        <v>-4007501050</v>
      </c>
      <c r="J492" s="599">
        <v>14520655619873</v>
      </c>
      <c r="K492" s="599">
        <v>1438840883483</v>
      </c>
      <c r="L492" s="599">
        <v>-6841889670</v>
      </c>
      <c r="M492" s="599">
        <f>-244299602360-30680113133-565173533400</f>
        <v>-840153248893</v>
      </c>
      <c r="N492" s="599">
        <f>44043734674-8650746810</f>
        <v>35392987864</v>
      </c>
      <c r="O492" s="599"/>
      <c r="P492" s="599">
        <v>811602150699</v>
      </c>
      <c r="Q492" s="1096">
        <f t="shared" si="37"/>
        <v>0</v>
      </c>
      <c r="R492" s="599">
        <v>-1949504271828</v>
      </c>
      <c r="S492" s="1096">
        <f>ROUND((Q492/1000000),0)</f>
        <v>0</v>
      </c>
      <c r="T492" s="599">
        <f t="shared" si="39"/>
        <v>-1949504</v>
      </c>
      <c r="U492" s="620"/>
      <c r="V492" s="620"/>
      <c r="W492" s="1096">
        <f t="shared" si="34"/>
        <v>0</v>
      </c>
      <c r="X492" s="882">
        <f t="shared" si="38"/>
        <v>0</v>
      </c>
      <c r="Y492" s="910">
        <f t="shared" si="36"/>
        <v>0</v>
      </c>
    </row>
    <row r="493" spans="1:25" ht="27" customHeight="1">
      <c r="A493" s="583"/>
      <c r="B493" s="583">
        <v>201</v>
      </c>
      <c r="C493" s="581">
        <v>16</v>
      </c>
      <c r="D493" s="1137" t="s">
        <v>738</v>
      </c>
      <c r="E493" s="1138" t="s">
        <v>737</v>
      </c>
      <c r="F493" s="599">
        <v>-231966986935</v>
      </c>
      <c r="G493" s="599">
        <v>-6129959799</v>
      </c>
      <c r="H493" s="599"/>
      <c r="I493" s="599"/>
      <c r="J493" s="599"/>
      <c r="K493" s="599"/>
      <c r="L493" s="599"/>
      <c r="M493" s="599"/>
      <c r="N493" s="599"/>
      <c r="O493" s="599"/>
      <c r="P493" s="599"/>
      <c r="Q493" s="1096">
        <f t="shared" si="37"/>
        <v>-238096946734</v>
      </c>
      <c r="R493" s="599">
        <v>-86097941079</v>
      </c>
      <c r="S493" s="1096">
        <f t="shared" si="39"/>
        <v>-238097</v>
      </c>
      <c r="T493" s="599">
        <f t="shared" si="39"/>
        <v>-86098</v>
      </c>
      <c r="U493" s="620">
        <f>-Q493</f>
        <v>238096946734</v>
      </c>
      <c r="V493" s="620"/>
      <c r="W493" s="1096">
        <f>Q493-V493+U493</f>
        <v>0</v>
      </c>
      <c r="X493" s="882">
        <f t="shared" si="38"/>
        <v>0</v>
      </c>
      <c r="Y493" s="910">
        <f t="shared" si="36"/>
        <v>-238097</v>
      </c>
    </row>
    <row r="494" spans="1:25" ht="27" customHeight="1">
      <c r="A494" s="583"/>
      <c r="B494" s="583"/>
      <c r="C494" s="581">
        <v>14</v>
      </c>
      <c r="D494" s="1137" t="s">
        <v>907</v>
      </c>
      <c r="E494" s="1138" t="s">
        <v>908</v>
      </c>
      <c r="F494" s="599">
        <v>-5971103110742</v>
      </c>
      <c r="G494" s="599">
        <v>-524143377772</v>
      </c>
      <c r="H494" s="599">
        <v>-596502228537</v>
      </c>
      <c r="I494" s="599"/>
      <c r="J494" s="599"/>
      <c r="K494" s="599"/>
      <c r="L494" s="599"/>
      <c r="M494" s="599"/>
      <c r="N494" s="599"/>
      <c r="O494" s="599"/>
      <c r="P494" s="599"/>
      <c r="Q494" s="1096">
        <f t="shared" si="37"/>
        <v>-7091748717051</v>
      </c>
      <c r="R494" s="599">
        <v>-6351679755540</v>
      </c>
      <c r="S494" s="1096">
        <f t="shared" si="39"/>
        <v>-7091749</v>
      </c>
      <c r="T494" s="599">
        <f t="shared" si="39"/>
        <v>-6351680</v>
      </c>
      <c r="U494" s="620">
        <f>-Q494</f>
        <v>7091748717051</v>
      </c>
      <c r="V494" s="620"/>
      <c r="W494" s="1096">
        <f>Q494-V494+U494</f>
        <v>0</v>
      </c>
      <c r="X494" s="882">
        <f t="shared" si="38"/>
        <v>0</v>
      </c>
      <c r="Y494" s="910">
        <f t="shared" si="36"/>
        <v>-7091749</v>
      </c>
    </row>
    <row r="495" spans="1:25" ht="27" customHeight="1">
      <c r="A495" s="583"/>
      <c r="B495" s="583"/>
      <c r="C495" s="581">
        <v>14</v>
      </c>
      <c r="D495" s="1137" t="s">
        <v>909</v>
      </c>
      <c r="E495" s="1138" t="s">
        <v>910</v>
      </c>
      <c r="F495" s="599">
        <v>-6153679531202</v>
      </c>
      <c r="G495" s="599">
        <v>-516369725186</v>
      </c>
      <c r="H495" s="599">
        <v>-626827412973</v>
      </c>
      <c r="I495" s="599"/>
      <c r="J495" s="599"/>
      <c r="K495" s="599"/>
      <c r="L495" s="599"/>
      <c r="M495" s="599"/>
      <c r="N495" s="599"/>
      <c r="O495" s="599"/>
      <c r="P495" s="599">
        <v>60913906874</v>
      </c>
      <c r="Q495" s="1096">
        <f t="shared" si="37"/>
        <v>-7235962762487</v>
      </c>
      <c r="R495" s="599">
        <v>-6474568694090</v>
      </c>
      <c r="S495" s="1096">
        <f>ROUND((Q495/1000000),0)</f>
        <v>-7235963</v>
      </c>
      <c r="T495" s="599">
        <f t="shared" si="39"/>
        <v>-6474569</v>
      </c>
      <c r="U495" s="620">
        <f>-Q495</f>
        <v>7235962762487</v>
      </c>
      <c r="V495" s="620"/>
      <c r="W495" s="1096">
        <f>Q495-V495+U495</f>
        <v>0</v>
      </c>
      <c r="X495" s="882">
        <f t="shared" si="38"/>
        <v>0</v>
      </c>
      <c r="Y495" s="910">
        <f t="shared" si="36"/>
        <v>-7235963</v>
      </c>
    </row>
    <row r="496" spans="1:25" ht="27" customHeight="1">
      <c r="A496" s="583"/>
      <c r="B496" s="583">
        <v>203</v>
      </c>
      <c r="C496" s="581">
        <v>16</v>
      </c>
      <c r="D496" s="1137" t="s">
        <v>739</v>
      </c>
      <c r="E496" s="1138" t="s">
        <v>911</v>
      </c>
      <c r="F496" s="599">
        <v>-220112291</v>
      </c>
      <c r="G496" s="599"/>
      <c r="H496" s="599"/>
      <c r="I496" s="599"/>
      <c r="J496" s="599"/>
      <c r="K496" s="599"/>
      <c r="L496" s="599"/>
      <c r="M496" s="599"/>
      <c r="N496" s="599"/>
      <c r="O496" s="599"/>
      <c r="P496" s="599"/>
      <c r="Q496" s="1096">
        <f t="shared" si="37"/>
        <v>-220112291</v>
      </c>
      <c r="R496" s="599">
        <v>-8853300</v>
      </c>
      <c r="S496" s="1096">
        <f t="shared" si="39"/>
        <v>-220</v>
      </c>
      <c r="T496" s="599">
        <f t="shared" si="39"/>
        <v>-9</v>
      </c>
      <c r="U496" s="620">
        <f>-Q496</f>
        <v>220112291</v>
      </c>
      <c r="V496" s="620"/>
      <c r="W496" s="1096">
        <f>Q496-V496+U496</f>
        <v>0</v>
      </c>
      <c r="X496" s="882">
        <f t="shared" si="38"/>
        <v>0</v>
      </c>
      <c r="Y496" s="910">
        <f t="shared" si="36"/>
        <v>-220</v>
      </c>
    </row>
    <row r="497" spans="1:25" ht="27" customHeight="1">
      <c r="A497" s="583"/>
      <c r="B497" s="1203">
        <v>406</v>
      </c>
      <c r="C497" s="1131">
        <v>4</v>
      </c>
      <c r="D497" s="1137" t="s">
        <v>586</v>
      </c>
      <c r="E497" s="1138" t="s">
        <v>587</v>
      </c>
      <c r="F497" s="599">
        <v>-1783014351</v>
      </c>
      <c r="G497" s="599"/>
      <c r="H497" s="599"/>
      <c r="I497" s="599">
        <v>5139740023</v>
      </c>
      <c r="J497" s="599">
        <v>7476968127</v>
      </c>
      <c r="K497" s="599"/>
      <c r="L497" s="599"/>
      <c r="M497" s="599"/>
      <c r="N497" s="599"/>
      <c r="O497" s="599"/>
      <c r="P497" s="599"/>
      <c r="Q497" s="1096">
        <f t="shared" si="37"/>
        <v>10833693799</v>
      </c>
      <c r="R497" s="599">
        <v>781780753</v>
      </c>
      <c r="S497" s="1096">
        <f t="shared" si="39"/>
        <v>10834</v>
      </c>
      <c r="T497" s="599">
        <f t="shared" si="39"/>
        <v>782</v>
      </c>
      <c r="U497" s="620"/>
      <c r="V497" s="620"/>
      <c r="W497" s="1096">
        <f t="shared" si="34"/>
        <v>10833693799</v>
      </c>
      <c r="X497" s="882">
        <f t="shared" si="38"/>
        <v>10834</v>
      </c>
      <c r="Y497" s="910">
        <f t="shared" si="36"/>
        <v>0</v>
      </c>
    </row>
    <row r="498" spans="1:25" ht="27" customHeight="1">
      <c r="A498" s="583"/>
      <c r="B498" s="583">
        <v>1011</v>
      </c>
      <c r="C498" s="581">
        <v>10</v>
      </c>
      <c r="D498" s="1137" t="s">
        <v>588</v>
      </c>
      <c r="E498" s="1138" t="s">
        <v>468</v>
      </c>
      <c r="F498" s="599">
        <v>-9751742213</v>
      </c>
      <c r="G498" s="599"/>
      <c r="H498" s="599"/>
      <c r="I498" s="599"/>
      <c r="J498" s="599"/>
      <c r="K498" s="599"/>
      <c r="L498" s="599"/>
      <c r="M498" s="599"/>
      <c r="N498" s="599"/>
      <c r="O498" s="599"/>
      <c r="P498" s="599"/>
      <c r="Q498" s="1096">
        <f t="shared" si="37"/>
        <v>-9751742213</v>
      </c>
      <c r="R498" s="599">
        <v>-5055396358</v>
      </c>
      <c r="S498" s="1096">
        <f t="shared" si="39"/>
        <v>-9752</v>
      </c>
      <c r="T498" s="599">
        <f t="shared" si="39"/>
        <v>-5055</v>
      </c>
      <c r="U498" s="620"/>
      <c r="V498" s="620"/>
      <c r="W498" s="1096">
        <f t="shared" si="34"/>
        <v>-9751742213</v>
      </c>
      <c r="X498" s="882">
        <f t="shared" si="38"/>
        <v>-9752</v>
      </c>
      <c r="Y498" s="910">
        <f t="shared" si="36"/>
        <v>0</v>
      </c>
    </row>
    <row r="499" spans="1:25" ht="27" customHeight="1">
      <c r="A499" s="583"/>
      <c r="B499" s="583">
        <v>204</v>
      </c>
      <c r="C499" s="581">
        <v>14</v>
      </c>
      <c r="D499" s="1137" t="s">
        <v>748</v>
      </c>
      <c r="E499" s="1138" t="s">
        <v>747</v>
      </c>
      <c r="F499" s="599">
        <v>-43419545885</v>
      </c>
      <c r="G499" s="599"/>
      <c r="H499" s="599">
        <v>-61272000</v>
      </c>
      <c r="I499" s="599">
        <v>13860000</v>
      </c>
      <c r="J499" s="599">
        <v>3300091</v>
      </c>
      <c r="K499" s="599"/>
      <c r="L499" s="599"/>
      <c r="M499" s="599"/>
      <c r="N499" s="599"/>
      <c r="O499" s="599"/>
      <c r="P499" s="599"/>
      <c r="Q499" s="1096">
        <f t="shared" si="37"/>
        <v>-43463657794</v>
      </c>
      <c r="R499" s="599">
        <v>-40031524299</v>
      </c>
      <c r="S499" s="1096">
        <f t="shared" si="39"/>
        <v>-43464</v>
      </c>
      <c r="T499" s="599">
        <f t="shared" si="39"/>
        <v>-40032</v>
      </c>
      <c r="U499" s="620">
        <f>-Q499</f>
        <v>43463657794</v>
      </c>
      <c r="V499" s="620"/>
      <c r="W499" s="1096">
        <f>Q499-V499+U499</f>
        <v>0</v>
      </c>
      <c r="X499" s="882">
        <f t="shared" si="38"/>
        <v>0</v>
      </c>
      <c r="Y499" s="910">
        <f t="shared" si="36"/>
        <v>-43464</v>
      </c>
    </row>
    <row r="500" spans="1:25" ht="27" customHeight="1">
      <c r="A500" s="583"/>
      <c r="B500" s="583"/>
      <c r="C500" s="581">
        <v>18</v>
      </c>
      <c r="D500" s="1137" t="s">
        <v>853</v>
      </c>
      <c r="E500" s="1138" t="s">
        <v>1041</v>
      </c>
      <c r="F500" s="599"/>
      <c r="G500" s="599"/>
      <c r="H500" s="599"/>
      <c r="I500" s="599"/>
      <c r="J500" s="599"/>
      <c r="K500" s="599"/>
      <c r="L500" s="599"/>
      <c r="M500" s="599"/>
      <c r="N500" s="599"/>
      <c r="O500" s="599"/>
      <c r="P500" s="599"/>
      <c r="Q500" s="1096">
        <f t="shared" si="37"/>
        <v>0</v>
      </c>
      <c r="R500" s="599">
        <v>0</v>
      </c>
      <c r="S500" s="1096">
        <f t="shared" si="39"/>
        <v>0</v>
      </c>
      <c r="T500" s="599">
        <f t="shared" si="39"/>
        <v>0</v>
      </c>
      <c r="U500" s="620">
        <v>33081859784</v>
      </c>
      <c r="V500" s="620">
        <f>(U499+U496+U495+U494+U493+U491+U432-V488)</f>
        <v>33081859784</v>
      </c>
      <c r="W500" s="1096">
        <f>Q500-V500+U500</f>
        <v>0</v>
      </c>
      <c r="X500" s="882">
        <f t="shared" si="38"/>
        <v>0</v>
      </c>
      <c r="Y500" s="910">
        <f t="shared" si="36"/>
        <v>0</v>
      </c>
    </row>
    <row r="501" spans="1:25" ht="27" customHeight="1">
      <c r="A501" s="583"/>
      <c r="B501" s="583"/>
      <c r="C501" s="581">
        <v>18</v>
      </c>
      <c r="D501" s="1137" t="s">
        <v>613</v>
      </c>
      <c r="E501" s="1138" t="s">
        <v>614</v>
      </c>
      <c r="F501" s="599">
        <v>80753199231</v>
      </c>
      <c r="G501" s="599"/>
      <c r="H501" s="599"/>
      <c r="I501" s="599"/>
      <c r="J501" s="599"/>
      <c r="K501" s="599"/>
      <c r="L501" s="599">
        <v>974747055956</v>
      </c>
      <c r="M501" s="599"/>
      <c r="N501" s="599"/>
      <c r="O501" s="599"/>
      <c r="P501" s="599"/>
      <c r="Q501" s="1096">
        <f t="shared" si="37"/>
        <v>1055500255187</v>
      </c>
      <c r="R501" s="599">
        <v>2150166441944</v>
      </c>
      <c r="S501" s="1096">
        <f t="shared" si="39"/>
        <v>1055500</v>
      </c>
      <c r="T501" s="599">
        <f t="shared" si="39"/>
        <v>2150166</v>
      </c>
      <c r="U501" s="620">
        <f>U500-V500+V490</f>
        <v>311597994641</v>
      </c>
      <c r="V501" s="620">
        <v>8270464946</v>
      </c>
      <c r="W501" s="1096">
        <f>Q501-V501+U501</f>
        <v>1358827784882</v>
      </c>
      <c r="X501" s="882">
        <f t="shared" si="38"/>
        <v>1358828</v>
      </c>
      <c r="Y501" s="910">
        <f t="shared" si="36"/>
        <v>-303328</v>
      </c>
    </row>
    <row r="502" spans="1:25" ht="27" customHeight="1">
      <c r="A502" s="583"/>
      <c r="B502" s="583">
        <v>406</v>
      </c>
      <c r="C502" s="581">
        <v>4</v>
      </c>
      <c r="D502" s="1137" t="s">
        <v>1260</v>
      </c>
      <c r="E502" s="1138" t="s">
        <v>1030</v>
      </c>
      <c r="F502" s="599">
        <v>2197599712</v>
      </c>
      <c r="G502" s="599">
        <v>-2193949712</v>
      </c>
      <c r="H502" s="599">
        <v>-3650000</v>
      </c>
      <c r="I502" s="599">
        <v>-116366479</v>
      </c>
      <c r="J502" s="599">
        <v>116366479</v>
      </c>
      <c r="K502" s="599"/>
      <c r="L502" s="599"/>
      <c r="M502" s="599"/>
      <c r="N502" s="599"/>
      <c r="O502" s="599"/>
      <c r="P502" s="599"/>
      <c r="Q502" s="1096">
        <f t="shared" si="37"/>
        <v>0</v>
      </c>
      <c r="R502" s="599">
        <v>0</v>
      </c>
      <c r="S502" s="1096">
        <f t="shared" si="39"/>
        <v>0</v>
      </c>
      <c r="T502" s="599">
        <f t="shared" si="39"/>
        <v>0</v>
      </c>
      <c r="U502" s="620"/>
      <c r="V502" s="621"/>
      <c r="W502" s="1096">
        <f t="shared" ref="W502:W543" si="40">Q502+V502-U502</f>
        <v>0</v>
      </c>
      <c r="X502" s="882">
        <f t="shared" si="38"/>
        <v>0</v>
      </c>
      <c r="Y502" s="910">
        <f t="shared" si="36"/>
        <v>0</v>
      </c>
    </row>
    <row r="503" spans="1:25" ht="27" customHeight="1">
      <c r="A503" s="583"/>
      <c r="B503" s="583">
        <v>1018</v>
      </c>
      <c r="C503" s="581">
        <v>10</v>
      </c>
      <c r="D503" s="1137" t="s">
        <v>1158</v>
      </c>
      <c r="E503" s="1138" t="s">
        <v>957</v>
      </c>
      <c r="F503" s="599">
        <v>1715583863</v>
      </c>
      <c r="G503" s="599">
        <v>-2050528054</v>
      </c>
      <c r="H503" s="599">
        <v>334944191</v>
      </c>
      <c r="I503" s="599">
        <v>-199628581</v>
      </c>
      <c r="J503" s="599">
        <v>199628581</v>
      </c>
      <c r="K503" s="599"/>
      <c r="L503" s="599"/>
      <c r="M503" s="599"/>
      <c r="N503" s="599"/>
      <c r="O503" s="599"/>
      <c r="P503" s="599"/>
      <c r="Q503" s="1096">
        <f t="shared" si="37"/>
        <v>0</v>
      </c>
      <c r="R503" s="599">
        <v>0</v>
      </c>
      <c r="S503" s="1096">
        <f t="shared" si="39"/>
        <v>0</v>
      </c>
      <c r="T503" s="599">
        <f t="shared" si="39"/>
        <v>0</v>
      </c>
      <c r="U503" s="620"/>
      <c r="V503" s="621"/>
      <c r="W503" s="1096">
        <f t="shared" si="40"/>
        <v>0</v>
      </c>
      <c r="X503" s="882">
        <f t="shared" si="38"/>
        <v>0</v>
      </c>
      <c r="Y503" s="910">
        <f t="shared" si="36"/>
        <v>0</v>
      </c>
    </row>
    <row r="504" spans="1:25" ht="27" customHeight="1">
      <c r="A504" s="583"/>
      <c r="B504" s="583">
        <v>406</v>
      </c>
      <c r="C504" s="581">
        <v>4</v>
      </c>
      <c r="D504" s="1137" t="s">
        <v>1004</v>
      </c>
      <c r="E504" s="1138" t="s">
        <v>1261</v>
      </c>
      <c r="F504" s="599">
        <v>6320000</v>
      </c>
      <c r="G504" s="599"/>
      <c r="H504" s="599">
        <v>0</v>
      </c>
      <c r="I504" s="599"/>
      <c r="J504" s="599"/>
      <c r="K504" s="599"/>
      <c r="L504" s="599"/>
      <c r="M504" s="599"/>
      <c r="N504" s="599"/>
      <c r="O504" s="599"/>
      <c r="P504" s="599"/>
      <c r="Q504" s="1096">
        <f t="shared" si="37"/>
        <v>6320000</v>
      </c>
      <c r="R504" s="599">
        <v>0</v>
      </c>
      <c r="S504" s="1096">
        <f t="shared" si="39"/>
        <v>6</v>
      </c>
      <c r="T504" s="599">
        <f t="shared" si="39"/>
        <v>0</v>
      </c>
      <c r="U504" s="620"/>
      <c r="V504" s="621"/>
      <c r="W504" s="1096">
        <f t="shared" si="40"/>
        <v>6320000</v>
      </c>
      <c r="X504" s="882">
        <f t="shared" si="38"/>
        <v>6</v>
      </c>
      <c r="Y504" s="910">
        <f t="shared" si="36"/>
        <v>0</v>
      </c>
    </row>
    <row r="505" spans="1:25" ht="27" customHeight="1">
      <c r="A505" s="583"/>
      <c r="B505" s="583">
        <v>406</v>
      </c>
      <c r="C505" s="581">
        <v>4</v>
      </c>
      <c r="D505" s="1137" t="s">
        <v>1639</v>
      </c>
      <c r="E505" s="1138" t="s">
        <v>1638</v>
      </c>
      <c r="F505" s="599">
        <v>164257076</v>
      </c>
      <c r="G505" s="599">
        <v>-164257076</v>
      </c>
      <c r="H505" s="599"/>
      <c r="I505" s="599"/>
      <c r="J505" s="599"/>
      <c r="K505" s="599"/>
      <c r="L505" s="599"/>
      <c r="M505" s="599"/>
      <c r="N505" s="599"/>
      <c r="O505" s="599"/>
      <c r="P505" s="599"/>
      <c r="Q505" s="1096">
        <f t="shared" si="37"/>
        <v>0</v>
      </c>
      <c r="R505" s="599">
        <v>0</v>
      </c>
      <c r="S505" s="1096">
        <f t="shared" si="39"/>
        <v>0</v>
      </c>
      <c r="T505" s="599">
        <f t="shared" si="39"/>
        <v>0</v>
      </c>
      <c r="U505" s="620"/>
      <c r="V505" s="621"/>
      <c r="W505" s="1096">
        <f t="shared" si="40"/>
        <v>0</v>
      </c>
      <c r="X505" s="882">
        <f t="shared" si="38"/>
        <v>0</v>
      </c>
      <c r="Y505" s="910">
        <f t="shared" si="36"/>
        <v>0</v>
      </c>
    </row>
    <row r="506" spans="1:25" ht="27" customHeight="1">
      <c r="A506" s="583"/>
      <c r="B506" s="583">
        <v>406</v>
      </c>
      <c r="C506" s="581">
        <v>4</v>
      </c>
      <c r="D506" s="1137" t="s">
        <v>1262</v>
      </c>
      <c r="E506" s="1138" t="s">
        <v>1263</v>
      </c>
      <c r="F506" s="599">
        <v>5782940</v>
      </c>
      <c r="G506" s="599">
        <v>-783000</v>
      </c>
      <c r="H506" s="599">
        <v>-4736900</v>
      </c>
      <c r="I506" s="599"/>
      <c r="J506" s="599"/>
      <c r="K506" s="599"/>
      <c r="L506" s="599"/>
      <c r="M506" s="599"/>
      <c r="N506" s="599"/>
      <c r="O506" s="599"/>
      <c r="P506" s="599"/>
      <c r="Q506" s="1096">
        <f t="shared" si="37"/>
        <v>263040</v>
      </c>
      <c r="R506" s="599">
        <v>263040</v>
      </c>
      <c r="S506" s="1096">
        <f t="shared" si="39"/>
        <v>0</v>
      </c>
      <c r="T506" s="599">
        <f t="shared" si="39"/>
        <v>0</v>
      </c>
      <c r="U506" s="620"/>
      <c r="V506" s="621"/>
      <c r="W506" s="1096">
        <f t="shared" si="40"/>
        <v>263040</v>
      </c>
      <c r="X506" s="882">
        <f t="shared" si="38"/>
        <v>0</v>
      </c>
      <c r="Y506" s="910">
        <f t="shared" si="36"/>
        <v>0</v>
      </c>
    </row>
    <row r="507" spans="1:25" ht="27" customHeight="1">
      <c r="A507" s="583"/>
      <c r="B507" s="583">
        <v>10040</v>
      </c>
      <c r="C507" s="581">
        <v>4</v>
      </c>
      <c r="D507" s="1137" t="s">
        <v>615</v>
      </c>
      <c r="E507" s="1138" t="s">
        <v>616</v>
      </c>
      <c r="F507" s="599">
        <v>-473188</v>
      </c>
      <c r="G507" s="599"/>
      <c r="H507" s="599"/>
      <c r="I507" s="599"/>
      <c r="J507" s="599"/>
      <c r="K507" s="599"/>
      <c r="L507" s="599"/>
      <c r="M507" s="599"/>
      <c r="N507" s="599"/>
      <c r="O507" s="599"/>
      <c r="P507" s="599"/>
      <c r="Q507" s="1096">
        <f t="shared" si="37"/>
        <v>-473188</v>
      </c>
      <c r="R507" s="599">
        <v>-473188</v>
      </c>
      <c r="S507" s="1096">
        <f t="shared" si="39"/>
        <v>0</v>
      </c>
      <c r="T507" s="599">
        <f t="shared" si="39"/>
        <v>0</v>
      </c>
      <c r="U507" s="620"/>
      <c r="V507" s="621"/>
      <c r="W507" s="1096">
        <f t="shared" si="40"/>
        <v>-473188</v>
      </c>
      <c r="X507" s="882">
        <f t="shared" si="38"/>
        <v>0</v>
      </c>
      <c r="Y507" s="910">
        <f t="shared" si="36"/>
        <v>0</v>
      </c>
    </row>
    <row r="508" spans="1:25" ht="27" customHeight="1">
      <c r="A508" s="583"/>
      <c r="B508" s="583"/>
      <c r="C508" s="581">
        <v>19</v>
      </c>
      <c r="D508" s="1137" t="s">
        <v>617</v>
      </c>
      <c r="E508" s="1138" t="s">
        <v>618</v>
      </c>
      <c r="F508" s="599">
        <v>2009699609045</v>
      </c>
      <c r="G508" s="599">
        <v>-16425827166</v>
      </c>
      <c r="H508" s="599">
        <v>161553810</v>
      </c>
      <c r="I508" s="599"/>
      <c r="J508" s="599">
        <v>2824801434989</v>
      </c>
      <c r="K508" s="599"/>
      <c r="L508" s="599"/>
      <c r="M508" s="599"/>
      <c r="N508" s="599"/>
      <c r="O508" s="599"/>
      <c r="P508" s="599"/>
      <c r="Q508" s="1096">
        <f t="shared" si="37"/>
        <v>4818236770678</v>
      </c>
      <c r="R508" s="599">
        <v>1358907295873</v>
      </c>
      <c r="S508" s="1096">
        <f t="shared" si="39"/>
        <v>4818237</v>
      </c>
      <c r="T508" s="599">
        <f t="shared" si="39"/>
        <v>1358907</v>
      </c>
      <c r="U508" s="620"/>
      <c r="V508" s="621"/>
      <c r="W508" s="1096">
        <f t="shared" si="40"/>
        <v>4818236770678</v>
      </c>
      <c r="X508" s="882">
        <f t="shared" si="38"/>
        <v>4818237</v>
      </c>
      <c r="Y508" s="910">
        <f t="shared" si="36"/>
        <v>0</v>
      </c>
    </row>
    <row r="509" spans="1:25" ht="27" customHeight="1">
      <c r="A509" s="583"/>
      <c r="B509" s="583"/>
      <c r="C509" s="581">
        <v>19</v>
      </c>
      <c r="D509" s="1137" t="s">
        <v>1204</v>
      </c>
      <c r="E509" s="1138" t="s">
        <v>1205</v>
      </c>
      <c r="F509" s="599">
        <v>0</v>
      </c>
      <c r="G509" s="599"/>
      <c r="H509" s="599"/>
      <c r="I509" s="599"/>
      <c r="J509" s="599">
        <v>512624574599</v>
      </c>
      <c r="K509" s="599"/>
      <c r="L509" s="599"/>
      <c r="M509" s="599"/>
      <c r="N509" s="599"/>
      <c r="O509" s="599"/>
      <c r="P509" s="599"/>
      <c r="Q509" s="1096">
        <f t="shared" si="37"/>
        <v>512624574599</v>
      </c>
      <c r="R509" s="599">
        <v>0</v>
      </c>
      <c r="S509" s="1096">
        <f t="shared" si="39"/>
        <v>512625</v>
      </c>
      <c r="T509" s="599">
        <f t="shared" si="39"/>
        <v>0</v>
      </c>
      <c r="U509" s="620"/>
      <c r="V509" s="621"/>
      <c r="W509" s="1096">
        <f t="shared" si="40"/>
        <v>512624574599</v>
      </c>
      <c r="X509" s="882">
        <f t="shared" si="38"/>
        <v>512625</v>
      </c>
      <c r="Y509" s="910">
        <f t="shared" si="36"/>
        <v>0</v>
      </c>
    </row>
    <row r="510" spans="1:25" ht="27" customHeight="1">
      <c r="A510" s="583"/>
      <c r="B510" s="583"/>
      <c r="C510" s="581">
        <v>19</v>
      </c>
      <c r="D510" s="1137" t="s">
        <v>619</v>
      </c>
      <c r="E510" s="1138" t="s">
        <v>620</v>
      </c>
      <c r="F510" s="599">
        <v>-2009699609045</v>
      </c>
      <c r="G510" s="599">
        <v>16425827166</v>
      </c>
      <c r="H510" s="599">
        <v>-161553810</v>
      </c>
      <c r="I510" s="599"/>
      <c r="J510" s="599">
        <v>-2824801434989</v>
      </c>
      <c r="K510" s="599"/>
      <c r="L510" s="599"/>
      <c r="M510" s="599"/>
      <c r="N510" s="599"/>
      <c r="O510" s="599"/>
      <c r="P510" s="599"/>
      <c r="Q510" s="1096">
        <f t="shared" si="37"/>
        <v>-4818236770678</v>
      </c>
      <c r="R510" s="599">
        <v>-1358907295873</v>
      </c>
      <c r="S510" s="1096">
        <f t="shared" si="39"/>
        <v>-4818237</v>
      </c>
      <c r="T510" s="599">
        <f t="shared" si="39"/>
        <v>-1358907</v>
      </c>
      <c r="U510" s="620"/>
      <c r="V510" s="621"/>
      <c r="W510" s="1096">
        <f t="shared" si="40"/>
        <v>-4818236770678</v>
      </c>
      <c r="X510" s="882">
        <f t="shared" si="38"/>
        <v>-4818237</v>
      </c>
      <c r="Y510" s="910">
        <f t="shared" si="36"/>
        <v>0</v>
      </c>
    </row>
    <row r="511" spans="1:25" ht="27" customHeight="1">
      <c r="A511" s="583"/>
      <c r="B511" s="583"/>
      <c r="C511" s="581">
        <v>19</v>
      </c>
      <c r="D511" s="1137" t="s">
        <v>1206</v>
      </c>
      <c r="E511" s="1138" t="s">
        <v>1207</v>
      </c>
      <c r="F511" s="599"/>
      <c r="G511" s="599"/>
      <c r="H511" s="599"/>
      <c r="I511" s="599"/>
      <c r="J511" s="599">
        <v>-512624574599</v>
      </c>
      <c r="K511" s="599"/>
      <c r="L511" s="599"/>
      <c r="M511" s="599"/>
      <c r="N511" s="599"/>
      <c r="O511" s="599"/>
      <c r="P511" s="599"/>
      <c r="Q511" s="1096">
        <f t="shared" si="37"/>
        <v>-512624574599</v>
      </c>
      <c r="R511" s="599">
        <v>0</v>
      </c>
      <c r="S511" s="1096">
        <f t="shared" si="39"/>
        <v>-512625</v>
      </c>
      <c r="T511" s="599">
        <f t="shared" si="39"/>
        <v>0</v>
      </c>
      <c r="U511" s="620"/>
      <c r="V511" s="621"/>
      <c r="W511" s="1096">
        <f t="shared" si="40"/>
        <v>-512624574599</v>
      </c>
      <c r="X511" s="882">
        <f t="shared" si="38"/>
        <v>-512625</v>
      </c>
      <c r="Y511" s="910">
        <f t="shared" si="36"/>
        <v>0</v>
      </c>
    </row>
    <row r="512" spans="1:25" ht="27" customHeight="1">
      <c r="A512" s="583">
        <v>3214</v>
      </c>
      <c r="B512" s="583"/>
      <c r="C512" s="581">
        <v>19</v>
      </c>
      <c r="D512" s="1137" t="s">
        <v>617</v>
      </c>
      <c r="E512" s="1138" t="s">
        <v>1660</v>
      </c>
      <c r="F512" s="599"/>
      <c r="G512" s="599"/>
      <c r="H512" s="599"/>
      <c r="I512" s="599"/>
      <c r="J512" s="599"/>
      <c r="K512" s="599"/>
      <c r="L512" s="599"/>
      <c r="M512" s="599"/>
      <c r="N512" s="599"/>
      <c r="O512" s="599"/>
      <c r="P512" s="599"/>
      <c r="Q512" s="1096">
        <f t="shared" si="37"/>
        <v>0</v>
      </c>
      <c r="R512" s="599">
        <v>1738372729959</v>
      </c>
      <c r="S512" s="1096">
        <f t="shared" ref="S512:T527" si="41">ROUND((Q512/1000000),0)</f>
        <v>0</v>
      </c>
      <c r="T512" s="599">
        <f t="shared" si="41"/>
        <v>1738373</v>
      </c>
      <c r="U512" s="620"/>
      <c r="V512" s="621"/>
      <c r="W512" s="1096">
        <f t="shared" si="40"/>
        <v>0</v>
      </c>
      <c r="X512" s="882">
        <f t="shared" si="38"/>
        <v>0</v>
      </c>
      <c r="Y512" s="910">
        <f t="shared" si="36"/>
        <v>0</v>
      </c>
    </row>
    <row r="513" spans="1:25" ht="27" customHeight="1">
      <c r="A513" s="583">
        <v>3214</v>
      </c>
      <c r="B513" s="583"/>
      <c r="C513" s="581">
        <v>19</v>
      </c>
      <c r="D513" s="1137" t="s">
        <v>1204</v>
      </c>
      <c r="E513" s="1138" t="s">
        <v>1661</v>
      </c>
      <c r="F513" s="599"/>
      <c r="G513" s="599"/>
      <c r="H513" s="599"/>
      <c r="I513" s="599"/>
      <c r="J513" s="599"/>
      <c r="K513" s="599"/>
      <c r="L513" s="599"/>
      <c r="M513" s="599"/>
      <c r="N513" s="599">
        <v>248302913955</v>
      </c>
      <c r="O513" s="599"/>
      <c r="P513" s="599"/>
      <c r="Q513" s="1096">
        <f t="shared" si="37"/>
        <v>248302913955</v>
      </c>
      <c r="R513" s="599">
        <v>-1738372729959</v>
      </c>
      <c r="S513" s="1096">
        <f t="shared" si="41"/>
        <v>248303</v>
      </c>
      <c r="T513" s="599">
        <f t="shared" si="41"/>
        <v>-1738373</v>
      </c>
      <c r="U513" s="620"/>
      <c r="V513" s="621"/>
      <c r="W513" s="1096">
        <f t="shared" si="40"/>
        <v>248302913955</v>
      </c>
      <c r="X513" s="882">
        <f t="shared" si="38"/>
        <v>248303</v>
      </c>
      <c r="Y513" s="910">
        <f t="shared" si="36"/>
        <v>0</v>
      </c>
    </row>
    <row r="514" spans="1:25" ht="27" customHeight="1">
      <c r="A514" s="583">
        <v>3214</v>
      </c>
      <c r="B514" s="583"/>
      <c r="C514" s="581">
        <v>19</v>
      </c>
      <c r="D514" s="1137" t="s">
        <v>619</v>
      </c>
      <c r="E514" s="1138" t="s">
        <v>1662</v>
      </c>
      <c r="F514" s="599"/>
      <c r="G514" s="599"/>
      <c r="H514" s="599"/>
      <c r="I514" s="599"/>
      <c r="J514" s="599"/>
      <c r="K514" s="599"/>
      <c r="L514" s="599"/>
      <c r="M514" s="599"/>
      <c r="N514" s="599"/>
      <c r="O514" s="599"/>
      <c r="P514" s="599"/>
      <c r="Q514" s="1096">
        <f t="shared" si="37"/>
        <v>0</v>
      </c>
      <c r="R514" s="599">
        <v>500261912448</v>
      </c>
      <c r="S514" s="1096">
        <f t="shared" si="41"/>
        <v>0</v>
      </c>
      <c r="T514" s="599">
        <f t="shared" si="41"/>
        <v>500262</v>
      </c>
      <c r="U514" s="620"/>
      <c r="V514" s="621"/>
      <c r="W514" s="1096">
        <f t="shared" si="40"/>
        <v>0</v>
      </c>
      <c r="X514" s="882">
        <f t="shared" si="38"/>
        <v>0</v>
      </c>
      <c r="Y514" s="910">
        <f t="shared" si="36"/>
        <v>0</v>
      </c>
    </row>
    <row r="515" spans="1:25" ht="27" customHeight="1">
      <c r="A515" s="583">
        <v>3214</v>
      </c>
      <c r="B515" s="583"/>
      <c r="C515" s="581">
        <v>19</v>
      </c>
      <c r="D515" s="1137" t="s">
        <v>1206</v>
      </c>
      <c r="E515" s="1138" t="s">
        <v>1663</v>
      </c>
      <c r="F515" s="599"/>
      <c r="G515" s="599"/>
      <c r="H515" s="599"/>
      <c r="I515" s="599"/>
      <c r="J515" s="599"/>
      <c r="K515" s="599"/>
      <c r="L515" s="599"/>
      <c r="M515" s="599"/>
      <c r="N515" s="599">
        <v>-248302913955</v>
      </c>
      <c r="O515" s="599"/>
      <c r="P515" s="599"/>
      <c r="Q515" s="1096">
        <f t="shared" si="37"/>
        <v>-248302913955</v>
      </c>
      <c r="R515" s="599">
        <v>-500261912448</v>
      </c>
      <c r="S515" s="1096">
        <f t="shared" si="41"/>
        <v>-248303</v>
      </c>
      <c r="T515" s="599">
        <f t="shared" si="41"/>
        <v>-500262</v>
      </c>
      <c r="U515" s="620"/>
      <c r="V515" s="621"/>
      <c r="W515" s="1096">
        <f t="shared" si="40"/>
        <v>-248302913955</v>
      </c>
      <c r="X515" s="882">
        <f t="shared" si="38"/>
        <v>-248303</v>
      </c>
      <c r="Y515" s="910">
        <f t="shared" si="36"/>
        <v>0</v>
      </c>
    </row>
    <row r="516" spans="1:25" ht="27" customHeight="1">
      <c r="A516" s="583"/>
      <c r="B516" s="583">
        <v>501</v>
      </c>
      <c r="C516" s="581">
        <v>5</v>
      </c>
      <c r="D516" s="1137" t="s">
        <v>1269</v>
      </c>
      <c r="E516" s="1138" t="s">
        <v>1270</v>
      </c>
      <c r="F516" s="599">
        <v>993502613</v>
      </c>
      <c r="G516" s="599"/>
      <c r="H516" s="599"/>
      <c r="I516" s="599"/>
      <c r="J516" s="599"/>
      <c r="K516" s="599"/>
      <c r="L516" s="599"/>
      <c r="M516" s="599"/>
      <c r="N516" s="599"/>
      <c r="O516" s="599"/>
      <c r="P516" s="599"/>
      <c r="Q516" s="1096">
        <f t="shared" si="37"/>
        <v>993502613</v>
      </c>
      <c r="R516" s="599">
        <v>1043161770</v>
      </c>
      <c r="S516" s="1096">
        <f t="shared" si="41"/>
        <v>994</v>
      </c>
      <c r="T516" s="599">
        <f t="shared" si="41"/>
        <v>1043</v>
      </c>
      <c r="U516" s="620"/>
      <c r="V516" s="621"/>
      <c r="W516" s="1096">
        <f t="shared" si="40"/>
        <v>993502613</v>
      </c>
      <c r="X516" s="882">
        <f t="shared" si="38"/>
        <v>994</v>
      </c>
      <c r="Y516" s="910">
        <f t="shared" ref="Y516:Y544" si="42">S516-X516</f>
        <v>0</v>
      </c>
    </row>
    <row r="517" spans="1:25" ht="27" customHeight="1">
      <c r="A517" s="583"/>
      <c r="B517" s="583">
        <v>1018</v>
      </c>
      <c r="C517" s="581">
        <v>10</v>
      </c>
      <c r="D517" s="1137" t="s">
        <v>97</v>
      </c>
      <c r="E517" s="1138" t="s">
        <v>95</v>
      </c>
      <c r="F517" s="599"/>
      <c r="G517" s="599"/>
      <c r="H517" s="599"/>
      <c r="I517" s="599"/>
      <c r="J517" s="599"/>
      <c r="K517" s="599"/>
      <c r="L517" s="599"/>
      <c r="M517" s="599"/>
      <c r="N517" s="599"/>
      <c r="O517" s="599"/>
      <c r="P517" s="599"/>
      <c r="Q517" s="1096">
        <f t="shared" si="37"/>
        <v>0</v>
      </c>
      <c r="R517" s="599">
        <v>0</v>
      </c>
      <c r="S517" s="1096">
        <f t="shared" si="41"/>
        <v>0</v>
      </c>
      <c r="T517" s="599">
        <f t="shared" si="41"/>
        <v>0</v>
      </c>
      <c r="U517" s="620"/>
      <c r="V517" s="621"/>
      <c r="W517" s="1096">
        <f t="shared" si="40"/>
        <v>0</v>
      </c>
      <c r="X517" s="882">
        <f t="shared" si="38"/>
        <v>0</v>
      </c>
      <c r="Y517" s="910">
        <f t="shared" si="42"/>
        <v>0</v>
      </c>
    </row>
    <row r="518" spans="1:25" ht="27" customHeight="1">
      <c r="A518" s="583"/>
      <c r="B518" s="583">
        <v>1018</v>
      </c>
      <c r="C518" s="581">
        <v>10</v>
      </c>
      <c r="D518" s="1137" t="s">
        <v>471</v>
      </c>
      <c r="E518" s="1138" t="s">
        <v>98</v>
      </c>
      <c r="F518" s="599"/>
      <c r="G518" s="599"/>
      <c r="H518" s="599"/>
      <c r="I518" s="599"/>
      <c r="J518" s="599"/>
      <c r="K518" s="599"/>
      <c r="L518" s="599"/>
      <c r="M518" s="599"/>
      <c r="N518" s="599"/>
      <c r="O518" s="599"/>
      <c r="P518" s="599"/>
      <c r="Q518" s="1096">
        <f t="shared" si="37"/>
        <v>0</v>
      </c>
      <c r="R518" s="599">
        <v>0</v>
      </c>
      <c r="S518" s="1096">
        <f t="shared" si="41"/>
        <v>0</v>
      </c>
      <c r="T518" s="599">
        <f t="shared" si="41"/>
        <v>0</v>
      </c>
      <c r="U518" s="620"/>
      <c r="V518" s="621"/>
      <c r="W518" s="1096">
        <f t="shared" si="40"/>
        <v>0</v>
      </c>
      <c r="X518" s="882">
        <f t="shared" si="38"/>
        <v>0</v>
      </c>
      <c r="Y518" s="910">
        <f t="shared" si="42"/>
        <v>0</v>
      </c>
    </row>
    <row r="519" spans="1:25" ht="27" customHeight="1">
      <c r="A519" s="583"/>
      <c r="B519" s="583">
        <v>1018</v>
      </c>
      <c r="C519" s="581">
        <v>10</v>
      </c>
      <c r="D519" s="1137" t="s">
        <v>100</v>
      </c>
      <c r="E519" s="1138" t="s">
        <v>1653</v>
      </c>
      <c r="F519" s="599"/>
      <c r="G519" s="599"/>
      <c r="H519" s="599"/>
      <c r="I519" s="599"/>
      <c r="J519" s="599"/>
      <c r="K519" s="599"/>
      <c r="L519" s="599"/>
      <c r="M519" s="599"/>
      <c r="N519" s="599"/>
      <c r="O519" s="599"/>
      <c r="P519" s="599"/>
      <c r="Q519" s="1096">
        <f t="shared" si="37"/>
        <v>0</v>
      </c>
      <c r="R519" s="599">
        <v>0</v>
      </c>
      <c r="S519" s="1096">
        <f t="shared" si="41"/>
        <v>0</v>
      </c>
      <c r="T519" s="599">
        <f t="shared" si="41"/>
        <v>0</v>
      </c>
      <c r="U519" s="620"/>
      <c r="V519" s="621"/>
      <c r="W519" s="1096">
        <f t="shared" si="40"/>
        <v>0</v>
      </c>
      <c r="X519" s="882">
        <f t="shared" si="38"/>
        <v>0</v>
      </c>
      <c r="Y519" s="910">
        <f t="shared" si="42"/>
        <v>0</v>
      </c>
    </row>
    <row r="520" spans="1:25" ht="27" customHeight="1">
      <c r="A520" s="583"/>
      <c r="B520" s="583">
        <v>1018</v>
      </c>
      <c r="C520" s="581">
        <v>10</v>
      </c>
      <c r="D520" s="1137" t="s">
        <v>1369</v>
      </c>
      <c r="E520" s="1138" t="s">
        <v>1654</v>
      </c>
      <c r="F520" s="599"/>
      <c r="G520" s="599"/>
      <c r="H520" s="599"/>
      <c r="I520" s="599"/>
      <c r="J520" s="599"/>
      <c r="K520" s="599"/>
      <c r="L520" s="599"/>
      <c r="M520" s="599"/>
      <c r="N520" s="599"/>
      <c r="O520" s="599"/>
      <c r="P520" s="599"/>
      <c r="Q520" s="1096">
        <f t="shared" si="37"/>
        <v>0</v>
      </c>
      <c r="R520" s="599">
        <v>0</v>
      </c>
      <c r="S520" s="1096">
        <f t="shared" si="41"/>
        <v>0</v>
      </c>
      <c r="T520" s="599">
        <f t="shared" si="41"/>
        <v>0</v>
      </c>
      <c r="U520" s="620"/>
      <c r="V520" s="621"/>
      <c r="W520" s="1096">
        <f t="shared" si="40"/>
        <v>0</v>
      </c>
      <c r="X520" s="882">
        <f t="shared" si="38"/>
        <v>0</v>
      </c>
      <c r="Y520" s="910">
        <f t="shared" si="42"/>
        <v>0</v>
      </c>
    </row>
    <row r="521" spans="1:25" ht="27" customHeight="1">
      <c r="A521" s="583"/>
      <c r="B521" s="583">
        <v>506</v>
      </c>
      <c r="C521" s="581">
        <v>5</v>
      </c>
      <c r="D521" s="1137" t="s">
        <v>1636</v>
      </c>
      <c r="E521" s="1138" t="s">
        <v>1654</v>
      </c>
      <c r="F521" s="599"/>
      <c r="G521" s="599"/>
      <c r="H521" s="599"/>
      <c r="I521" s="599"/>
      <c r="J521" s="599"/>
      <c r="K521" s="599"/>
      <c r="L521" s="599"/>
      <c r="M521" s="599"/>
      <c r="N521" s="599"/>
      <c r="O521" s="599"/>
      <c r="P521" s="599"/>
      <c r="Q521" s="1096">
        <f t="shared" si="37"/>
        <v>0</v>
      </c>
      <c r="R521" s="599">
        <v>0</v>
      </c>
      <c r="S521" s="1096">
        <f t="shared" si="41"/>
        <v>0</v>
      </c>
      <c r="T521" s="599">
        <f t="shared" si="41"/>
        <v>0</v>
      </c>
      <c r="U521" s="620"/>
      <c r="V521" s="621"/>
      <c r="W521" s="1096">
        <f t="shared" si="40"/>
        <v>0</v>
      </c>
      <c r="X521" s="882">
        <f t="shared" si="38"/>
        <v>0</v>
      </c>
      <c r="Y521" s="910">
        <f t="shared" si="42"/>
        <v>0</v>
      </c>
    </row>
    <row r="522" spans="1:25" ht="27" customHeight="1">
      <c r="A522" s="583"/>
      <c r="B522" s="583">
        <v>501</v>
      </c>
      <c r="C522" s="581">
        <v>5</v>
      </c>
      <c r="D522" s="1137" t="s">
        <v>1613</v>
      </c>
      <c r="E522" s="1138" t="s">
        <v>1615</v>
      </c>
      <c r="F522" s="599"/>
      <c r="G522" s="599"/>
      <c r="H522" s="599"/>
      <c r="I522" s="599"/>
      <c r="J522" s="599"/>
      <c r="K522" s="599"/>
      <c r="L522" s="599"/>
      <c r="M522" s="599"/>
      <c r="N522" s="599"/>
      <c r="O522" s="599"/>
      <c r="P522" s="599"/>
      <c r="Q522" s="1096">
        <f t="shared" si="37"/>
        <v>0</v>
      </c>
      <c r="R522" s="599">
        <v>0</v>
      </c>
      <c r="S522" s="1096">
        <f t="shared" si="41"/>
        <v>0</v>
      </c>
      <c r="T522" s="599">
        <f t="shared" si="41"/>
        <v>0</v>
      </c>
      <c r="U522" s="620"/>
      <c r="V522" s="621"/>
      <c r="W522" s="1096">
        <f t="shared" si="40"/>
        <v>0</v>
      </c>
      <c r="X522" s="882">
        <f t="shared" si="38"/>
        <v>0</v>
      </c>
      <c r="Y522" s="910">
        <f t="shared" si="42"/>
        <v>0</v>
      </c>
    </row>
    <row r="523" spans="1:25" ht="27" customHeight="1">
      <c r="A523" s="583"/>
      <c r="B523" s="583">
        <v>908</v>
      </c>
      <c r="C523" s="581">
        <v>9</v>
      </c>
      <c r="D523" s="1137" t="s">
        <v>1614</v>
      </c>
      <c r="E523" s="1138" t="s">
        <v>1616</v>
      </c>
      <c r="F523" s="599"/>
      <c r="G523" s="599"/>
      <c r="H523" s="599"/>
      <c r="I523" s="599"/>
      <c r="J523" s="599"/>
      <c r="K523" s="599"/>
      <c r="L523" s="599"/>
      <c r="M523" s="599"/>
      <c r="N523" s="599"/>
      <c r="O523" s="599"/>
      <c r="P523" s="599"/>
      <c r="Q523" s="1096">
        <f t="shared" si="37"/>
        <v>0</v>
      </c>
      <c r="R523" s="599">
        <v>0</v>
      </c>
      <c r="S523" s="1096">
        <f t="shared" si="41"/>
        <v>0</v>
      </c>
      <c r="T523" s="599">
        <f t="shared" si="41"/>
        <v>0</v>
      </c>
      <c r="U523" s="620"/>
      <c r="V523" s="621"/>
      <c r="W523" s="1096">
        <f t="shared" si="40"/>
        <v>0</v>
      </c>
      <c r="X523" s="882">
        <f t="shared" si="38"/>
        <v>0</v>
      </c>
      <c r="Y523" s="910">
        <f t="shared" si="42"/>
        <v>0</v>
      </c>
    </row>
    <row r="524" spans="1:25" ht="27" customHeight="1">
      <c r="A524" s="583"/>
      <c r="B524" s="583">
        <v>506</v>
      </c>
      <c r="C524" s="581">
        <v>5</v>
      </c>
      <c r="D524" s="1137" t="s">
        <v>593</v>
      </c>
      <c r="E524" s="1138" t="s">
        <v>1655</v>
      </c>
      <c r="F524" s="599"/>
      <c r="G524" s="599"/>
      <c r="H524" s="599"/>
      <c r="I524" s="599"/>
      <c r="J524" s="599"/>
      <c r="K524" s="599"/>
      <c r="L524" s="599"/>
      <c r="M524" s="599"/>
      <c r="N524" s="599"/>
      <c r="O524" s="599"/>
      <c r="P524" s="599"/>
      <c r="Q524" s="1096">
        <f t="shared" si="37"/>
        <v>0</v>
      </c>
      <c r="R524" s="599">
        <v>0</v>
      </c>
      <c r="S524" s="1096">
        <f t="shared" si="41"/>
        <v>0</v>
      </c>
      <c r="T524" s="599">
        <f t="shared" si="41"/>
        <v>0</v>
      </c>
      <c r="U524" s="620"/>
      <c r="V524" s="621"/>
      <c r="W524" s="1096">
        <f t="shared" si="40"/>
        <v>0</v>
      </c>
      <c r="X524" s="882">
        <f t="shared" si="38"/>
        <v>0</v>
      </c>
      <c r="Y524" s="910">
        <f t="shared" si="42"/>
        <v>0</v>
      </c>
    </row>
    <row r="525" spans="1:25" ht="27" customHeight="1">
      <c r="A525" s="583"/>
      <c r="B525" s="583">
        <v>506</v>
      </c>
      <c r="C525" s="581">
        <v>5</v>
      </c>
      <c r="D525" s="1137" t="s">
        <v>101</v>
      </c>
      <c r="E525" s="1138" t="s">
        <v>102</v>
      </c>
      <c r="F525" s="599"/>
      <c r="G525" s="599"/>
      <c r="H525" s="599"/>
      <c r="I525" s="599"/>
      <c r="J525" s="599"/>
      <c r="K525" s="599"/>
      <c r="L525" s="599"/>
      <c r="M525" s="599"/>
      <c r="N525" s="599"/>
      <c r="O525" s="599"/>
      <c r="P525" s="599"/>
      <c r="Q525" s="1096">
        <f t="shared" si="37"/>
        <v>0</v>
      </c>
      <c r="R525" s="599">
        <v>0</v>
      </c>
      <c r="S525" s="1096">
        <f t="shared" si="41"/>
        <v>0</v>
      </c>
      <c r="T525" s="599">
        <f t="shared" si="41"/>
        <v>0</v>
      </c>
      <c r="U525" s="620"/>
      <c r="V525" s="621"/>
      <c r="W525" s="1096">
        <f t="shared" si="40"/>
        <v>0</v>
      </c>
      <c r="X525" s="882">
        <f t="shared" si="38"/>
        <v>0</v>
      </c>
      <c r="Y525" s="910">
        <f t="shared" si="42"/>
        <v>0</v>
      </c>
    </row>
    <row r="526" spans="1:25" ht="27" customHeight="1">
      <c r="A526" s="583"/>
      <c r="B526" s="583">
        <v>506</v>
      </c>
      <c r="C526" s="581">
        <v>5</v>
      </c>
      <c r="D526" s="1137" t="s">
        <v>1640</v>
      </c>
      <c r="E526" s="1138" t="s">
        <v>1641</v>
      </c>
      <c r="F526" s="599"/>
      <c r="G526" s="599"/>
      <c r="H526" s="599"/>
      <c r="I526" s="599"/>
      <c r="J526" s="599"/>
      <c r="K526" s="599"/>
      <c r="L526" s="599"/>
      <c r="M526" s="599"/>
      <c r="N526" s="599"/>
      <c r="O526" s="599"/>
      <c r="P526" s="599"/>
      <c r="Q526" s="1096">
        <f t="shared" ref="Q526:Q543" si="43">SUM(F526:P526)</f>
        <v>0</v>
      </c>
      <c r="R526" s="599">
        <v>0</v>
      </c>
      <c r="S526" s="1096">
        <f t="shared" si="41"/>
        <v>0</v>
      </c>
      <c r="T526" s="599">
        <f t="shared" si="41"/>
        <v>0</v>
      </c>
      <c r="U526" s="620"/>
      <c r="V526" s="621"/>
      <c r="W526" s="1096">
        <f t="shared" si="40"/>
        <v>0</v>
      </c>
      <c r="X526" s="882">
        <f t="shared" si="38"/>
        <v>0</v>
      </c>
      <c r="Y526" s="910">
        <f t="shared" si="42"/>
        <v>0</v>
      </c>
    </row>
    <row r="527" spans="1:25" ht="27" customHeight="1">
      <c r="A527" s="583"/>
      <c r="B527" s="583">
        <v>506</v>
      </c>
      <c r="C527" s="581">
        <v>5</v>
      </c>
      <c r="D527" s="1137" t="s">
        <v>1371</v>
      </c>
      <c r="E527" s="1138" t="s">
        <v>1372</v>
      </c>
      <c r="F527" s="599"/>
      <c r="G527" s="599"/>
      <c r="H527" s="599"/>
      <c r="I527" s="599"/>
      <c r="J527" s="599"/>
      <c r="K527" s="599"/>
      <c r="L527" s="599"/>
      <c r="M527" s="599"/>
      <c r="N527" s="599"/>
      <c r="O527" s="599"/>
      <c r="P527" s="599"/>
      <c r="Q527" s="1096">
        <f t="shared" si="43"/>
        <v>0</v>
      </c>
      <c r="R527" s="599">
        <v>0</v>
      </c>
      <c r="S527" s="1096">
        <f t="shared" si="41"/>
        <v>0</v>
      </c>
      <c r="T527" s="599">
        <f t="shared" si="41"/>
        <v>0</v>
      </c>
      <c r="U527" s="620"/>
      <c r="V527" s="621"/>
      <c r="W527" s="1096">
        <f t="shared" si="40"/>
        <v>0</v>
      </c>
      <c r="X527" s="882">
        <f t="shared" si="38"/>
        <v>0</v>
      </c>
      <c r="Y527" s="910">
        <f t="shared" si="42"/>
        <v>0</v>
      </c>
    </row>
    <row r="528" spans="1:25" ht="27" customHeight="1">
      <c r="A528" s="583"/>
      <c r="B528" s="583">
        <v>506</v>
      </c>
      <c r="C528" s="581">
        <v>5</v>
      </c>
      <c r="D528" s="1137" t="s">
        <v>1617</v>
      </c>
      <c r="E528" s="1138" t="s">
        <v>1623</v>
      </c>
      <c r="F528" s="599"/>
      <c r="G528" s="599"/>
      <c r="H528" s="599"/>
      <c r="I528" s="599"/>
      <c r="J528" s="599"/>
      <c r="K528" s="599"/>
      <c r="L528" s="599"/>
      <c r="M528" s="599"/>
      <c r="N528" s="599"/>
      <c r="O528" s="599"/>
      <c r="P528" s="599"/>
      <c r="Q528" s="1096">
        <f t="shared" si="43"/>
        <v>0</v>
      </c>
      <c r="R528" s="599">
        <v>0</v>
      </c>
      <c r="S528" s="1096">
        <f t="shared" ref="S528:T543" si="44">ROUND((Q528/1000000),0)</f>
        <v>0</v>
      </c>
      <c r="T528" s="599">
        <f t="shared" si="44"/>
        <v>0</v>
      </c>
      <c r="U528" s="620"/>
      <c r="V528" s="621"/>
      <c r="W528" s="1096">
        <f t="shared" si="40"/>
        <v>0</v>
      </c>
      <c r="X528" s="882">
        <f t="shared" si="38"/>
        <v>0</v>
      </c>
      <c r="Y528" s="910">
        <f t="shared" si="42"/>
        <v>0</v>
      </c>
    </row>
    <row r="529" spans="1:25" ht="27" customHeight="1">
      <c r="A529" s="583"/>
      <c r="B529" s="583">
        <v>506</v>
      </c>
      <c r="C529" s="581">
        <v>5</v>
      </c>
      <c r="D529" s="1137" t="s">
        <v>1618</v>
      </c>
      <c r="E529" s="1138" t="s">
        <v>1624</v>
      </c>
      <c r="F529" s="599"/>
      <c r="G529" s="599"/>
      <c r="H529" s="599"/>
      <c r="I529" s="599"/>
      <c r="J529" s="599"/>
      <c r="K529" s="599"/>
      <c r="L529" s="599"/>
      <c r="M529" s="599"/>
      <c r="N529" s="599"/>
      <c r="O529" s="599"/>
      <c r="P529" s="599"/>
      <c r="Q529" s="1096">
        <f t="shared" si="43"/>
        <v>0</v>
      </c>
      <c r="R529" s="599">
        <v>0</v>
      </c>
      <c r="S529" s="1096">
        <f t="shared" si="44"/>
        <v>0</v>
      </c>
      <c r="T529" s="599">
        <f t="shared" si="44"/>
        <v>0</v>
      </c>
      <c r="U529" s="620"/>
      <c r="V529" s="621"/>
      <c r="W529" s="1096">
        <f t="shared" si="40"/>
        <v>0</v>
      </c>
      <c r="X529" s="882">
        <f t="shared" si="38"/>
        <v>0</v>
      </c>
      <c r="Y529" s="910">
        <f t="shared" si="42"/>
        <v>0</v>
      </c>
    </row>
    <row r="530" spans="1:25" ht="27" customHeight="1">
      <c r="A530" s="583"/>
      <c r="B530" s="583">
        <v>506</v>
      </c>
      <c r="C530" s="581">
        <v>5</v>
      </c>
      <c r="D530" s="1137" t="s">
        <v>1619</v>
      </c>
      <c r="E530" s="1138" t="s">
        <v>1625</v>
      </c>
      <c r="F530" s="599"/>
      <c r="G530" s="599"/>
      <c r="H530" s="599"/>
      <c r="I530" s="599"/>
      <c r="J530" s="599"/>
      <c r="K530" s="599"/>
      <c r="L530" s="599"/>
      <c r="M530" s="599"/>
      <c r="N530" s="599"/>
      <c r="O530" s="599"/>
      <c r="P530" s="599"/>
      <c r="Q530" s="1096">
        <f t="shared" si="43"/>
        <v>0</v>
      </c>
      <c r="R530" s="599">
        <v>0</v>
      </c>
      <c r="S530" s="1096">
        <f t="shared" si="44"/>
        <v>0</v>
      </c>
      <c r="T530" s="599">
        <f t="shared" si="44"/>
        <v>0</v>
      </c>
      <c r="U530" s="620"/>
      <c r="V530" s="621"/>
      <c r="W530" s="1096">
        <f t="shared" si="40"/>
        <v>0</v>
      </c>
      <c r="X530" s="882">
        <f t="shared" si="38"/>
        <v>0</v>
      </c>
      <c r="Y530" s="910">
        <f t="shared" si="42"/>
        <v>0</v>
      </c>
    </row>
    <row r="531" spans="1:25" ht="27" customHeight="1">
      <c r="A531" s="583"/>
      <c r="B531" s="583">
        <v>506</v>
      </c>
      <c r="C531" s="581">
        <v>5</v>
      </c>
      <c r="D531" s="1137" t="s">
        <v>1620</v>
      </c>
      <c r="E531" s="1138" t="s">
        <v>1626</v>
      </c>
      <c r="F531" s="599"/>
      <c r="G531" s="599"/>
      <c r="H531" s="599"/>
      <c r="I531" s="599"/>
      <c r="J531" s="599"/>
      <c r="K531" s="599"/>
      <c r="L531" s="599"/>
      <c r="M531" s="599"/>
      <c r="N531" s="599"/>
      <c r="O531" s="599"/>
      <c r="P531" s="599"/>
      <c r="Q531" s="1096">
        <f t="shared" si="43"/>
        <v>0</v>
      </c>
      <c r="R531" s="599">
        <v>0</v>
      </c>
      <c r="S531" s="1096">
        <f t="shared" si="44"/>
        <v>0</v>
      </c>
      <c r="T531" s="599">
        <f t="shared" si="44"/>
        <v>0</v>
      </c>
      <c r="U531" s="620"/>
      <c r="V531" s="621"/>
      <c r="W531" s="1096">
        <f t="shared" si="40"/>
        <v>0</v>
      </c>
      <c r="X531" s="882">
        <f t="shared" si="38"/>
        <v>0</v>
      </c>
      <c r="Y531" s="910">
        <f t="shared" si="42"/>
        <v>0</v>
      </c>
    </row>
    <row r="532" spans="1:25" ht="27" customHeight="1">
      <c r="A532" s="583"/>
      <c r="B532" s="583">
        <v>506</v>
      </c>
      <c r="C532" s="581">
        <v>5</v>
      </c>
      <c r="D532" s="1137" t="s">
        <v>1621</v>
      </c>
      <c r="E532" s="1138" t="s">
        <v>1627</v>
      </c>
      <c r="F532" s="599"/>
      <c r="G532" s="599"/>
      <c r="H532" s="599"/>
      <c r="I532" s="599"/>
      <c r="J532" s="599"/>
      <c r="K532" s="599"/>
      <c r="L532" s="599"/>
      <c r="M532" s="599"/>
      <c r="N532" s="599"/>
      <c r="O532" s="599"/>
      <c r="P532" s="599"/>
      <c r="Q532" s="1096">
        <f t="shared" si="43"/>
        <v>0</v>
      </c>
      <c r="R532" s="599">
        <v>0</v>
      </c>
      <c r="S532" s="1096">
        <f t="shared" si="44"/>
        <v>0</v>
      </c>
      <c r="T532" s="599">
        <f t="shared" si="44"/>
        <v>0</v>
      </c>
      <c r="U532" s="620"/>
      <c r="V532" s="621"/>
      <c r="W532" s="1096">
        <f t="shared" si="40"/>
        <v>0</v>
      </c>
      <c r="X532" s="882">
        <f t="shared" si="38"/>
        <v>0</v>
      </c>
      <c r="Y532" s="910">
        <f t="shared" si="42"/>
        <v>0</v>
      </c>
    </row>
    <row r="533" spans="1:25" ht="27" customHeight="1">
      <c r="A533" s="583"/>
      <c r="B533" s="583">
        <v>1018</v>
      </c>
      <c r="C533" s="581">
        <v>10</v>
      </c>
      <c r="D533" s="1137" t="s">
        <v>913</v>
      </c>
      <c r="E533" s="1138" t="s">
        <v>1006</v>
      </c>
      <c r="F533" s="599"/>
      <c r="G533" s="599"/>
      <c r="H533" s="599"/>
      <c r="I533" s="599"/>
      <c r="J533" s="599"/>
      <c r="K533" s="599"/>
      <c r="L533" s="599"/>
      <c r="M533" s="599"/>
      <c r="N533" s="599"/>
      <c r="O533" s="599"/>
      <c r="P533" s="599"/>
      <c r="Q533" s="1096">
        <f t="shared" si="43"/>
        <v>0</v>
      </c>
      <c r="R533" s="599">
        <v>0</v>
      </c>
      <c r="S533" s="1096">
        <f t="shared" si="44"/>
        <v>0</v>
      </c>
      <c r="T533" s="599">
        <f t="shared" si="44"/>
        <v>0</v>
      </c>
      <c r="U533" s="620"/>
      <c r="V533" s="621"/>
      <c r="W533" s="1096">
        <f t="shared" si="40"/>
        <v>0</v>
      </c>
      <c r="X533" s="882">
        <f t="shared" si="38"/>
        <v>0</v>
      </c>
      <c r="Y533" s="910">
        <f t="shared" si="42"/>
        <v>0</v>
      </c>
    </row>
    <row r="534" spans="1:25" ht="27" customHeight="1">
      <c r="A534" s="583"/>
      <c r="B534" s="583">
        <v>506</v>
      </c>
      <c r="C534" s="581">
        <v>5</v>
      </c>
      <c r="D534" s="1137" t="s">
        <v>1622</v>
      </c>
      <c r="E534" s="1138" t="s">
        <v>1628</v>
      </c>
      <c r="F534" s="599"/>
      <c r="G534" s="599"/>
      <c r="H534" s="599"/>
      <c r="I534" s="599"/>
      <c r="J534" s="599"/>
      <c r="K534" s="599"/>
      <c r="L534" s="599"/>
      <c r="M534" s="599"/>
      <c r="N534" s="599"/>
      <c r="O534" s="599"/>
      <c r="P534" s="599"/>
      <c r="Q534" s="1096">
        <f t="shared" si="43"/>
        <v>0</v>
      </c>
      <c r="R534" s="599">
        <v>0</v>
      </c>
      <c r="S534" s="1096">
        <f t="shared" si="44"/>
        <v>0</v>
      </c>
      <c r="T534" s="599">
        <f t="shared" si="44"/>
        <v>0</v>
      </c>
      <c r="U534" s="620"/>
      <c r="V534" s="621"/>
      <c r="W534" s="1096">
        <f t="shared" si="40"/>
        <v>0</v>
      </c>
      <c r="X534" s="882">
        <f t="shared" si="38"/>
        <v>0</v>
      </c>
      <c r="Y534" s="910">
        <f t="shared" si="42"/>
        <v>0</v>
      </c>
    </row>
    <row r="535" spans="1:25" ht="27" customHeight="1">
      <c r="A535" s="583"/>
      <c r="B535" s="583">
        <v>506</v>
      </c>
      <c r="C535" s="581">
        <v>5</v>
      </c>
      <c r="D535" s="1137" t="s">
        <v>1026</v>
      </c>
      <c r="E535" s="1138" t="s">
        <v>1030</v>
      </c>
      <c r="F535" s="599"/>
      <c r="G535" s="599"/>
      <c r="H535" s="599"/>
      <c r="I535" s="599"/>
      <c r="J535" s="599"/>
      <c r="K535" s="599"/>
      <c r="L535" s="599"/>
      <c r="M535" s="599"/>
      <c r="N535" s="599"/>
      <c r="O535" s="599"/>
      <c r="P535" s="599"/>
      <c r="Q535" s="1096">
        <f t="shared" si="43"/>
        <v>0</v>
      </c>
      <c r="R535" s="599">
        <v>0</v>
      </c>
      <c r="S535" s="1096">
        <f t="shared" si="44"/>
        <v>0</v>
      </c>
      <c r="T535" s="599">
        <f t="shared" si="44"/>
        <v>0</v>
      </c>
      <c r="U535" s="620"/>
      <c r="V535" s="621"/>
      <c r="W535" s="1096">
        <f t="shared" si="40"/>
        <v>0</v>
      </c>
      <c r="X535" s="882">
        <f t="shared" si="38"/>
        <v>0</v>
      </c>
      <c r="Y535" s="910">
        <f t="shared" si="42"/>
        <v>0</v>
      </c>
    </row>
    <row r="536" spans="1:25" ht="27" customHeight="1">
      <c r="A536" s="583"/>
      <c r="B536" s="583">
        <v>1018</v>
      </c>
      <c r="C536" s="581">
        <v>10</v>
      </c>
      <c r="D536" s="1137" t="s">
        <v>742</v>
      </c>
      <c r="E536" s="1138" t="s">
        <v>743</v>
      </c>
      <c r="F536" s="599"/>
      <c r="G536" s="599"/>
      <c r="H536" s="599"/>
      <c r="I536" s="599"/>
      <c r="J536" s="599"/>
      <c r="K536" s="599"/>
      <c r="L536" s="599"/>
      <c r="M536" s="599"/>
      <c r="N536" s="599"/>
      <c r="O536" s="599"/>
      <c r="P536" s="599"/>
      <c r="Q536" s="1096">
        <f t="shared" si="43"/>
        <v>0</v>
      </c>
      <c r="R536" s="599">
        <v>0</v>
      </c>
      <c r="S536" s="1096">
        <f t="shared" si="44"/>
        <v>0</v>
      </c>
      <c r="T536" s="599">
        <f t="shared" si="44"/>
        <v>0</v>
      </c>
      <c r="U536" s="620"/>
      <c r="V536" s="621"/>
      <c r="W536" s="1096">
        <f t="shared" si="40"/>
        <v>0</v>
      </c>
      <c r="X536" s="882">
        <f t="shared" si="38"/>
        <v>0</v>
      </c>
      <c r="Y536" s="910">
        <f t="shared" si="42"/>
        <v>0</v>
      </c>
    </row>
    <row r="537" spans="1:25" ht="27" customHeight="1">
      <c r="A537" s="583"/>
      <c r="B537" s="583">
        <v>606</v>
      </c>
      <c r="C537" s="581">
        <v>6</v>
      </c>
      <c r="D537" s="1137" t="s">
        <v>621</v>
      </c>
      <c r="E537" s="1138" t="s">
        <v>1643</v>
      </c>
      <c r="F537" s="599">
        <v>310881856057</v>
      </c>
      <c r="G537" s="599">
        <v>125730245707</v>
      </c>
      <c r="H537" s="599">
        <v>-50000000</v>
      </c>
      <c r="I537" s="599"/>
      <c r="J537" s="599">
        <v>-180000000</v>
      </c>
      <c r="K537" s="599"/>
      <c r="L537" s="599"/>
      <c r="M537" s="599"/>
      <c r="N537" s="599"/>
      <c r="O537" s="599"/>
      <c r="P537" s="599"/>
      <c r="Q537" s="1096">
        <f t="shared" si="43"/>
        <v>436382101764</v>
      </c>
      <c r="R537" s="599">
        <v>1470351788185</v>
      </c>
      <c r="S537" s="1096">
        <f t="shared" si="44"/>
        <v>436382</v>
      </c>
      <c r="T537" s="599">
        <f t="shared" si="44"/>
        <v>1470352</v>
      </c>
      <c r="U537" s="620"/>
      <c r="V537" s="621"/>
      <c r="W537" s="1096">
        <f t="shared" si="40"/>
        <v>436382101764</v>
      </c>
      <c r="X537" s="882">
        <f t="shared" si="38"/>
        <v>436382</v>
      </c>
      <c r="Y537" s="910">
        <f t="shared" si="42"/>
        <v>0</v>
      </c>
    </row>
    <row r="538" spans="1:25" ht="27" customHeight="1">
      <c r="A538" s="583"/>
      <c r="B538" s="583">
        <v>606</v>
      </c>
      <c r="C538" s="581">
        <v>6</v>
      </c>
      <c r="D538" s="1137" t="s">
        <v>623</v>
      </c>
      <c r="E538" s="1138" t="s">
        <v>1644</v>
      </c>
      <c r="F538" s="599">
        <v>-310881856057</v>
      </c>
      <c r="G538" s="599">
        <v>-125730245707</v>
      </c>
      <c r="H538" s="599">
        <v>50000000</v>
      </c>
      <c r="I538" s="599"/>
      <c r="J538" s="599">
        <v>180000000</v>
      </c>
      <c r="K538" s="599"/>
      <c r="L538" s="599"/>
      <c r="M538" s="599"/>
      <c r="N538" s="599"/>
      <c r="O538" s="599"/>
      <c r="P538" s="599"/>
      <c r="Q538" s="1096">
        <f t="shared" si="43"/>
        <v>-436382101764</v>
      </c>
      <c r="R538" s="599">
        <v>-1470351788185</v>
      </c>
      <c r="S538" s="1096">
        <f t="shared" si="44"/>
        <v>-436382</v>
      </c>
      <c r="T538" s="599">
        <f t="shared" si="44"/>
        <v>-1470352</v>
      </c>
      <c r="U538" s="620"/>
      <c r="V538" s="621"/>
      <c r="W538" s="1096">
        <f t="shared" si="40"/>
        <v>-436382101764</v>
      </c>
      <c r="X538" s="882">
        <f t="shared" si="38"/>
        <v>-436382</v>
      </c>
      <c r="Y538" s="910">
        <f t="shared" si="42"/>
        <v>0</v>
      </c>
    </row>
    <row r="539" spans="1:25" ht="27" customHeight="1">
      <c r="A539" s="583">
        <v>3214</v>
      </c>
      <c r="B539" s="583">
        <v>606</v>
      </c>
      <c r="C539" s="581">
        <v>6</v>
      </c>
      <c r="D539" s="1137" t="s">
        <v>621</v>
      </c>
      <c r="E539" s="1138" t="s">
        <v>1664</v>
      </c>
      <c r="F539" s="599"/>
      <c r="G539" s="599"/>
      <c r="H539" s="599"/>
      <c r="I539" s="599"/>
      <c r="J539" s="599">
        <v>1730105067110</v>
      </c>
      <c r="K539" s="599"/>
      <c r="L539" s="599"/>
      <c r="M539" s="599"/>
      <c r="N539" s="599"/>
      <c r="O539" s="599"/>
      <c r="P539" s="599"/>
      <c r="Q539" s="1096">
        <f t="shared" si="43"/>
        <v>1730105067110</v>
      </c>
      <c r="R539" s="599">
        <v>0</v>
      </c>
      <c r="S539" s="1096">
        <f t="shared" si="44"/>
        <v>1730105</v>
      </c>
      <c r="T539" s="599">
        <f t="shared" si="44"/>
        <v>0</v>
      </c>
      <c r="U539" s="620"/>
      <c r="V539" s="621"/>
      <c r="W539" s="1096">
        <f t="shared" si="40"/>
        <v>1730105067110</v>
      </c>
      <c r="X539" s="882">
        <f t="shared" si="38"/>
        <v>1730105</v>
      </c>
      <c r="Y539" s="910">
        <f t="shared" si="42"/>
        <v>0</v>
      </c>
    </row>
    <row r="540" spans="1:25" ht="27" customHeight="1">
      <c r="A540" s="583">
        <v>3214</v>
      </c>
      <c r="B540" s="583">
        <v>606</v>
      </c>
      <c r="C540" s="581">
        <v>6</v>
      </c>
      <c r="D540" s="1137" t="s">
        <v>623</v>
      </c>
      <c r="E540" s="1138" t="s">
        <v>1665</v>
      </c>
      <c r="F540" s="599"/>
      <c r="G540" s="599"/>
      <c r="H540" s="599"/>
      <c r="I540" s="599"/>
      <c r="J540" s="599">
        <v>-1730105067110</v>
      </c>
      <c r="K540" s="599"/>
      <c r="L540" s="599"/>
      <c r="M540" s="599"/>
      <c r="N540" s="599"/>
      <c r="O540" s="599"/>
      <c r="P540" s="599"/>
      <c r="Q540" s="1096">
        <f t="shared" si="43"/>
        <v>-1730105067110</v>
      </c>
      <c r="R540" s="599">
        <v>0</v>
      </c>
      <c r="S540" s="1096">
        <f t="shared" si="44"/>
        <v>-1730105</v>
      </c>
      <c r="T540" s="599">
        <f t="shared" si="44"/>
        <v>0</v>
      </c>
      <c r="U540" s="620"/>
      <c r="V540" s="621"/>
      <c r="W540" s="1096">
        <f t="shared" si="40"/>
        <v>-1730105067110</v>
      </c>
      <c r="X540" s="882">
        <f t="shared" si="38"/>
        <v>-1730105</v>
      </c>
      <c r="Y540" s="910">
        <f t="shared" si="42"/>
        <v>0</v>
      </c>
    </row>
    <row r="541" spans="1:25" ht="27" customHeight="1">
      <c r="A541" s="583"/>
      <c r="B541" s="583"/>
      <c r="C541" s="581"/>
      <c r="D541" s="1137" t="s">
        <v>1629</v>
      </c>
      <c r="E541" s="1138" t="s">
        <v>1632</v>
      </c>
      <c r="F541" s="599"/>
      <c r="G541" s="599"/>
      <c r="H541" s="599"/>
      <c r="I541" s="599"/>
      <c r="J541" s="599"/>
      <c r="K541" s="599"/>
      <c r="L541" s="599"/>
      <c r="M541" s="599"/>
      <c r="N541" s="599"/>
      <c r="O541" s="599"/>
      <c r="P541" s="599"/>
      <c r="Q541" s="1096">
        <f t="shared" si="43"/>
        <v>0</v>
      </c>
      <c r="R541" s="599">
        <v>0</v>
      </c>
      <c r="S541" s="1096">
        <f t="shared" si="44"/>
        <v>0</v>
      </c>
      <c r="T541" s="599">
        <f t="shared" si="44"/>
        <v>0</v>
      </c>
      <c r="U541" s="620"/>
      <c r="V541" s="621"/>
      <c r="W541" s="1096">
        <f t="shared" si="40"/>
        <v>0</v>
      </c>
      <c r="X541" s="882">
        <f t="shared" si="38"/>
        <v>0</v>
      </c>
      <c r="Y541" s="910">
        <f t="shared" si="42"/>
        <v>0</v>
      </c>
    </row>
    <row r="542" spans="1:25" ht="27" customHeight="1">
      <c r="A542" s="583"/>
      <c r="B542" s="583">
        <v>506</v>
      </c>
      <c r="C542" s="581">
        <v>5</v>
      </c>
      <c r="D542" s="1137" t="s">
        <v>1630</v>
      </c>
      <c r="E542" s="1138" t="s">
        <v>1633</v>
      </c>
      <c r="F542" s="599"/>
      <c r="G542" s="599"/>
      <c r="H542" s="599"/>
      <c r="I542" s="599"/>
      <c r="J542" s="599"/>
      <c r="K542" s="599"/>
      <c r="L542" s="599"/>
      <c r="M542" s="599"/>
      <c r="N542" s="599"/>
      <c r="O542" s="599"/>
      <c r="P542" s="599"/>
      <c r="Q542" s="1096">
        <f t="shared" si="43"/>
        <v>0</v>
      </c>
      <c r="R542" s="599">
        <v>0</v>
      </c>
      <c r="S542" s="1096">
        <f t="shared" si="44"/>
        <v>0</v>
      </c>
      <c r="T542" s="599">
        <f>ROUND((R542/1000000),0)</f>
        <v>0</v>
      </c>
      <c r="U542" s="620"/>
      <c r="V542" s="621"/>
      <c r="W542" s="1096">
        <f t="shared" si="40"/>
        <v>0</v>
      </c>
      <c r="X542" s="882">
        <f>ROUND((W542/1000000),0)</f>
        <v>0</v>
      </c>
      <c r="Y542" s="910">
        <f t="shared" si="42"/>
        <v>0</v>
      </c>
    </row>
    <row r="543" spans="1:25" ht="27" customHeight="1">
      <c r="A543" s="583"/>
      <c r="B543" s="583">
        <v>506</v>
      </c>
      <c r="C543" s="581">
        <v>5</v>
      </c>
      <c r="D543" s="1137" t="s">
        <v>1631</v>
      </c>
      <c r="E543" s="1138" t="s">
        <v>1634</v>
      </c>
      <c r="F543" s="599"/>
      <c r="G543" s="599"/>
      <c r="H543" s="599"/>
      <c r="I543" s="599"/>
      <c r="J543" s="599"/>
      <c r="K543" s="599"/>
      <c r="L543" s="599"/>
      <c r="M543" s="599"/>
      <c r="N543" s="599"/>
      <c r="O543" s="599"/>
      <c r="P543" s="599"/>
      <c r="Q543" s="1096">
        <f t="shared" si="43"/>
        <v>0</v>
      </c>
      <c r="R543" s="599">
        <v>0</v>
      </c>
      <c r="S543" s="1096">
        <f t="shared" si="44"/>
        <v>0</v>
      </c>
      <c r="T543" s="1162">
        <v>6</v>
      </c>
      <c r="U543" s="620"/>
      <c r="V543" s="621"/>
      <c r="W543" s="1096">
        <f t="shared" si="40"/>
        <v>0</v>
      </c>
      <c r="X543" s="882">
        <f>ROUND((W543/1000000),0)</f>
        <v>0</v>
      </c>
      <c r="Y543" s="910">
        <f t="shared" si="42"/>
        <v>0</v>
      </c>
    </row>
    <row r="544" spans="1:25" ht="22.5" customHeight="1">
      <c r="A544" s="583"/>
      <c r="B544" s="583"/>
      <c r="C544" s="581"/>
      <c r="D544" s="1137"/>
      <c r="E544" s="1138"/>
      <c r="F544" s="596">
        <f>SUM(F3:F543)</f>
        <v>0</v>
      </c>
      <c r="G544" s="596">
        <f t="shared" ref="G544:P544" si="45">SUM(G3:G543)</f>
        <v>0</v>
      </c>
      <c r="H544" s="596">
        <f t="shared" si="45"/>
        <v>0</v>
      </c>
      <c r="I544" s="596">
        <f t="shared" si="45"/>
        <v>0</v>
      </c>
      <c r="J544" s="596">
        <f t="shared" si="45"/>
        <v>0</v>
      </c>
      <c r="K544" s="596">
        <f t="shared" si="45"/>
        <v>0</v>
      </c>
      <c r="L544" s="596">
        <f t="shared" si="45"/>
        <v>0</v>
      </c>
      <c r="M544" s="596">
        <f t="shared" si="45"/>
        <v>0</v>
      </c>
      <c r="N544" s="596">
        <f t="shared" si="45"/>
        <v>0</v>
      </c>
      <c r="O544" s="596">
        <f t="shared" si="45"/>
        <v>0</v>
      </c>
      <c r="P544" s="596">
        <f t="shared" si="45"/>
        <v>0</v>
      </c>
      <c r="Q544" s="1097">
        <f t="shared" ref="Q544:X544" si="46">SUBTOTAL(9,Q3:Q543)</f>
        <v>0</v>
      </c>
      <c r="R544" s="596">
        <f t="shared" si="46"/>
        <v>0</v>
      </c>
      <c r="S544" s="1098">
        <f t="shared" si="46"/>
        <v>1</v>
      </c>
      <c r="T544" s="596">
        <f t="shared" si="46"/>
        <v>0</v>
      </c>
      <c r="U544" s="602">
        <f t="shared" si="46"/>
        <v>14983541965259</v>
      </c>
      <c r="V544" s="602">
        <f t="shared" si="46"/>
        <v>14983541965259</v>
      </c>
      <c r="W544" s="1098">
        <f t="shared" si="46"/>
        <v>0</v>
      </c>
      <c r="X544" s="602">
        <f t="shared" si="46"/>
        <v>0</v>
      </c>
      <c r="Y544" s="910">
        <f t="shared" si="42"/>
        <v>1</v>
      </c>
    </row>
    <row r="545" spans="3:24" ht="22.5">
      <c r="C545" s="597"/>
      <c r="D545" s="1144"/>
      <c r="F545" s="911">
        <f t="shared" ref="F545:O545" si="47">SUBTOTAL(9,F3:F543)</f>
        <v>0</v>
      </c>
      <c r="G545" s="911">
        <f t="shared" si="47"/>
        <v>0</v>
      </c>
      <c r="H545" s="911">
        <f t="shared" si="47"/>
        <v>0</v>
      </c>
      <c r="I545" s="911">
        <f t="shared" si="47"/>
        <v>0</v>
      </c>
      <c r="J545" s="911">
        <f t="shared" si="47"/>
        <v>0</v>
      </c>
      <c r="K545" s="911">
        <f t="shared" si="47"/>
        <v>0</v>
      </c>
      <c r="L545" s="911">
        <f t="shared" si="47"/>
        <v>0</v>
      </c>
      <c r="M545" s="911">
        <f t="shared" si="47"/>
        <v>0</v>
      </c>
      <c r="N545" s="911">
        <f>SUBTOTAL(9,N3:N543)</f>
        <v>0</v>
      </c>
      <c r="O545" s="911">
        <f t="shared" si="47"/>
        <v>0</v>
      </c>
      <c r="P545" s="911">
        <f>SUBTOTAL(9,P3:P543)</f>
        <v>0</v>
      </c>
      <c r="Q545" s="1115">
        <f>SUBTOTAL(9,Q3:Q543)</f>
        <v>0</v>
      </c>
      <c r="R545" s="602">
        <f>SUBTOTAL(9,R3:R543)</f>
        <v>0</v>
      </c>
      <c r="S545" s="1098">
        <f>SUBTOTAL(9,S3:S543)</f>
        <v>1</v>
      </c>
      <c r="T545" s="602">
        <f>SUBTOTAL(9,T3:T543)</f>
        <v>0</v>
      </c>
      <c r="W545" s="1099"/>
      <c r="X545" s="598"/>
    </row>
    <row r="546" spans="3:24" ht="22.5">
      <c r="C546" s="597"/>
      <c r="D546" s="1144"/>
      <c r="F546" s="599"/>
      <c r="O546" s="910"/>
      <c r="Q546" s="1116"/>
      <c r="R546" s="598"/>
      <c r="S546" s="1099"/>
      <c r="T546" s="598"/>
      <c r="W546" s="1099"/>
      <c r="X546" s="598"/>
    </row>
    <row r="547" spans="3:24" ht="22.5">
      <c r="C547" s="597"/>
      <c r="D547" s="1144"/>
      <c r="E547" s="1163"/>
      <c r="F547" s="599"/>
      <c r="Q547" s="1116">
        <f>Q545-50%</f>
        <v>-0.5</v>
      </c>
      <c r="R547" s="598"/>
      <c r="S547" s="1099"/>
      <c r="T547" s="598"/>
      <c r="W547" s="1099"/>
      <c r="X547" s="598"/>
    </row>
    <row r="548" spans="3:24" ht="21">
      <c r="C548" s="597"/>
      <c r="D548" s="1144"/>
      <c r="Q548" s="1117">
        <f>1358826*2</f>
        <v>2717652</v>
      </c>
      <c r="R548" s="612"/>
      <c r="S548" s="1100"/>
      <c r="T548" s="612"/>
      <c r="W548" s="1100"/>
      <c r="X548" s="612"/>
    </row>
    <row r="549" spans="3:24" ht="19.5" customHeight="1">
      <c r="C549" s="597"/>
      <c r="D549" s="1144"/>
      <c r="E549" s="1141"/>
      <c r="F549" s="598"/>
      <c r="G549" s="598"/>
      <c r="H549" s="598"/>
      <c r="I549" s="598"/>
      <c r="J549" s="598"/>
      <c r="K549" s="598"/>
      <c r="L549" s="598"/>
      <c r="M549" s="598"/>
      <c r="N549" s="598"/>
      <c r="O549" s="598"/>
      <c r="P549" s="598"/>
      <c r="Q549" s="1118"/>
      <c r="R549" s="613"/>
      <c r="S549" s="1101"/>
      <c r="T549" s="613"/>
      <c r="U549" s="598"/>
      <c r="V549" s="598"/>
      <c r="W549" s="1101"/>
      <c r="X549" s="613"/>
    </row>
    <row r="550" spans="3:24" ht="19.5" customHeight="1">
      <c r="C550" s="597"/>
      <c r="D550" s="1144"/>
      <c r="E550" s="1141"/>
      <c r="F550" s="598"/>
      <c r="G550" s="598"/>
      <c r="H550" s="598"/>
      <c r="I550" s="598"/>
      <c r="J550" s="598"/>
      <c r="K550" s="598"/>
      <c r="L550" s="598"/>
      <c r="M550" s="598"/>
      <c r="N550" s="598"/>
      <c r="O550" s="598"/>
      <c r="P550" s="598"/>
      <c r="Q550" s="1118"/>
      <c r="R550" s="613"/>
      <c r="S550" s="1101"/>
      <c r="T550" s="613"/>
      <c r="U550" s="598"/>
      <c r="V550" s="598"/>
      <c r="W550" s="1101"/>
      <c r="X550" s="613"/>
    </row>
    <row r="551" spans="3:24" ht="19.5" customHeight="1">
      <c r="C551" s="597"/>
      <c r="D551" s="1144"/>
      <c r="E551" s="1141" t="s">
        <v>677</v>
      </c>
      <c r="F551" s="598"/>
      <c r="G551" s="598"/>
      <c r="H551" s="598"/>
      <c r="I551" s="598"/>
      <c r="J551" s="598"/>
      <c r="K551" s="598"/>
      <c r="L551" s="598"/>
      <c r="M551" s="598"/>
      <c r="N551" s="598"/>
      <c r="O551" s="598"/>
      <c r="P551" s="598"/>
      <c r="Q551" s="1118"/>
      <c r="R551" s="613"/>
      <c r="S551" s="1101"/>
      <c r="T551" s="613"/>
      <c r="U551" s="598"/>
      <c r="V551" s="598"/>
      <c r="W551" s="1101"/>
      <c r="X551" s="613"/>
    </row>
    <row r="552" spans="3:24" ht="19.5" customHeight="1">
      <c r="C552" s="597"/>
      <c r="D552" s="1144"/>
      <c r="E552" s="1141"/>
      <c r="F552" s="598"/>
      <c r="G552" s="598"/>
      <c r="H552" s="598"/>
      <c r="I552" s="598"/>
      <c r="J552" s="598"/>
      <c r="K552" s="598"/>
      <c r="L552" s="598"/>
      <c r="M552" s="598"/>
      <c r="N552" s="598"/>
      <c r="O552" s="598"/>
      <c r="P552" s="598"/>
      <c r="Q552" s="1118"/>
      <c r="R552" s="613"/>
      <c r="S552" s="1101"/>
      <c r="T552" s="613"/>
      <c r="U552" s="598"/>
      <c r="V552" s="598"/>
      <c r="W552" s="1101"/>
      <c r="X552" s="613"/>
    </row>
    <row r="553" spans="3:24" ht="19.5" customHeight="1">
      <c r="C553" s="597"/>
      <c r="D553" s="1144"/>
      <c r="E553" s="1141"/>
      <c r="F553" s="598"/>
      <c r="G553" s="598"/>
      <c r="H553" s="598"/>
      <c r="I553" s="598"/>
      <c r="J553" s="598"/>
      <c r="K553" s="598"/>
      <c r="L553" s="598"/>
      <c r="M553" s="598"/>
      <c r="N553" s="598"/>
      <c r="O553" s="598"/>
      <c r="P553" s="598"/>
      <c r="Q553" s="1117"/>
      <c r="R553" s="612"/>
      <c r="S553" s="1100"/>
      <c r="T553" s="612"/>
      <c r="U553" s="598"/>
      <c r="V553" s="598"/>
      <c r="W553" s="1100"/>
      <c r="X553" s="612"/>
    </row>
    <row r="554" spans="3:24" ht="19.5" customHeight="1">
      <c r="C554" s="597"/>
      <c r="D554" s="1144"/>
      <c r="Q554" s="1118"/>
      <c r="R554" s="613"/>
      <c r="S554" s="1101"/>
      <c r="T554" s="613"/>
      <c r="W554" s="1101"/>
      <c r="X554" s="613"/>
    </row>
    <row r="555" spans="3:24" ht="19.5" customHeight="1">
      <c r="C555" s="597"/>
      <c r="D555" s="1144"/>
      <c r="Q555" s="1118"/>
      <c r="R555" s="613"/>
      <c r="S555" s="1101"/>
      <c r="T555" s="613"/>
      <c r="W555" s="1101"/>
      <c r="X555" s="613"/>
    </row>
    <row r="556" spans="3:24" ht="19.5" customHeight="1">
      <c r="C556" s="597"/>
      <c r="D556" s="1144"/>
      <c r="Q556" s="1118"/>
      <c r="R556" s="613"/>
      <c r="S556" s="1101"/>
      <c r="T556" s="613"/>
      <c r="W556" s="1101"/>
      <c r="X556" s="613"/>
    </row>
    <row r="557" spans="3:24" ht="19.5" customHeight="1">
      <c r="C557" s="597"/>
      <c r="D557" s="1144"/>
      <c r="J557" s="597" t="s">
        <v>677</v>
      </c>
      <c r="Q557" s="1118"/>
      <c r="R557" s="613"/>
      <c r="S557" s="1101"/>
      <c r="T557" s="613"/>
      <c r="W557" s="1101"/>
      <c r="X557" s="613"/>
    </row>
    <row r="558" spans="3:24" ht="19.5" customHeight="1">
      <c r="C558" s="597"/>
      <c r="D558" s="1144"/>
      <c r="Q558" s="1118"/>
      <c r="R558" s="613"/>
      <c r="S558" s="1101"/>
      <c r="T558" s="613"/>
      <c r="W558" s="1101"/>
      <c r="X558" s="613"/>
    </row>
    <row r="559" spans="3:24" ht="19.5" customHeight="1">
      <c r="C559" s="597"/>
      <c r="D559" s="1144"/>
      <c r="Q559" s="1118"/>
      <c r="R559" s="613"/>
      <c r="S559" s="1101"/>
      <c r="T559" s="613"/>
      <c r="W559" s="1101"/>
      <c r="X559" s="613"/>
    </row>
    <row r="560" spans="3:24" ht="19.5" customHeight="1">
      <c r="C560" s="597"/>
      <c r="D560" s="1144"/>
      <c r="Q560" s="1118"/>
      <c r="R560" s="613"/>
      <c r="S560" s="1101"/>
      <c r="T560" s="613"/>
      <c r="W560" s="1101"/>
      <c r="X560" s="613"/>
    </row>
    <row r="561" spans="3:24" ht="19.5" customHeight="1">
      <c r="C561" s="597"/>
      <c r="D561" s="1144"/>
      <c r="Q561" s="1118"/>
      <c r="R561" s="613"/>
      <c r="S561" s="1101"/>
      <c r="T561" s="613"/>
      <c r="W561" s="1101"/>
      <c r="X561" s="613"/>
    </row>
    <row r="562" spans="3:24" ht="19.5" customHeight="1">
      <c r="C562" s="597"/>
      <c r="D562" s="1144"/>
      <c r="Q562" s="1118"/>
      <c r="R562" s="613"/>
      <c r="S562" s="1101"/>
      <c r="T562" s="613"/>
      <c r="W562" s="1101"/>
      <c r="X562" s="613"/>
    </row>
    <row r="563" spans="3:24" ht="19.5" customHeight="1">
      <c r="C563" s="597"/>
      <c r="D563" s="1144"/>
      <c r="Q563" s="1116"/>
      <c r="R563" s="598"/>
      <c r="S563" s="1099"/>
      <c r="T563" s="598"/>
      <c r="W563" s="1099"/>
      <c r="X563" s="598"/>
    </row>
  </sheetData>
  <autoFilter ref="A2:X544"/>
  <mergeCells count="23">
    <mergeCell ref="T1:T2"/>
    <mergeCell ref="U1:U2"/>
    <mergeCell ref="V1:V2"/>
    <mergeCell ref="W1:W2"/>
    <mergeCell ref="X1:X2"/>
    <mergeCell ref="S1:S2"/>
    <mergeCell ref="H1:H2"/>
    <mergeCell ref="I1:I2"/>
    <mergeCell ref="J1:J2"/>
    <mergeCell ref="K1:K2"/>
    <mergeCell ref="L1:L2"/>
    <mergeCell ref="M1:M2"/>
    <mergeCell ref="N1:N2"/>
    <mergeCell ref="O1:O2"/>
    <mergeCell ref="P1:P2"/>
    <mergeCell ref="Q1:Q2"/>
    <mergeCell ref="R1:R2"/>
    <mergeCell ref="G1:G2"/>
    <mergeCell ref="A1:A2"/>
    <mergeCell ref="B1:B2"/>
    <mergeCell ref="C1:C2"/>
    <mergeCell ref="E1:E2"/>
    <mergeCell ref="F1:F2"/>
  </mergeCells>
  <printOptions horizontalCentered="1" verticalCentered="1"/>
  <pageMargins left="0" right="0" top="0.15748031496062992" bottom="0" header="0" footer="0"/>
  <pageSetup paperSize="9" scale="8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2"/>
  <sheetViews>
    <sheetView rightToLeft="1" view="pageBreakPreview" topLeftCell="A13" zoomScale="66" zoomScaleNormal="90" zoomScaleSheetLayoutView="66" workbookViewId="0">
      <selection sqref="A1:I1"/>
    </sheetView>
  </sheetViews>
  <sheetFormatPr defaultColWidth="1.375" defaultRowHeight="21"/>
  <cols>
    <col min="1" max="1" width="44.25" style="353" customWidth="1"/>
    <col min="2" max="2" width="14.125" style="1436" customWidth="1"/>
    <col min="3" max="3" width="7.75" style="1436" customWidth="1"/>
    <col min="4" max="4" width="2.625" style="1436" customWidth="1"/>
    <col min="5" max="5" width="16.375" style="1436" customWidth="1"/>
    <col min="6" max="6" width="3.5" style="1436" customWidth="1"/>
    <col min="7" max="7" width="22" style="1436" customWidth="1"/>
    <col min="8" max="8" width="2.625" style="1436" customWidth="1"/>
    <col min="9" max="9" width="19.5" style="1436" customWidth="1"/>
    <col min="10" max="10" width="23.875" style="1436" customWidth="1"/>
    <col min="11" max="11" width="3" style="1436" customWidth="1"/>
    <col min="12" max="16384" width="1.375" style="1436"/>
  </cols>
  <sheetData>
    <row r="1" spans="1:10" s="183" customFormat="1" ht="43.5" customHeight="1">
      <c r="A1" s="2981" t="s">
        <v>612</v>
      </c>
      <c r="B1" s="2981"/>
      <c r="C1" s="2981"/>
      <c r="D1" s="2981"/>
      <c r="E1" s="2981"/>
      <c r="F1" s="2981"/>
      <c r="G1" s="2981"/>
      <c r="H1" s="2981"/>
      <c r="I1" s="2981"/>
    </row>
    <row r="2" spans="1:10" s="183" customFormat="1" ht="43.5" customHeight="1">
      <c r="A2" s="2981" t="s">
        <v>2151</v>
      </c>
      <c r="B2" s="2981"/>
      <c r="C2" s="2981"/>
      <c r="D2" s="2981"/>
      <c r="E2" s="2981"/>
      <c r="F2" s="2981"/>
      <c r="G2" s="2981"/>
      <c r="H2" s="2981"/>
      <c r="I2" s="2981"/>
    </row>
    <row r="3" spans="1:10" s="183" customFormat="1" ht="43.5" customHeight="1">
      <c r="A3" s="2981" t="str">
        <f>مفروضات!A6</f>
        <v xml:space="preserve"> سال مالي منتهي به 29 اسفند 1401</v>
      </c>
      <c r="B3" s="2981"/>
      <c r="C3" s="2981"/>
      <c r="D3" s="2981"/>
      <c r="E3" s="2981"/>
      <c r="F3" s="2981"/>
      <c r="G3" s="2981"/>
      <c r="H3" s="2981"/>
      <c r="I3" s="2981"/>
    </row>
    <row r="4" spans="1:10" ht="39.75" customHeight="1">
      <c r="A4" s="1206"/>
      <c r="B4" s="550"/>
      <c r="C4" s="550"/>
      <c r="D4" s="550"/>
      <c r="E4" s="550"/>
      <c r="F4" s="550"/>
      <c r="G4" s="2982" t="s">
        <v>1950</v>
      </c>
      <c r="H4" s="2982"/>
      <c r="I4" s="2982"/>
    </row>
    <row r="5" spans="1:10" ht="6.75" customHeight="1">
      <c r="A5" s="1207"/>
      <c r="B5" s="552"/>
      <c r="C5" s="553"/>
      <c r="D5" s="554"/>
      <c r="E5" s="551"/>
      <c r="F5" s="551"/>
      <c r="G5" s="551"/>
      <c r="H5" s="551"/>
      <c r="I5" s="278"/>
    </row>
    <row r="6" spans="1:10" ht="38.25" customHeight="1">
      <c r="A6" s="555" t="s">
        <v>397</v>
      </c>
      <c r="B6" s="555"/>
      <c r="C6" s="746" t="s">
        <v>478</v>
      </c>
      <c r="D6" s="747"/>
      <c r="E6" s="110"/>
      <c r="F6" s="2166"/>
      <c r="G6" s="1525" t="s">
        <v>2359</v>
      </c>
      <c r="H6" s="748"/>
      <c r="I6" s="1577" t="s">
        <v>2109</v>
      </c>
    </row>
    <row r="7" spans="1:10" ht="39.75" customHeight="1">
      <c r="A7" s="2113"/>
      <c r="B7" s="555"/>
      <c r="C7" s="750"/>
      <c r="D7" s="748"/>
      <c r="E7" s="751"/>
      <c r="F7" s="751"/>
      <c r="G7" s="751"/>
      <c r="H7" s="751"/>
      <c r="I7" s="751"/>
    </row>
    <row r="8" spans="1:10">
      <c r="A8" s="556"/>
      <c r="B8" s="556"/>
      <c r="C8" s="557"/>
      <c r="D8" s="558"/>
      <c r="E8" s="559"/>
      <c r="F8" s="559"/>
      <c r="G8" s="559"/>
      <c r="H8" s="559"/>
      <c r="I8" s="559"/>
    </row>
    <row r="9" spans="1:10" ht="54" customHeight="1">
      <c r="A9" s="754" t="s">
        <v>1224</v>
      </c>
      <c r="B9" s="752"/>
      <c r="C9" s="560" t="s">
        <v>1858</v>
      </c>
      <c r="D9" s="399"/>
      <c r="E9" s="399"/>
      <c r="F9" s="399"/>
      <c r="G9" s="399">
        <f>'10'!K33</f>
        <v>53677666</v>
      </c>
      <c r="H9" s="399"/>
      <c r="I9" s="399">
        <v>36948436</v>
      </c>
    </row>
    <row r="10" spans="1:10" ht="54" customHeight="1">
      <c r="A10" s="754" t="s">
        <v>1225</v>
      </c>
      <c r="B10" s="399"/>
      <c r="C10" s="560" t="s">
        <v>1864</v>
      </c>
      <c r="D10" s="399"/>
      <c r="E10" s="399"/>
      <c r="F10" s="399"/>
      <c r="G10" s="568">
        <f>-'11'!H30</f>
        <v>-51209258</v>
      </c>
      <c r="H10" s="399"/>
      <c r="I10" s="561">
        <v>-33153294</v>
      </c>
      <c r="J10" s="1221">
        <f>-('1401'!V463+'1401'!V522+'1401'!V523)</f>
        <v>-57013502</v>
      </c>
    </row>
    <row r="11" spans="1:10" ht="54" customHeight="1">
      <c r="A11" s="754" t="s">
        <v>225</v>
      </c>
      <c r="B11" s="399"/>
      <c r="C11" s="560"/>
      <c r="D11" s="399"/>
      <c r="E11" s="399"/>
      <c r="F11" s="399"/>
      <c r="G11" s="399">
        <f>SUM(G9:G10)</f>
        <v>2468408</v>
      </c>
      <c r="H11" s="399"/>
      <c r="I11" s="399">
        <f>SUM(I9:I10)</f>
        <v>3795142</v>
      </c>
      <c r="J11" s="451">
        <f>J10-G10-G12</f>
        <v>0</v>
      </c>
    </row>
    <row r="12" spans="1:10" ht="54" customHeight="1">
      <c r="A12" s="754" t="s">
        <v>1555</v>
      </c>
      <c r="B12" s="399"/>
      <c r="C12" s="560" t="s">
        <v>1864</v>
      </c>
      <c r="D12" s="399"/>
      <c r="E12" s="573"/>
      <c r="F12" s="399"/>
      <c r="G12" s="568">
        <f>-'11'!T30</f>
        <v>-5804244</v>
      </c>
      <c r="H12" s="399"/>
      <c r="I12" s="568">
        <v>-4283964</v>
      </c>
      <c r="J12" s="1517">
        <f>J10-J11</f>
        <v>-57013502</v>
      </c>
    </row>
    <row r="13" spans="1:10" s="2295" customFormat="1" ht="54" customHeight="1">
      <c r="A13" s="754" t="s">
        <v>2224</v>
      </c>
      <c r="B13" s="399"/>
      <c r="C13" s="560"/>
      <c r="D13" s="399"/>
      <c r="E13" s="573"/>
      <c r="F13" s="399"/>
      <c r="G13" s="566">
        <f>SUM(G11:G12)+0.5</f>
        <v>-3335835.5</v>
      </c>
      <c r="H13" s="399"/>
      <c r="I13" s="566">
        <f>SUM(I11:I12)</f>
        <v>-488822</v>
      </c>
      <c r="J13" s="1517"/>
    </row>
    <row r="14" spans="1:10" ht="54" customHeight="1">
      <c r="A14" s="754" t="s">
        <v>2684</v>
      </c>
      <c r="B14" s="399"/>
      <c r="C14" s="560" t="s">
        <v>1859</v>
      </c>
      <c r="D14" s="399"/>
      <c r="E14" s="573"/>
      <c r="F14" s="399"/>
      <c r="G14" s="566">
        <f>'12-13'!H106</f>
        <v>893307</v>
      </c>
      <c r="H14" s="399"/>
      <c r="I14" s="562">
        <v>735908</v>
      </c>
      <c r="J14" s="1221">
        <f>'1401'!V525+'1401'!V527+'1401'!V530</f>
        <v>-893307</v>
      </c>
    </row>
    <row r="15" spans="1:10" ht="54" customHeight="1">
      <c r="A15" s="754" t="s">
        <v>2342</v>
      </c>
      <c r="B15" s="753"/>
      <c r="C15" s="560"/>
      <c r="D15" s="399"/>
      <c r="E15" s="399"/>
      <c r="F15" s="399"/>
      <c r="G15" s="1146">
        <f>SUM(G13:G14)</f>
        <v>-2442528.5</v>
      </c>
      <c r="H15" s="562"/>
      <c r="I15" s="1146">
        <f>SUM(I13:I14)</f>
        <v>247086</v>
      </c>
    </row>
    <row r="16" spans="1:10" s="2031" customFormat="1" ht="54" customHeight="1">
      <c r="A16" s="754" t="s">
        <v>2091</v>
      </c>
      <c r="B16" s="753"/>
      <c r="C16" s="560" t="s">
        <v>2683</v>
      </c>
      <c r="D16" s="399"/>
      <c r="E16" s="399"/>
      <c r="F16" s="399"/>
      <c r="G16" s="562">
        <v>0</v>
      </c>
      <c r="H16" s="562"/>
      <c r="I16" s="562">
        <v>-61771</v>
      </c>
    </row>
    <row r="17" spans="1:16" s="1746" customFormat="1" ht="54" customHeight="1" thickBot="1">
      <c r="A17" s="754" t="s">
        <v>871</v>
      </c>
      <c r="B17" s="402"/>
      <c r="C17" s="402"/>
      <c r="D17" s="402"/>
      <c r="E17" s="402"/>
      <c r="F17" s="402"/>
      <c r="G17" s="564">
        <f>G16+G15</f>
        <v>-2442528.5</v>
      </c>
      <c r="H17" s="399"/>
      <c r="I17" s="564">
        <f>I16+I15</f>
        <v>185315</v>
      </c>
    </row>
    <row r="18" spans="1:16" s="1746" customFormat="1" ht="45" customHeight="1" thickTop="1">
      <c r="A18" s="1211"/>
      <c r="B18" s="402"/>
      <c r="C18" s="2034"/>
      <c r="D18" s="402"/>
      <c r="E18" s="402"/>
      <c r="F18" s="402"/>
      <c r="G18" s="402"/>
      <c r="H18" s="402"/>
      <c r="I18" s="402"/>
    </row>
    <row r="19" spans="1:16" s="1497" customFormat="1" ht="45" customHeight="1">
      <c r="A19" s="2199"/>
      <c r="B19" s="754"/>
      <c r="C19" s="560"/>
      <c r="D19" s="399"/>
      <c r="E19" s="399"/>
      <c r="F19" s="399"/>
      <c r="G19" s="399"/>
      <c r="H19" s="399"/>
      <c r="I19" s="399"/>
    </row>
    <row r="20" spans="1:16" s="1497" customFormat="1" ht="45" customHeight="1">
      <c r="A20" s="754"/>
      <c r="B20" s="754"/>
      <c r="C20" s="560"/>
      <c r="D20" s="399"/>
      <c r="E20" s="399"/>
      <c r="F20" s="399"/>
      <c r="G20" s="399"/>
      <c r="H20" s="399"/>
      <c r="I20" s="399"/>
    </row>
    <row r="21" spans="1:16" s="1497" customFormat="1" ht="45" customHeight="1">
      <c r="A21" s="754"/>
      <c r="B21" s="754"/>
      <c r="C21" s="1095"/>
      <c r="D21" s="399"/>
      <c r="E21" s="399"/>
      <c r="F21" s="399"/>
      <c r="G21" s="1498"/>
      <c r="H21" s="1499"/>
      <c r="I21" s="399"/>
    </row>
    <row r="22" spans="1:16" s="1497" customFormat="1" ht="45" customHeight="1">
      <c r="A22" s="754"/>
      <c r="B22" s="754"/>
      <c r="C22" s="560"/>
      <c r="D22" s="399"/>
      <c r="E22" s="566"/>
      <c r="F22" s="399"/>
      <c r="G22" s="399"/>
      <c r="H22" s="399"/>
      <c r="I22" s="566"/>
    </row>
    <row r="23" spans="1:16" s="1497" customFormat="1" ht="45" customHeight="1">
      <c r="A23" s="754"/>
      <c r="B23" s="754"/>
      <c r="C23" s="560"/>
      <c r="D23" s="399"/>
      <c r="E23" s="566"/>
      <c r="F23" s="399"/>
      <c r="G23" s="399"/>
      <c r="H23" s="399"/>
      <c r="I23" s="399"/>
    </row>
    <row r="24" spans="1:16" s="1500" customFormat="1" ht="45" customHeight="1">
      <c r="A24" s="754"/>
      <c r="B24" s="754"/>
      <c r="C24" s="560"/>
      <c r="D24" s="399"/>
      <c r="E24" s="399"/>
      <c r="F24" s="399"/>
      <c r="G24" s="399"/>
      <c r="H24" s="399"/>
      <c r="I24" s="399"/>
    </row>
    <row r="25" spans="1:16" s="1500" customFormat="1" ht="39" customHeight="1">
      <c r="A25" s="754"/>
      <c r="B25" s="399"/>
      <c r="C25" s="560"/>
      <c r="D25" s="399"/>
      <c r="E25" s="399"/>
      <c r="F25" s="399"/>
      <c r="G25" s="399"/>
      <c r="H25" s="399"/>
      <c r="I25" s="399"/>
      <c r="K25" s="1501"/>
    </row>
    <row r="26" spans="1:16" ht="24.75" customHeight="1">
      <c r="A26" s="1605"/>
      <c r="B26" s="1605"/>
      <c r="C26" s="1606"/>
      <c r="D26" s="1605"/>
      <c r="E26" s="1605"/>
      <c r="F26" s="1605"/>
      <c r="G26" s="1605"/>
      <c r="H26" s="1605"/>
      <c r="I26" s="1605"/>
      <c r="J26" s="353"/>
      <c r="K26" s="451"/>
      <c r="N26" s="386"/>
      <c r="O26" s="386"/>
      <c r="P26" s="386"/>
    </row>
    <row r="27" spans="1:16" ht="39" customHeight="1">
      <c r="A27" s="570"/>
      <c r="B27" s="570"/>
      <c r="C27" s="570"/>
      <c r="D27" s="570"/>
      <c r="E27" s="570"/>
      <c r="F27" s="570"/>
      <c r="G27" s="570"/>
      <c r="H27" s="570"/>
      <c r="I27" s="570"/>
      <c r="J27" s="353"/>
    </row>
    <row r="28" spans="1:16" ht="33" customHeight="1">
      <c r="A28" s="2979" t="s">
        <v>1500</v>
      </c>
      <c r="B28" s="2979"/>
      <c r="C28" s="2979"/>
      <c r="D28" s="2979"/>
      <c r="E28" s="2979"/>
      <c r="F28" s="2979"/>
      <c r="G28" s="2979"/>
      <c r="H28" s="2979"/>
      <c r="I28" s="2979"/>
    </row>
    <row r="29" spans="1:16" ht="28.5" customHeight="1">
      <c r="A29" s="1212"/>
      <c r="B29" s="1435"/>
      <c r="C29" s="1435"/>
      <c r="D29" s="1435"/>
      <c r="E29" s="1435"/>
      <c r="F29" s="1435"/>
      <c r="G29" s="1435"/>
      <c r="H29" s="1435"/>
      <c r="I29" s="1435"/>
    </row>
    <row r="30" spans="1:16" ht="58.5" customHeight="1">
      <c r="A30" s="1212"/>
      <c r="B30" s="1435"/>
      <c r="C30" s="1435"/>
      <c r="D30" s="1034"/>
      <c r="E30" s="1435"/>
      <c r="F30" s="1435"/>
      <c r="G30" s="1435"/>
      <c r="H30" s="1435"/>
      <c r="I30" s="1435"/>
    </row>
    <row r="31" spans="1:16" ht="14.25" customHeight="1">
      <c r="A31" s="1213"/>
      <c r="B31" s="571"/>
      <c r="C31" s="572"/>
      <c r="D31" s="573"/>
      <c r="E31" s="573"/>
      <c r="F31" s="573"/>
      <c r="G31" s="573"/>
      <c r="H31" s="573"/>
      <c r="I31" s="573"/>
    </row>
    <row r="32" spans="1:16" ht="39.75">
      <c r="A32" s="2980">
        <v>2</v>
      </c>
      <c r="B32" s="2980"/>
      <c r="C32" s="2980"/>
      <c r="D32" s="2980"/>
      <c r="E32" s="2980"/>
      <c r="F32" s="2980"/>
      <c r="G32" s="2980"/>
      <c r="H32" s="2980"/>
      <c r="I32" s="2980"/>
      <c r="J32" s="762"/>
    </row>
    <row r="33" spans="5:5" ht="33.75">
      <c r="E33" s="399"/>
    </row>
    <row r="34" spans="5:5" ht="33.75">
      <c r="E34" s="399"/>
    </row>
    <row r="35" spans="5:5" ht="33.75">
      <c r="E35" s="399"/>
    </row>
    <row r="37" spans="5:5" ht="37.5">
      <c r="E37" s="357"/>
    </row>
    <row r="38" spans="5:5" ht="37.5">
      <c r="E38" s="574"/>
    </row>
    <row r="52" spans="10:10">
      <c r="J52" s="1436">
        <v>-7717613</v>
      </c>
    </row>
  </sheetData>
  <mergeCells count="6">
    <mergeCell ref="A28:I28"/>
    <mergeCell ref="A32:I32"/>
    <mergeCell ref="A1:I1"/>
    <mergeCell ref="A2:I2"/>
    <mergeCell ref="A3:I3"/>
    <mergeCell ref="G4:I4"/>
  </mergeCells>
  <printOptions horizontalCentered="1" verticalCentered="1"/>
  <pageMargins left="0.39370078740157483" right="0.74803149606299213" top="0.43307086614173229" bottom="0.15748031496062992" header="0.35433070866141736" footer="0.15748031496062992"/>
  <pageSetup paperSize="9" scale="59" orientation="portrait" r:id="rId1"/>
  <ignoredErrors>
    <ignoredError sqref="C9:C10 C14 C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62"/>
  <sheetViews>
    <sheetView rightToLeft="1" view="pageBreakPreview" topLeftCell="A26" zoomScale="66" zoomScaleNormal="62" zoomScaleSheetLayoutView="66" workbookViewId="0">
      <selection activeCell="I37" sqref="I37"/>
    </sheetView>
  </sheetViews>
  <sheetFormatPr defaultColWidth="1.375" defaultRowHeight="21"/>
  <cols>
    <col min="1" max="1" width="50.25" style="353" customWidth="1"/>
    <col min="2" max="2" width="12.5" style="1439" customWidth="1"/>
    <col min="3" max="3" width="7.75" style="1439" customWidth="1"/>
    <col min="4" max="4" width="17.125" style="1439" customWidth="1"/>
    <col min="5" max="5" width="16" style="1439" customWidth="1"/>
    <col min="6" max="6" width="1.75" style="1439" customWidth="1"/>
    <col min="7" max="7" width="26.875" style="1439" customWidth="1"/>
    <col min="8" max="8" width="7.625" style="1439" customWidth="1"/>
    <col min="9" max="9" width="23.25" style="1439" bestFit="1" customWidth="1"/>
    <col min="10" max="10" width="7.25" style="1715" customWidth="1"/>
    <col min="11" max="11" width="23.25" style="1715" hidden="1" customWidth="1"/>
    <col min="12" max="12" width="3" style="1439" customWidth="1"/>
    <col min="13" max="15" width="1.375" style="1439"/>
    <col min="16" max="16" width="12.125" style="1439" customWidth="1"/>
    <col min="17" max="16384" width="1.375" style="1439"/>
  </cols>
  <sheetData>
    <row r="1" spans="1:16" s="183" customFormat="1" ht="36.75" customHeight="1">
      <c r="A1" s="2983" t="s">
        <v>612</v>
      </c>
      <c r="B1" s="2983"/>
      <c r="C1" s="2983"/>
      <c r="D1" s="2983"/>
      <c r="E1" s="2983"/>
      <c r="F1" s="2983"/>
      <c r="G1" s="2983"/>
      <c r="H1" s="2983"/>
      <c r="I1" s="2983"/>
      <c r="J1" s="2983"/>
      <c r="K1" s="2983"/>
    </row>
    <row r="2" spans="1:16" s="183" customFormat="1" ht="36.75" customHeight="1">
      <c r="A2" s="2984" t="s">
        <v>1865</v>
      </c>
      <c r="B2" s="2984"/>
      <c r="C2" s="2984"/>
      <c r="D2" s="2984"/>
      <c r="E2" s="2984"/>
      <c r="F2" s="2984"/>
      <c r="G2" s="2984"/>
      <c r="H2" s="2984"/>
      <c r="I2" s="2984"/>
      <c r="J2" s="2984"/>
      <c r="K2" s="2984"/>
    </row>
    <row r="3" spans="1:16" s="183" customFormat="1" ht="36.75" customHeight="1">
      <c r="A3" s="2984" t="s">
        <v>2360</v>
      </c>
      <c r="B3" s="2984"/>
      <c r="C3" s="2984"/>
      <c r="D3" s="2984"/>
      <c r="E3" s="2984"/>
      <c r="F3" s="2984"/>
      <c r="G3" s="2984"/>
      <c r="H3" s="2984"/>
      <c r="I3" s="2984"/>
      <c r="J3" s="2984"/>
      <c r="K3" s="2984"/>
    </row>
    <row r="4" spans="1:16" ht="34.5" customHeight="1">
      <c r="A4" s="1206"/>
      <c r="B4" s="550"/>
      <c r="C4" s="550"/>
      <c r="D4" s="550"/>
      <c r="E4" s="550"/>
      <c r="F4" s="550"/>
      <c r="G4" s="2985" t="s">
        <v>1950</v>
      </c>
      <c r="H4" s="2985"/>
      <c r="I4" s="2985"/>
      <c r="J4" s="2168"/>
      <c r="K4" s="2168" t="s">
        <v>1950</v>
      </c>
    </row>
    <row r="5" spans="1:16" ht="30.75" customHeight="1">
      <c r="A5" s="1207"/>
      <c r="B5" s="552"/>
      <c r="C5" s="553"/>
      <c r="D5" s="554"/>
      <c r="E5" s="551"/>
      <c r="F5" s="551"/>
      <c r="G5" s="551"/>
      <c r="H5" s="551"/>
      <c r="I5" s="278" t="s">
        <v>2540</v>
      </c>
      <c r="J5" s="278"/>
      <c r="K5" s="278"/>
    </row>
    <row r="6" spans="1:16" ht="31.5" customHeight="1">
      <c r="A6" s="1208" t="s">
        <v>397</v>
      </c>
      <c r="B6" s="555"/>
      <c r="C6" s="746" t="s">
        <v>478</v>
      </c>
      <c r="D6" s="747"/>
      <c r="F6" s="1524"/>
      <c r="G6" s="1525" t="s">
        <v>2355</v>
      </c>
      <c r="H6" s="748"/>
      <c r="I6" s="1525" t="s">
        <v>2105</v>
      </c>
      <c r="J6" s="1716"/>
      <c r="K6" s="1741" t="s">
        <v>2111</v>
      </c>
    </row>
    <row r="7" spans="1:16" ht="31.5" hidden="1" customHeight="1">
      <c r="A7" s="1208"/>
      <c r="B7" s="555"/>
      <c r="C7" s="750"/>
      <c r="D7" s="748"/>
      <c r="E7" s="751"/>
      <c r="F7" s="751"/>
      <c r="G7" s="751"/>
      <c r="H7" s="751"/>
      <c r="I7" s="751"/>
      <c r="J7" s="751"/>
      <c r="K7" s="751"/>
    </row>
    <row r="8" spans="1:16" ht="35.25" customHeight="1">
      <c r="A8" s="1530" t="s">
        <v>1866</v>
      </c>
      <c r="B8" s="556"/>
      <c r="C8" s="557"/>
      <c r="D8" s="558"/>
      <c r="E8" s="559"/>
      <c r="F8" s="559"/>
      <c r="G8" s="559"/>
      <c r="H8" s="559"/>
      <c r="I8" s="559"/>
      <c r="J8" s="559"/>
      <c r="K8" s="559"/>
    </row>
    <row r="9" spans="1:16" ht="35.25" customHeight="1">
      <c r="A9" s="1442" t="s">
        <v>2600</v>
      </c>
      <c r="B9" s="556"/>
      <c r="C9" s="557"/>
      <c r="D9" s="558"/>
      <c r="E9" s="559"/>
      <c r="F9" s="559"/>
      <c r="G9" s="559"/>
      <c r="H9" s="559"/>
      <c r="I9" s="559"/>
      <c r="J9" s="559"/>
      <c r="K9" s="559"/>
    </row>
    <row r="10" spans="1:16" ht="35.25" customHeight="1">
      <c r="A10" s="2927" t="s">
        <v>1867</v>
      </c>
      <c r="B10" s="752"/>
      <c r="C10" s="560" t="s">
        <v>1860</v>
      </c>
      <c r="D10" s="399"/>
      <c r="E10" s="399"/>
      <c r="F10" s="399"/>
      <c r="G10" s="399">
        <f>'14'!W32</f>
        <v>92641359</v>
      </c>
      <c r="H10" s="399"/>
      <c r="I10" s="399">
        <f>'14'!W31</f>
        <v>47913845</v>
      </c>
      <c r="J10" s="399"/>
      <c r="K10" s="399">
        <v>23714800</v>
      </c>
    </row>
    <row r="11" spans="1:16" ht="35.25" customHeight="1">
      <c r="A11" s="2927" t="s">
        <v>1869</v>
      </c>
      <c r="B11" s="399"/>
      <c r="C11" s="560" t="s">
        <v>1861</v>
      </c>
      <c r="D11" s="399"/>
      <c r="E11" s="399"/>
      <c r="F11" s="399"/>
      <c r="G11" s="399">
        <f>'18'!N14</f>
        <v>83241</v>
      </c>
      <c r="H11" s="399"/>
      <c r="I11" s="399">
        <v>83175</v>
      </c>
      <c r="J11" s="399"/>
      <c r="K11" s="399">
        <v>81720</v>
      </c>
    </row>
    <row r="12" spans="1:16" ht="35.25" customHeight="1">
      <c r="A12" s="2927" t="s">
        <v>1868</v>
      </c>
      <c r="B12" s="399"/>
      <c r="C12" s="560" t="s">
        <v>1862</v>
      </c>
      <c r="D12" s="399"/>
      <c r="E12" s="399"/>
      <c r="F12" s="399"/>
      <c r="G12" s="399">
        <f>'18'!L26</f>
        <v>48</v>
      </c>
      <c r="H12" s="399"/>
      <c r="I12" s="399">
        <v>48</v>
      </c>
      <c r="J12" s="399"/>
      <c r="K12" s="399">
        <v>48</v>
      </c>
    </row>
    <row r="13" spans="1:16" ht="35.25" customHeight="1">
      <c r="A13" s="2927" t="s">
        <v>1870</v>
      </c>
      <c r="B13" s="399"/>
      <c r="C13" s="560" t="s">
        <v>1863</v>
      </c>
      <c r="D13" s="399"/>
      <c r="E13" s="573"/>
      <c r="F13" s="399"/>
      <c r="G13" s="566">
        <f>'20'!Q58</f>
        <v>22301</v>
      </c>
      <c r="H13" s="399"/>
      <c r="I13" s="566">
        <v>26544</v>
      </c>
      <c r="J13" s="566"/>
      <c r="K13" s="566">
        <v>45079</v>
      </c>
      <c r="P13" s="451">
        <f>G13-I13</f>
        <v>-4243</v>
      </c>
    </row>
    <row r="14" spans="1:16" ht="35.25" customHeight="1">
      <c r="A14" s="1442" t="s">
        <v>2601</v>
      </c>
      <c r="B14" s="399"/>
      <c r="C14" s="560"/>
      <c r="D14" s="399"/>
      <c r="E14" s="573"/>
      <c r="F14" s="399"/>
      <c r="G14" s="1441">
        <f>SUM(G10:G13)</f>
        <v>92746949</v>
      </c>
      <c r="H14" s="399"/>
      <c r="I14" s="1441">
        <f>SUM(I10:I13)</f>
        <v>48023612</v>
      </c>
      <c r="J14" s="566"/>
      <c r="K14" s="1441">
        <f>SUM(K10:K13)</f>
        <v>23841647</v>
      </c>
    </row>
    <row r="15" spans="1:16" ht="35.25" customHeight="1">
      <c r="A15" s="1442" t="s">
        <v>1965</v>
      </c>
      <c r="B15" s="753"/>
      <c r="C15" s="560"/>
      <c r="D15" s="399"/>
      <c r="E15" s="399"/>
      <c r="F15" s="399"/>
      <c r="G15" s="562"/>
      <c r="H15" s="562"/>
      <c r="I15" s="562"/>
      <c r="J15" s="562"/>
      <c r="K15" s="562"/>
    </row>
    <row r="16" spans="1:16" ht="35.25" customHeight="1">
      <c r="A16" s="2927" t="s">
        <v>1871</v>
      </c>
      <c r="B16" s="753"/>
      <c r="C16" s="560" t="s">
        <v>1885</v>
      </c>
      <c r="D16" s="399"/>
      <c r="E16" s="1666">
        <f>G16-I16</f>
        <v>139476</v>
      </c>
      <c r="F16" s="399"/>
      <c r="G16" s="562">
        <f>'21'!H19</f>
        <v>457055</v>
      </c>
      <c r="H16" s="562"/>
      <c r="I16" s="562">
        <v>317579</v>
      </c>
      <c r="J16" s="562"/>
      <c r="K16" s="562">
        <v>371289</v>
      </c>
    </row>
    <row r="17" spans="1:17" ht="35.25" customHeight="1">
      <c r="A17" s="2927" t="s">
        <v>1872</v>
      </c>
      <c r="B17" s="753"/>
      <c r="C17" s="560" t="s">
        <v>1886</v>
      </c>
      <c r="D17" s="399"/>
      <c r="E17" s="399"/>
      <c r="F17" s="399"/>
      <c r="G17" s="562">
        <f>'22'!J11</f>
        <v>4484864</v>
      </c>
      <c r="H17" s="562"/>
      <c r="I17" s="562">
        <v>4280630</v>
      </c>
      <c r="J17" s="562"/>
      <c r="K17" s="562">
        <v>2481004</v>
      </c>
    </row>
    <row r="18" spans="1:17" ht="35.25" customHeight="1">
      <c r="A18" s="2199" t="s">
        <v>2537</v>
      </c>
      <c r="B18" s="399"/>
      <c r="C18" s="560" t="s">
        <v>1863</v>
      </c>
      <c r="D18" s="399"/>
      <c r="E18" s="399"/>
      <c r="F18" s="399"/>
      <c r="G18" s="562">
        <f>'19'!J26</f>
        <v>10129833</v>
      </c>
      <c r="H18" s="399"/>
      <c r="I18" s="562">
        <f>'19'!L26</f>
        <v>6959331</v>
      </c>
      <c r="J18" s="562"/>
      <c r="K18" s="562">
        <v>5901674</v>
      </c>
      <c r="P18" s="451">
        <f>G18-I18</f>
        <v>3170502</v>
      </c>
    </row>
    <row r="19" spans="1:17" ht="35.25" customHeight="1">
      <c r="A19" s="2927" t="s">
        <v>1873</v>
      </c>
      <c r="B19" s="399"/>
      <c r="C19" s="560" t="s">
        <v>1772</v>
      </c>
      <c r="D19" s="399"/>
      <c r="E19" s="1038"/>
      <c r="F19" s="399"/>
      <c r="G19" s="562">
        <f>'22'!J30</f>
        <v>1610503</v>
      </c>
      <c r="H19" s="399"/>
      <c r="I19" s="562">
        <v>399069</v>
      </c>
      <c r="J19" s="562"/>
      <c r="K19" s="562">
        <v>1015911</v>
      </c>
      <c r="P19" s="451">
        <f>P13+P18+'صورت جریان نقدی'!H21</f>
        <v>3155926</v>
      </c>
    </row>
    <row r="20" spans="1:17" ht="35.25" customHeight="1">
      <c r="A20" s="1442" t="s">
        <v>1874</v>
      </c>
      <c r="B20" s="399"/>
      <c r="C20" s="560"/>
      <c r="D20" s="399"/>
      <c r="E20" s="399"/>
      <c r="F20" s="399"/>
      <c r="G20" s="1441">
        <f>SUM(G16:G19)</f>
        <v>16682255</v>
      </c>
      <c r="H20" s="399"/>
      <c r="I20" s="1441">
        <f>SUM(I16:I19)</f>
        <v>11956609</v>
      </c>
      <c r="J20" s="566"/>
      <c r="K20" s="1441">
        <f>SUM(K16:K19)</f>
        <v>9769878</v>
      </c>
    </row>
    <row r="21" spans="1:17" ht="35.25" customHeight="1" thickBot="1">
      <c r="A21" s="1531" t="s">
        <v>1724</v>
      </c>
      <c r="B21" s="399"/>
      <c r="C21" s="560"/>
      <c r="D21" s="399"/>
      <c r="E21" s="399"/>
      <c r="F21" s="399"/>
      <c r="G21" s="1532">
        <f>G14+G20</f>
        <v>109429204</v>
      </c>
      <c r="H21" s="1533"/>
      <c r="I21" s="1534">
        <f>I20+I14</f>
        <v>59980221</v>
      </c>
      <c r="J21" s="1533"/>
      <c r="K21" s="1534">
        <f>K20+K14</f>
        <v>33611525</v>
      </c>
    </row>
    <row r="22" spans="1:17" ht="34.5" customHeight="1" thickTop="1">
      <c r="A22" s="1442" t="s">
        <v>2687</v>
      </c>
      <c r="B22" s="399"/>
      <c r="C22" s="560"/>
      <c r="D22" s="399"/>
      <c r="E22" s="399"/>
      <c r="F22" s="399"/>
      <c r="G22" s="399"/>
      <c r="H22" s="399"/>
      <c r="I22" s="399"/>
      <c r="J22" s="399"/>
      <c r="K22" s="399"/>
    </row>
    <row r="23" spans="1:17" ht="30.75" customHeight="1">
      <c r="A23" s="1442" t="s">
        <v>1961</v>
      </c>
      <c r="B23" s="1442"/>
      <c r="C23" s="1442"/>
      <c r="D23" s="1442"/>
      <c r="E23" s="1442"/>
      <c r="F23" s="1442"/>
      <c r="G23" s="1442"/>
      <c r="H23" s="1442"/>
      <c r="I23" s="1442"/>
      <c r="J23" s="1442"/>
      <c r="K23" s="1442"/>
    </row>
    <row r="24" spans="1:17" ht="30.75" customHeight="1">
      <c r="A24" s="2927" t="s">
        <v>1875</v>
      </c>
      <c r="B24" s="399"/>
      <c r="C24" s="560" t="s">
        <v>1707</v>
      </c>
      <c r="D24" s="399"/>
      <c r="E24" s="399"/>
      <c r="F24" s="399"/>
      <c r="G24" s="399">
        <v>12000000</v>
      </c>
      <c r="H24" s="399"/>
      <c r="I24" s="399">
        <v>12000000</v>
      </c>
      <c r="J24" s="399"/>
      <c r="K24" s="399">
        <v>12000000</v>
      </c>
    </row>
    <row r="25" spans="1:17" ht="30.75" customHeight="1">
      <c r="A25" s="2927" t="s">
        <v>1876</v>
      </c>
      <c r="B25" s="754"/>
      <c r="C25" s="560" t="s">
        <v>1283</v>
      </c>
      <c r="D25" s="399"/>
      <c r="E25" s="399"/>
      <c r="F25" s="399"/>
      <c r="G25" s="332">
        <v>0.5</v>
      </c>
      <c r="H25" s="399"/>
      <c r="I25" s="332">
        <v>0.5</v>
      </c>
      <c r="J25" s="332"/>
      <c r="K25" s="332">
        <v>0.5</v>
      </c>
    </row>
    <row r="26" spans="1:17" ht="30.75" customHeight="1">
      <c r="A26" s="2927" t="s">
        <v>2602</v>
      </c>
      <c r="B26" s="754"/>
      <c r="C26" s="560" t="s">
        <v>1283</v>
      </c>
      <c r="D26" s="399"/>
      <c r="E26" s="399"/>
      <c r="F26" s="399"/>
      <c r="G26" s="399">
        <f>2736-0.5</f>
        <v>2735.5</v>
      </c>
      <c r="H26" s="399"/>
      <c r="I26" s="399">
        <v>2736</v>
      </c>
      <c r="J26" s="399"/>
      <c r="K26" s="399">
        <v>2736</v>
      </c>
    </row>
    <row r="27" spans="1:17" ht="30.75" customHeight="1">
      <c r="A27" s="2927" t="s">
        <v>1878</v>
      </c>
      <c r="B27" s="754"/>
      <c r="C27" s="560"/>
      <c r="D27" s="399"/>
      <c r="E27" s="399"/>
      <c r="F27" s="399"/>
      <c r="G27" s="399">
        <f>'صورت تغیرات در حقوق مالکانه'!I20</f>
        <v>-10280576</v>
      </c>
      <c r="H27" s="399"/>
      <c r="I27" s="399">
        <v>-7838047</v>
      </c>
      <c r="J27" s="399"/>
      <c r="K27" s="399">
        <v>-6149153</v>
      </c>
    </row>
    <row r="28" spans="1:17" s="110" customFormat="1" ht="30.75" customHeight="1">
      <c r="A28" s="1442" t="s">
        <v>1967</v>
      </c>
      <c r="B28" s="754"/>
      <c r="C28" s="560"/>
      <c r="D28" s="399"/>
      <c r="E28" s="399"/>
      <c r="F28" s="399"/>
      <c r="G28" s="744">
        <f>SUM(G24:G27)</f>
        <v>1722160</v>
      </c>
      <c r="H28" s="399"/>
      <c r="I28" s="744">
        <f>SUM(I24:I27)-1</f>
        <v>4164688.5</v>
      </c>
      <c r="J28" s="399"/>
      <c r="K28" s="744">
        <f>SUM(K24:K27)</f>
        <v>5853583.5</v>
      </c>
    </row>
    <row r="29" spans="1:17" s="110" customFormat="1" ht="39" customHeight="1">
      <c r="A29" s="1530" t="s">
        <v>1879</v>
      </c>
      <c r="B29" s="399"/>
      <c r="C29" s="560"/>
      <c r="D29" s="399"/>
      <c r="E29" s="399"/>
      <c r="F29" s="399"/>
      <c r="G29" s="399"/>
      <c r="H29" s="399"/>
      <c r="I29" s="399"/>
      <c r="J29" s="399"/>
      <c r="K29" s="399"/>
      <c r="L29" s="569"/>
    </row>
    <row r="30" spans="1:17" ht="37.5" customHeight="1">
      <c r="A30" s="1442" t="s">
        <v>2685</v>
      </c>
      <c r="B30" s="1443"/>
      <c r="C30" s="1443"/>
      <c r="D30" s="1443"/>
      <c r="E30" s="1443"/>
      <c r="F30" s="1443"/>
      <c r="G30" s="1443"/>
      <c r="H30" s="1443"/>
      <c r="I30" s="1443"/>
      <c r="J30" s="1443"/>
      <c r="K30" s="1443"/>
      <c r="L30" s="451"/>
      <c r="O30" s="386"/>
      <c r="P30" s="386"/>
      <c r="Q30" s="386"/>
    </row>
    <row r="31" spans="1:17" ht="36.75" customHeight="1">
      <c r="A31" s="2927" t="s">
        <v>1881</v>
      </c>
      <c r="B31" s="1443"/>
      <c r="C31" s="560" t="s">
        <v>1284</v>
      </c>
      <c r="D31" s="1443"/>
      <c r="F31" s="1443"/>
      <c r="G31" s="562">
        <f>'25'!M10</f>
        <v>71634887</v>
      </c>
      <c r="H31" s="1443"/>
      <c r="I31" s="562">
        <v>24870598</v>
      </c>
      <c r="J31" s="562"/>
      <c r="K31" s="562">
        <v>14861712</v>
      </c>
      <c r="O31" s="386"/>
      <c r="P31" s="1813">
        <f>G31-I31</f>
        <v>46764289</v>
      </c>
      <c r="Q31" s="386"/>
    </row>
    <row r="32" spans="1:17" ht="36.75" customHeight="1">
      <c r="A32" s="2927" t="s">
        <v>1880</v>
      </c>
      <c r="B32" s="570"/>
      <c r="C32" s="560" t="s">
        <v>1985</v>
      </c>
      <c r="D32" s="570"/>
      <c r="F32" s="570"/>
      <c r="G32" s="562">
        <f>'25'!M35</f>
        <v>9884176</v>
      </c>
      <c r="H32" s="562"/>
      <c r="I32" s="562">
        <v>9163508</v>
      </c>
      <c r="J32" s="562"/>
      <c r="K32" s="562">
        <v>5242155</v>
      </c>
    </row>
    <row r="33" spans="1:16" ht="36.75" customHeight="1">
      <c r="A33" s="1442" t="s">
        <v>2686</v>
      </c>
      <c r="B33" s="1442"/>
      <c r="C33" s="1442"/>
      <c r="D33" s="1442"/>
      <c r="E33" s="1442"/>
      <c r="F33" s="1442"/>
      <c r="G33" s="1444">
        <f>G32+G31</f>
        <v>81519063</v>
      </c>
      <c r="H33" s="1442"/>
      <c r="I33" s="1444">
        <f>I31+I32</f>
        <v>34034106</v>
      </c>
      <c r="J33" s="562"/>
      <c r="K33" s="1444">
        <f>SUM(K31:K32)</f>
        <v>20103867</v>
      </c>
    </row>
    <row r="34" spans="1:16" ht="36.75" customHeight="1">
      <c r="A34" s="1442" t="s">
        <v>1966</v>
      </c>
      <c r="B34" s="1437"/>
      <c r="C34" s="1437"/>
      <c r="D34" s="1437"/>
      <c r="E34" s="1437"/>
      <c r="F34" s="1437"/>
      <c r="G34" s="1437"/>
      <c r="H34" s="1437"/>
      <c r="I34" s="1437"/>
      <c r="J34" s="1714"/>
      <c r="K34" s="1714"/>
    </row>
    <row r="35" spans="1:16" s="1576" customFormat="1" ht="36.75" customHeight="1">
      <c r="A35" s="2927" t="s">
        <v>1981</v>
      </c>
      <c r="B35" s="1575"/>
      <c r="C35" s="1575">
        <v>17</v>
      </c>
      <c r="D35" s="1575"/>
      <c r="E35" s="1575"/>
      <c r="F35" s="1575"/>
      <c r="G35" s="562">
        <f>'23-24'!N31</f>
        <v>26101069</v>
      </c>
      <c r="H35" s="1575"/>
      <c r="I35" s="562">
        <v>21781426</v>
      </c>
      <c r="J35" s="562"/>
      <c r="K35" s="562">
        <v>5993367</v>
      </c>
      <c r="P35" s="451">
        <f>G35-I35</f>
        <v>4319643</v>
      </c>
    </row>
    <row r="36" spans="1:16" ht="36.75" customHeight="1">
      <c r="A36" s="2927" t="s">
        <v>1964</v>
      </c>
      <c r="B36" s="1437"/>
      <c r="C36" s="1437">
        <v>20</v>
      </c>
      <c r="D36" s="1034"/>
      <c r="E36" s="1437"/>
      <c r="F36" s="1437"/>
      <c r="G36" s="2314">
        <f>'26'!T28</f>
        <v>86912</v>
      </c>
      <c r="H36" s="1437"/>
      <c r="I36" s="562">
        <v>0</v>
      </c>
      <c r="J36" s="562"/>
      <c r="K36" s="562">
        <v>1660707</v>
      </c>
    </row>
    <row r="37" spans="1:16" ht="36.75" customHeight="1">
      <c r="A37" s="1442" t="s">
        <v>1882</v>
      </c>
      <c r="B37" s="571"/>
      <c r="C37" s="572"/>
      <c r="D37" s="573"/>
      <c r="E37" s="573"/>
      <c r="F37" s="573"/>
      <c r="G37" s="1444">
        <f>G35+G36</f>
        <v>26187981</v>
      </c>
      <c r="H37" s="573"/>
      <c r="I37" s="1444">
        <f>I36+I35</f>
        <v>21781426</v>
      </c>
      <c r="J37" s="562"/>
      <c r="K37" s="1444">
        <f>SUM(K35:K36)</f>
        <v>7654074</v>
      </c>
    </row>
    <row r="38" spans="1:16" ht="36.75" customHeight="1">
      <c r="A38" s="1442" t="s">
        <v>1883</v>
      </c>
      <c r="B38" s="571"/>
      <c r="C38" s="572"/>
      <c r="D38" s="573"/>
      <c r="E38" s="573"/>
      <c r="F38" s="573"/>
      <c r="G38" s="1444">
        <f>G37+G33</f>
        <v>107707044</v>
      </c>
      <c r="H38" s="573"/>
      <c r="I38" s="1444">
        <f>I37+I33</f>
        <v>55815532</v>
      </c>
      <c r="J38" s="562"/>
      <c r="K38" s="1444">
        <f>K37+K33</f>
        <v>27757941</v>
      </c>
    </row>
    <row r="39" spans="1:16" ht="36.75" customHeight="1" thickBot="1">
      <c r="A39" s="1531" t="s">
        <v>1884</v>
      </c>
      <c r="B39" s="571"/>
      <c r="C39" s="572"/>
      <c r="D39" s="573"/>
      <c r="E39" s="573"/>
      <c r="F39" s="573"/>
      <c r="G39" s="1532">
        <f>G38+G28</f>
        <v>109429204</v>
      </c>
      <c r="H39" s="573"/>
      <c r="I39" s="1532">
        <f>I38+I28</f>
        <v>59980220.5</v>
      </c>
      <c r="J39" s="1717"/>
      <c r="K39" s="1532">
        <f>K38+K28</f>
        <v>33611524.5</v>
      </c>
    </row>
    <row r="40" spans="1:16" s="386" customFormat="1" ht="55.5" customHeight="1" thickTop="1">
      <c r="A40" s="2169"/>
      <c r="B40" s="2169"/>
      <c r="C40" s="2170"/>
      <c r="D40" s="2171"/>
      <c r="E40" s="2171"/>
      <c r="F40" s="2171"/>
      <c r="G40" s="2172">
        <f>G21-G39</f>
        <v>0</v>
      </c>
      <c r="H40" s="2173"/>
      <c r="I40" s="2172">
        <f>I39-I21</f>
        <v>-0.5</v>
      </c>
      <c r="J40" s="2172">
        <f>J39-J21</f>
        <v>0</v>
      </c>
      <c r="K40" s="2172">
        <f>K39-K21</f>
        <v>-0.5</v>
      </c>
    </row>
    <row r="41" spans="1:16" s="255" customFormat="1" ht="55.5" customHeight="1">
      <c r="A41" s="2979" t="s">
        <v>1500</v>
      </c>
      <c r="B41" s="2979"/>
      <c r="C41" s="2979"/>
      <c r="D41" s="2979"/>
      <c r="E41" s="2979"/>
      <c r="F41" s="2979"/>
      <c r="G41" s="2979"/>
      <c r="H41" s="2979"/>
      <c r="I41" s="2979"/>
      <c r="J41" s="2979"/>
      <c r="K41" s="2979"/>
    </row>
    <row r="42" spans="1:16" ht="329.25" customHeight="1">
      <c r="A42" s="2980">
        <v>3</v>
      </c>
      <c r="B42" s="2980"/>
      <c r="C42" s="2980"/>
      <c r="D42" s="2980"/>
      <c r="E42" s="2980"/>
      <c r="F42" s="2980"/>
      <c r="G42" s="2980"/>
      <c r="H42" s="2980"/>
      <c r="I42" s="2980"/>
      <c r="J42" s="2980"/>
      <c r="K42" s="2980"/>
    </row>
    <row r="43" spans="1:16" ht="33.75">
      <c r="E43" s="399"/>
    </row>
    <row r="44" spans="1:16" ht="33.75">
      <c r="E44" s="399"/>
    </row>
    <row r="45" spans="1:16" ht="33.75">
      <c r="E45" s="399"/>
    </row>
    <row r="47" spans="1:16" ht="37.5">
      <c r="E47" s="357"/>
    </row>
    <row r="48" spans="1:16" ht="37.5">
      <c r="E48" s="574"/>
    </row>
    <row r="62" spans="11:11">
      <c r="K62" s="1715">
        <v>-7717613</v>
      </c>
    </row>
  </sheetData>
  <mergeCells count="6">
    <mergeCell ref="A41:K41"/>
    <mergeCell ref="A42:K42"/>
    <mergeCell ref="A1:K1"/>
    <mergeCell ref="A2:K2"/>
    <mergeCell ref="A3:K3"/>
    <mergeCell ref="G4:I4"/>
  </mergeCells>
  <printOptions horizontalCentered="1" verticalCentered="1"/>
  <pageMargins left="0" right="0.55118110236220474" top="0.35433070866141736" bottom="0.19685039370078741" header="0.31496062992125984" footer="0.19685039370078741"/>
  <pageSetup paperSize="9"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rightToLeft="1" view="pageBreakPreview" zoomScale="73" zoomScaleNormal="60" zoomScaleSheetLayoutView="73" workbookViewId="0">
      <selection activeCell="A3" sqref="A3:L3"/>
    </sheetView>
  </sheetViews>
  <sheetFormatPr defaultRowHeight="14.25"/>
  <cols>
    <col min="1" max="1" width="61.5" customWidth="1"/>
    <col min="2" max="2" width="22.125" customWidth="1"/>
    <col min="3" max="3" width="10.125" customWidth="1"/>
    <col min="4" max="4" width="21.75" customWidth="1"/>
    <col min="5" max="5" width="8.75" customWidth="1"/>
    <col min="6" max="6" width="16.25" customWidth="1"/>
    <col min="7" max="7" width="0.875" customWidth="1"/>
    <col min="8" max="8" width="6.625" customWidth="1"/>
    <col min="9" max="9" width="20" customWidth="1"/>
    <col min="10" max="10" width="0.875" customWidth="1"/>
    <col min="11" max="11" width="6.625" customWidth="1"/>
    <col min="12" max="12" width="22.25" customWidth="1"/>
  </cols>
  <sheetData>
    <row r="1" spans="1:12" ht="34.5" customHeight="1">
      <c r="A1" s="2986" t="s">
        <v>1947</v>
      </c>
      <c r="B1" s="2986"/>
      <c r="C1" s="2986"/>
      <c r="D1" s="2986"/>
      <c r="E1" s="2986"/>
      <c r="F1" s="2986"/>
      <c r="G1" s="2986"/>
      <c r="H1" s="2986"/>
      <c r="I1" s="2986"/>
      <c r="J1" s="2986"/>
      <c r="K1" s="2986"/>
      <c r="L1" s="2986"/>
    </row>
    <row r="2" spans="1:12" ht="37.5" customHeight="1">
      <c r="A2" s="2986" t="s">
        <v>1888</v>
      </c>
      <c r="B2" s="2986"/>
      <c r="C2" s="2986"/>
      <c r="D2" s="2986"/>
      <c r="E2" s="2986"/>
      <c r="F2" s="2986"/>
      <c r="G2" s="2986"/>
      <c r="H2" s="2986"/>
      <c r="I2" s="2986"/>
      <c r="J2" s="2986"/>
      <c r="K2" s="2986"/>
      <c r="L2" s="2986"/>
    </row>
    <row r="3" spans="1:12" ht="37.5" customHeight="1">
      <c r="A3" s="2986" t="str">
        <f>مفروضات!A6</f>
        <v xml:space="preserve"> سال مالي منتهي به 29 اسفند 1401</v>
      </c>
      <c r="B3" s="2986"/>
      <c r="C3" s="2986"/>
      <c r="D3" s="2986"/>
      <c r="E3" s="2986"/>
      <c r="F3" s="2986"/>
      <c r="G3" s="2986"/>
      <c r="H3" s="2986"/>
      <c r="I3" s="2986"/>
      <c r="J3" s="2986"/>
      <c r="K3" s="2986"/>
      <c r="L3" s="2986"/>
    </row>
    <row r="4" spans="1:12" s="1554" customFormat="1" ht="52.5" customHeight="1">
      <c r="A4" s="1552"/>
      <c r="B4" s="1552"/>
      <c r="C4" s="1552"/>
      <c r="D4" s="1552"/>
      <c r="E4" s="1552"/>
      <c r="F4" s="1552"/>
      <c r="G4" s="1552"/>
      <c r="H4" s="1552"/>
      <c r="I4" s="2987" t="s">
        <v>1950</v>
      </c>
      <c r="J4" s="2987"/>
      <c r="K4" s="2987"/>
      <c r="L4" s="2987"/>
    </row>
    <row r="5" spans="1:12" s="1554" customFormat="1" ht="36" customHeight="1">
      <c r="A5" s="1560"/>
      <c r="B5" s="1561" t="s">
        <v>195</v>
      </c>
      <c r="C5" s="1562"/>
      <c r="D5" s="1563" t="s">
        <v>640</v>
      </c>
      <c r="E5" s="1562"/>
      <c r="F5" s="1563" t="s">
        <v>2602</v>
      </c>
      <c r="G5" s="1562"/>
      <c r="H5" s="1562"/>
      <c r="I5" s="1563" t="s">
        <v>1948</v>
      </c>
      <c r="J5" s="1562"/>
      <c r="K5" s="1562"/>
      <c r="L5" s="1561" t="s">
        <v>1326</v>
      </c>
    </row>
    <row r="6" spans="1:12" s="1554" customFormat="1" ht="26.25" customHeight="1">
      <c r="A6" s="1560"/>
      <c r="B6" s="1564"/>
      <c r="C6" s="1564"/>
      <c r="D6" s="1564"/>
      <c r="E6" s="1564"/>
      <c r="F6" s="2194"/>
      <c r="G6" s="1564"/>
      <c r="H6" s="1564"/>
      <c r="I6" s="1564"/>
      <c r="J6" s="1564"/>
      <c r="K6" s="1564"/>
      <c r="L6" s="1564"/>
    </row>
    <row r="7" spans="1:12" s="1554" customFormat="1" ht="33.75">
      <c r="A7" s="761" t="s">
        <v>2361</v>
      </c>
      <c r="B7" s="1535">
        <v>12000000</v>
      </c>
      <c r="C7" s="1537"/>
      <c r="D7" s="1652">
        <v>0.5</v>
      </c>
      <c r="E7" s="1537"/>
      <c r="F7" s="399">
        <v>2736</v>
      </c>
      <c r="G7" s="1537"/>
      <c r="H7" s="1537"/>
      <c r="I7" s="1537">
        <v>-7883278</v>
      </c>
      <c r="J7" s="1537"/>
      <c r="K7" s="1537"/>
      <c r="L7" s="1537">
        <f>B7+D7+F7+I7-1</f>
        <v>4119457.5</v>
      </c>
    </row>
    <row r="8" spans="1:12" s="1554" customFormat="1" ht="33.75" hidden="1">
      <c r="A8" s="218" t="s">
        <v>1986</v>
      </c>
      <c r="B8" s="1460">
        <v>0</v>
      </c>
      <c r="C8" s="1460"/>
      <c r="D8" s="1537">
        <v>0</v>
      </c>
      <c r="E8" s="1460"/>
      <c r="F8" s="1460">
        <v>0</v>
      </c>
      <c r="G8" s="1460"/>
      <c r="H8" s="1460"/>
      <c r="I8" s="1460">
        <v>0</v>
      </c>
      <c r="J8" s="1460"/>
      <c r="K8" s="1460"/>
      <c r="L8" s="1460">
        <f>SUM(B8:I8)</f>
        <v>0</v>
      </c>
    </row>
    <row r="9" spans="1:12" s="1554" customFormat="1" ht="33.75" hidden="1">
      <c r="A9" s="218" t="s">
        <v>1926</v>
      </c>
      <c r="B9" s="1460">
        <v>0</v>
      </c>
      <c r="C9" s="1460"/>
      <c r="D9" s="1537">
        <v>0</v>
      </c>
      <c r="E9" s="1460"/>
      <c r="F9" s="1460">
        <v>0</v>
      </c>
      <c r="G9" s="1460"/>
      <c r="H9" s="1460"/>
      <c r="I9" s="1460">
        <v>0</v>
      </c>
      <c r="J9" s="1460"/>
      <c r="K9" s="1460"/>
      <c r="L9" s="1460">
        <f>B9+D9+F9+I9</f>
        <v>0</v>
      </c>
    </row>
    <row r="10" spans="1:12" s="1554" customFormat="1" ht="33.75" hidden="1">
      <c r="A10" s="761" t="s">
        <v>2112</v>
      </c>
      <c r="B10" s="1459">
        <f>B7+B8+B9</f>
        <v>12000000</v>
      </c>
      <c r="C10" s="399"/>
      <c r="D10" s="1653">
        <f>D7+D8+D9</f>
        <v>0.5</v>
      </c>
      <c r="E10" s="399"/>
      <c r="F10" s="1459">
        <f>F7+F8+F9</f>
        <v>2736</v>
      </c>
      <c r="G10" s="399">
        <f>G7+G8+G9</f>
        <v>0</v>
      </c>
      <c r="H10" s="399"/>
      <c r="I10" s="1459">
        <f>I7+I8+I9</f>
        <v>-7883278</v>
      </c>
      <c r="J10" s="399">
        <f>J7+J8+J9</f>
        <v>0</v>
      </c>
      <c r="K10" s="399"/>
      <c r="L10" s="1459">
        <f>L7+L8+L9</f>
        <v>4119457.5</v>
      </c>
    </row>
    <row r="11" spans="1:12" s="1554" customFormat="1" ht="33.75">
      <c r="A11" s="761" t="s">
        <v>2362</v>
      </c>
      <c r="B11" s="1460"/>
      <c r="C11" s="399"/>
      <c r="D11" s="1537"/>
      <c r="E11" s="1565"/>
      <c r="F11" s="1460"/>
      <c r="G11" s="1565"/>
      <c r="H11" s="1566"/>
      <c r="I11" s="1038"/>
      <c r="J11" s="1567"/>
      <c r="K11" s="1567"/>
      <c r="L11" s="1038"/>
    </row>
    <row r="12" spans="1:12" s="2601" customFormat="1" ht="33.75">
      <c r="A12" s="761" t="s">
        <v>2603</v>
      </c>
      <c r="B12" s="1460"/>
      <c r="C12" s="399"/>
      <c r="D12" s="1537"/>
      <c r="E12" s="1565"/>
      <c r="F12" s="1460"/>
      <c r="G12" s="1565"/>
      <c r="H12" s="1566"/>
      <c r="I12" s="1460">
        <v>185315</v>
      </c>
      <c r="J12" s="1567"/>
      <c r="K12" s="1567"/>
      <c r="L12" s="1460">
        <f>I12</f>
        <v>185315</v>
      </c>
    </row>
    <row r="13" spans="1:12" s="2601" customFormat="1" ht="33.75">
      <c r="A13" s="761" t="s">
        <v>2180</v>
      </c>
      <c r="B13" s="2605"/>
      <c r="C13" s="399"/>
      <c r="D13" s="2606"/>
      <c r="E13" s="1565"/>
      <c r="F13" s="2605"/>
      <c r="G13" s="1565"/>
      <c r="H13" s="1566"/>
      <c r="I13" s="2605">
        <v>-140084</v>
      </c>
      <c r="J13" s="1567"/>
      <c r="K13" s="1567"/>
      <c r="L13" s="2605">
        <f>I13</f>
        <v>-140084</v>
      </c>
    </row>
    <row r="14" spans="1:12" s="1554" customFormat="1" ht="33.75" hidden="1">
      <c r="A14" s="218" t="s">
        <v>1986</v>
      </c>
      <c r="B14" s="1460">
        <v>0</v>
      </c>
      <c r="C14" s="1460"/>
      <c r="D14" s="1537">
        <v>0</v>
      </c>
      <c r="E14" s="1460"/>
      <c r="F14" s="1460">
        <v>0</v>
      </c>
      <c r="G14" s="1460"/>
      <c r="H14" s="1460"/>
      <c r="I14" s="1460">
        <v>0</v>
      </c>
      <c r="J14" s="1460"/>
      <c r="K14" s="1460"/>
      <c r="L14" s="1460">
        <f>B14+D14+F14+I14</f>
        <v>0</v>
      </c>
    </row>
    <row r="15" spans="1:12" s="2026" customFormat="1" ht="33.75" hidden="1">
      <c r="A15" s="218" t="s">
        <v>2241</v>
      </c>
      <c r="B15" s="744">
        <v>0</v>
      </c>
      <c r="C15" s="399"/>
      <c r="D15" s="744">
        <v>0</v>
      </c>
      <c r="E15" s="1565"/>
      <c r="F15" s="744">
        <v>0</v>
      </c>
      <c r="G15" s="1565"/>
      <c r="H15" s="1566"/>
      <c r="I15" s="744">
        <f>SUM(I14:I14)</f>
        <v>0</v>
      </c>
      <c r="J15" s="1568"/>
      <c r="K15" s="1568"/>
      <c r="L15" s="744">
        <f>I15+F15+D15+B15</f>
        <v>0</v>
      </c>
    </row>
    <row r="16" spans="1:12" s="1554" customFormat="1" ht="37.5" customHeight="1">
      <c r="A16" s="761" t="s">
        <v>2363</v>
      </c>
      <c r="B16" s="1459">
        <f>B10</f>
        <v>12000000</v>
      </c>
      <c r="C16" s="399"/>
      <c r="D16" s="1653">
        <f>D10</f>
        <v>0.5</v>
      </c>
      <c r="E16" s="399"/>
      <c r="F16" s="1459">
        <f>F10</f>
        <v>2736</v>
      </c>
      <c r="G16" s="399" t="e">
        <f>#REF!+#REF!+#REF!</f>
        <v>#REF!</v>
      </c>
      <c r="H16" s="399"/>
      <c r="I16" s="1459">
        <f>I7+I12+I13</f>
        <v>-7838047</v>
      </c>
      <c r="J16" s="399" t="e">
        <f>#REF!+#REF!+#REF!</f>
        <v>#REF!</v>
      </c>
      <c r="K16" s="399"/>
      <c r="L16" s="1459">
        <f>L7+L12+L13</f>
        <v>4164688.5</v>
      </c>
    </row>
    <row r="17" spans="1:12" s="1554" customFormat="1" ht="33.75">
      <c r="A17" s="761" t="s">
        <v>2604</v>
      </c>
      <c r="B17" s="1565"/>
      <c r="C17" s="399"/>
      <c r="D17" s="1655"/>
      <c r="E17" s="1566"/>
      <c r="F17" s="1565"/>
      <c r="G17" s="1566"/>
      <c r="H17" s="1566"/>
      <c r="I17" s="1565"/>
      <c r="J17" s="1566"/>
      <c r="K17" s="1566"/>
      <c r="L17" s="1565"/>
    </row>
    <row r="18" spans="1:12" s="1554" customFormat="1" ht="33.75">
      <c r="A18" s="218" t="s">
        <v>2413</v>
      </c>
      <c r="B18" s="1460">
        <v>0</v>
      </c>
      <c r="C18" s="399"/>
      <c r="D18" s="1537">
        <v>0</v>
      </c>
      <c r="E18" s="1460"/>
      <c r="F18" s="1460">
        <v>0</v>
      </c>
      <c r="G18" s="1566"/>
      <c r="H18" s="1566"/>
      <c r="I18" s="399">
        <v>-2442529</v>
      </c>
      <c r="J18" s="1566"/>
      <c r="K18" s="399"/>
      <c r="L18" s="399">
        <f>I18</f>
        <v>-2442529</v>
      </c>
    </row>
    <row r="19" spans="1:12" s="2101" customFormat="1" ht="33.75" hidden="1">
      <c r="A19" s="761" t="s">
        <v>2180</v>
      </c>
      <c r="B19" s="1460"/>
      <c r="C19" s="399"/>
      <c r="D19" s="1537"/>
      <c r="E19" s="1460"/>
      <c r="F19" s="1460"/>
      <c r="G19" s="1566"/>
      <c r="H19" s="1566"/>
      <c r="I19" s="399">
        <v>0</v>
      </c>
      <c r="J19" s="1566"/>
      <c r="K19" s="399"/>
      <c r="L19" s="399">
        <f>I19</f>
        <v>0</v>
      </c>
    </row>
    <row r="20" spans="1:12" s="1554" customFormat="1" ht="34.5" thickBot="1">
      <c r="A20" s="761" t="s">
        <v>2364</v>
      </c>
      <c r="B20" s="564">
        <f>B16</f>
        <v>12000000</v>
      </c>
      <c r="C20" s="399"/>
      <c r="D20" s="1654">
        <f>D16</f>
        <v>0.5</v>
      </c>
      <c r="E20" s="399"/>
      <c r="F20" s="564">
        <f>F16</f>
        <v>2736</v>
      </c>
      <c r="G20" s="399"/>
      <c r="H20" s="399"/>
      <c r="I20" s="564">
        <f>I16+I18+I19</f>
        <v>-10280576</v>
      </c>
      <c r="J20" s="399"/>
      <c r="K20" s="1566"/>
      <c r="L20" s="564">
        <f>L16+L18+L19</f>
        <v>1722159.5</v>
      </c>
    </row>
    <row r="21" spans="1:12" s="353" customFormat="1" ht="34.5" thickTop="1">
      <c r="A21" s="1968"/>
      <c r="B21" s="402"/>
      <c r="C21" s="402"/>
      <c r="D21" s="1969"/>
      <c r="E21" s="402"/>
      <c r="F21" s="402"/>
      <c r="G21" s="402"/>
      <c r="H21" s="402"/>
      <c r="I21" s="402"/>
      <c r="J21" s="402"/>
      <c r="K21" s="1970"/>
      <c r="L21" s="402"/>
    </row>
    <row r="22" spans="1:12" s="1554" customFormat="1" ht="111" customHeight="1">
      <c r="A22" s="761"/>
      <c r="B22" s="399"/>
      <c r="C22" s="399"/>
      <c r="D22" s="1538"/>
      <c r="E22" s="399"/>
      <c r="F22" s="399"/>
      <c r="G22" s="399"/>
      <c r="H22" s="399"/>
      <c r="I22" s="399"/>
      <c r="J22" s="399"/>
      <c r="K22" s="1566"/>
      <c r="L22" s="399"/>
    </row>
    <row r="23" spans="1:12" s="1554" customFormat="1" ht="33.75" customHeight="1">
      <c r="A23" s="2979" t="s">
        <v>1500</v>
      </c>
      <c r="B23" s="2979"/>
      <c r="C23" s="2979"/>
      <c r="D23" s="2979"/>
      <c r="E23" s="2979"/>
      <c r="F23" s="2979"/>
      <c r="G23" s="2979"/>
      <c r="H23" s="2979"/>
      <c r="I23" s="2979"/>
      <c r="J23" s="2979"/>
      <c r="K23" s="2979"/>
      <c r="L23" s="2979"/>
    </row>
    <row r="24" spans="1:12" s="1554" customFormat="1" ht="33.75">
      <c r="A24" s="761"/>
      <c r="B24" s="399"/>
      <c r="C24" s="399"/>
      <c r="D24" s="1538"/>
      <c r="E24" s="399"/>
      <c r="F24" s="399"/>
      <c r="G24" s="399"/>
      <c r="H24" s="399"/>
      <c r="I24" s="399"/>
      <c r="J24" s="399"/>
      <c r="K24" s="1566"/>
      <c r="L24" s="399"/>
    </row>
    <row r="25" spans="1:12" ht="25.5" customHeight="1">
      <c r="A25" s="1475"/>
      <c r="B25" s="399"/>
      <c r="C25" s="399"/>
      <c r="D25" s="1538"/>
      <c r="E25" s="399"/>
      <c r="F25" s="399"/>
      <c r="G25" s="399"/>
      <c r="H25" s="399"/>
      <c r="I25" s="399"/>
      <c r="J25" s="399"/>
      <c r="K25" s="1536"/>
      <c r="L25" s="399"/>
    </row>
    <row r="26" spans="1:12" ht="143.25" customHeight="1">
      <c r="A26" s="2979">
        <v>4</v>
      </c>
      <c r="B26" s="2979"/>
      <c r="C26" s="2979"/>
      <c r="D26" s="2979"/>
      <c r="E26" s="2979"/>
      <c r="F26" s="2979"/>
      <c r="G26" s="2979"/>
      <c r="H26" s="2979"/>
      <c r="I26" s="2979"/>
      <c r="J26" s="2979"/>
      <c r="K26" s="2979"/>
      <c r="L26" s="2979"/>
    </row>
    <row r="27" spans="1:12" ht="37.5">
      <c r="A27" s="1461"/>
      <c r="B27" s="1461"/>
      <c r="C27" s="1461"/>
      <c r="D27" s="1461"/>
      <c r="E27" s="1461"/>
      <c r="F27" s="1461"/>
      <c r="G27" s="1461"/>
      <c r="H27" s="1461"/>
      <c r="I27" s="1461"/>
      <c r="J27" s="1461"/>
      <c r="K27" s="1461"/>
      <c r="L27" s="1461"/>
    </row>
  </sheetData>
  <mergeCells count="6">
    <mergeCell ref="A1:L1"/>
    <mergeCell ref="A3:L3"/>
    <mergeCell ref="A26:L26"/>
    <mergeCell ref="A23:L23"/>
    <mergeCell ref="A2:L2"/>
    <mergeCell ref="I4:L4"/>
  </mergeCells>
  <pageMargins left="0.15748031496062992" right="0.51181102362204722" top="0.51181102362204722" bottom="0.11811023622047245" header="0.43307086614173229" footer="0.31496062992125984"/>
  <pageSetup paperSize="9" scale="6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8C1E064C-FA0D-4FA2-8856-EC97CD79A41D}">
  <ds:schemaRefs>
    <ds:schemaRef ds:uri="http://schemas.microsoft.com/sharepoint/v3/contenttype/forms"/>
  </ds:schemaRefs>
</ds:datastoreItem>
</file>

<file path=customXml/itemProps2.xml><?xml version="1.0" encoding="utf-8"?>
<ds:datastoreItem xmlns:ds="http://schemas.openxmlformats.org/officeDocument/2006/customXml" ds:itemID="{9CA559D5-8ADF-4C4B-81B0-C72E51DC1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5F841F7-96C3-4DF3-B4FD-E2791A207BD4}">
  <ds:schemaRefs>
    <ds:schemaRef ds:uri="http://www.w3.org/XML/1998/namespace"/>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45</vt:i4>
      </vt:variant>
    </vt:vector>
  </HeadingPairs>
  <TitlesOfParts>
    <vt:vector size="98" baseType="lpstr">
      <vt:lpstr>1401</vt:lpstr>
      <vt:lpstr>94</vt:lpstr>
      <vt:lpstr>95</vt:lpstr>
      <vt:lpstr>97</vt:lpstr>
      <vt:lpstr>98</vt:lpstr>
      <vt:lpstr>96</vt:lpstr>
      <vt:lpstr>سود و زیان</vt:lpstr>
      <vt:lpstr>وضعیت مالی</vt:lpstr>
      <vt:lpstr>صورت تغیرات در حقوق مالکانه</vt:lpstr>
      <vt:lpstr>صورت جریان نقدی</vt:lpstr>
      <vt:lpstr>1</vt:lpstr>
      <vt:lpstr>2</vt:lpstr>
      <vt:lpstr>3</vt:lpstr>
      <vt:lpstr>4</vt:lpstr>
      <vt:lpstr>10</vt:lpstr>
      <vt:lpstr>11</vt:lpstr>
      <vt:lpstr>12-13</vt:lpstr>
      <vt:lpstr>14</vt:lpstr>
      <vt:lpstr>14 قبلي</vt:lpstr>
      <vt:lpstr>15</vt:lpstr>
      <vt:lpstr>16</vt:lpstr>
      <vt:lpstr>17</vt:lpstr>
      <vt:lpstr>18</vt:lpstr>
      <vt:lpstr>19</vt:lpstr>
      <vt:lpstr>20</vt:lpstr>
      <vt:lpstr>21</vt:lpstr>
      <vt:lpstr>12</vt:lpstr>
      <vt:lpstr>22</vt:lpstr>
      <vt:lpstr>23-24</vt:lpstr>
      <vt:lpstr>25</vt:lpstr>
      <vt:lpstr>26</vt:lpstr>
      <vt:lpstr>27</vt:lpstr>
      <vt:lpstr>28</vt:lpstr>
      <vt:lpstr>29</vt:lpstr>
      <vt:lpstr>30</vt:lpstr>
      <vt:lpstr>31</vt:lpstr>
      <vt:lpstr>32</vt:lpstr>
      <vt:lpstr>33</vt:lpstr>
      <vt:lpstr>34</vt:lpstr>
      <vt:lpstr>35</vt:lpstr>
      <vt:lpstr>36</vt:lpstr>
      <vt:lpstr>37</vt:lpstr>
      <vt:lpstr>38-39</vt:lpstr>
      <vt:lpstr>نسبتها</vt:lpstr>
      <vt:lpstr>40</vt:lpstr>
      <vt:lpstr>مفروضات</vt:lpstr>
      <vt:lpstr>602086</vt:lpstr>
      <vt:lpstr>602085</vt:lpstr>
      <vt:lpstr>Sheet2</vt:lpstr>
      <vt:lpstr>Sheet2 (2)</vt:lpstr>
      <vt:lpstr>Sheet1</vt:lpstr>
      <vt:lpstr>Sheet2 (3)</vt:lpstr>
      <vt:lpstr>Sheet3</vt:lpstr>
      <vt:lpstr>'10'!Print_Area</vt:lpstr>
      <vt:lpstr>'11'!Print_Area</vt:lpstr>
      <vt:lpstr>'12'!Print_Area</vt:lpstr>
      <vt:lpstr>'12-13'!Print_Area</vt:lpstr>
      <vt:lpstr>'14'!Print_Area</vt:lpstr>
      <vt:lpstr>'14 قبلي'!Print_Area</vt:lpstr>
      <vt:lpstr>'1401'!Print_Area</vt:lpstr>
      <vt:lpstr>'15'!Print_Area</vt:lpstr>
      <vt:lpstr>'16'!Print_Area</vt:lpstr>
      <vt:lpstr>'17'!Print_Area</vt:lpstr>
      <vt:lpstr>'18'!Print_Area</vt:lpstr>
      <vt:lpstr>'19'!Print_Area</vt:lpstr>
      <vt:lpstr>'2'!Print_Area</vt:lpstr>
      <vt:lpstr>'20'!Print_Area</vt:lpstr>
      <vt:lpstr>'21'!Print_Area</vt:lpstr>
      <vt:lpstr>'22'!Print_Area</vt:lpstr>
      <vt:lpstr>'23-24'!Print_Area</vt:lpstr>
      <vt:lpstr>'25'!Print_Area</vt:lpstr>
      <vt:lpstr>'26'!Print_Area</vt:lpstr>
      <vt:lpstr>'27'!Print_Area</vt:lpstr>
      <vt:lpstr>'28'!Print_Area</vt:lpstr>
      <vt:lpstr>'29'!Print_Area</vt:lpstr>
      <vt:lpstr>'3'!Print_Area</vt:lpstr>
      <vt:lpstr>'30'!Print_Area</vt:lpstr>
      <vt:lpstr>'31'!Print_Area</vt:lpstr>
      <vt:lpstr>'38-39'!Print_Area</vt:lpstr>
      <vt:lpstr>'4'!Print_Area</vt:lpstr>
      <vt:lpstr>'40'!Print_Area</vt:lpstr>
      <vt:lpstr>'94'!Print_Area</vt:lpstr>
      <vt:lpstr>'95'!Print_Area</vt:lpstr>
      <vt:lpstr>'97'!Print_Area</vt:lpstr>
      <vt:lpstr>'98'!Print_Area</vt:lpstr>
      <vt:lpstr>Sheet1!Print_Area</vt:lpstr>
      <vt:lpstr>Sheet2!Print_Area</vt:lpstr>
      <vt:lpstr>'سود و زیان'!Print_Area</vt:lpstr>
      <vt:lpstr>'صورت تغیرات در حقوق مالکانه'!Print_Area</vt:lpstr>
      <vt:lpstr>'صورت جریان نقدی'!Print_Area</vt:lpstr>
      <vt:lpstr>نسبتها!Print_Area</vt:lpstr>
      <vt:lpstr>'وضعیت مالی'!Print_Area</vt:lpstr>
      <vt:lpstr>'1401'!Print_Titles</vt:lpstr>
      <vt:lpstr>'94'!Print_Titles</vt:lpstr>
      <vt:lpstr>'95'!Print_Titles</vt:lpstr>
      <vt:lpstr>'96'!Print_Titles</vt:lpstr>
      <vt:lpstr>'97'!Print_Titles</vt:lpstr>
      <vt:lpstr>'98'!Print_Titles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صورتهاي مالي سال 1394</dc:title>
  <dc:subject>تزاز نهايي سال 94</dc:subject>
  <dc:creator>حیدرزاده</dc:creator>
  <cp:keywords>همگروه</cp:keywords>
  <dc:description>صورت مالي</dc:description>
  <cp:lastModifiedBy>shobeiri-r</cp:lastModifiedBy>
  <cp:lastPrinted>2023-07-14T15:04:51Z</cp:lastPrinted>
  <dcterms:created xsi:type="dcterms:W3CDTF">2009-04-21T14:09:53Z</dcterms:created>
  <dcterms:modified xsi:type="dcterms:W3CDTF">2023-07-17T12:36:41Z</dcterms:modified>
  <cp:category>برنامه</cp:category>
</cp:coreProperties>
</file>